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autoCompressPictures="0"/>
  <mc:AlternateContent xmlns:mc="http://schemas.openxmlformats.org/markup-compatibility/2006">
    <mc:Choice Requires="x15">
      <x15ac:absPath xmlns:x15ac="http://schemas.microsoft.com/office/spreadsheetml/2010/11/ac" url="https://sonepar-my.sharepoint.com/personal/paul_cave_excel-networking_com/Documents/Attachments/Excel Encyclopadia V4/"/>
    </mc:Choice>
  </mc:AlternateContent>
  <xr:revisionPtr revIDLastSave="0" documentId="10_ncr:100000_{D471AC23-A87A-4216-8BB6-1FF087F6D94D}" xr6:coauthVersionLast="31" xr6:coauthVersionMax="31" xr10:uidLastSave="{00000000-0000-0000-0000-000000000000}"/>
  <workbookProtection workbookPassword="EFF0" lockStructure="1"/>
  <bookViews>
    <workbookView xWindow="50160" yWindow="1080" windowWidth="51204" windowHeight="26844" xr2:uid="{00000000-000D-0000-FFFF-FFFF00000000}"/>
  </bookViews>
  <sheets>
    <sheet name="Tray" sheetId="1" r:id="rId1"/>
    <sheet name="Basket" sheetId="3" r:id="rId2"/>
    <sheet name="Conduit" sheetId="4" r:id="rId3"/>
    <sheet name="Separation Distances" sheetId="5" r:id="rId4"/>
  </sheets>
  <calcPr calcId="179017"/>
  <extLst>
    <ext xmlns:mx="http://schemas.microsoft.com/office/mac/excel/2008/main" uri="{7523E5D3-25F3-A5E0-1632-64F254C22452}">
      <mx:ArchID Flags="2"/>
    </ext>
  </extLst>
</workbook>
</file>

<file path=xl/calcChain.xml><?xml version="1.0" encoding="utf-8"?>
<calcChain xmlns="http://schemas.openxmlformats.org/spreadsheetml/2006/main">
  <c r="L13" i="1" l="1"/>
  <c r="J13" i="1"/>
  <c r="G13" i="1"/>
  <c r="B16" i="3" l="1"/>
  <c r="R13" i="4" l="1"/>
  <c r="Q13" i="4"/>
  <c r="P13" i="4"/>
  <c r="F13" i="4"/>
  <c r="G13" i="4"/>
  <c r="H13" i="4"/>
  <c r="I13" i="4"/>
  <c r="J13" i="4"/>
  <c r="K13" i="4"/>
  <c r="L13" i="4"/>
  <c r="M13" i="4"/>
  <c r="N13" i="4"/>
  <c r="O13" i="4"/>
  <c r="R13" i="3"/>
  <c r="Q13" i="3"/>
  <c r="P13" i="3"/>
  <c r="G13" i="3"/>
  <c r="N13" i="1"/>
  <c r="S13" i="1"/>
  <c r="O13" i="1"/>
  <c r="B14" i="4" l="1"/>
  <c r="B15" i="4" s="1"/>
  <c r="B14" i="3"/>
  <c r="B15" i="3" s="1"/>
  <c r="R14" i="3" s="1"/>
  <c r="M13" i="3"/>
  <c r="B14" i="1"/>
  <c r="B15" i="1" s="1"/>
  <c r="R13" i="1"/>
  <c r="F17" i="5"/>
  <c r="F9" i="5"/>
  <c r="D13" i="5"/>
  <c r="F13" i="5"/>
  <c r="B17" i="1"/>
  <c r="O13" i="3"/>
  <c r="N13" i="3"/>
  <c r="L13" i="3"/>
  <c r="K13" i="3"/>
  <c r="J13" i="3"/>
  <c r="I13" i="3"/>
  <c r="H13" i="3"/>
  <c r="F13" i="3"/>
  <c r="Q13" i="1"/>
  <c r="T13" i="1"/>
  <c r="I13" i="1"/>
  <c r="H13" i="1"/>
  <c r="K13" i="1"/>
  <c r="M13" i="1"/>
  <c r="U13" i="1"/>
  <c r="P13" i="1"/>
  <c r="F13" i="1"/>
  <c r="J14" i="1" l="1"/>
  <c r="L14" i="1"/>
  <c r="N14" i="1"/>
  <c r="G14" i="1"/>
  <c r="R14" i="4"/>
  <c r="O14" i="4"/>
  <c r="K14" i="4"/>
  <c r="P14" i="4"/>
  <c r="H14" i="4"/>
  <c r="F14" i="4"/>
  <c r="N14" i="4"/>
  <c r="L14" i="4"/>
  <c r="I14" i="4"/>
  <c r="Q14" i="4"/>
  <c r="M14" i="4"/>
  <c r="J14" i="4"/>
  <c r="G14" i="4"/>
  <c r="C23" i="5"/>
  <c r="Q14" i="3"/>
  <c r="P14" i="3"/>
  <c r="B17" i="3"/>
  <c r="L14" i="3"/>
  <c r="J14" i="3"/>
  <c r="F14" i="3"/>
  <c r="G14" i="3"/>
  <c r="O14" i="3"/>
  <c r="K14" i="3"/>
  <c r="M14" i="3"/>
  <c r="I14" i="3"/>
  <c r="N14" i="3"/>
  <c r="H14" i="3"/>
  <c r="O14" i="1"/>
  <c r="S14" i="1"/>
  <c r="R14" i="1"/>
  <c r="M14" i="1"/>
  <c r="P14" i="1"/>
  <c r="Q14" i="1"/>
  <c r="H14" i="1"/>
  <c r="F14" i="1"/>
  <c r="K14" i="1"/>
  <c r="T14" i="1"/>
  <c r="U14" i="1"/>
  <c r="I14" i="1"/>
</calcChain>
</file>

<file path=xl/sharedStrings.xml><?xml version="1.0" encoding="utf-8"?>
<sst xmlns="http://schemas.openxmlformats.org/spreadsheetml/2006/main" count="174" uniqueCount="103">
  <si>
    <t>Excel Cable</t>
  </si>
  <si>
    <t>Notes:</t>
  </si>
  <si>
    <t xml:space="preserve">The maximum stack height of cables on a continuous surface is 150mm.  </t>
  </si>
  <si>
    <t>Width</t>
  </si>
  <si>
    <t>mm</t>
  </si>
  <si>
    <t>Height</t>
  </si>
  <si>
    <t>Spare Capacity</t>
  </si>
  <si>
    <t>%</t>
  </si>
  <si>
    <t>Number of Cables</t>
  </si>
  <si>
    <t>Diameter of Cable</t>
  </si>
  <si>
    <t>Area of Cable</t>
  </si>
  <si>
    <t>Area of Containment</t>
  </si>
  <si>
    <r>
      <t>mm</t>
    </r>
    <r>
      <rPr>
        <sz val="11"/>
        <color indexed="8"/>
        <rFont val="Calibri"/>
        <family val="2"/>
      </rPr>
      <t>²</t>
    </r>
  </si>
  <si>
    <t>Usable area</t>
  </si>
  <si>
    <t>Only edit blue cells</t>
  </si>
  <si>
    <t>100-196 Cat 6 A F/FTP "S" Foil</t>
  </si>
  <si>
    <t>100-191 Cat 6 A U/FTP "S" Foil</t>
  </si>
  <si>
    <t>100-071 Cat 6 U/UTP</t>
  </si>
  <si>
    <t>100-076 Cat 6 F/UTP</t>
  </si>
  <si>
    <t>This spreadsheet is for guidance only.</t>
  </si>
  <si>
    <t>100-217 Cat 5e F/UTP</t>
  </si>
  <si>
    <t>100-066 Cat 5e U/UTP</t>
  </si>
  <si>
    <t>Tray Dimensions</t>
  </si>
  <si>
    <t>Containment Sizing - Tray</t>
  </si>
  <si>
    <t>This may be used for Tray only - continuous flat surface</t>
  </si>
  <si>
    <t>Refer "Basket" tab of spreadsheet for non-continuous containment</t>
  </si>
  <si>
    <t>Distance between supports</t>
  </si>
  <si>
    <t>Maximum Cable Stack Height</t>
  </si>
  <si>
    <t>Containment Sizing - Conduit</t>
  </si>
  <si>
    <t>This may be used for Conduit</t>
  </si>
  <si>
    <t>Conduit Dimension</t>
  </si>
  <si>
    <t>Inside Diameter</t>
  </si>
  <si>
    <t>It assumes staight runs with no bends and smooth walls.</t>
  </si>
  <si>
    <t>This spreadsheet is for information only.  Based on BICSI TDMM</t>
  </si>
  <si>
    <t>This may be used for Basket or Ladder - non-continuous surface</t>
  </si>
  <si>
    <t>Containment Sizing - Basket or Ladder</t>
  </si>
  <si>
    <t>Basket / Ladder Dimensions</t>
  </si>
  <si>
    <t>Separation Distances</t>
  </si>
  <si>
    <t>Quantity of Power Circuits</t>
  </si>
  <si>
    <t>Segregation Classification - Cable</t>
  </si>
  <si>
    <t>None</t>
  </si>
  <si>
    <t>Open metalic containment</t>
  </si>
  <si>
    <t>Perforated metalic containment</t>
  </si>
  <si>
    <t>Solid metalic containment</t>
  </si>
  <si>
    <t>Qty of Power Circuits</t>
  </si>
  <si>
    <t>P</t>
  </si>
  <si>
    <t>1 to 3</t>
  </si>
  <si>
    <t>4 to 6</t>
  </si>
  <si>
    <t>7 to 9</t>
  </si>
  <si>
    <t>10 to 12</t>
  </si>
  <si>
    <t>13 to 15</t>
  </si>
  <si>
    <t>16 to 30</t>
  </si>
  <si>
    <t>31 to 45</t>
  </si>
  <si>
    <t>46 to 60</t>
  </si>
  <si>
    <t>61 to 75</t>
  </si>
  <si>
    <t>&gt; 75</t>
  </si>
  <si>
    <t>Minimum separation distance</t>
  </si>
  <si>
    <t>Coaxial</t>
  </si>
  <si>
    <t>Unscreened - Cat 5e, 6, 6a</t>
  </si>
  <si>
    <t>Screened - Cat 5e, 6, 6a</t>
  </si>
  <si>
    <t>Cat 7 &amp; 7a</t>
  </si>
  <si>
    <t>Data cable type</t>
  </si>
  <si>
    <t>Containment (applied to Data or Power cabling)</t>
  </si>
  <si>
    <t>a</t>
  </si>
  <si>
    <t>b</t>
  </si>
  <si>
    <t>c</t>
  </si>
  <si>
    <t>d</t>
  </si>
  <si>
    <t>Equivalent to weld mesh 50 mm x 100 mm and steel tray of less than 1 mm thickness (and trunking without lid).</t>
  </si>
  <si>
    <t>Equivalent to steel tray of 1 mm thickness (and trunking without lid).  Cables to be installed at least 10 mm below top of barrier.</t>
  </si>
  <si>
    <t>Equivalent to steel conduit 1.5mm wall thickness.  Steel conduit less than 1.5mm thickness will require greater separation.</t>
  </si>
  <si>
    <t>3-phase cables shall be treated as 3 off 1-phase cables.</t>
  </si>
  <si>
    <t>More than 20 A shall be treated as multiples of 20 A.</t>
  </si>
  <si>
    <t>Lower voltage AC or DC power supply cables shall be treated based upon the their current ratings, i.e. a 100 A 50 V DC cable = 5 of 20 A cables</t>
  </si>
  <si>
    <t>100-912 Cat 7A Plus S/FTP (1200 MHz)</t>
  </si>
  <si>
    <t>100-910 Cat 7A S/FTP (1000 MHz)</t>
  </si>
  <si>
    <t>Only edit blue cells (drop down)</t>
  </si>
  <si>
    <t>Note</t>
  </si>
  <si>
    <t>This spreadsheet offers guidance for the general separation distances required between copper data cabling and mains power to mitigate the effects of Electromagnetic Interference (EMI). The installer shall additional ensure that all local and national legislation reagading electrical separation shall be complied with.</t>
  </si>
  <si>
    <t>Applicable to plastic containment</t>
  </si>
  <si>
    <t>100-189 Cat 6A U/UTP</t>
  </si>
  <si>
    <t>100-080 Cat6 RD U/UTP</t>
  </si>
  <si>
    <t>190-071-500 Cat 6 U/UTP (B2ca)</t>
  </si>
  <si>
    <t>100-609 Residential Category 6 U/UTP</t>
  </si>
  <si>
    <t>100-914 Cat 6A S/FTP</t>
  </si>
  <si>
    <t>NOTE: Accurate at time of publication, higher Euroclass levels of unscreened cables are typically slightly larger in OD so please check Specification Sheets.</t>
  </si>
  <si>
    <t>Please see note ** below</t>
  </si>
  <si>
    <t>This spreadsheet is for information only.  Based on EN 50174-2:2018</t>
  </si>
  <si>
    <t>Rev 6: October 2018</t>
  </si>
  <si>
    <t>The maximum stack height of cables on a continuous surface is 150mm.  This is reduced to 125mm for basket/ladder spacing greater than 100mm</t>
  </si>
  <si>
    <t>**Note: Cat 7 and 7a cables relate to Type 1 for Coupling Attenuation, as referenced in IEC61156-5 ed.2.1, 100-914 Category 6A S/FTP also falls into this group</t>
  </si>
  <si>
    <t>Reference:  EN 50174-2:2018</t>
  </si>
  <si>
    <t>190-914 Cat 6A S/FTP (B2ca)</t>
  </si>
  <si>
    <t>170-191 Cat 6 A U/FTP "S" Foil (Cca)</t>
  </si>
  <si>
    <t>170-196 Cat 6 A F/FTP "S" Foil (Cca)</t>
  </si>
  <si>
    <t>100-071 Cat 6 U/UTP (Dca)</t>
  </si>
  <si>
    <t>100-076 Cat 6 F/UTP (Dca)</t>
  </si>
  <si>
    <t>100-080 Cat6 RD U/UTP (Dca)</t>
  </si>
  <si>
    <t>100-912 Cat 7A Plus S/FTP (1200 MHz) (Dca)</t>
  </si>
  <si>
    <t>100-910 Cat 7A S/FTP (1000 MHz) (Dca)</t>
  </si>
  <si>
    <t>190-910 Cat 7A S/FTP (1000 MHz) (B2ca)</t>
  </si>
  <si>
    <t>100-189 Cat 6A U/UTP (Dca)</t>
  </si>
  <si>
    <t>170-196 Cat 6 A F/FTP "S" Foil (Dca)</t>
  </si>
  <si>
    <t>170-191 Cat 6 A U/FTP "S" Foil (Dca)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</si>
</sst>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indexed="8"/>
      <name val="Calibri"/>
      <family val="2"/>
    </font>
    <font>
      <b/>
      <sz val="11"/>
      <color theme="1"/>
      <name val="Calibri"/>
      <family val="2"/>
      <scheme val="minor"/>
    </font>
    <font>
      <b/>
      <sz val="14"/>
      <color theme="1"/>
      <name val="Calibri"/>
      <family val="2"/>
      <scheme val="minor"/>
    </font>
    <font>
      <b/>
      <sz val="22"/>
      <color theme="1"/>
      <name val="Calibri"/>
      <family val="2"/>
      <scheme val="minor"/>
    </font>
    <font>
      <i/>
      <sz val="10"/>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77">
    <xf numFmtId="0" fontId="0" fillId="0" borderId="0" xfId="0"/>
    <xf numFmtId="0" fontId="2" fillId="0" borderId="0" xfId="0" applyFont="1"/>
    <xf numFmtId="0" fontId="4" fillId="0" borderId="0" xfId="0" applyFont="1"/>
    <xf numFmtId="0" fontId="0" fillId="0" borderId="0" xfId="0" applyAlignment="1">
      <alignment horizontal="center"/>
    </xf>
    <xf numFmtId="164" fontId="0" fillId="0" borderId="0" xfId="0" applyNumberFormat="1" applyAlignment="1">
      <alignment horizontal="center"/>
    </xf>
    <xf numFmtId="0" fontId="5" fillId="0" borderId="0" xfId="0" applyFont="1" applyAlignment="1">
      <alignment horizontal="right"/>
    </xf>
    <xf numFmtId="0" fontId="0" fillId="0" borderId="0" xfId="0" applyAlignment="1">
      <alignment horizontal="right"/>
    </xf>
    <xf numFmtId="0" fontId="0" fillId="0" borderId="0" xfId="0" applyAlignment="1">
      <alignment horizontal="left"/>
    </xf>
    <xf numFmtId="0" fontId="2" fillId="0" borderId="0" xfId="0" applyFont="1" applyAlignment="1">
      <alignment horizontal="right"/>
    </xf>
    <xf numFmtId="0" fontId="2" fillId="2" borderId="0" xfId="0" applyFont="1" applyFill="1" applyProtection="1">
      <protection locked="0"/>
    </xf>
    <xf numFmtId="0" fontId="6" fillId="0" borderId="0" xfId="0" applyFont="1"/>
    <xf numFmtId="0" fontId="2" fillId="0" borderId="1" xfId="0" applyFont="1" applyBorder="1" applyAlignment="1">
      <alignment horizontal="center" textRotation="61"/>
    </xf>
    <xf numFmtId="0" fontId="3" fillId="3" borderId="0" xfId="0" applyFont="1" applyFill="1"/>
    <xf numFmtId="0" fontId="0" fillId="3" borderId="0" xfId="0" applyFill="1"/>
    <xf numFmtId="1" fontId="0" fillId="0" borderId="0" xfId="0" applyNumberFormat="1"/>
    <xf numFmtId="0" fontId="2" fillId="0" borderId="0" xfId="0" applyFont="1" applyFill="1" applyProtection="1"/>
    <xf numFmtId="0" fontId="2" fillId="3" borderId="1" xfId="0" applyFont="1" applyFill="1" applyBorder="1" applyAlignment="1">
      <alignment horizontal="center"/>
    </xf>
    <xf numFmtId="0" fontId="2" fillId="6" borderId="1" xfId="0" applyFont="1" applyFill="1" applyBorder="1" applyAlignment="1">
      <alignment horizontal="center"/>
    </xf>
    <xf numFmtId="0" fontId="3" fillId="6" borderId="0" xfId="0" applyFont="1" applyFill="1"/>
    <xf numFmtId="0" fontId="0" fillId="6" borderId="0" xfId="0" applyFill="1"/>
    <xf numFmtId="0" fontId="2" fillId="3" borderId="0" xfId="0" applyFont="1" applyFill="1"/>
    <xf numFmtId="0" fontId="2" fillId="3" borderId="0" xfId="0" applyFont="1" applyFill="1" applyAlignment="1">
      <alignment horizontal="right"/>
    </xf>
    <xf numFmtId="0" fontId="2" fillId="6" borderId="0" xfId="0" applyFont="1" applyFill="1"/>
    <xf numFmtId="0" fontId="2" fillId="6" borderId="0" xfId="0" applyFont="1" applyFill="1" applyAlignment="1">
      <alignment horizontal="right"/>
    </xf>
    <xf numFmtId="0" fontId="4" fillId="0" borderId="0" xfId="0" applyFont="1" applyProtection="1"/>
    <xf numFmtId="0" fontId="0" fillId="0" borderId="0" xfId="0" applyProtection="1"/>
    <xf numFmtId="0" fontId="3" fillId="4" borderId="0" xfId="0" applyFont="1" applyFill="1" applyProtection="1"/>
    <xf numFmtId="0" fontId="0" fillId="4" borderId="0" xfId="0" applyFill="1" applyProtection="1"/>
    <xf numFmtId="0" fontId="5" fillId="0" borderId="0" xfId="0" applyFont="1" applyAlignment="1" applyProtection="1">
      <alignment horizontal="right"/>
    </xf>
    <xf numFmtId="0" fontId="2" fillId="0" borderId="0" xfId="0" applyFont="1" applyProtection="1"/>
    <xf numFmtId="0" fontId="0" fillId="0" borderId="0" xfId="0" applyAlignment="1" applyProtection="1">
      <alignment horizontal="center"/>
    </xf>
    <xf numFmtId="0" fontId="0" fillId="0" borderId="0" xfId="0" applyAlignment="1" applyProtection="1">
      <alignment horizontal="right"/>
    </xf>
    <xf numFmtId="164" fontId="0" fillId="0" borderId="0" xfId="0" applyNumberFormat="1" applyAlignment="1" applyProtection="1">
      <alignment horizontal="center"/>
    </xf>
    <xf numFmtId="0" fontId="2" fillId="0" borderId="0" xfId="0" applyFont="1" applyAlignment="1" applyProtection="1">
      <alignment horizontal="right"/>
    </xf>
    <xf numFmtId="0" fontId="2" fillId="4" borderId="1" xfId="0" applyFont="1" applyFill="1" applyBorder="1" applyAlignment="1" applyProtection="1">
      <alignment horizontal="center"/>
    </xf>
    <xf numFmtId="0" fontId="6" fillId="0" borderId="0" xfId="0" applyFont="1" applyProtection="1"/>
    <xf numFmtId="0" fontId="0" fillId="0" borderId="0" xfId="0" applyAlignment="1" applyProtection="1">
      <alignment horizontal="left"/>
    </xf>
    <xf numFmtId="0" fontId="2" fillId="4" borderId="0" xfId="0" applyFont="1" applyFill="1" applyProtection="1"/>
    <xf numFmtId="0" fontId="2" fillId="4" borderId="0" xfId="0" applyFont="1" applyFill="1" applyAlignment="1" applyProtection="1">
      <alignment horizontal="right"/>
    </xf>
    <xf numFmtId="0" fontId="3" fillId="5" borderId="0" xfId="0" applyFont="1" applyFill="1" applyProtection="1"/>
    <xf numFmtId="0" fontId="0" fillId="5" borderId="0" xfId="0" applyFill="1" applyProtection="1"/>
    <xf numFmtId="0" fontId="0" fillId="0" borderId="0" xfId="0" applyFill="1" applyProtection="1"/>
    <xf numFmtId="0" fontId="0" fillId="0" borderId="2" xfId="0" applyBorder="1" applyProtection="1"/>
    <xf numFmtId="0" fontId="0" fillId="0" borderId="3" xfId="0" applyBorder="1" applyProtection="1"/>
    <xf numFmtId="0" fontId="0" fillId="0" borderId="4" xfId="0" applyBorder="1" applyProtection="1"/>
    <xf numFmtId="0" fontId="0" fillId="0" borderId="5" xfId="0" applyBorder="1" applyAlignment="1" applyProtection="1">
      <alignment horizontal="left" indent="1"/>
    </xf>
    <xf numFmtId="0" fontId="0" fillId="0" borderId="0" xfId="0" applyBorder="1" applyProtection="1"/>
    <xf numFmtId="0" fontId="0" fillId="0" borderId="6" xfId="0" applyBorder="1" applyProtection="1"/>
    <xf numFmtId="0" fontId="0" fillId="0" borderId="7" xfId="0" applyBorder="1" applyAlignment="1" applyProtection="1">
      <alignment horizontal="left" indent="1"/>
    </xf>
    <xf numFmtId="0" fontId="0" fillId="0" borderId="8" xfId="0" applyBorder="1" applyProtection="1"/>
    <xf numFmtId="0" fontId="0" fillId="0" borderId="9" xfId="0" applyBorder="1" applyProtection="1"/>
    <xf numFmtId="0" fontId="0" fillId="0" borderId="0" xfId="0" applyAlignment="1" applyProtection="1">
      <alignment vertical="center"/>
    </xf>
    <xf numFmtId="0" fontId="0" fillId="0" borderId="0" xfId="0" applyAlignment="1" applyProtection="1">
      <alignment horizontal="left" vertical="center" indent="1"/>
    </xf>
    <xf numFmtId="0" fontId="0" fillId="0" borderId="2" xfId="0" applyBorder="1" applyAlignment="1" applyProtection="1">
      <alignment horizontal="left" vertical="center" indent="1"/>
    </xf>
    <xf numFmtId="0" fontId="0" fillId="0" borderId="3" xfId="0" applyBorder="1" applyAlignment="1" applyProtection="1">
      <alignment vertical="center"/>
    </xf>
    <xf numFmtId="0" fontId="0" fillId="0" borderId="4" xfId="0" applyBorder="1" applyAlignment="1" applyProtection="1">
      <alignment vertical="center"/>
    </xf>
    <xf numFmtId="0" fontId="0" fillId="0" borderId="5" xfId="0" applyBorder="1" applyAlignment="1" applyProtection="1">
      <alignment horizontal="left" vertical="center" indent="1"/>
    </xf>
    <xf numFmtId="0" fontId="0" fillId="0" borderId="0" xfId="0" applyBorder="1" applyAlignment="1" applyProtection="1">
      <alignment horizontal="left" vertical="center" wrapText="1" indent="3"/>
    </xf>
    <xf numFmtId="0" fontId="0" fillId="0" borderId="6" xfId="0" applyBorder="1" applyAlignment="1" applyProtection="1">
      <alignment horizontal="left" vertical="center" wrapText="1"/>
    </xf>
    <xf numFmtId="0" fontId="0" fillId="0" borderId="0" xfId="0" applyAlignment="1" applyProtection="1">
      <alignment horizontal="left" indent="1"/>
    </xf>
    <xf numFmtId="0" fontId="0" fillId="0" borderId="2" xfId="0" applyBorder="1" applyAlignment="1" applyProtection="1">
      <alignment horizontal="left" indent="1"/>
    </xf>
    <xf numFmtId="0" fontId="0" fillId="0" borderId="0" xfId="0" applyBorder="1" applyAlignment="1" applyProtection="1">
      <alignment horizontal="left" indent="3"/>
    </xf>
    <xf numFmtId="0" fontId="0" fillId="0" borderId="6" xfId="0" applyBorder="1" applyAlignment="1" applyProtection="1">
      <alignment vertical="center" wrapText="1"/>
    </xf>
    <xf numFmtId="0" fontId="0" fillId="5" borderId="0" xfId="0" applyFill="1" applyBorder="1" applyProtection="1"/>
    <xf numFmtId="0" fontId="0" fillId="0" borderId="7" xfId="0" applyBorder="1" applyProtection="1"/>
    <xf numFmtId="0" fontId="2" fillId="5" borderId="0" xfId="0" applyFont="1" applyFill="1" applyAlignment="1" applyProtection="1">
      <alignment horizontal="right"/>
    </xf>
    <xf numFmtId="0" fontId="0" fillId="2" borderId="0" xfId="0" applyFill="1" applyBorder="1" applyProtection="1">
      <protection locked="0"/>
    </xf>
    <xf numFmtId="0" fontId="0" fillId="2" borderId="0" xfId="0" applyFill="1" applyBorder="1" applyAlignment="1" applyProtection="1">
      <alignment vertical="center"/>
      <protection locked="0"/>
    </xf>
    <xf numFmtId="0" fontId="0" fillId="0" borderId="0" xfId="0" applyProtection="1">
      <protection hidden="1"/>
    </xf>
    <xf numFmtId="0" fontId="0" fillId="0" borderId="0" xfId="0" applyFill="1" applyProtection="1">
      <protection hidden="1"/>
    </xf>
    <xf numFmtId="0" fontId="0" fillId="0" borderId="0" xfId="0" applyAlignment="1" applyProtection="1">
      <alignment wrapText="1"/>
      <protection hidden="1"/>
    </xf>
    <xf numFmtId="0" fontId="0" fillId="0" borderId="0" xfId="0" applyAlignment="1" applyProtection="1">
      <alignment vertical="center"/>
      <protection hidden="1"/>
    </xf>
    <xf numFmtId="0" fontId="2" fillId="0" borderId="1" xfId="0" applyFont="1" applyFill="1" applyBorder="1" applyAlignment="1">
      <alignment horizontal="center" textRotation="61"/>
    </xf>
    <xf numFmtId="0" fontId="0" fillId="0" borderId="0" xfId="0" applyAlignment="1"/>
    <xf numFmtId="0" fontId="5" fillId="0" borderId="0" xfId="0" applyFont="1" applyAlignment="1">
      <alignment vertical="top" wrapText="1"/>
    </xf>
    <xf numFmtId="0" fontId="5" fillId="0" borderId="0" xfId="0" applyFont="1" applyAlignment="1" applyProtection="1">
      <alignment vertical="top" wrapText="1"/>
    </xf>
    <xf numFmtId="0" fontId="0" fillId="0" borderId="0" xfId="0" applyAlignment="1" applyProtection="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288132</xdr:colOff>
      <xdr:row>0</xdr:row>
      <xdr:rowOff>109818</xdr:rowOff>
    </xdr:from>
    <xdr:to>
      <xdr:col>19</xdr:col>
      <xdr:colOff>76492</xdr:colOff>
      <xdr:row>2</xdr:row>
      <xdr:rowOff>173131</xdr:rowOff>
    </xdr:to>
    <xdr:pic>
      <xdr:nvPicPr>
        <xdr:cNvPr id="3" name="Picture 2" descr="Excel-logo-RGB.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7202161" y="109818"/>
          <a:ext cx="1581302" cy="657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64012</xdr:colOff>
      <xdr:row>0</xdr:row>
      <xdr:rowOff>76200</xdr:rowOff>
    </xdr:from>
    <xdr:to>
      <xdr:col>15</xdr:col>
      <xdr:colOff>300608</xdr:colOff>
      <xdr:row>2</xdr:row>
      <xdr:rowOff>132617</xdr:rowOff>
    </xdr:to>
    <xdr:pic>
      <xdr:nvPicPr>
        <xdr:cNvPr id="2" name="Picture 1" descr="Excel-logo-RGB.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6979162" y="76200"/>
          <a:ext cx="1579621" cy="657225"/>
        </a:xfrm>
        <a:prstGeom prst="rect">
          <a:avLst/>
        </a:prstGeom>
      </xdr:spPr>
    </xdr:pic>
    <xdr:clientData/>
  </xdr:twoCellAnchor>
  <xdr:twoCellAnchor editAs="oneCell">
    <xdr:from>
      <xdr:col>0</xdr:col>
      <xdr:colOff>1501588</xdr:colOff>
      <xdr:row>6</xdr:row>
      <xdr:rowOff>80313</xdr:rowOff>
    </xdr:from>
    <xdr:to>
      <xdr:col>4</xdr:col>
      <xdr:colOff>246528</xdr:colOff>
      <xdr:row>8</xdr:row>
      <xdr:rowOff>1657909</xdr:rowOff>
    </xdr:to>
    <xdr:pic>
      <xdr:nvPicPr>
        <xdr:cNvPr id="1025" name="Picture 1">
          <a:extLst>
            <a:ext uri="{FF2B5EF4-FFF2-40B4-BE49-F238E27FC236}">
              <a16:creationId xmlns:a16="http://schemas.microsoft.com/office/drawing/2014/main" id="{00000000-0008-0000-0100-000001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501588" y="1436225"/>
          <a:ext cx="1837764" cy="1958596"/>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64012</xdr:colOff>
      <xdr:row>0</xdr:row>
      <xdr:rowOff>76200</xdr:rowOff>
    </xdr:from>
    <xdr:to>
      <xdr:col>15</xdr:col>
      <xdr:colOff>300608</xdr:colOff>
      <xdr:row>2</xdr:row>
      <xdr:rowOff>133350</xdr:rowOff>
    </xdr:to>
    <xdr:pic>
      <xdr:nvPicPr>
        <xdr:cNvPr id="2" name="Picture 1" descr="Excel-logo-RGB.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6979162" y="76200"/>
          <a:ext cx="1579621" cy="657225"/>
        </a:xfrm>
        <a:prstGeom prst="rect">
          <a:avLst/>
        </a:prstGeom>
      </xdr:spPr>
    </xdr:pic>
    <xdr:clientData/>
  </xdr:twoCellAnchor>
  <xdr:twoCellAnchor editAs="oneCell">
    <xdr:from>
      <xdr:col>0</xdr:col>
      <xdr:colOff>986114</xdr:colOff>
      <xdr:row>8</xdr:row>
      <xdr:rowOff>168088</xdr:rowOff>
    </xdr:from>
    <xdr:to>
      <xdr:col>3</xdr:col>
      <xdr:colOff>31934</xdr:colOff>
      <xdr:row>9</xdr:row>
      <xdr:rowOff>1473013</xdr:rowOff>
    </xdr:to>
    <xdr:pic>
      <xdr:nvPicPr>
        <xdr:cNvPr id="3075" name="Picture 3">
          <a:extLst>
            <a:ext uri="{FF2B5EF4-FFF2-40B4-BE49-F238E27FC236}">
              <a16:creationId xmlns:a16="http://schemas.microsoft.com/office/drawing/2014/main" id="{00000000-0008-0000-0200-0000030C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86114" y="2039470"/>
          <a:ext cx="1488702" cy="1495425"/>
        </a:xfrm>
        <a:prstGeom prst="rect">
          <a:avLst/>
        </a:prstGeom>
        <a:noFill/>
        <a:ln w="1">
          <a:noFill/>
          <a:miter lim="800000"/>
          <a:headEnd/>
          <a:tailEnd type="none" w="med" len="med"/>
        </a:ln>
        <a:effectLst/>
      </xdr:spPr>
    </xdr:pic>
    <xdr:clientData/>
  </xdr:twoCellAnchor>
  <xdr:twoCellAnchor>
    <xdr:from>
      <xdr:col>1</xdr:col>
      <xdr:colOff>400050</xdr:colOff>
      <xdr:row>9</xdr:row>
      <xdr:rowOff>752475</xdr:rowOff>
    </xdr:from>
    <xdr:to>
      <xdr:col>1</xdr:col>
      <xdr:colOff>590550</xdr:colOff>
      <xdr:row>10</xdr:row>
      <xdr:rowOff>152400</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a:off x="1724025" y="2819400"/>
          <a:ext cx="190500" cy="1066800"/>
        </a:xfrm>
        <a:prstGeom prst="straightConnector1">
          <a:avLst/>
        </a:prstGeom>
        <a:ln w="15875">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1664212</xdr:colOff>
      <xdr:row>0</xdr:row>
      <xdr:rowOff>38100</xdr:rowOff>
    </xdr:from>
    <xdr:to>
      <xdr:col>3</xdr:col>
      <xdr:colOff>3729608</xdr:colOff>
      <xdr:row>1</xdr:row>
      <xdr:rowOff>333375</xdr:rowOff>
    </xdr:to>
    <xdr:pic>
      <xdr:nvPicPr>
        <xdr:cNvPr id="2" name="Picture 1" descr="Excel-logo-RGB.jp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6883912" y="38100"/>
          <a:ext cx="2065396" cy="657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U22"/>
  <sheetViews>
    <sheetView showGridLines="0" showRowColHeaders="0" tabSelected="1" workbookViewId="0">
      <selection activeCell="X19" sqref="X19"/>
    </sheetView>
  </sheetViews>
  <sheetFormatPr defaultColWidth="8.77734375" defaultRowHeight="14.4" x14ac:dyDescent="0.3"/>
  <cols>
    <col min="1" max="1" width="19.77734375" customWidth="1"/>
    <col min="2" max="2" width="10.44140625" customWidth="1"/>
    <col min="3" max="3" width="6.44140625" customWidth="1"/>
    <col min="4" max="4" width="2.44140625" customWidth="1"/>
    <col min="5" max="5" width="17.44140625" customWidth="1"/>
    <col min="6" max="21" width="6.6640625" customWidth="1"/>
  </cols>
  <sheetData>
    <row r="1" spans="1:21" ht="28.8" x14ac:dyDescent="0.55000000000000004">
      <c r="A1" s="2" t="s">
        <v>0</v>
      </c>
    </row>
    <row r="2" spans="1:21" ht="18" x14ac:dyDescent="0.35">
      <c r="A2" s="12" t="s">
        <v>23</v>
      </c>
      <c r="B2" s="13"/>
    </row>
    <row r="3" spans="1:21" x14ac:dyDescent="0.3">
      <c r="A3" s="5" t="s">
        <v>1</v>
      </c>
      <c r="B3" s="74" t="s">
        <v>19</v>
      </c>
      <c r="C3" s="74"/>
      <c r="D3" s="74"/>
      <c r="E3" s="74"/>
      <c r="F3" s="74"/>
      <c r="G3" s="74"/>
      <c r="H3" s="74"/>
      <c r="I3" s="74"/>
      <c r="J3" s="74"/>
      <c r="K3" s="74"/>
      <c r="L3" s="74"/>
      <c r="M3" s="74"/>
      <c r="N3" s="74"/>
      <c r="O3" s="74"/>
      <c r="P3" s="74"/>
      <c r="Q3" s="74"/>
    </row>
    <row r="4" spans="1:21" x14ac:dyDescent="0.3">
      <c r="B4" s="74" t="s">
        <v>24</v>
      </c>
      <c r="C4" s="74"/>
      <c r="D4" s="74"/>
      <c r="E4" s="74"/>
      <c r="F4" s="74"/>
      <c r="G4" s="74"/>
      <c r="H4" s="74"/>
      <c r="I4" s="74"/>
      <c r="J4" s="74"/>
      <c r="K4" s="74"/>
      <c r="L4" s="74"/>
      <c r="M4" s="74"/>
      <c r="N4" s="74"/>
      <c r="O4" s="74"/>
      <c r="P4" s="74"/>
      <c r="Q4" s="74"/>
    </row>
    <row r="5" spans="1:21" x14ac:dyDescent="0.3">
      <c r="B5" s="74" t="s">
        <v>2</v>
      </c>
      <c r="C5" s="74"/>
      <c r="D5" s="74"/>
      <c r="E5" s="74"/>
      <c r="F5" s="74"/>
      <c r="G5" s="74"/>
      <c r="H5" s="74"/>
      <c r="I5" s="74"/>
      <c r="J5" s="74"/>
      <c r="K5" s="74"/>
      <c r="L5" s="74"/>
      <c r="M5" s="74"/>
      <c r="N5" s="74"/>
      <c r="O5" s="74"/>
      <c r="P5" s="74"/>
      <c r="Q5" s="74"/>
    </row>
    <row r="6" spans="1:21" ht="25.5" customHeight="1" x14ac:dyDescent="0.3">
      <c r="B6" s="74" t="s">
        <v>25</v>
      </c>
      <c r="C6" s="74"/>
      <c r="D6" s="74"/>
      <c r="E6" s="74"/>
      <c r="F6" s="74"/>
      <c r="G6" s="74"/>
      <c r="H6" s="74"/>
      <c r="I6" s="74"/>
      <c r="J6" s="74"/>
      <c r="K6" s="74"/>
      <c r="L6" s="74"/>
      <c r="M6" s="74"/>
      <c r="N6" s="74"/>
      <c r="O6" s="74"/>
      <c r="P6" s="74"/>
      <c r="Q6" s="74"/>
    </row>
    <row r="8" spans="1:21" x14ac:dyDescent="0.3">
      <c r="A8" s="1" t="s">
        <v>22</v>
      </c>
      <c r="F8" s="1" t="s">
        <v>8</v>
      </c>
      <c r="G8" s="1"/>
      <c r="H8" s="1"/>
      <c r="I8" s="1"/>
      <c r="J8" s="1"/>
      <c r="K8" s="1"/>
      <c r="L8" s="1"/>
      <c r="M8" s="1"/>
    </row>
    <row r="10" spans="1:21" ht="184.2" x14ac:dyDescent="0.3">
      <c r="F10" s="11" t="s">
        <v>97</v>
      </c>
      <c r="G10" s="11" t="s">
        <v>98</v>
      </c>
      <c r="H10" s="11" t="s">
        <v>99</v>
      </c>
      <c r="I10" s="11" t="s">
        <v>100</v>
      </c>
      <c r="J10" s="11" t="s">
        <v>101</v>
      </c>
      <c r="K10" s="11" t="s">
        <v>93</v>
      </c>
      <c r="L10" s="11" t="s">
        <v>102</v>
      </c>
      <c r="M10" s="11" t="s">
        <v>92</v>
      </c>
      <c r="N10" s="11" t="s">
        <v>91</v>
      </c>
      <c r="O10" s="11" t="s">
        <v>81</v>
      </c>
      <c r="P10" s="11" t="s">
        <v>94</v>
      </c>
      <c r="Q10" s="11" t="s">
        <v>95</v>
      </c>
      <c r="R10" s="72" t="s">
        <v>96</v>
      </c>
      <c r="S10" s="72" t="s">
        <v>82</v>
      </c>
      <c r="T10" s="11" t="s">
        <v>21</v>
      </c>
      <c r="U10" s="11" t="s">
        <v>20</v>
      </c>
    </row>
    <row r="11" spans="1:21" x14ac:dyDescent="0.3">
      <c r="A11" s="6" t="s">
        <v>3</v>
      </c>
      <c r="B11" s="9">
        <v>600</v>
      </c>
      <c r="C11" t="s">
        <v>4</v>
      </c>
    </row>
    <row r="12" spans="1:21" x14ac:dyDescent="0.3">
      <c r="A12" s="6" t="s">
        <v>5</v>
      </c>
      <c r="B12" s="9">
        <v>75</v>
      </c>
      <c r="C12" t="s">
        <v>4</v>
      </c>
      <c r="E12" s="6" t="s">
        <v>9</v>
      </c>
      <c r="F12" s="3">
        <v>8.5</v>
      </c>
      <c r="G12" s="3">
        <v>7.8</v>
      </c>
      <c r="H12" s="3">
        <v>7.8</v>
      </c>
      <c r="I12" s="3">
        <v>8.3000000000000007</v>
      </c>
      <c r="J12" s="3">
        <v>6.9</v>
      </c>
      <c r="K12" s="3">
        <v>6.9</v>
      </c>
      <c r="L12" s="3">
        <v>6.7</v>
      </c>
      <c r="M12" s="3">
        <v>6.7</v>
      </c>
      <c r="N12" s="3">
        <v>7.5</v>
      </c>
      <c r="O12" s="3">
        <v>6.5</v>
      </c>
      <c r="P12" s="3">
        <v>6.2</v>
      </c>
      <c r="Q12" s="3">
        <v>7.2</v>
      </c>
      <c r="R12" s="3">
        <v>5.4</v>
      </c>
      <c r="S12" s="3">
        <v>4.5999999999999996</v>
      </c>
      <c r="T12" s="3">
        <v>5.2</v>
      </c>
      <c r="U12" s="3">
        <v>6.4</v>
      </c>
    </row>
    <row r="13" spans="1:21" x14ac:dyDescent="0.3">
      <c r="A13" s="6" t="s">
        <v>6</v>
      </c>
      <c r="B13" s="9">
        <v>25</v>
      </c>
      <c r="C13" t="s">
        <v>7</v>
      </c>
      <c r="E13" s="6" t="s">
        <v>10</v>
      </c>
      <c r="F13" s="4">
        <f t="shared" ref="F13:Q13" si="0">(F12/2)^2*PI()</f>
        <v>56.745017305465637</v>
      </c>
      <c r="G13" s="4">
        <f t="shared" ref="G13" si="1">(G12/2)^2*PI()</f>
        <v>47.783624261100748</v>
      </c>
      <c r="H13" s="4">
        <f t="shared" si="0"/>
        <v>47.783624261100748</v>
      </c>
      <c r="I13" s="4">
        <f t="shared" si="0"/>
        <v>54.106079476450226</v>
      </c>
      <c r="J13" s="4">
        <f t="shared" ref="J13" si="2">(J12/2)^2*PI()</f>
        <v>37.392806559352515</v>
      </c>
      <c r="K13" s="4">
        <f t="shared" si="0"/>
        <v>37.392806559352515</v>
      </c>
      <c r="L13" s="4">
        <f t="shared" ref="L13" si="3">(L12/2)^2*PI()</f>
        <v>35.256523554911453</v>
      </c>
      <c r="M13" s="4">
        <f t="shared" si="0"/>
        <v>35.256523554911453</v>
      </c>
      <c r="N13" s="4">
        <f t="shared" si="0"/>
        <v>44.178646691106465</v>
      </c>
      <c r="O13" s="4">
        <f t="shared" si="0"/>
        <v>33.183072403542191</v>
      </c>
      <c r="P13" s="4">
        <f t="shared" si="0"/>
        <v>30.190705400997917</v>
      </c>
      <c r="Q13" s="4">
        <f t="shared" si="0"/>
        <v>40.715040790523723</v>
      </c>
      <c r="R13" s="4">
        <f>((R12/2)^2)*PI()</f>
        <v>22.902210444669596</v>
      </c>
      <c r="S13" s="4">
        <f>((S12/2)^2)*PI()</f>
        <v>16.619025137490002</v>
      </c>
      <c r="T13" s="4">
        <f>(T12/2)^2*PI()</f>
        <v>21.237166338267002</v>
      </c>
      <c r="U13" s="4">
        <f>((U12/2)^2)*PI()</f>
        <v>32.169908772759484</v>
      </c>
    </row>
    <row r="14" spans="1:21" x14ac:dyDescent="0.3">
      <c r="A14" s="6" t="s">
        <v>11</v>
      </c>
      <c r="B14">
        <f>ROUND(IF(B12&gt;150, B11*150,B11*B12),0)</f>
        <v>45000</v>
      </c>
      <c r="C14" t="s">
        <v>12</v>
      </c>
      <c r="E14" s="8" t="s">
        <v>8</v>
      </c>
      <c r="F14" s="16">
        <f>ROUND($B$15/(F13*2),0)</f>
        <v>317</v>
      </c>
      <c r="G14" s="16">
        <f t="shared" ref="G14:O14" si="4">ROUND($B$15/(G13*2),0)</f>
        <v>377</v>
      </c>
      <c r="H14" s="16">
        <f t="shared" si="4"/>
        <v>377</v>
      </c>
      <c r="I14" s="16">
        <f t="shared" si="4"/>
        <v>333</v>
      </c>
      <c r="J14" s="16">
        <f t="shared" ref="J14" si="5">ROUND($B$15/(J13*2),0)</f>
        <v>481</v>
      </c>
      <c r="K14" s="16">
        <f t="shared" si="4"/>
        <v>481</v>
      </c>
      <c r="L14" s="16">
        <f t="shared" ref="L14" si="6">ROUND($B$15/(L13*2),0)</f>
        <v>511</v>
      </c>
      <c r="M14" s="16">
        <f t="shared" si="4"/>
        <v>511</v>
      </c>
      <c r="N14" s="16">
        <f t="shared" si="4"/>
        <v>407</v>
      </c>
      <c r="O14" s="16">
        <f t="shared" si="4"/>
        <v>542</v>
      </c>
      <c r="P14" s="16">
        <f>ROUND($B$15/(P13*2),0)</f>
        <v>596</v>
      </c>
      <c r="Q14" s="16">
        <f t="shared" ref="Q14" si="7">ROUND($B$15/(Q13*2),0)</f>
        <v>442</v>
      </c>
      <c r="R14" s="16">
        <f>ROUND($B$15/(R13*2),0)</f>
        <v>786</v>
      </c>
      <c r="S14" s="16">
        <f>ROUND($B$15/(S13*2),0)</f>
        <v>1083</v>
      </c>
      <c r="T14" s="16">
        <f>ROUND($B$15/(T13*2),0)</f>
        <v>848</v>
      </c>
      <c r="U14" s="16">
        <f>ROUND($B$15/(U13*2),0)</f>
        <v>560</v>
      </c>
    </row>
    <row r="15" spans="1:21" x14ac:dyDescent="0.3">
      <c r="A15" s="6" t="s">
        <v>13</v>
      </c>
      <c r="B15">
        <f>ROUND(B14/((100+B13)/100),0)</f>
        <v>36000</v>
      </c>
      <c r="C15" t="s">
        <v>12</v>
      </c>
    </row>
    <row r="16" spans="1:21" x14ac:dyDescent="0.3">
      <c r="A16" s="6"/>
    </row>
    <row r="17" spans="1:17" x14ac:dyDescent="0.3">
      <c r="B17" s="10" t="str">
        <f>IF(B12&gt;150,"Calculations based on maximum stack height of 150mm","")</f>
        <v/>
      </c>
    </row>
    <row r="18" spans="1:17" x14ac:dyDescent="0.3">
      <c r="A18" s="10"/>
    </row>
    <row r="19" spans="1:17" x14ac:dyDescent="0.3">
      <c r="B19" s="7" t="s">
        <v>14</v>
      </c>
    </row>
    <row r="20" spans="1:17" x14ac:dyDescent="0.3">
      <c r="B20" t="s">
        <v>86</v>
      </c>
      <c r="O20" s="20"/>
      <c r="P20" s="20"/>
      <c r="Q20" s="21" t="s">
        <v>87</v>
      </c>
    </row>
    <row r="22" spans="1:17" x14ac:dyDescent="0.3">
      <c r="B22" s="73" t="s">
        <v>84</v>
      </c>
    </row>
  </sheetData>
  <sheetProtection selectLockedCells="1"/>
  <mergeCells count="4">
    <mergeCell ref="B3:Q3"/>
    <mergeCell ref="B4:Q4"/>
    <mergeCell ref="B5:Q5"/>
    <mergeCell ref="B6:Q6"/>
  </mergeCells>
  <pageMargins left="0.7" right="0.7" top="0.75" bottom="0.75" header="0.3" footer="0.3"/>
  <pageSetup paperSize="9" orientation="landscape"/>
  <ignoredErrors>
    <ignoredError sqref="T13 R13" formula="1"/>
  </ignoredErrors>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92D050"/>
  </sheetPr>
  <dimension ref="A1:R22"/>
  <sheetViews>
    <sheetView showGridLines="0" showRowColHeaders="0" workbookViewId="0">
      <selection activeCell="E7" sqref="E7"/>
    </sheetView>
  </sheetViews>
  <sheetFormatPr defaultColWidth="8.77734375" defaultRowHeight="14.4" x14ac:dyDescent="0.3"/>
  <cols>
    <col min="1" max="1" width="27" customWidth="1"/>
    <col min="2" max="2" width="10.44140625" customWidth="1"/>
    <col min="3" max="3" width="6.44140625" customWidth="1"/>
    <col min="4" max="4" width="2.44140625" customWidth="1"/>
    <col min="5" max="5" width="17.44140625" customWidth="1"/>
    <col min="6" max="18" width="6.6640625" customWidth="1"/>
  </cols>
  <sheetData>
    <row r="1" spans="1:18" ht="28.8" x14ac:dyDescent="0.55000000000000004">
      <c r="A1" s="2" t="s">
        <v>0</v>
      </c>
    </row>
    <row r="2" spans="1:18" ht="18" x14ac:dyDescent="0.35">
      <c r="A2" s="18" t="s">
        <v>35</v>
      </c>
      <c r="B2" s="19"/>
      <c r="C2" s="19"/>
      <c r="D2" s="19"/>
    </row>
    <row r="3" spans="1:18" x14ac:dyDescent="0.3">
      <c r="A3" s="5" t="s">
        <v>1</v>
      </c>
      <c r="B3" s="74" t="s">
        <v>19</v>
      </c>
      <c r="C3" s="74"/>
      <c r="D3" s="74"/>
      <c r="E3" s="74"/>
      <c r="F3" s="74"/>
      <c r="G3" s="74"/>
      <c r="H3" s="74"/>
      <c r="I3" s="74"/>
      <c r="J3" s="74"/>
      <c r="K3" s="74"/>
      <c r="L3" s="74"/>
      <c r="M3" s="74"/>
      <c r="N3" s="74"/>
    </row>
    <row r="4" spans="1:18" x14ac:dyDescent="0.3">
      <c r="B4" s="74" t="s">
        <v>34</v>
      </c>
      <c r="C4" s="74"/>
      <c r="D4" s="74"/>
      <c r="E4" s="74"/>
      <c r="F4" s="74"/>
      <c r="G4" s="74"/>
      <c r="H4" s="74"/>
      <c r="I4" s="74"/>
      <c r="J4" s="74"/>
      <c r="K4" s="74"/>
      <c r="L4" s="74"/>
      <c r="M4" s="74"/>
      <c r="N4" s="74"/>
    </row>
    <row r="5" spans="1:18" x14ac:dyDescent="0.3">
      <c r="B5" s="74" t="s">
        <v>88</v>
      </c>
      <c r="C5" s="74"/>
      <c r="D5" s="74"/>
      <c r="E5" s="74"/>
      <c r="F5" s="74"/>
      <c r="G5" s="74"/>
      <c r="H5" s="74"/>
      <c r="I5" s="74"/>
      <c r="J5" s="74"/>
      <c r="K5" s="74"/>
      <c r="L5" s="74"/>
      <c r="M5" s="74"/>
      <c r="N5" s="74"/>
    </row>
    <row r="6" spans="1:18" x14ac:dyDescent="0.3">
      <c r="A6" s="1" t="s">
        <v>36</v>
      </c>
      <c r="F6" s="1" t="s">
        <v>8</v>
      </c>
    </row>
    <row r="7" spans="1:18" x14ac:dyDescent="0.3">
      <c r="G7" s="1"/>
      <c r="H7" s="1"/>
      <c r="I7" s="1"/>
      <c r="J7" s="1"/>
    </row>
    <row r="9" spans="1:18" ht="161.4" x14ac:dyDescent="0.3">
      <c r="F9" s="11" t="s">
        <v>73</v>
      </c>
      <c r="G9" s="11" t="s">
        <v>74</v>
      </c>
      <c r="H9" s="11" t="s">
        <v>79</v>
      </c>
      <c r="I9" s="11" t="s">
        <v>15</v>
      </c>
      <c r="J9" s="11" t="s">
        <v>16</v>
      </c>
      <c r="K9" s="11" t="s">
        <v>83</v>
      </c>
      <c r="L9" s="11" t="s">
        <v>81</v>
      </c>
      <c r="M9" s="11" t="s">
        <v>17</v>
      </c>
      <c r="N9" s="11" t="s">
        <v>18</v>
      </c>
      <c r="O9" s="72" t="s">
        <v>80</v>
      </c>
      <c r="P9" s="72" t="s">
        <v>82</v>
      </c>
      <c r="Q9" s="11" t="s">
        <v>21</v>
      </c>
      <c r="R9" s="11" t="s">
        <v>20</v>
      </c>
    </row>
    <row r="10" spans="1:18" x14ac:dyDescent="0.3">
      <c r="A10" s="6" t="s">
        <v>26</v>
      </c>
      <c r="B10" s="9">
        <v>100</v>
      </c>
      <c r="C10" t="s">
        <v>4</v>
      </c>
    </row>
    <row r="11" spans="1:18" x14ac:dyDescent="0.3">
      <c r="A11" s="6" t="s">
        <v>3</v>
      </c>
      <c r="B11" s="9">
        <v>600</v>
      </c>
      <c r="C11" t="s">
        <v>4</v>
      </c>
      <c r="F11" s="3"/>
      <c r="G11" s="3"/>
      <c r="H11" s="3"/>
      <c r="I11" s="3"/>
      <c r="J11" s="3"/>
      <c r="K11" s="3"/>
      <c r="L11" s="3"/>
      <c r="M11" s="3"/>
      <c r="N11" s="3"/>
      <c r="O11" s="3"/>
      <c r="P11" s="3"/>
      <c r="Q11" s="3"/>
      <c r="R11" s="3"/>
    </row>
    <row r="12" spans="1:18" x14ac:dyDescent="0.3">
      <c r="A12" s="6" t="s">
        <v>5</v>
      </c>
      <c r="B12" s="9">
        <v>50</v>
      </c>
      <c r="C12" t="s">
        <v>4</v>
      </c>
      <c r="E12" s="6" t="s">
        <v>9</v>
      </c>
      <c r="F12" s="3">
        <v>8.5</v>
      </c>
      <c r="G12" s="3">
        <v>7.8</v>
      </c>
      <c r="H12" s="3">
        <v>8.3000000000000007</v>
      </c>
      <c r="I12" s="3">
        <v>6.9</v>
      </c>
      <c r="J12" s="3">
        <v>6.7</v>
      </c>
      <c r="K12" s="3">
        <v>7.5</v>
      </c>
      <c r="L12" s="3">
        <v>6.5</v>
      </c>
      <c r="M12" s="3">
        <v>6.2</v>
      </c>
      <c r="N12" s="3">
        <v>7.6</v>
      </c>
      <c r="O12" s="3">
        <v>5.4</v>
      </c>
      <c r="P12" s="3">
        <v>4.5999999999999996</v>
      </c>
      <c r="Q12" s="3">
        <v>5.2</v>
      </c>
      <c r="R12" s="3">
        <v>6.4</v>
      </c>
    </row>
    <row r="13" spans="1:18" x14ac:dyDescent="0.3">
      <c r="A13" s="6" t="s">
        <v>6</v>
      </c>
      <c r="B13" s="9">
        <v>25</v>
      </c>
      <c r="C13" t="s">
        <v>7</v>
      </c>
      <c r="E13" s="6" t="s">
        <v>10</v>
      </c>
      <c r="F13" s="4">
        <f>(F12/2)^2*PI()</f>
        <v>56.745017305465637</v>
      </c>
      <c r="G13" s="4">
        <f t="shared" ref="G13:J13" si="0">(G12/2)^2*PI()</f>
        <v>47.783624261100748</v>
      </c>
      <c r="H13" s="4">
        <f t="shared" si="0"/>
        <v>54.106079476450226</v>
      </c>
      <c r="I13" s="4">
        <f t="shared" si="0"/>
        <v>37.392806559352515</v>
      </c>
      <c r="J13" s="4">
        <f t="shared" si="0"/>
        <v>35.256523554911453</v>
      </c>
      <c r="K13" s="4">
        <f>(K12/2)^2*PI()</f>
        <v>44.178646691106465</v>
      </c>
      <c r="L13" s="4">
        <f t="shared" ref="L13:N13" si="1">(L12/2)^2*PI()</f>
        <v>33.183072403542191</v>
      </c>
      <c r="M13" s="4">
        <f>((M12/2)^2)*PI()</f>
        <v>30.190705400997917</v>
      </c>
      <c r="N13" s="4">
        <f t="shared" si="1"/>
        <v>45.364597917836612</v>
      </c>
      <c r="O13" s="4">
        <f>((O12/2)^2)*PI()</f>
        <v>22.902210444669596</v>
      </c>
      <c r="P13" s="4">
        <f t="shared" ref="P13:R13" si="2">((P12/2)^2)*PI()</f>
        <v>16.619025137490002</v>
      </c>
      <c r="Q13" s="4">
        <f t="shared" si="2"/>
        <v>21.237166338267002</v>
      </c>
      <c r="R13" s="4">
        <f t="shared" si="2"/>
        <v>32.169908772759484</v>
      </c>
    </row>
    <row r="14" spans="1:18" x14ac:dyDescent="0.3">
      <c r="A14" s="6" t="s">
        <v>11</v>
      </c>
      <c r="B14" s="14">
        <f>ROUND(IF(B12&gt;B16, B11*B16,B11*B12),0)</f>
        <v>30000</v>
      </c>
      <c r="C14" t="s">
        <v>12</v>
      </c>
      <c r="E14" s="8" t="s">
        <v>8</v>
      </c>
      <c r="F14" s="17">
        <f>ROUND($B$15/(F13*2),0)</f>
        <v>211</v>
      </c>
      <c r="G14" s="17">
        <f>ROUND($B$15/(G13*2),0)</f>
        <v>251</v>
      </c>
      <c r="H14" s="17">
        <f t="shared" ref="H14:J14" si="3">ROUND($B$15/(H13*2),0)</f>
        <v>222</v>
      </c>
      <c r="I14" s="17">
        <f t="shared" si="3"/>
        <v>321</v>
      </c>
      <c r="J14" s="17">
        <f t="shared" si="3"/>
        <v>340</v>
      </c>
      <c r="K14" s="17">
        <f>ROUND($B$15/(K13*2),0)</f>
        <v>272</v>
      </c>
      <c r="L14" s="17">
        <f t="shared" ref="L14:N14" si="4">ROUND($B$15/(L13*2),0)</f>
        <v>362</v>
      </c>
      <c r="M14" s="17">
        <f>ROUND($B$15/(M13*2),0)</f>
        <v>397</v>
      </c>
      <c r="N14" s="17">
        <f t="shared" si="4"/>
        <v>265</v>
      </c>
      <c r="O14" s="17">
        <f>ROUND($B$15/(O13*2),0)</f>
        <v>524</v>
      </c>
      <c r="P14" s="17">
        <f t="shared" ref="P14:R14" si="5">ROUND($B$15/(P13*2),0)</f>
        <v>722</v>
      </c>
      <c r="Q14" s="17">
        <f t="shared" si="5"/>
        <v>565</v>
      </c>
      <c r="R14" s="17">
        <f t="shared" si="5"/>
        <v>373</v>
      </c>
    </row>
    <row r="15" spans="1:18" x14ac:dyDescent="0.3">
      <c r="A15" s="6" t="s">
        <v>13</v>
      </c>
      <c r="B15" s="14">
        <f>ROUND(B14/((100+B13)/100),0)</f>
        <v>24000</v>
      </c>
      <c r="C15" t="s">
        <v>12</v>
      </c>
    </row>
    <row r="16" spans="1:18" x14ac:dyDescent="0.3">
      <c r="A16" s="6" t="s">
        <v>27</v>
      </c>
      <c r="B16" s="14">
        <f>ROUND(150/(1+(B10*0.00196)),0)</f>
        <v>125</v>
      </c>
      <c r="C16" t="s">
        <v>4</v>
      </c>
    </row>
    <row r="17" spans="1:14" x14ac:dyDescent="0.3">
      <c r="B17" s="10" t="str">
        <f>IF(B12&gt;B16,"Calculations based on maximum stack height of "&amp;B16&amp;" mm calculated based on distance between supports of basket.","")</f>
        <v/>
      </c>
    </row>
    <row r="18" spans="1:14" x14ac:dyDescent="0.3">
      <c r="A18" s="10"/>
    </row>
    <row r="19" spans="1:14" x14ac:dyDescent="0.3">
      <c r="B19" s="7" t="s">
        <v>14</v>
      </c>
    </row>
    <row r="20" spans="1:14" x14ac:dyDescent="0.3">
      <c r="B20" t="s">
        <v>86</v>
      </c>
      <c r="L20" s="22"/>
      <c r="M20" s="22"/>
      <c r="N20" s="23" t="s">
        <v>87</v>
      </c>
    </row>
    <row r="22" spans="1:14" x14ac:dyDescent="0.3">
      <c r="B22" s="73" t="s">
        <v>84</v>
      </c>
    </row>
  </sheetData>
  <sheetProtection selectLockedCells="1"/>
  <mergeCells count="3">
    <mergeCell ref="B3:N3"/>
    <mergeCell ref="B4:N4"/>
    <mergeCell ref="B5:N5"/>
  </mergeCells>
  <pageMargins left="0.7" right="0.7" top="0.75" bottom="0.75" header="0.3" footer="0.3"/>
  <pageSetup paperSize="9" orientation="landscape"/>
  <ignoredErrors>
    <ignoredError sqref="M13:N13" formula="1"/>
  </ignoredErrors>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F0"/>
  </sheetPr>
  <dimension ref="A1:AC21"/>
  <sheetViews>
    <sheetView showGridLines="0" showRowColHeaders="0" workbookViewId="0">
      <selection activeCell="O10" sqref="O10"/>
    </sheetView>
  </sheetViews>
  <sheetFormatPr defaultColWidth="8.77734375" defaultRowHeight="14.4" x14ac:dyDescent="0.3"/>
  <cols>
    <col min="1" max="1" width="19.77734375" style="25" customWidth="1"/>
    <col min="2" max="2" width="10.44140625" style="25" customWidth="1"/>
    <col min="3" max="3" width="6.44140625" style="25" customWidth="1"/>
    <col min="4" max="4" width="2.44140625" style="25" customWidth="1"/>
    <col min="5" max="5" width="17.44140625" style="25" customWidth="1"/>
    <col min="6" max="18" width="6.6640625" style="25" customWidth="1"/>
    <col min="19" max="16384" width="8.77734375" style="25"/>
  </cols>
  <sheetData>
    <row r="1" spans="1:29" ht="28.8" x14ac:dyDescent="0.55000000000000004">
      <c r="A1" s="24" t="s">
        <v>0</v>
      </c>
    </row>
    <row r="2" spans="1:29" ht="18" x14ac:dyDescent="0.35">
      <c r="A2" s="26" t="s">
        <v>28</v>
      </c>
      <c r="B2" s="27"/>
      <c r="C2" s="27"/>
    </row>
    <row r="3" spans="1:29" x14ac:dyDescent="0.3">
      <c r="A3" s="28" t="s">
        <v>1</v>
      </c>
      <c r="B3" s="75" t="s">
        <v>19</v>
      </c>
      <c r="C3" s="75"/>
      <c r="D3" s="75"/>
      <c r="E3" s="75"/>
      <c r="F3" s="75"/>
      <c r="G3" s="75"/>
      <c r="H3" s="75"/>
      <c r="I3" s="75"/>
      <c r="J3" s="75"/>
      <c r="K3" s="75"/>
      <c r="L3" s="75"/>
      <c r="M3" s="75"/>
      <c r="N3" s="75"/>
    </row>
    <row r="4" spans="1:29" x14ac:dyDescent="0.3">
      <c r="B4" s="75" t="s">
        <v>29</v>
      </c>
      <c r="C4" s="75"/>
      <c r="D4" s="75"/>
      <c r="E4" s="75"/>
      <c r="F4" s="75"/>
      <c r="G4" s="75"/>
      <c r="H4" s="75"/>
      <c r="I4" s="75"/>
      <c r="J4" s="75"/>
      <c r="K4" s="75"/>
      <c r="L4" s="75"/>
      <c r="M4" s="75"/>
      <c r="N4" s="75"/>
    </row>
    <row r="5" spans="1:29" x14ac:dyDescent="0.3">
      <c r="B5" s="75" t="s">
        <v>32</v>
      </c>
      <c r="C5" s="75"/>
      <c r="D5" s="75"/>
      <c r="E5" s="75"/>
      <c r="F5" s="75"/>
      <c r="G5" s="75"/>
      <c r="H5" s="75"/>
      <c r="I5" s="75"/>
      <c r="J5" s="75"/>
      <c r="K5" s="75"/>
      <c r="L5" s="75"/>
      <c r="M5" s="75"/>
      <c r="N5" s="75"/>
    </row>
    <row r="6" spans="1:29" ht="25.5" customHeight="1" x14ac:dyDescent="0.3">
      <c r="B6" s="75"/>
      <c r="C6" s="75"/>
      <c r="D6" s="75"/>
      <c r="E6" s="75"/>
      <c r="F6" s="75"/>
      <c r="G6" s="75"/>
      <c r="H6" s="75"/>
      <c r="I6" s="75"/>
      <c r="J6" s="75"/>
      <c r="K6" s="75"/>
      <c r="L6" s="75"/>
      <c r="M6" s="75"/>
      <c r="N6" s="75"/>
    </row>
    <row r="8" spans="1:29" x14ac:dyDescent="0.3">
      <c r="A8" s="29" t="s">
        <v>30</v>
      </c>
      <c r="F8" s="29" t="s">
        <v>8</v>
      </c>
      <c r="G8" s="29"/>
      <c r="H8" s="29"/>
      <c r="I8" s="29"/>
      <c r="J8" s="29"/>
    </row>
    <row r="10" spans="1:29" ht="161.4" x14ac:dyDescent="0.3">
      <c r="F10" s="11" t="s">
        <v>73</v>
      </c>
      <c r="G10" s="11" t="s">
        <v>74</v>
      </c>
      <c r="H10" s="11" t="s">
        <v>79</v>
      </c>
      <c r="I10" s="11" t="s">
        <v>15</v>
      </c>
      <c r="J10" s="11" t="s">
        <v>16</v>
      </c>
      <c r="K10" s="11" t="s">
        <v>83</v>
      </c>
      <c r="L10" s="11" t="s">
        <v>81</v>
      </c>
      <c r="M10" s="11" t="s">
        <v>17</v>
      </c>
      <c r="N10" s="11" t="s">
        <v>18</v>
      </c>
      <c r="O10" s="72" t="s">
        <v>80</v>
      </c>
      <c r="P10" s="72" t="s">
        <v>82</v>
      </c>
      <c r="Q10" s="11" t="s">
        <v>21</v>
      </c>
      <c r="R10" s="11" t="s">
        <v>20</v>
      </c>
    </row>
    <row r="11" spans="1:29" x14ac:dyDescent="0.3">
      <c r="B11" s="15"/>
      <c r="U11" s="30"/>
      <c r="V11" s="30"/>
      <c r="W11" s="30"/>
      <c r="X11" s="30"/>
      <c r="Y11" s="30"/>
      <c r="Z11" s="30"/>
      <c r="AA11" s="30"/>
      <c r="AB11" s="30"/>
      <c r="AC11" s="30"/>
    </row>
    <row r="12" spans="1:29" x14ac:dyDescent="0.3">
      <c r="A12" s="31" t="s">
        <v>31</v>
      </c>
      <c r="B12" s="9">
        <v>25</v>
      </c>
      <c r="C12" s="25" t="s">
        <v>4</v>
      </c>
      <c r="E12" s="31" t="s">
        <v>9</v>
      </c>
      <c r="F12" s="30">
        <v>8.5</v>
      </c>
      <c r="G12" s="30">
        <v>7.8</v>
      </c>
      <c r="H12" s="30">
        <v>8.3000000000000007</v>
      </c>
      <c r="I12" s="30">
        <v>6.9</v>
      </c>
      <c r="J12" s="30">
        <v>6.7</v>
      </c>
      <c r="K12" s="30">
        <v>7.5</v>
      </c>
      <c r="L12" s="30">
        <v>6.5</v>
      </c>
      <c r="M12" s="30">
        <v>6.2</v>
      </c>
      <c r="N12" s="30">
        <v>7.6</v>
      </c>
      <c r="O12" s="30">
        <v>5.4</v>
      </c>
      <c r="P12" s="30">
        <v>4.5999999999999996</v>
      </c>
      <c r="Q12" s="30">
        <v>5.2</v>
      </c>
      <c r="R12" s="30">
        <v>6.4</v>
      </c>
    </row>
    <row r="13" spans="1:29" x14ac:dyDescent="0.3">
      <c r="A13" s="31" t="s">
        <v>6</v>
      </c>
      <c r="B13" s="9">
        <v>10</v>
      </c>
      <c r="C13" s="25" t="s">
        <v>7</v>
      </c>
      <c r="E13" s="31" t="s">
        <v>10</v>
      </c>
      <c r="F13" s="32">
        <f t="shared" ref="F13:N13" si="0">(F12/2)^2*PI()</f>
        <v>56.745017305465637</v>
      </c>
      <c r="G13" s="32">
        <f t="shared" si="0"/>
        <v>47.783624261100748</v>
      </c>
      <c r="H13" s="32">
        <f t="shared" si="0"/>
        <v>54.106079476450226</v>
      </c>
      <c r="I13" s="32">
        <f t="shared" si="0"/>
        <v>37.392806559352515</v>
      </c>
      <c r="J13" s="32">
        <f t="shared" si="0"/>
        <v>35.256523554911453</v>
      </c>
      <c r="K13" s="32">
        <f t="shared" si="0"/>
        <v>44.178646691106465</v>
      </c>
      <c r="L13" s="32">
        <f t="shared" si="0"/>
        <v>33.183072403542191</v>
      </c>
      <c r="M13" s="32">
        <f>((M12/2)^2)*PI()</f>
        <v>30.190705400997917</v>
      </c>
      <c r="N13" s="32">
        <f t="shared" si="0"/>
        <v>45.364597917836612</v>
      </c>
      <c r="O13" s="32">
        <f>((O12/2)^2)*PI()</f>
        <v>22.902210444669596</v>
      </c>
      <c r="P13" s="32">
        <f t="shared" ref="P13:R13" si="1">((P12/2)^2)*PI()</f>
        <v>16.619025137490002</v>
      </c>
      <c r="Q13" s="32">
        <f t="shared" si="1"/>
        <v>21.237166338267002</v>
      </c>
      <c r="R13" s="32">
        <f t="shared" si="1"/>
        <v>32.169908772759484</v>
      </c>
    </row>
    <row r="14" spans="1:29" x14ac:dyDescent="0.3">
      <c r="A14" s="31" t="s">
        <v>11</v>
      </c>
      <c r="B14" s="25">
        <f>ROUND((B12/2)^2*PI(),0)</f>
        <v>491</v>
      </c>
      <c r="C14" s="25" t="s">
        <v>12</v>
      </c>
      <c r="E14" s="33" t="s">
        <v>8</v>
      </c>
      <c r="F14" s="34">
        <f>ROUND($B$15/(F13),0)-1</f>
        <v>2</v>
      </c>
      <c r="G14" s="34">
        <f t="shared" ref="G14:O14" si="2">ROUND($B$15/(G13),0)-1</f>
        <v>3</v>
      </c>
      <c r="H14" s="34">
        <f t="shared" si="2"/>
        <v>2</v>
      </c>
      <c r="I14" s="34">
        <f t="shared" si="2"/>
        <v>4</v>
      </c>
      <c r="J14" s="34">
        <f t="shared" si="2"/>
        <v>4</v>
      </c>
      <c r="K14" s="34">
        <f t="shared" si="2"/>
        <v>3</v>
      </c>
      <c r="L14" s="34">
        <f t="shared" si="2"/>
        <v>4</v>
      </c>
      <c r="M14" s="34">
        <f>ROUND($B$15/(M13),0)-1</f>
        <v>5</v>
      </c>
      <c r="N14" s="34">
        <f t="shared" si="2"/>
        <v>3</v>
      </c>
      <c r="O14" s="34">
        <f t="shared" si="2"/>
        <v>7</v>
      </c>
      <c r="P14" s="34">
        <f t="shared" ref="P14:R14" si="3">ROUND($B$15/(P13),0)-1</f>
        <v>10</v>
      </c>
      <c r="Q14" s="34">
        <f t="shared" si="3"/>
        <v>7</v>
      </c>
      <c r="R14" s="34">
        <f t="shared" si="3"/>
        <v>5</v>
      </c>
    </row>
    <row r="15" spans="1:29" x14ac:dyDescent="0.3">
      <c r="A15" s="31" t="s">
        <v>13</v>
      </c>
      <c r="B15" s="25">
        <f>ROUND(B14/((100+B13)/100)*0.4,0)</f>
        <v>179</v>
      </c>
      <c r="C15" s="25" t="s">
        <v>12</v>
      </c>
    </row>
    <row r="16" spans="1:29" x14ac:dyDescent="0.3">
      <c r="A16" s="35"/>
    </row>
    <row r="17" spans="2:14" x14ac:dyDescent="0.3">
      <c r="B17" s="36" t="s">
        <v>14</v>
      </c>
    </row>
    <row r="18" spans="2:14" x14ac:dyDescent="0.3">
      <c r="B18" s="25" t="s">
        <v>33</v>
      </c>
      <c r="L18" s="37"/>
      <c r="M18" s="37"/>
      <c r="N18" s="38" t="s">
        <v>87</v>
      </c>
    </row>
    <row r="21" spans="2:14" x14ac:dyDescent="0.3">
      <c r="B21" s="73" t="s">
        <v>84</v>
      </c>
    </row>
  </sheetData>
  <sheetProtection selectLockedCells="1"/>
  <mergeCells count="4">
    <mergeCell ref="B3:N3"/>
    <mergeCell ref="B4:N4"/>
    <mergeCell ref="B5:N5"/>
    <mergeCell ref="B6:N6"/>
  </mergeCells>
  <pageMargins left="0.7" right="0.7" top="0.75" bottom="0.75" header="0.3" footer="0.3"/>
  <pageSetup paperSize="9" orientation="landscape"/>
  <ignoredErrors>
    <ignoredError sqref="M13:N13" formula="1"/>
  </ignoredErrors>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C000"/>
  </sheetPr>
  <dimension ref="B1:W29"/>
  <sheetViews>
    <sheetView showGridLines="0" showRowColHeaders="0" workbookViewId="0">
      <selection activeCell="D33" sqref="D33"/>
    </sheetView>
  </sheetViews>
  <sheetFormatPr defaultColWidth="8.77734375" defaultRowHeight="14.4" x14ac:dyDescent="0.3"/>
  <cols>
    <col min="1" max="1" width="3" style="25" customWidth="1"/>
    <col min="2" max="2" width="44.109375" style="25" bestFit="1" customWidth="1"/>
    <col min="3" max="3" width="31.109375" style="25" customWidth="1"/>
    <col min="4" max="4" width="64.109375" style="25" customWidth="1"/>
    <col min="5" max="5" width="3.33203125" style="25" customWidth="1"/>
    <col min="6" max="6" width="7" style="68" hidden="1" customWidth="1"/>
    <col min="7" max="7" width="24" style="68" hidden="1" customWidth="1"/>
    <col min="8" max="8" width="5.77734375" style="68" hidden="1" customWidth="1"/>
    <col min="9" max="9" width="17.77734375" style="68" hidden="1" customWidth="1"/>
    <col min="10" max="10" width="12.44140625" style="68" hidden="1" customWidth="1"/>
    <col min="11" max="23" width="9.109375" style="68" hidden="1" customWidth="1"/>
    <col min="24" max="24" width="9.109375" style="25" customWidth="1"/>
    <col min="25" max="16384" width="8.77734375" style="25"/>
  </cols>
  <sheetData>
    <row r="1" spans="2:23" ht="28.8" x14ac:dyDescent="0.55000000000000004">
      <c r="B1" s="24"/>
    </row>
    <row r="2" spans="2:23" ht="30" customHeight="1" x14ac:dyDescent="0.35">
      <c r="B2" s="39" t="s">
        <v>37</v>
      </c>
      <c r="C2" s="40"/>
      <c r="D2" s="41"/>
      <c r="E2" s="41"/>
      <c r="F2" s="69"/>
      <c r="I2" s="68" t="s">
        <v>63</v>
      </c>
      <c r="J2" s="68" t="s">
        <v>64</v>
      </c>
      <c r="K2" s="68" t="s">
        <v>65</v>
      </c>
      <c r="L2" s="68" t="s">
        <v>66</v>
      </c>
    </row>
    <row r="3" spans="2:23" ht="49.5" customHeight="1" x14ac:dyDescent="0.3">
      <c r="B3" s="76" t="s">
        <v>77</v>
      </c>
      <c r="C3" s="76"/>
      <c r="D3" s="76"/>
      <c r="G3" s="70" t="s">
        <v>39</v>
      </c>
      <c r="I3" s="70" t="s">
        <v>40</v>
      </c>
      <c r="J3" s="70" t="s">
        <v>41</v>
      </c>
      <c r="K3" s="70" t="s">
        <v>42</v>
      </c>
      <c r="L3" s="70" t="s">
        <v>43</v>
      </c>
    </row>
    <row r="4" spans="2:23" ht="7.05" customHeight="1" x14ac:dyDescent="0.3">
      <c r="I4" s="68">
        <v>1</v>
      </c>
      <c r="J4" s="68">
        <v>2</v>
      </c>
      <c r="K4" s="68">
        <v>3</v>
      </c>
      <c r="L4" s="68">
        <v>4</v>
      </c>
    </row>
    <row r="5" spans="2:23" x14ac:dyDescent="0.3">
      <c r="B5" s="36" t="s">
        <v>75</v>
      </c>
      <c r="I5" s="68" t="s">
        <v>78</v>
      </c>
      <c r="J5" s="68" t="s">
        <v>67</v>
      </c>
      <c r="K5" s="68" t="s">
        <v>68</v>
      </c>
      <c r="L5" s="68" t="s">
        <v>69</v>
      </c>
    </row>
    <row r="6" spans="2:23" x14ac:dyDescent="0.3">
      <c r="B6" s="25" t="s">
        <v>90</v>
      </c>
      <c r="G6" s="68" t="s">
        <v>57</v>
      </c>
      <c r="H6" s="68">
        <v>1</v>
      </c>
      <c r="I6" s="68">
        <v>300</v>
      </c>
      <c r="J6" s="68">
        <v>225</v>
      </c>
      <c r="K6" s="68">
        <v>150</v>
      </c>
      <c r="L6" s="68">
        <v>0</v>
      </c>
    </row>
    <row r="7" spans="2:23" ht="7.05" customHeight="1" x14ac:dyDescent="0.3">
      <c r="G7" s="68" t="s">
        <v>58</v>
      </c>
      <c r="H7" s="68">
        <v>2</v>
      </c>
      <c r="I7" s="68">
        <v>100</v>
      </c>
      <c r="J7" s="68">
        <v>75</v>
      </c>
      <c r="K7" s="68">
        <v>50</v>
      </c>
      <c r="L7" s="68">
        <v>0</v>
      </c>
    </row>
    <row r="8" spans="2:23" ht="7.05" customHeight="1" x14ac:dyDescent="0.3">
      <c r="B8" s="42"/>
      <c r="C8" s="43"/>
      <c r="D8" s="43"/>
      <c r="E8" s="44"/>
      <c r="G8" s="68" t="s">
        <v>59</v>
      </c>
      <c r="H8" s="68">
        <v>3</v>
      </c>
      <c r="I8" s="68">
        <v>50</v>
      </c>
      <c r="J8" s="68">
        <v>38</v>
      </c>
      <c r="K8" s="68">
        <v>25</v>
      </c>
      <c r="L8" s="68">
        <v>0</v>
      </c>
    </row>
    <row r="9" spans="2:23" ht="15" customHeight="1" x14ac:dyDescent="0.3">
      <c r="B9" s="45" t="s">
        <v>61</v>
      </c>
      <c r="C9" s="66" t="s">
        <v>60</v>
      </c>
      <c r="D9" s="46" t="s">
        <v>85</v>
      </c>
      <c r="E9" s="47"/>
      <c r="F9" s="68">
        <f>IF(C9=G6,1,IF(C9=G7,2,IF(C9=G8,3,4)))</f>
        <v>4</v>
      </c>
      <c r="G9" s="68" t="s">
        <v>60</v>
      </c>
      <c r="H9" s="68">
        <v>4</v>
      </c>
      <c r="I9" s="68">
        <v>10</v>
      </c>
      <c r="J9" s="68">
        <v>8</v>
      </c>
      <c r="K9" s="68">
        <v>5</v>
      </c>
      <c r="L9" s="68">
        <v>0</v>
      </c>
    </row>
    <row r="10" spans="2:23" s="51" customFormat="1" ht="7.05" customHeight="1" x14ac:dyDescent="0.3">
      <c r="B10" s="48"/>
      <c r="C10" s="49"/>
      <c r="D10" s="49"/>
      <c r="E10" s="50"/>
      <c r="G10" s="68"/>
      <c r="H10" s="68"/>
      <c r="I10" s="68" t="s">
        <v>57</v>
      </c>
      <c r="J10" s="68" t="s">
        <v>58</v>
      </c>
      <c r="K10" s="68" t="s">
        <v>59</v>
      </c>
      <c r="L10" s="68" t="s">
        <v>60</v>
      </c>
      <c r="M10" s="71"/>
      <c r="N10" s="71"/>
      <c r="O10" s="71"/>
      <c r="P10" s="71"/>
      <c r="Q10" s="71"/>
      <c r="R10" s="71"/>
      <c r="S10" s="71"/>
      <c r="T10" s="71"/>
      <c r="U10" s="71"/>
      <c r="V10" s="71"/>
      <c r="W10" s="71"/>
    </row>
    <row r="11" spans="2:23" ht="7.05" customHeight="1" x14ac:dyDescent="0.3">
      <c r="B11" s="52"/>
      <c r="C11" s="51"/>
      <c r="D11" s="51"/>
      <c r="E11" s="51"/>
      <c r="G11" s="71"/>
      <c r="H11" s="71"/>
      <c r="I11" s="71">
        <v>1</v>
      </c>
      <c r="J11" s="71">
        <v>2</v>
      </c>
      <c r="K11" s="71">
        <v>3</v>
      </c>
      <c r="L11" s="71">
        <v>4</v>
      </c>
    </row>
    <row r="12" spans="2:23" ht="15" customHeight="1" x14ac:dyDescent="0.3">
      <c r="B12" s="53"/>
      <c r="C12" s="54"/>
      <c r="D12" s="54" t="s">
        <v>76</v>
      </c>
      <c r="E12" s="55"/>
    </row>
    <row r="13" spans="2:23" ht="30" customHeight="1" x14ac:dyDescent="0.3">
      <c r="B13" s="56" t="s">
        <v>62</v>
      </c>
      <c r="C13" s="67" t="s">
        <v>41</v>
      </c>
      <c r="D13" s="57" t="str">
        <f>HLOOKUP(C13,I3:L5,3,1)</f>
        <v>Equivalent to weld mesh 50 mm x 100 mm and steel tray of less than 1 mm thickness (and trunking without lid).</v>
      </c>
      <c r="E13" s="58"/>
      <c r="F13" s="71">
        <f>HLOOKUP(C13,I3:L4,2,1)</f>
        <v>2</v>
      </c>
      <c r="G13" s="68" t="s">
        <v>44</v>
      </c>
      <c r="H13" s="68" t="s">
        <v>45</v>
      </c>
    </row>
    <row r="14" spans="2:23" ht="7.05" customHeight="1" x14ac:dyDescent="0.3">
      <c r="B14" s="48"/>
      <c r="C14" s="49"/>
      <c r="D14" s="49"/>
      <c r="E14" s="50"/>
      <c r="G14" s="68" t="s">
        <v>46</v>
      </c>
      <c r="H14" s="68">
        <v>0.2</v>
      </c>
    </row>
    <row r="15" spans="2:23" ht="7.05" customHeight="1" x14ac:dyDescent="0.3">
      <c r="B15" s="59"/>
      <c r="G15" s="68" t="s">
        <v>47</v>
      </c>
      <c r="H15" s="68">
        <v>0.4</v>
      </c>
    </row>
    <row r="16" spans="2:23" ht="15" customHeight="1" x14ac:dyDescent="0.3">
      <c r="B16" s="60"/>
      <c r="C16" s="43"/>
      <c r="D16" s="43" t="s">
        <v>76</v>
      </c>
      <c r="E16" s="44"/>
      <c r="G16" s="68" t="s">
        <v>48</v>
      </c>
      <c r="H16" s="68">
        <v>0.6</v>
      </c>
    </row>
    <row r="17" spans="2:8" ht="15" customHeight="1" x14ac:dyDescent="0.3">
      <c r="B17" s="45" t="s">
        <v>38</v>
      </c>
      <c r="C17" s="66" t="s">
        <v>49</v>
      </c>
      <c r="D17" s="61" t="s">
        <v>70</v>
      </c>
      <c r="E17" s="47"/>
      <c r="F17" s="68">
        <f>IF(C17=G14,H14,IF(C17=G15,H15,IF(C17=G16,H16,IF(C17=G17,H17,IF(C17=G18,H18,IF(C17=G19,H19,IF(C17=G20,H20,IF(C17=G21,H21,IF(C17=G22,H22,H23)))))))))</f>
        <v>0.8</v>
      </c>
      <c r="G17" s="68" t="s">
        <v>49</v>
      </c>
      <c r="H17" s="68">
        <v>0.8</v>
      </c>
    </row>
    <row r="18" spans="2:8" ht="15" customHeight="1" x14ac:dyDescent="0.3">
      <c r="B18" s="45"/>
      <c r="C18" s="46"/>
      <c r="D18" s="61" t="s">
        <v>71</v>
      </c>
      <c r="E18" s="47"/>
      <c r="G18" s="68" t="s">
        <v>50</v>
      </c>
      <c r="H18" s="68">
        <v>1</v>
      </c>
    </row>
    <row r="19" spans="2:8" ht="44.25" customHeight="1" x14ac:dyDescent="0.3">
      <c r="B19" s="45"/>
      <c r="C19" s="46"/>
      <c r="D19" s="57" t="s">
        <v>72</v>
      </c>
      <c r="E19" s="62"/>
      <c r="G19" s="68" t="s">
        <v>51</v>
      </c>
      <c r="H19" s="68">
        <v>2</v>
      </c>
    </row>
    <row r="20" spans="2:8" ht="7.05" customHeight="1" x14ac:dyDescent="0.3">
      <c r="B20" s="48"/>
      <c r="C20" s="49"/>
      <c r="D20" s="49"/>
      <c r="E20" s="50"/>
      <c r="G20" s="68" t="s">
        <v>52</v>
      </c>
      <c r="H20" s="68">
        <v>3</v>
      </c>
    </row>
    <row r="21" spans="2:8" ht="7.05" customHeight="1" x14ac:dyDescent="0.3">
      <c r="B21" s="59"/>
      <c r="G21" s="68" t="s">
        <v>53</v>
      </c>
      <c r="H21" s="68">
        <v>4</v>
      </c>
    </row>
    <row r="22" spans="2:8" ht="7.05" customHeight="1" x14ac:dyDescent="0.3">
      <c r="B22" s="60"/>
      <c r="C22" s="43"/>
      <c r="D22" s="43"/>
      <c r="E22" s="44"/>
      <c r="G22" s="68" t="s">
        <v>54</v>
      </c>
      <c r="H22" s="68">
        <v>5</v>
      </c>
    </row>
    <row r="23" spans="2:8" ht="15" customHeight="1" x14ac:dyDescent="0.3">
      <c r="B23" s="45" t="s">
        <v>56</v>
      </c>
      <c r="C23" s="63" t="str">
        <f>INDEX(I6:L9,F9,F13)*F17&amp;" mm"</f>
        <v>6.4 mm</v>
      </c>
      <c r="D23" s="46"/>
      <c r="E23" s="47"/>
      <c r="G23" s="68" t="s">
        <v>55</v>
      </c>
      <c r="H23" s="68">
        <v>6</v>
      </c>
    </row>
    <row r="24" spans="2:8" ht="15" customHeight="1" x14ac:dyDescent="0.3">
      <c r="B24" s="64"/>
      <c r="C24" s="49"/>
      <c r="D24" s="49"/>
      <c r="E24" s="50"/>
    </row>
    <row r="25" spans="2:8" ht="7.05" customHeight="1" x14ac:dyDescent="0.3"/>
    <row r="26" spans="2:8" x14ac:dyDescent="0.3">
      <c r="B26" s="36" t="s">
        <v>75</v>
      </c>
    </row>
    <row r="27" spans="2:8" x14ac:dyDescent="0.3">
      <c r="B27" s="25" t="s">
        <v>86</v>
      </c>
      <c r="D27" s="65" t="s">
        <v>87</v>
      </c>
    </row>
    <row r="29" spans="2:8" x14ac:dyDescent="0.3">
      <c r="B29" s="46" t="s">
        <v>89</v>
      </c>
    </row>
  </sheetData>
  <sheetProtection selectLockedCells="1"/>
  <mergeCells count="1">
    <mergeCell ref="B3:D3"/>
  </mergeCells>
  <dataValidations count="3">
    <dataValidation type="list" allowBlank="1" showInputMessage="1" showErrorMessage="1" sqref="C17" xr:uid="{00000000-0002-0000-0300-000000000000}">
      <formula1>$G$14:$G$23</formula1>
    </dataValidation>
    <dataValidation type="list" allowBlank="1" showInputMessage="1" showErrorMessage="1" sqref="C13" xr:uid="{00000000-0002-0000-0300-000001000000}">
      <formula1>$I$3:$L$3</formula1>
    </dataValidation>
    <dataValidation type="list" allowBlank="1" showInputMessage="1" showErrorMessage="1" sqref="C9 E9" xr:uid="{00000000-0002-0000-0300-000002000000}">
      <formula1>$G$6:$G$9</formula1>
    </dataValidation>
  </dataValidation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Tray</vt:lpstr>
      <vt:lpstr>Basket</vt:lpstr>
      <vt:lpstr>Conduit</vt:lpstr>
      <vt:lpstr>Separation Distances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Cave RCDD, RTPM, CDCDP, CNID</cp:lastModifiedBy>
  <cp:lastPrinted>2012-03-19T13:33:26Z</cp:lastPrinted>
  <dcterms:created xsi:type="dcterms:W3CDTF">2010-02-17T08:30:01Z</dcterms:created>
  <dcterms:modified xsi:type="dcterms:W3CDTF">2018-11-01T17:24:43Z</dcterms:modified>
</cp:coreProperties>
</file>