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4AF9D1DD-1600-424A-A9A5-D9E068444103}" xr6:coauthVersionLast="47" xr6:coauthVersionMax="47" xr10:uidLastSave="{00000000-0000-0000-0000-000000000000}"/>
  <bookViews>
    <workbookView xWindow="0" yWindow="120" windowWidth="28800" windowHeight="1563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285" i="30" l="1"/>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2" i="30"/>
  <c r="AE234" i="30" s="1"/>
  <c r="AE233"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AE236" i="30" l="1"/>
  <c r="AE235" i="30"/>
  <c r="B110" i="34"/>
  <c r="AE238" i="30" l="1"/>
  <c r="F14" i="27"/>
  <c r="AE240" i="30" l="1"/>
  <c r="A282" i="30"/>
  <c r="A261" i="30"/>
  <c r="A211" i="30"/>
  <c r="A149" i="30"/>
  <c r="A120" i="30"/>
  <c r="A101" i="30"/>
  <c r="A55" i="30"/>
  <c r="X3" i="31"/>
  <c r="AB3" i="27"/>
  <c r="Y3" i="26"/>
  <c r="X3" i="25"/>
  <c r="X3" i="24"/>
  <c r="X3" i="23"/>
  <c r="X3" i="22"/>
  <c r="AD3" i="21"/>
  <c r="X3" i="20"/>
  <c r="X3" i="19"/>
  <c r="X3" i="18"/>
  <c r="X3" i="16"/>
  <c r="AC3" i="15"/>
  <c r="AB3" i="14"/>
  <c r="A78" i="14"/>
  <c r="A61" i="14"/>
  <c r="A46" i="14"/>
  <c r="A36" i="14"/>
  <c r="A20" i="14"/>
  <c r="A3" i="14"/>
  <c r="AE244" i="30" l="1"/>
  <c r="AE246" i="30"/>
  <c r="B119" i="34"/>
  <c r="AR21" i="30"/>
  <c r="AR23" i="30"/>
  <c r="AG27" i="27"/>
  <c r="AH27" i="27"/>
  <c r="AI27" i="27"/>
  <c r="AJ27" i="27"/>
  <c r="AK27" i="27"/>
  <c r="AL27" i="27"/>
  <c r="AM27" i="27"/>
  <c r="AN27" i="27"/>
  <c r="AO27" i="27"/>
  <c r="AP27" i="27"/>
  <c r="AQ27" i="27"/>
  <c r="AR27" i="27"/>
  <c r="AS27" i="27"/>
  <c r="AT27" i="27"/>
  <c r="AU27" i="27"/>
  <c r="AV27" i="27"/>
  <c r="AW27" i="27"/>
  <c r="AX27" i="27"/>
  <c r="AY27" i="27"/>
  <c r="AZ27" i="27"/>
  <c r="D7" i="5"/>
  <c r="AE247" i="30" l="1"/>
  <c r="AX22" i="30"/>
  <c r="AX23" i="30"/>
  <c r="AX24" i="30" s="1"/>
  <c r="AZ22" i="30"/>
  <c r="AR24" i="30"/>
  <c r="C71" i="5"/>
  <c r="C70" i="5"/>
  <c r="C68" i="5"/>
  <c r="C66" i="5"/>
  <c r="C62" i="5"/>
  <c r="C57" i="5"/>
  <c r="C54" i="5"/>
  <c r="C50" i="5"/>
  <c r="C47" i="5"/>
  <c r="C42" i="5"/>
  <c r="C39" i="5"/>
  <c r="C35" i="5"/>
  <c r="C32" i="5"/>
  <c r="C26" i="5"/>
  <c r="C22" i="5"/>
  <c r="AE249" i="30" l="1"/>
  <c r="AE250" i="30" s="1"/>
  <c r="AZ23" i="30"/>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AE253" i="30" s="1"/>
  <c r="AE254" i="30" s="1"/>
  <c r="AE255" i="30" s="1"/>
  <c r="AE256" i="30" s="1"/>
  <c r="AE257" i="30" s="1"/>
  <c r="AE258" i="30" s="1"/>
  <c r="AE259"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Q17" i="70" l="1"/>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Q18" i="70" l="1"/>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V37" i="18"/>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U12" i="70"/>
  <c r="Z12" i="70" s="1"/>
  <c r="Y11" i="70"/>
  <c r="Y12" i="70" l="1"/>
  <c r="U13" i="70"/>
  <c r="Z13" i="70" s="1"/>
  <c r="Y13" i="70" l="1"/>
  <c r="U14" i="70"/>
  <c r="Z14" i="70" s="1"/>
  <c r="Y14" i="70" l="1"/>
  <c r="U15" i="70"/>
  <c r="Z15" i="70" s="1"/>
  <c r="U16" i="70" l="1"/>
  <c r="Z16" i="70" s="1"/>
  <c r="Y15" i="70"/>
  <c r="Y16" i="70" l="1"/>
  <c r="U17" i="70"/>
  <c r="Z17" i="70" s="1"/>
  <c r="Y17" i="70" l="1"/>
  <c r="U18" i="70"/>
  <c r="Z18" i="70" s="1"/>
  <c r="U19" i="70" l="1"/>
  <c r="Z19" i="70" s="1"/>
  <c r="Y18" i="70"/>
  <c r="Y19" i="70" l="1"/>
  <c r="U20" i="70"/>
  <c r="Z20" i="70" s="1"/>
  <c r="U21" i="70" l="1"/>
  <c r="Z21" i="70" s="1"/>
  <c r="Y20" i="70"/>
  <c r="Y21" i="70" l="1"/>
  <c r="U22" i="70"/>
  <c r="Z22" i="70" s="1"/>
  <c r="Y22" i="70" l="1"/>
  <c r="U23" i="70"/>
  <c r="Z23" i="70" s="1"/>
  <c r="Y23" i="70" l="1"/>
  <c r="U24" i="70"/>
  <c r="Z24" i="70" s="1"/>
  <c r="Y24" i="70" l="1"/>
  <c r="U25" i="70"/>
  <c r="Z25" i="70" s="1"/>
  <c r="Y25" i="70" l="1"/>
  <c r="U26" i="70"/>
  <c r="Z26" i="70" s="1"/>
  <c r="U27" i="70" l="1"/>
  <c r="Z27" i="70" s="1"/>
  <c r="Y26" i="70"/>
  <c r="Y27" i="70" l="1"/>
  <c r="U28" i="70"/>
  <c r="Z28" i="70" s="1"/>
  <c r="U29" i="70" l="1"/>
  <c r="Z29" i="70" s="1"/>
  <c r="Y28" i="70"/>
  <c r="Y29" i="70" l="1"/>
  <c r="U30" i="70"/>
  <c r="Z30" i="70" s="1"/>
  <c r="Y30" i="70" l="1"/>
  <c r="U31" i="70"/>
  <c r="Z31" i="70" s="1"/>
  <c r="U32" i="70" l="1"/>
  <c r="Z32" i="70" s="1"/>
  <c r="Y31" i="70"/>
  <c r="Y32" i="70" l="1"/>
  <c r="U33" i="70"/>
  <c r="Z33" i="70" s="1"/>
  <c r="U34" i="70" l="1"/>
  <c r="Z34" i="70" s="1"/>
  <c r="AA33" i="70"/>
  <c r="Y33" i="70"/>
  <c r="U35" i="70" l="1"/>
  <c r="Z35" i="70" s="1"/>
  <c r="Y34" i="70"/>
  <c r="AA34" i="70"/>
  <c r="AA35" i="70" l="1"/>
  <c r="Y35" i="70"/>
  <c r="U36" i="70"/>
  <c r="Z36" i="70" s="1"/>
  <c r="U37" i="70" l="1"/>
  <c r="Z37" i="70" s="1"/>
  <c r="Y36" i="70"/>
  <c r="AA36" i="70"/>
  <c r="U38" i="70" l="1"/>
  <c r="Z38" i="70" s="1"/>
  <c r="AA37" i="70"/>
  <c r="Y37" i="70"/>
  <c r="U39" i="70" l="1"/>
  <c r="Z39" i="70" s="1"/>
  <c r="AA38" i="70"/>
  <c r="Y38" i="70"/>
  <c r="Y39" i="70" l="1"/>
  <c r="AA39" i="70"/>
  <c r="U40" i="70"/>
  <c r="Z40" i="70" s="1"/>
  <c r="U41" i="70" l="1"/>
  <c r="Z41" i="70" s="1"/>
  <c r="AA40" i="70"/>
  <c r="Y40" i="70"/>
  <c r="U42" i="70" l="1"/>
  <c r="Z42" i="70" s="1"/>
  <c r="Y41" i="70"/>
  <c r="AA41" i="70"/>
  <c r="U43" i="70" l="1"/>
  <c r="Z43" i="70" s="1"/>
  <c r="AA42" i="70"/>
  <c r="Y42" i="70"/>
  <c r="AA43" i="70" l="1"/>
  <c r="Y43" i="70"/>
  <c r="U44" i="70"/>
  <c r="Z44" i="70" s="1"/>
  <c r="AA44" i="70" l="1"/>
  <c r="Y44" i="70"/>
  <c r="U45" i="70"/>
  <c r="Z45" i="70" s="1"/>
  <c r="U46" i="70" l="1"/>
  <c r="Z46" i="70" s="1"/>
  <c r="Y45" i="70"/>
  <c r="AA45" i="70"/>
  <c r="U47" i="70" l="1"/>
  <c r="Z47" i="70" s="1"/>
  <c r="AA46" i="70"/>
  <c r="Y46" i="70"/>
  <c r="AA47" i="70" l="1"/>
  <c r="Y47" i="70"/>
  <c r="U48" i="70"/>
  <c r="Z48" i="70" s="1"/>
  <c r="U49" i="70" l="1"/>
  <c r="Z49" i="70" s="1"/>
  <c r="Y48" i="70"/>
  <c r="AA48" i="70"/>
  <c r="U50" i="70" l="1"/>
  <c r="Z50" i="70" s="1"/>
  <c r="AA49" i="70"/>
  <c r="Y49" i="70"/>
  <c r="U51" i="70" l="1"/>
  <c r="Z51" i="70" s="1"/>
  <c r="AA50" i="70"/>
  <c r="Y50" i="70"/>
  <c r="Y51" i="70" l="1"/>
  <c r="AA51" i="70"/>
  <c r="U52" i="70"/>
  <c r="Z52" i="70" s="1"/>
  <c r="AA52" i="70" l="1"/>
  <c r="Y52" i="70"/>
  <c r="U53" i="70"/>
  <c r="Z53" i="70" s="1"/>
  <c r="U54" i="70" l="1"/>
  <c r="Z54" i="70" s="1"/>
  <c r="Y53" i="70"/>
  <c r="AA53" i="70"/>
  <c r="U55" i="70" l="1"/>
  <c r="Z55" i="70" s="1"/>
  <c r="AA54" i="70"/>
  <c r="Y54" i="70"/>
  <c r="Y55" i="70" l="1"/>
  <c r="AA55" i="70"/>
  <c r="U56" i="70"/>
  <c r="Z56" i="70" s="1"/>
  <c r="AA56" i="70" l="1"/>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E303" i="70"/>
  <c r="AJ301" i="70"/>
  <c r="AH301" i="70"/>
  <c r="AG302"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8" authorId="0" shapeId="0" xr:uid="{00000000-0006-0000-0100-000001000000}">
      <text>
        <r>
          <rPr>
            <b/>
            <sz val="8"/>
            <color indexed="81"/>
            <rFont val="Tahoma"/>
            <family val="2"/>
          </rPr>
          <t>Author:</t>
        </r>
        <r>
          <rPr>
            <sz val="8"/>
            <color indexed="81"/>
            <rFont val="Tahoma"/>
            <family val="2"/>
          </rPr>
          <t xml:space="preserve">
fixed
a small Mongoose bug</t>
        </r>
      </text>
    </comment>
    <comment ref="A579"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0"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1"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2"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3"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4"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5"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6"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7"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8"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9"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0"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1"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2"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3"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4"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5"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6"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7"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8"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9"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0"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1"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2"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3"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4"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5"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6"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7"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8"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9"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0"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1"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2"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3"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4"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5"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6"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7"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8"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9"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0"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1"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2"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3"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4"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5"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6"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7"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8"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9"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0"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1"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2"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3"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4"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5"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<sst xmlns="http://schemas.openxmlformats.org/spreadsheetml/2006/main" count="8532" uniqueCount="3253">
  <si>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</si>
  <si>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</si>
  <si>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</si>
  <si>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</si>
  <si>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</si>
  <si>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</si>
  <si>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</si>
  <si>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</si>
  <si>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</si>
  <si>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</si>
  <si>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</si>
  <si>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</si>
  <si>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</si>
  <si>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</si>
  <si>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</si>
  <si>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</si>
  <si>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</si>
  <si>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</si>
  <si>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</si>
  <si>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</si>
  <si>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</si>
  <si>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</si>
  <si>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</si>
  <si>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</si>
  <si>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</si>
  <si>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</si>
  <si>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</si>
  <si>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</si>
  <si>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</si>
  <si>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</si>
  <si>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</si>
  <si>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</si>
  <si>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</si>
  <si>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</si>
  <si>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</si>
  <si>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</si>
  <si>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</si>
  <si>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</si>
  <si>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</si>
  <si>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</si>
  <si>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</si>
  <si>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</si>
  <si>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</si>
  <si>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</si>
  <si>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</si>
  <si>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</si>
  <si>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</si>
  <si>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</si>
  <si>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</si>
  <si>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</si>
  <si>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</si>
  <si>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</si>
  <si>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</si>
  <si>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</si>
  <si>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</si>
  <si>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</si>
  <si>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</si>
  <si>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</si>
  <si>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</si>
  <si>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</si>
  <si>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</si>
  <si>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</si>
  <si>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</si>
  <si>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</si>
  <si>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</si>
  <si>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</si>
  <si>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</si>
  <si>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</si>
  <si>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</si>
  <si>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</si>
  <si>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</si>
  <si>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</si>
  <si>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</si>
  <si>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</si>
  <si>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</si>
  <si>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</si>
  <si>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</si>
  <si>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</si>
  <si>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</si>
  <si>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</si>
  <si>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</si>
  <si>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</si>
  <si>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</si>
  <si>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</si>
  <si>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</si>
  <si>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</si>
  <si>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</si>
  <si>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</si>
  <si>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</si>
  <si>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</si>
  <si>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</si>
  <si>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</si>
  <si>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</si>
  <si>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</si>
  <si>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</si>
  <si>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</si>
  <si>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</si>
  <si>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</si>
  <si>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</si>
  <si>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</si>
  <si>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</si>
  <si>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</si>
  <si>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</si>
  <si>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</si>
  <si>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</si>
  <si>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</si>
  <si>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</si>
  <si>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</si>
  <si>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</si>
  <si>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</si>
  <si>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</si>
  <si>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</si>
  <si>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</si>
  <si>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</si>
  <si>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</si>
  <si>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</si>
  <si>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</si>
  <si>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</si>
  <si>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</si>
  <si>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</si>
  <si>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</si>
  <si>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</si>
  <si>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</si>
  <si>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</si>
  <si>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</si>
  <si>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</si>
  <si>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</si>
  <si>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</si>
  <si>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</si>
  <si>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</si>
  <si>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</si>
  <si>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</si>
  <si>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</si>
  <si>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</si>
  <si>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</si>
  <si>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</si>
  <si>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</si>
  <si>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</si>
  <si>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</si>
  <si>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</si>
  <si>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</si>
  <si>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</si>
  <si>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</si>
  <si>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</si>
  <si>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</si>
  <si>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</si>
  <si>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</si>
  <si>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</si>
  <si>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</si>
  <si>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</si>
  <si>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</si>
  <si>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</si>
  <si>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</si>
  <si>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</si>
  <si>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</si>
  <si>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</si>
  <si>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</si>
  <si>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</si>
  <si>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</si>
  <si>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</si>
  <si>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</si>
  <si>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</si>
  <si>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</si>
  <si>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</si>
  <si>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</si>
  <si>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</si>
  <si>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</si>
  <si>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</si>
  <si>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</si>
  <si>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</si>
  <si>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</si>
  <si>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</si>
  <si>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</si>
  <si>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</si>
  <si>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</si>
  <si>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</si>
  <si>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</si>
  <si>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</si>
  <si>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</si>
  <si>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</si>
  <si>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</si>
  <si>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</si>
  <si>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</si>
  <si>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</si>
  <si>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</si>
  <si>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</si>
  <si>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</si>
  <si>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</si>
  <si>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</si>
  <si>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</si>
  <si>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</si>
  <si>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</si>
  <si>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</si>
  <si>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</si>
  <si>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</si>
  <si>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</si>
  <si>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</si>
  <si>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</si>
  <si>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</si>
  <si>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</si>
  <si>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</si>
  <si>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</si>
  <si>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</si>
  <si>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</si>
  <si>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</si>
  <si>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</si>
  <si>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</si>
  <si>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</si>
  <si>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</si>
  <si>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</si>
  <si>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</si>
  <si>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</si>
  <si>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</si>
  <si>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</si>
  <si>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</si>
  <si>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</si>
  <si>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</si>
  <si>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</si>
  <si>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</si>
  <si>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</si>
  <si>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</si>
  <si>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</si>
  <si>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</si>
  <si>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</si>
  <si>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</si>
  <si>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</si>
  <si>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</si>
  <si>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</si>
  <si>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</si>
  <si>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</si>
  <si>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</si>
  <si>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</si>
  <si>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</si>
  <si>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</si>
  <si>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</si>
  <si>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</si>
  <si>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</si>
  <si>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</si>
  <si>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</si>
  <si>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</si>
  <si>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</si>
  <si>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</si>
  <si>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</si>
  <si>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</si>
  <si>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</si>
  <si>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</si>
  <si>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</si>
  <si>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</si>
  <si>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</si>
  <si>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</si>
  <si>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</si>
  <si>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</si>
  <si>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</si>
  <si>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</si>
  <si>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</si>
  <si>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</si>
  <si>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</si>
  <si>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</si>
  <si>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</si>
  <si>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</si>
  <si>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</si>
  <si>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</si>
  <si>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</si>
  <si>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</si>
  <si>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</si>
  <si>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</si>
  <si>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</si>
  <si>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</si>
  <si>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</si>
  <si>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</si>
  <si>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</si>
  <si>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</si>
  <si>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</si>
  <si>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</si>
  <si>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</si>
  <si>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</si>
  <si>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</si>
  <si>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</si>
  <si>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</si>
  <si>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</si>
  <si>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</si>
  <si>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</si>
  <si>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</si>
  <si>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</si>
  <si>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</si>
  <si>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</si>
  <si>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</si>
  <si>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</si>
  <si>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</si>
  <si>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</si>
  <si>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</si>
  <si>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</si>
  <si>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</si>
  <si>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</si>
  <si>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</si>
  <si>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</si>
  <si>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</si>
  <si>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</si>
  <si>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</si>
  <si>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</si>
  <si>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</si>
  <si>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</si>
  <si>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</si>
  <si>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</si>
  <si>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</si>
  <si>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</si>
  <si>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</si>
  <si>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</si>
  <si>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</si>
  <si>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</si>
  <si>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</si>
  <si>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</si>
  <si>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</si>
  <si>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</si>
  <si>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</si>
  <si>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</si>
  <si>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</si>
  <si>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</si>
  <si>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</si>
  <si>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</si>
  <si>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</si>
  <si>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</si>
  <si>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</si>
  <si>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</si>
  <si>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</si>
  <si>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</si>
  <si>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</si>
  <si>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</si>
  <si>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</si>
  <si>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</si>
  <si>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</si>
  <si>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</si>
  <si>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</si>
  <si>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</si>
  <si>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</si>
  <si>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</si>
  <si>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</si>
  <si>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</si>
  <si>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</si>
  <si>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</si>
  <si>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</si>
  <si>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</si>
  <si>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</si>
  <si>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</si>
  <si>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</si>
  <si>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</si>
  <si>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</si>
  <si>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</si>
  <si>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</si>
  <si>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</si>
  <si>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</si>
  <si>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</si>
  <si>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</si>
  <si>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</si>
  <si>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</si>
  <si>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</si>
  <si>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</si>
  <si>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</si>
  <si>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</si>
  <si>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</si>
  <si>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</si>
  <si>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</si>
  <si>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</si>
  <si>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</si>
  <si>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</si>
  <si>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</si>
  <si>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</si>
  <si>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</si>
  <si>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</si>
  <si>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</si>
  <si>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</si>
  <si>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</si>
  <si>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</si>
  <si>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</si>
  <si>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</si>
  <si>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</si>
  <si>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</si>
  <si>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</si>
  <si>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</si>
  <si>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</si>
  <si>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</si>
  <si>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</si>
  <si>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</si>
  <si>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</si>
  <si>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</si>
  <si>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</si>
  <si>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</si>
  <si>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</si>
  <si>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</si>
  <si>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</si>
  <si>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</si>
  <si>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</si>
  <si>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</si>
  <si>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</si>
  <si>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</si>
  <si>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</si>
  <si>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</si>
  <si>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</si>
  <si>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</si>
  <si>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</si>
  <si>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</si>
  <si>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</si>
  <si>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</si>
  <si>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</si>
  <si>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</si>
  <si>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</si>
  <si>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</si>
  <si>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</si>
  <si>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</si>
  <si>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</si>
  <si>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</si>
  <si>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</si>
  <si>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</si>
  <si>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</si>
  <si>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</si>
  <si>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</si>
  <si>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</si>
  <si>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</si>
  <si>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</si>
  <si>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</si>
  <si>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</si>
  <si>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</si>
  <si>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</si>
  <si>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</si>
  <si>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</si>
  <si>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</si>
  <si>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</si>
  <si>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</si>
  <si>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</si>
  <si>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</si>
  <si>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</si>
  <si>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</si>
  <si>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</si>
  <si>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</si>
  <si>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</si>
  <si>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</si>
  <si>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</si>
  <si>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</si>
  <si>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</si>
  <si>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</si>
  <si>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</si>
  <si>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</si>
  <si>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</si>
  <si>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</si>
  <si>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</si>
  <si>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</si>
  <si>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</si>
  <si>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</si>
  <si>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</si>
  <si>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</si>
  <si>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</si>
  <si>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</si>
  <si>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</si>
  <si>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</si>
  <si>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</si>
  <si>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</si>
  <si>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</si>
  <si>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</si>
  <si>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</si>
  <si>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</si>
  <si>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</si>
  <si>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</si>
  <si>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</si>
  <si>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</si>
  <si>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</si>
  <si>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</si>
  <si>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</si>
  <si>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</si>
  <si>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</si>
  <si>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</si>
  <si>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</si>
  <si>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</si>
  <si>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</si>
  <si>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</si>
  <si>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</si>
  <si>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</si>
  <si>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</si>
  <si>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</si>
  <si>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</si>
  <si>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</si>
  <si>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</si>
  <si>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</si>
  <si>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</si>
  <si>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</si>
  <si>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</si>
  <si>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</si>
  <si>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</si>
  <si>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</si>
  <si>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</si>
  <si>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</si>
  <si>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</si>
  <si>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</si>
  <si>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</si>
  <si>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</si>
  <si>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</si>
  <si>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</si>
  <si>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</si>
  <si>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</si>
  <si>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</si>
  <si>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</si>
  <si>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</si>
  <si>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</si>
  <si>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</si>
  <si>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</si>
  <si>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</si>
  <si>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</si>
  <si>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</si>
  <si>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</si>
  <si>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</si>
  <si>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</si>
  <si>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</si>
  <si>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</si>
  <si>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</si>
  <si>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</si>
  <si>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</si>
  <si>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</si>
  <si>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</si>
  <si>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</si>
  <si>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</si>
  <si>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</si>
  <si>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</si>
  <si>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</si>
  <si>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</si>
  <si>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</si>
  <si>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</si>
  <si>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</si>
  <si>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</si>
  <si>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</si>
  <si>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</si>
  <si>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</si>
  <si>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</si>
  <si>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</si>
  <si>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</si>
  <si>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</si>
  <si>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</si>
  <si>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</si>
  <si>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</si>
  <si>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</si>
  <si>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</si>
  <si>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</si>
  <si>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</si>
  <si>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</si>
  <si>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</si>
  <si>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</si>
  <si>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</si>
  <si>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</si>
  <si>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</si>
  <si>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</si>
  <si>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</si>
  <si>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</si>
  <si>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</si>
  <si>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</si>
  <si>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</si>
  <si>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</si>
  <si>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</si>
  <si>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</si>
  <si>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</si>
  <si>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</si>
  <si>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</si>
  <si>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</si>
  <si>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</si>
  <si>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</si>
  <si>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</si>
  <si>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</si>
  <si>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</si>
  <si>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</si>
  <si>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</si>
  <si>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</si>
  <si>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</si>
  <si>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</si>
  <si>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</si>
  <si>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</si>
  <si>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</si>
  <si>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</si>
  <si>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</si>
  <si>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</si>
  <si>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</si>
  <si>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</si>
  <si>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</si>
  <si>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</si>
  <si>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</si>
  <si>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</si>
  <si>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</si>
  <si>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</si>
  <si>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</si>
  <si>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</si>
  <si>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</si>
  <si>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</si>
  <si>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</si>
  <si>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</si>
  <si>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</si>
  <si>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</si>
  <si>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</si>
  <si>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</si>
  <si>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</si>
  <si>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</si>
  <si>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</si>
  <si>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</si>
  <si>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</si>
  <si>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</si>
  <si>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</si>
  <si>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</si>
  <si>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</si>
  <si>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</si>
  <si>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</si>
  <si>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</si>
  <si>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</si>
  <si>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</si>
  <si>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</si>
  <si>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</si>
  <si>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</si>
  <si>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</si>
  <si>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</si>
  <si>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</si>
  <si>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</si>
  <si>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</si>
  <si>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</si>
  <si>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</si>
  <si>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</si>
  <si>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</si>
  <si>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</si>
  <si>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</si>
  <si>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</si>
  <si>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</si>
  <si>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</si>
  <si>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</si>
  <si>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</si>
  <si>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</si>
  <si>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</si>
  <si>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</si>
  <si>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</si>
  <si>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</si>
  <si>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</si>
  <si>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</si>
  <si>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</si>
  <si>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</si>
  <si>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</si>
  <si>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</si>
  <si>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</si>
  <si>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</si>
  <si>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</si>
  <si>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</si>
  <si>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</si>
  <si>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</si>
  <si>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</si>
  <si>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</si>
  <si>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</si>
  <si>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</si>
  <si>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</si>
  <si>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</si>
  <si>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</si>
  <si>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</si>
  <si>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</si>
  <si>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</si>
  <si>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</si>
  <si>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</si>
  <si>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</si>
  <si>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</si>
  <si>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</si>
  <si>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</si>
  <si>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</si>
  <si>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</si>
  <si>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</si>
  <si>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</si>
  <si>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</si>
  <si>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</si>
  <si>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</si>
  <si>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</si>
  <si>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</si>
  <si>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</si>
  <si>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</si>
  <si>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</si>
  <si>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</si>
  <si>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</si>
  <si>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</si>
  <si>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</si>
  <si>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</si>
  <si>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</si>
  <si>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</si>
  <si>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</si>
  <si>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</si>
  <si>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</si>
  <si>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</si>
  <si>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</si>
  <si>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</si>
  <si>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</si>
  <si>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</si>
  <si>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</si>
  <si>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</si>
  <si>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</si>
  <si>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</si>
  <si>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</si>
  <si>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</si>
  <si>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</si>
  <si>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</si>
  <si>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</si>
  <si>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</si>
  <si>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</si>
  <si>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</si>
  <si>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</si>
  <si>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</si>
  <si>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</si>
  <si>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</si>
  <si>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</si>
  <si>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</si>
  <si>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</si>
  <si>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</si>
  <si>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</si>
  <si>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</si>
  <si>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</si>
  <si>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</si>
  <si>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</si>
  <si>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</si>
  <si>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</si>
  <si>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</si>
  <si>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</si>
  <si>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</si>
  <si>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</si>
  <si>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</si>
  <si>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</si>
  <si>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</si>
  <si>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</si>
  <si>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</si>
  <si>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</si>
  <si>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</si>
  <si>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</si>
  <si>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</si>
  <si>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</si>
  <si>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</si>
  <si>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</si>
  <si>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</si>
  <si>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</si>
  <si>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</si>
  <si>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</si>
  <si>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</si>
  <si>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</si>
  <si>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</si>
  <si>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</si>
  <si>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</si>
  <si>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</si>
  <si>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</si>
  <si>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</si>
  <si>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</si>
  <si>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</si>
  <si>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</si>
  <si>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</si>
  <si>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</si>
  <si>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</si>
  <si>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</si>
  <si>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</si>
  <si>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</si>
  <si>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</si>
  <si>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</si>
  <si>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</si>
  <si>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</si>
  <si>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</si>
  <si>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</si>
  <si>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</si>
  <si>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</si>
  <si>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</si>
  <si>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</si>
  <si>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</si>
  <si>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</si>
  <si>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</si>
  <si>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</si>
  <si>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</si>
  <si>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</si>
  <si>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</si>
  <si>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</si>
  <si>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</si>
  <si>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</si>
  <si>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</si>
  <si>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</si>
  <si>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</si>
  <si>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</si>
  <si>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</si>
  <si>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</si>
  <si>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</si>
  <si>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</si>
  <si>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</si>
  <si>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</si>
  <si>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</si>
  <si>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</si>
  <si>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</si>
  <si>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</si>
  <si>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</si>
  <si>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</si>
  <si>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</si>
  <si>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</si>
  <si>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</si>
  <si>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</si>
  <si>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</si>
  <si>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</si>
  <si>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</si>
  <si>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</si>
  <si>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</si>
  <si>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</si>
  <si>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</si>
  <si>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</si>
  <si>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</si>
  <si>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</si>
  <si>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</si>
  <si>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</si>
  <si>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</si>
  <si>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</si>
  <si>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</si>
  <si>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</si>
  <si>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</si>
  <si>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</si>
  <si>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</si>
  <si>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</si>
  <si>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</si>
  <si>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</si>
  <si>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</si>
  <si>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</si>
  <si>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</si>
  <si>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</si>
  <si>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</si>
  <si>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</si>
  <si>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</si>
  <si>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</si>
  <si>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</si>
  <si>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</si>
  <si>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</si>
  <si>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</si>
  <si>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</si>
  <si>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</si>
  <si>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</si>
  <si>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</si>
  <si>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</si>
  <si>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</si>
  <si>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</si>
  <si>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</si>
  <si>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</si>
  <si>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</si>
  <si>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</si>
  <si>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</si>
  <si>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</si>
  <si>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</si>
  <si>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</si>
  <si>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</si>
  <si>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</si>
  <si>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</si>
  <si>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</si>
  <si>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</si>
  <si>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</si>
  <si>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</si>
  <si>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</si>
  <si>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</si>
  <si>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</si>
  <si>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</si>
  <si>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</si>
  <si>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</si>
  <si>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</si>
  <si>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</si>
  <si>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</si>
  <si>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</si>
  <si>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</si>
  <si>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</si>
  <si>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</si>
  <si>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</si>
  <si>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</si>
  <si>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</si>
  <si>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</si>
  <si>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</si>
  <si>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</si>
  <si>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</si>
  <si>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</si>
  <si>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</si>
  <si>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</si>
  <si>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</si>
  <si>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</si>
  <si>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</si>
  <si>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</si>
  <si>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</si>
  <si>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</si>
  <si>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</si>
  <si>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</si>
  <si>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</si>
  <si>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</si>
  <si>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</si>
  <si>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</si>
  <si>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</si>
  <si>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</si>
  <si>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</si>
  <si>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</si>
  <si>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</si>
  <si>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</si>
  <si>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</si>
  <si>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</si>
  <si>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</si>
  <si>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</si>
  <si>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</si>
  <si>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</si>
  <si>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</si>
  <si>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</si>
  <si>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</si>
  <si>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</si>
  <si>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</si>
  <si>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</si>
  <si>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</si>
  <si>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</si>
  <si>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</si>
  <si>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</si>
  <si>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</si>
  <si>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</si>
  <si>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</si>
  <si>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</si>
  <si>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</si>
  <si>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</si>
  <si>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</si>
  <si>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</si>
  <si>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</si>
  <si>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</si>
  <si>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</si>
  <si>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</si>
  <si>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</si>
  <si>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</si>
  <si>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</si>
  <si>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</si>
  <si>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</si>
  <si>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</si>
  <si>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</si>
  <si>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</si>
  <si>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</si>
  <si>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</si>
  <si>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</si>
  <si>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</si>
  <si>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</si>
  <si>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</si>
  <si>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</si>
  <si>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</si>
  <si>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</si>
  <si>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</si>
  <si>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</si>
  <si>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</si>
  <si>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</si>
  <si>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</si>
  <si>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</si>
  <si>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</si>
  <si>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</si>
  <si>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</si>
  <si>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</si>
  <si>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</si>
  <si>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</si>
  <si>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</si>
  <si>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</si>
  <si>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</si>
  <si>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</si>
  <si>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</si>
  <si>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</si>
  <si>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</si>
  <si>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</si>
  <si>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</si>
  <si>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</si>
  <si>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</si>
  <si>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</si>
  <si>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</si>
  <si>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</si>
  <si>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</si>
  <si>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</si>
  <si>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</si>
  <si>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</si>
  <si>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</si>
  <si>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</si>
  <si>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</si>
  <si>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</si>
  <si>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</si>
  <si>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</si>
  <si>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</si>
  <si>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</si>
  <si>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</si>
  <si>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</si>
  <si>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</si>
  <si>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</si>
  <si>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</si>
  <si>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</si>
  <si>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</si>
  <si>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</si>
  <si>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</si>
  <si>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</si>
  <si>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</si>
  <si>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</si>
  <si>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</si>
  <si>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</si>
  <si>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</si>
  <si>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</si>
  <si>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</si>
  <si>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</si>
  <si>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</si>
  <si>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</si>
  <si>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</si>
  <si>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</si>
  <si>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</si>
  <si>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</si>
  <si>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</si>
  <si>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</si>
  <si>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</si>
  <si>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</si>
  <si>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</si>
  <si>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</si>
  <si>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</si>
  <si>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</si>
  <si>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</si>
  <si>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</si>
  <si>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</si>
  <si>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</si>
  <si>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</si>
  <si>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</si>
  <si>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</si>
  <si>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</si>
  <si>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</si>
  <si>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</si>
  <si>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</si>
  <si>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</si>
  <si>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</si>
  <si>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</si>
  <si>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</si>
  <si>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</si>
  <si>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</si>
  <si>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</si>
  <si>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</si>
  <si>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</si>
  <si>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</si>
  <si>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</si>
  <si>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</si>
  <si>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</si>
  <si>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</si>
  <si>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</si>
  <si>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</si>
  <si>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</si>
  <si>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</si>
  <si>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</si>
  <si>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</si>
  <si>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</si>
  <si>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</si>
  <si>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</si>
  <si>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</si>
  <si>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</si>
  <si>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</si>
  <si>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</si>
  <si>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</si>
  <si>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</si>
  <si>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</si>
  <si>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</si>
  <si>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</si>
  <si>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</si>
  <si>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</si>
  <si>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</si>
  <si>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</si>
  <si>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</si>
  <si>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</si>
  <si>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</si>
  <si>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</si>
  <si>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</si>
  <si>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</si>
  <si>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</si>
  <si>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</si>
  <si>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</si>
  <si>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</si>
  <si>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</si>
  <si>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</si>
  <si>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</si>
  <si>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</si>
  <si>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</si>
  <si>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</si>
  <si>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</si>
  <si>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</si>
  <si>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</si>
  <si>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</si>
  <si>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</si>
  <si>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</si>
  <si>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</si>
  <si>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</si>
  <si>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</si>
  <si>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</si>
  <si>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</si>
  <si>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</si>
  <si>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</si>
  <si>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</si>
  <si>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</si>
  <si>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</si>
  <si>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</si>
  <si>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</si>
  <si>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</si>
  <si>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</si>
  <si>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</si>
  <si>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</si>
  <si>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</si>
  <si>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</si>
  <si>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</si>
  <si>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</si>
  <si>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</si>
  <si>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</si>
  <si>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</si>
  <si>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</si>
  <si>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</si>
  <si>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</si>
  <si>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</si>
  <si>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</si>
  <si>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</si>
  <si>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</si>
  <si>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</si>
  <si>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</si>
  <si>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</si>
  <si>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</si>
  <si>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</si>
  <si>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</si>
  <si>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</si>
  <si>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</si>
  <si>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</si>
  <si>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</si>
  <si>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</si>
  <si>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</si>
  <si>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</si>
  <si>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</si>
  <si>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</si>
  <si>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</si>
  <si>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</si>
  <si>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</si>
  <si>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</si>
  <si>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</si>
  <si>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</si>
  <si>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</si>
  <si>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</si>
  <si>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</si>
  <si>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</si>
  <si>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</si>
  <si>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</si>
  <si>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</si>
  <si>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</si>
  <si>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</si>
  <si>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</si>
  <si>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</si>
  <si>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</si>
  <si>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</si>
  <si>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</si>
  <si>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</si>
  <si>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</si>
  <si>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</si>
  <si>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</si>
  <si>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</si>
  <si>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</si>
  <si>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</si>
  <si>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</si>
  <si>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</si>
  <si>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</si>
  <si>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</si>
  <si>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</si>
  <si>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</si>
  <si>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</si>
  <si>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</si>
  <si>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</si>
  <si>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</si>
  <si>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</si>
  <si>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</si>
  <si>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</si>
  <si>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</si>
  <si>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</si>
  <si>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</si>
  <si>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</si>
  <si>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</si>
  <si>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</si>
  <si>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</si>
  <si>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</si>
  <si>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</si>
  <si>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</si>
  <si>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</si>
  <si>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</si>
  <si>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</si>
  <si>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</si>
  <si>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</si>
  <si>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</si>
  <si>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</si>
  <si>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</si>
  <si>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</si>
  <si>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</si>
  <si>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</si>
  <si>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</si>
  <si>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</si>
  <si>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</si>
  <si>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</si>
  <si>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</si>
  <si>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</si>
  <si>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</si>
  <si>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</si>
  <si>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</si>
  <si>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</si>
  <si>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</si>
  <si>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</si>
  <si>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</si>
  <si>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</si>
  <si>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</si>
  <si>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</si>
  <si>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</si>
  <si>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</si>
  <si>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</si>
  <si>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</si>
  <si>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</si>
  <si>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</si>
  <si>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</si>
  <si>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</si>
  <si>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</si>
  <si>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</si>
  <si>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</si>
  <si>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</si>
  <si>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</si>
  <si>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</si>
  <si>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</si>
  <si>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</si>
  <si>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</si>
  <si>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</si>
  <si>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</si>
  <si>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</si>
  <si>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</si>
  <si>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</si>
  <si>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</si>
  <si>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</si>
  <si>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</si>
  <si>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</si>
  <si>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</si>
  <si>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</si>
  <si>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</si>
  <si>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</si>
  <si>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</si>
  <si>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</si>
  <si>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</si>
  <si>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</si>
  <si>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</si>
  <si>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</si>
  <si>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</si>
  <si>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</si>
  <si>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</si>
  <si>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</si>
  <si>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</si>
  <si>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</si>
  <si>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</si>
  <si>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</si>
  <si>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</si>
  <si>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</si>
  <si>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</si>
  <si>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</si>
  <si>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</si>
  <si>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</si>
  <si>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</si>
  <si>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</si>
  <si>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</si>
  <si>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</si>
  <si>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</si>
  <si>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</si>
  <si>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</si>
  <si>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</si>
  <si>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</si>
  <si>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</si>
  <si>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</si>
  <si>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</si>
  <si>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</si>
  <si>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</si>
  <si>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</si>
  <si>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</si>
  <si>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</si>
  <si>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</si>
  <si>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</si>
  <si>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</si>
  <si>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</si>
  <si>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</si>
  <si>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</si>
  <si>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</si>
  <si>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</si>
  <si>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</si>
  <si>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</si>
  <si>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</si>
  <si>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</si>
  <si>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</si>
  <si>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</si>
  <si>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</si>
  <si>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</si>
  <si>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</si>
  <si>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</si>
  <si>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</si>
  <si>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</si>
  <si>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</si>
  <si>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</si>
  <si>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</si>
  <si>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</si>
  <si>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</si>
  <si>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</si>
  <si>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</si>
  <si>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</si>
  <si>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</si>
  <si>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</si>
  <si>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</si>
  <si>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</si>
  <si>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</si>
  <si>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</si>
  <si>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</si>
  <si>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</si>
  <si>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</si>
  <si>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</si>
  <si>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</si>
  <si>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</si>
  <si>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</si>
  <si>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</si>
  <si>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</si>
  <si>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</si>
  <si>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</si>
  <si>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</si>
  <si>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</si>
  <si>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</si>
  <si>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</si>
  <si>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</si>
  <si>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</si>
  <si>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</si>
  <si>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</si>
  <si>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</si>
  <si>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</si>
  <si>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</si>
  <si>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</si>
  <si>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</si>
  <si>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</si>
  <si>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</si>
  <si>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</si>
  <si>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</si>
  <si>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</si>
  <si>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</si>
  <si>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</si>
  <si>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</si>
  <si>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</si>
  <si>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</si>
  <si>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</si>
  <si>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</si>
  <si>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</si>
  <si>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</si>
  <si>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</si>
  <si>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</si>
  <si>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</si>
  <si>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</si>
  <si>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</si>
  <si>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</si>
  <si>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</si>
  <si>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</si>
  <si>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</si>
  <si>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</si>
  <si>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</si>
  <si>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</si>
  <si>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</si>
  <si>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</si>
  <si>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</si>
  <si>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</si>
  <si>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</si>
  <si>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</si>
  <si>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</si>
  <si>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</si>
  <si>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</si>
  <si>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</si>
  <si>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</si>
  <si>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</si>
  <si>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</si>
  <si>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</si>
  <si>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</si>
  <si>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</si>
  <si>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</si>
  <si>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</si>
  <si>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</si>
  <si>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</si>
  <si>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</si>
  <si>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</si>
  <si>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</si>
  <si>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</si>
  <si>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</si>
  <si>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</si>
  <si>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</si>
  <si>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</si>
  <si>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</si>
  <si>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</si>
  <si>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</si>
  <si>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</si>
  <si>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</si>
  <si>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</si>
  <si>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</si>
  <si>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</si>
  <si>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</si>
  <si>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</si>
  <si>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</si>
  <si>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</si>
  <si>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</si>
  <si>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</si>
  <si>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</si>
  <si>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</si>
  <si>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</si>
  <si>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</si>
  <si>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</si>
  <si>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</si>
  <si>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</si>
  <si>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</si>
  <si>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</si>
  <si>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</si>
  <si>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</si>
  <si>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</si>
  <si>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</si>
  <si>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</si>
  <si>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</si>
  <si>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</si>
  <si>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</si>
  <si>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</si>
  <si>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</si>
  <si>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</si>
  <si>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</si>
  <si>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</si>
  <si>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</si>
  <si>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</si>
  <si>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</si>
  <si>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</si>
  <si>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</si>
  <si>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</si>
  <si>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</si>
  <si>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</si>
  <si>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</si>
  <si>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</si>
  <si>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</si>
  <si>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</si>
  <si>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</si>
  <si>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</si>
  <si>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</si>
  <si>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</si>
  <si>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</si>
  <si>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</si>
  <si>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</si>
  <si>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</si>
  <si>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</si>
  <si>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</si>
  <si>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</si>
  <si>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</si>
  <si>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</si>
  <si>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</si>
  <si>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</si>
  <si>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</si>
  <si>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</si>
  <si>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</si>
  <si>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</si>
  <si>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</si>
  <si>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</si>
  <si>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</si>
  <si>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</si>
  <si>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</si>
  <si>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</si>
  <si>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</si>
  <si>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</si>
  <si>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</si>
  <si>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</si>
  <si>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</si>
  <si>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</si>
  <si>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</si>
  <si>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</si>
  <si>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</si>
  <si>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</si>
  <si>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</si>
  <si>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</si>
  <si>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</si>
  <si>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</si>
  <si>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</si>
  <si>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</si>
  <si>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</si>
  <si>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</si>
  <si>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</si>
  <si>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</si>
  <si>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</si>
  <si>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</si>
  <si>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</si>
  <si>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</si>
  <si>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</si>
  <si>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</si>
  <si>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</si>
  <si>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</si>
  <si>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</si>
  <si>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</si>
  <si>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</si>
  <si>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</si>
  <si>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</si>
  <si>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</si>
  <si>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</si>
  <si>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</si>
  <si>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</si>
  <si>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</si>
  <si>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</si>
  <si>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</si>
  <si>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</si>
  <si>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</si>
  <si>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</si>
  <si>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</si>
  <si>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</si>
  <si>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</si>
  <si>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</si>
  <si>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</si>
  <si>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</si>
  <si>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</si>
  <si>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</si>
  <si>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</si>
  <si>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</si>
  <si>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</si>
  <si>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</si>
  <si>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</si>
  <si>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</si>
  <si>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</si>
  <si>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</si>
  <si>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</si>
  <si>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</si>
  <si>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</si>
  <si>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</si>
  <si>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</si>
  <si>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</si>
  <si>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</si>
  <si>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</si>
  <si>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</si>
  <si>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</si>
  <si>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</si>
  <si>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</si>
  <si>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</si>
  <si>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</si>
  <si>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</si>
  <si>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</si>
  <si>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</si>
  <si>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</si>
  <si>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</si>
  <si>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</si>
  <si>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</si>
  <si>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</si>
  <si>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</si>
  <si>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</si>
  <si>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</si>
  <si>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</si>
  <si>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</si>
  <si>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</si>
  <si>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</si>
  <si>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</si>
  <si>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</si>
  <si>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</si>
  <si>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</si>
  <si>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</si>
  <si>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</si>
  <si>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</si>
  <si>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</si>
  <si>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</si>
  <si>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</si>
  <si>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</si>
  <si>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</si>
  <si>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</si>
  <si>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</si>
  <si>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</si>
  <si>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</si>
  <si>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</si>
  <si>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</si>
  <si>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</si>
  <si>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</si>
  <si>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</si>
  <si>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</si>
  <si>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</si>
  <si>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</si>
  <si>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</si>
  <si>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</si>
  <si>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</si>
  <si>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</si>
  <si>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</si>
  <si>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</si>
  <si>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</si>
  <si>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</si>
  <si>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</si>
  <si>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</si>
  <si>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</si>
  <si>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</si>
  <si>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</si>
  <si>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</si>
  <si>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</si>
  <si>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</si>
  <si>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</si>
  <si>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</si>
  <si>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</si>
  <si>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</si>
  <si>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</si>
  <si>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</si>
  <si>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</si>
  <si>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</si>
  <si>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</si>
  <si>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</si>
  <si>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</si>
  <si>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</si>
  <si>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</si>
  <si>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</si>
  <si>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</si>
  <si>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</si>
  <si>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</si>
  <si>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</si>
  <si>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</si>
  <si>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</si>
  <si>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</si>
  <si>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</si>
  <si>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</si>
  <si>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</si>
  <si>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</si>
  <si>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</si>
  <si>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</si>
  <si>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</si>
  <si>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</si>
  <si>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</si>
  <si>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</si>
  <si>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</si>
  <si>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</si>
  <si>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</si>
  <si>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</si>
  <si>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</si>
  <si>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</si>
  <si>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</si>
  <si>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</si>
  <si>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</si>
  <si>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</si>
  <si>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</si>
  <si>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</si>
  <si>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</si>
  <si>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</si>
  <si>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</si>
  <si>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</si>
  <si>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</si>
  <si>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</si>
  <si>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</si>
  <si>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</si>
  <si>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</si>
  <si>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</si>
  <si>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</si>
  <si>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</si>
  <si>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</si>
  <si>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</si>
  <si>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</si>
  <si>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</si>
  <si>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</si>
  <si>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</si>
  <si>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</si>
  <si>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</si>
  <si>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</si>
  <si>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</si>
  <si>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</si>
  <si>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</si>
  <si>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</si>
  <si>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</si>
  <si>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</si>
  <si>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</si>
  <si>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</si>
  <si>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</si>
  <si>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</si>
  <si>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</si>
  <si>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</si>
  <si>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</si>
  <si>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</si>
  <si>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</si>
  <si>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</si>
  <si>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</si>
  <si>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</si>
  <si>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</si>
  <si>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</si>
  <si>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</si>
  <si>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</si>
  <si>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</si>
  <si>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</si>
  <si>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</si>
  <si>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</si>
  <si>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</si>
  <si>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</si>
  <si>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</si>
  <si>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</si>
  <si>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</si>
  <si>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</si>
  <si>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</si>
  <si>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</si>
  <si>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</si>
  <si>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</si>
  <si>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</si>
  <si>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</si>
  <si>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</si>
  <si>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</si>
  <si>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</si>
  <si>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</si>
  <si>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</si>
  <si>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</si>
  <si>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</si>
  <si>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</si>
  <si>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</si>
  <si>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</si>
  <si>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</si>
  <si>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</si>
  <si>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</si>
  <si>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</si>
  <si>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</si>
  <si>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</si>
  <si>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</si>
  <si>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</si>
  <si>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</si>
  <si>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</si>
  <si>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</si>
  <si>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</si>
  <si>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</si>
  <si>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</si>
  <si>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</si>
  <si>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</si>
  <si>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</si>
  <si>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</si>
  <si>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</si>
  <si>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</si>
  <si>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</si>
  <si>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</si>
  <si>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</si>
  <si>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</si>
  <si>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</si>
  <si>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</si>
  <si>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</si>
  <si>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</si>
  <si>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</si>
  <si>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</si>
  <si>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</si>
  <si>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</si>
  <si>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</si>
  <si>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</si>
  <si>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</si>
  <si>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</si>
  <si>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</si>
  <si>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</si>
  <si>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</si>
  <si>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</si>
  <si>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</si>
  <si>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</si>
  <si>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</si>
  <si>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</si>
  <si>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</si>
  <si>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</si>
  <si>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</si>
  <si>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</si>
  <si>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</si>
  <si>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</si>
  <si>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</si>
  <si>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</si>
  <si>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</si>
  <si>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</si>
  <si>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</si>
  <si>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</si>
  <si>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</si>
  <si>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</si>
  <si>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</si>
  <si>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</si>
  <si>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</si>
  <si>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</si>
  <si>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</si>
  <si>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</si>
  <si>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</si>
  <si>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</si>
  <si>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</si>
  <si>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</si>
  <si>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</si>
  <si>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</si>
  <si>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</si>
  <si>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</si>
  <si>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</si>
  <si>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</si>
  <si>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</si>
  <si>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</si>
  <si>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</si>
  <si>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</si>
  <si>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</si>
  <si>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</si>
  <si>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</si>
  <si>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</si>
  <si>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</si>
  <si>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</si>
  <si>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</si>
  <si>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</si>
  <si>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</si>
  <si>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</si>
  <si>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</si>
  <si>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</si>
  <si>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</si>
  <si>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</si>
  <si>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</si>
  <si>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</si>
  <si>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</si>
  <si>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</si>
  <si>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</si>
  <si>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</si>
  <si>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</si>
  <si>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</si>
  <si>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</si>
  <si>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</si>
  <si>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</si>
  <si>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</si>
  <si>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</si>
  <si>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</si>
  <si>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</si>
  <si>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</si>
  <si>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</si>
  <si>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</si>
  <si>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</si>
  <si>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</si>
  <si>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</si>
  <si>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</si>
  <si>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</si>
  <si>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</si>
  <si>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</si>
  <si>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</si>
  <si>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</si>
  <si>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</si>
  <si>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</si>
  <si>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</si>
  <si>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</si>
  <si>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</si>
  <si>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</si>
  <si>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</si>
  <si>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</si>
  <si>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</si>
  <si>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</si>
  <si>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</si>
  <si>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</si>
  <si>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</si>
  <si>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</si>
  <si>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</si>
  <si>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</si>
  <si>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</si>
  <si>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</si>
  <si>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</si>
  <si>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</si>
  <si>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</si>
  <si>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</si>
  <si>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</si>
  <si>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</si>
  <si>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</si>
  <si>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</si>
  <si>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</si>
  <si>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</si>
  <si>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</si>
  <si>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</si>
  <si>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</si>
  <si>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</si>
  <si>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</si>
  <si>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</si>
  <si>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</si>
  <si>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</si>
  <si>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</si>
  <si>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</si>
  <si>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</si>
  <si>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</si>
  <si>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</si>
  <si>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</si>
  <si>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</si>
  <si>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</si>
  <si>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</si>
  <si>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</si>
  <si>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</si>
  <si>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</si>
  <si>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</si>
  <si>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</si>
  <si>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</si>
  <si>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</si>
  <si>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</si>
  <si>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</si>
  <si>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</si>
  <si>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</si>
  <si>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</si>
  <si>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</si>
  <si>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</si>
  <si>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</si>
  <si>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</si>
  <si>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</si>
  <si>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</si>
  <si>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</si>
  <si>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</si>
  <si>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</si>
  <si>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</si>
  <si>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</si>
  <si>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</si>
  <si>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</si>
  <si>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</si>
  <si>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</si>
  <si>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</si>
  <si>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</si>
  <si>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</si>
  <si>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</si>
  <si>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</si>
  <si>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</si>
  <si>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</si>
  <si>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</si>
  <si>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</si>
  <si>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</si>
  <si>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</si>
  <si>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</si>
  <si>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</si>
  <si>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</si>
  <si>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</si>
  <si>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</si>
  <si>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</si>
  <si>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</si>
  <si>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</si>
  <si>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</si>
  <si>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</si>
  <si>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</si>
  <si>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</si>
  <si>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</si>
  <si>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</si>
  <si>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</si>
  <si>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</si>
  <si>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</si>
  <si>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</si>
  <si>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</si>
  <si>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</si>
  <si>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</si>
  <si>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</si>
  <si>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</si>
  <si>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</si>
  <si>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</si>
  <si>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</si>
  <si>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</si>
  <si>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</si>
  <si>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</si>
  <si>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</si>
  <si>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</si>
  <si>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</si>
  <si>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</si>
  <si>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</si>
  <si>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</si>
  <si>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</si>
  <si>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</si>
  <si>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</si>
  <si>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</si>
  <si>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</si>
  <si>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</si>
  <si>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</si>
  <si>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</si>
  <si>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</si>
  <si>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</si>
  <si>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</si>
  <si>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</si>
  <si>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</si>
  <si>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</si>
  <si>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</si>
  <si>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</si>
  <si>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</si>
  <si>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</si>
  <si>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</si>
  <si>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</si>
  <si>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</si>
  <si>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</si>
  <si>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</si>
  <si>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</si>
  <si>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</si>
  <si>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</si>
  <si>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</si>
  <si>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</si>
  <si>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</si>
  <si>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</si>
  <si>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</si>
  <si>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</si>
  <si>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</si>
  <si>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</si>
  <si>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</si>
  <si>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</si>
  <si>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</si>
  <si>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</si>
  <si>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</si>
  <si>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</si>
  <si>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</si>
  <si>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</si>
  <si>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</si>
  <si>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</si>
  <si>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</si>
  <si>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</si>
  <si>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</si>
  <si>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</si>
  <si>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</si>
  <si>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</si>
  <si>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</si>
  <si>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</si>
  <si>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</si>
  <si>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</si>
  <si>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</si>
  <si>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</si>
  <si>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</si>
  <si>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</si>
  <si>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</si>
  <si>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</si>
  <si>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</si>
  <si>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</si>
  <si>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</si>
  <si>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</si>
  <si>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</si>
  <si>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</si>
  <si>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</si>
  <si>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</si>
  <si>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</si>
  <si>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</si>
  <si>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</si>
  <si>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</si>
  <si>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</si>
  <si>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</si>
  <si>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</si>
  <si>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</si>
  <si>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</si>
  <si>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</si>
  <si>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</si>
  <si>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</si>
  <si>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</si>
  <si>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</si>
  <si>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</si>
  <si>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</si>
  <si>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</si>
  <si>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</si>
  <si>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</si>
  <si>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</si>
  <si>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</si>
  <si>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</si>
  <si>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</si>
  <si>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</si>
  <si>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</si>
  <si>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</si>
  <si>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</si>
  <si>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</si>
  <si>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</si>
  <si>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</si>
  <si>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</si>
  <si>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</si>
  <si>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</si>
  <si>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</si>
  <si>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</si>
  <si>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</si>
  <si>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</si>
  <si>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</si>
  <si>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</si>
  <si>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</si>
  <si>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</si>
  <si>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</si>
  <si>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</si>
  <si>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</si>
  <si>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</si>
  <si>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</si>
  <si>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</si>
  <si>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</si>
  <si>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</si>
  <si>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</si>
  <si>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</si>
  <si>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</si>
  <si>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</si>
  <si>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</si>
  <si>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</si>
  <si>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</si>
  <si>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</si>
  <si>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</si>
  <si>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</si>
  <si>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</si>
  <si>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</si>
  <si>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</si>
  <si>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</si>
  <si>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</si>
  <si>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</si>
  <si>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</si>
  <si>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</si>
  <si>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</si>
  <si>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</si>
  <si>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</si>
  <si>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</si>
  <si>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</si>
  <si>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</si>
  <si>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</si>
  <si>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</si>
  <si>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</si>
  <si>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</si>
  <si>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</si>
  <si>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</si>
  <si>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</si>
  <si>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</si>
  <si>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</si>
  <si>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</si>
  <si>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</si>
  <si>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</si>
  <si>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</si>
  <si>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</si>
  <si>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</si>
  <si>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</si>
  <si>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</si>
  <si>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</si>
  <si>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</si>
  <si>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</si>
  <si>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</si>
  <si>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</si>
  <si>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</si>
  <si>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</si>
  <si>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</si>
  <si>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</si>
  <si>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</si>
  <si>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</si>
  <si>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</si>
  <si>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</si>
  <si>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</si>
  <si>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</si>
  <si>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</si>
  <si>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</si>
  <si>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</si>
  <si>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</si>
  <si>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</si>
  <si>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</si>
  <si>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</si>
  <si>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</si>
  <si>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</si>
  <si>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</si>
  <si>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</si>
  <si>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</si>
  <si>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</si>
  <si>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</si>
  <si>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</si>
  <si>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</si>
  <si>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</si>
  <si>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</si>
  <si>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</si>
  <si>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</si>
  <si>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</si>
  <si>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</si>
  <si>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</si>
  <si>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</si>
  <si>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</si>
  <si>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</si>
  <si>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</si>
  <si>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</si>
  <si>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</si>
  <si>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</si>
  <si>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</si>
  <si>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</si>
  <si>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</si>
  <si>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</si>
  <si>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</si>
  <si>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</si>
  <si>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</si>
  <si>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</si>
  <si>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</si>
  <si>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</si>
  <si>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</si>
  <si>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</si>
  <si>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</si>
  <si>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</si>
  <si>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</si>
  <si>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</si>
  <si>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</si>
  <si>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</si>
  <si>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</si>
  <si>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</si>
  <si>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</si>
  <si>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</si>
  <si>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</si>
  <si>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</si>
  <si>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</si>
  <si>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</si>
  <si>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</si>
  <si>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</si>
  <si>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</si>
  <si>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</si>
  <si>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</si>
  <si>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</si>
  <si>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</si>
  <si>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</si>
  <si>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</si>
  <si>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</si>
  <si>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</si>
  <si>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</si>
  <si>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</si>
  <si>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</si>
  <si>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</si>
  <si>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</si>
  <si>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</si>
  <si>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</si>
  <si>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</si>
  <si>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</si>
  <si>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</si>
  <si>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</si>
  <si>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</si>
  <si>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</si>
  <si>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</si>
  <si>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</si>
  <si>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</si>
  <si>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</si>
  <si>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</si>
  <si>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</si>
  <si>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</si>
  <si>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</si>
  <si>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</si>
  <si>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</si>
  <si>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</si>
  <si>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</si>
  <si>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</si>
  <si>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</si>
  <si>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</si>
  <si>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</si>
  <si>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</si>
  <si>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</si>
  <si>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</si>
  <si>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</si>
  <si>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</si>
  <si>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</si>
  <si>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</si>
  <si>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</si>
  <si>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</si>
  <si>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</si>
  <si>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</si>
  <si>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</si>
  <si>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</si>
  <si>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</si>
  <si>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</si>
  <si>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</si>
  <si>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</si>
  <si>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</si>
  <si>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</si>
  <si>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</si>
  <si>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</si>
  <si>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</si>
  <si>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</si>
  <si>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</si>
  <si>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</si>
  <si>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</si>
  <si>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</si>
  <si>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</si>
  <si>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</si>
  <si>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</si>
  <si>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</si>
  <si>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</si>
  <si>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</si>
  <si>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</si>
  <si>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</si>
  <si>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</si>
  <si>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</si>
  <si>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</si>
  <si>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</si>
  <si>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</si>
  <si>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</si>
  <si>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</si>
  <si>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</si>
  <si>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</si>
  <si>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</si>
  <si>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</si>
  <si>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</si>
  <si>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</si>
  <si>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</si>
  <si>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</si>
  <si>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</si>
  <si>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</si>
  <si>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</si>
  <si>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</si>
  <si>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</si>
  <si>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</si>
  <si>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</si>
  <si>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</si>
  <si>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</si>
  <si>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</si>
  <si>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</si>
  <si>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</si>
  <si>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</si>
  <si>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</si>
  <si>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</si>
  <si>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</si>
  <si>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</si>
  <si>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</si>
  <si>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</si>
  <si>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</si>
  <si>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</si>
  <si>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</si>
  <si>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</si>
  <si>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</si>
  <si>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</si>
  <si>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</si>
  <si>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</si>
  <si>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</si>
  <si>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</si>
  <si>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</si>
  <si>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</si>
  <si>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</si>
  <si>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</si>
  <si>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</si>
  <si>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</si>
  <si>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</si>
  <si>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</si>
  <si>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</si>
  <si>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</si>
  <si>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</si>
  <si>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</si>
  <si>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</si>
  <si>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</si>
  <si>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</si>
  <si>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</si>
  <si>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</si>
  <si>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</si>
  <si>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</si>
  <si>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</si>
  <si>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</si>
  <si>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</si>
  <si>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</si>
  <si>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</si>
  <si>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</si>
  <si>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</si>
  <si>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</si>
  <si>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</si>
  <si>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</si>
  <si>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</si>
  <si>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</si>
  <si>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</si>
  <si>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</si>
  <si>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</si>
  <si>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</si>
  <si>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</si>
  <si>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</si>
  <si>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</si>
  <si>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</si>
  <si>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</si>
  <si>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</si>
  <si>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</si>
  <si>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</si>
  <si>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</si>
  <si>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</si>
  <si>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</si>
  <si>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</si>
  <si>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</si>
  <si>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</si>
  <si>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</si>
  <si>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</si>
  <si>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</si>
  <si>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</si>
  <si>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</si>
  <si>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</si>
  <si>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</si>
  <si>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</si>
  <si>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</si>
  <si>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</si>
  <si>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</si>
  <si>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</si>
  <si>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</si>
  <si>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</si>
  <si>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</si>
  <si>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</si>
  <si>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</si>
  <si>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</si>
  <si>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</si>
  <si>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</si>
  <si>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</si>
  <si>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</si>
  <si>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</si>
  <si>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</si>
  <si>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</si>
  <si>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</si>
  <si>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</si>
  <si>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</si>
  <si>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</si>
  <si>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</si>
  <si>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</si>
  <si>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</si>
  <si>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</si>
  <si>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</si>
  <si>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</si>
  <si>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</si>
  <si>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</si>
  <si>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</si>
  <si>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</si>
  <si>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</si>
  <si>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</si>
  <si>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</si>
  <si>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</si>
  <si>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</si>
  <si>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</si>
  <si>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</si>
  <si>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</si>
  <si>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</si>
  <si>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</si>
  <si>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</si>
  <si>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</si>
  <si>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</si>
  <si>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</si>
  <si>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</si>
  <si>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</si>
  <si>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</si>
  <si>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</si>
  <si>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</si>
  <si>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</si>
  <si>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</si>
  <si>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</si>
  <si>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</si>
  <si>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</si>
  <si>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</si>
  <si>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</si>
  <si>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</si>
  <si>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</si>
  <si>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</si>
  <si>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</si>
  <si>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</si>
  <si>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</si>
  <si>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</si>
  <si>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</si>
  <si>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</si>
  <si>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</si>
  <si>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</si>
  <si>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</si>
  <si>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</si>
  <si>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</si>
  <si>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</si>
  <si>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</si>
  <si>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</si>
  <si>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</si>
  <si>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</si>
  <si>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</si>
  <si>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</si>
  <si>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</si>
  <si>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</si>
  <si>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</si>
  <si>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</si>
  <si>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</si>
  <si>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</si>
  <si>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</si>
  <si>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</si>
  <si>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</si>
  <si>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</si>
  <si>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</si>
  <si>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</si>
  <si>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</si>
  <si>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</si>
  <si>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</si>
  <si>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</si>
  <si>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</si>
  <si>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</si>
  <si>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</si>
  <si>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</si>
  <si>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</si>
  <si>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</si>
  <si>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</si>
  <si>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</si>
  <si>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</si>
  <si>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</si>
  <si>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</si>
  <si>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</si>
  <si>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</si>
  <si>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</si>
  <si>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</si>
  <si>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</si>
  <si>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</si>
  <si>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</si>
  <si>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</si>
  <si>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</si>
  <si>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</si>
  <si>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</si>
  <si>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</si>
  <si>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</si>
  <si>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</si>
  <si>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</si>
  <si>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</si>
  <si>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</si>
  <si>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</si>
  <si>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</si>
  <si>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</si>
  <si>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</si>
  <si>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</si>
  <si>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</si>
  <si>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</si>
  <si>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</si>
  <si>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</si>
  <si>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</si>
  <si>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</si>
  <si>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</si>
  <si>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</si>
  <si>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</si>
  <si>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</si>
  <si>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</si>
  <si>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</si>
  <si>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</si>
  <si>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</si>
  <si>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</si>
  <si>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</si>
  <si>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</si>
  <si>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</si>
  <si>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</si>
  <si>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</si>
  <si>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</si>
  <si>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</si>
  <si>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</si>
  <si>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</si>
  <si>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</si>
  <si>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</si>
  <si>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</si>
  <si>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</si>
  <si>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</si>
  <si>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</si>
  <si>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</si>
  <si>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</si>
  <si>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</si>
  <si>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</si>
  <si>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</si>
  <si>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</si>
  <si>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</si>
  <si>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</si>
  <si>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</si>
  <si>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</si>
  <si>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</si>
  <si>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</si>
  <si>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</si>
  <si>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</si>
  <si>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</si>
  <si>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</si>
  <si>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</si>
  <si>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</si>
  <si>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</si>
  <si>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</si>
  <si>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</si>
  <si>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</si>
  <si>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</si>
  <si>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</si>
  <si>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</si>
  <si>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</si>
  <si>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</si>
  <si>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</si>
  <si>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</si>
  <si>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</si>
  <si>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</si>
  <si>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</si>
  <si>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</si>
  <si>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</si>
  <si>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</si>
  <si>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</si>
  <si>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</si>
  <si>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</si>
  <si>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</si>
  <si>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</si>
  <si>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</si>
  <si>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</si>
  <si>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</si>
  <si>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</si>
  <si>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</si>
  <si>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</si>
  <si>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</si>
  <si>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</si>
  <si>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</si>
  <si>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</si>
  <si>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</si>
  <si>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</si>
  <si>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</si>
  <si>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</si>
  <si>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</si>
  <si>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</si>
  <si>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</si>
  <si>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</si>
  <si>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</si>
  <si>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</si>
  <si>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</si>
  <si>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</si>
  <si>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</si>
  <si>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</si>
  <si>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</si>
  <si>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</si>
  <si>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</si>
  <si>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</si>
  <si>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</si>
  <si>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</si>
  <si>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</si>
  <si>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</si>
  <si>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</si>
  <si>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</si>
  <si>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</si>
  <si>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</si>
  <si>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</si>
  <si>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</si>
  <si>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</si>
  <si>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</si>
  <si>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</si>
  <si>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</si>
  <si>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</si>
  <si>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</si>
  <si>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</si>
  <si>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</si>
  <si>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</si>
  <si>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</si>
  <si>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</si>
  <si>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</si>
  <si>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</si>
  <si>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</si>
  <si>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</si>
  <si>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</si>
  <si>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</si>
  <si>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</si>
  <si>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</si>
  <si>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</si>
  <si>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</si>
  <si>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</si>
  <si>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</si>
  <si>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</si>
  <si>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</si>
  <si>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</si>
  <si>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</si>
  <si>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</si>
  <si>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</si>
  <si>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</si>
  <si>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</si>
  <si>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</si>
  <si>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</si>
  <si>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</si>
  <si>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</si>
  <si>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</si>
  <si>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</si>
  <si>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</si>
  <si>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</si>
  <si>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</si>
  <si>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</si>
  <si>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</si>
  <si>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</si>
  <si>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</si>
  <si>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</si>
  <si>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</si>
  <si>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</si>
  <si>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</si>
  <si>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</si>
  <si>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</si>
  <si>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</si>
  <si>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</si>
  <si>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</si>
  <si>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</si>
  <si>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</si>
  <si>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</si>
  <si>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</si>
  <si>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</si>
  <si>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</si>
  <si>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</si>
  <si>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</si>
  <si>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</si>
  <si>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</si>
  <si>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</si>
  <si>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</si>
  <si>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</si>
  <si>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</si>
  <si>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</si>
  <si>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</si>
  <si>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</si>
  <si>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</si>
  <si>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</si>
  <si>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</si>
  <si>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</si>
  <si>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</si>
  <si>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</si>
  <si>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</si>
  <si>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</si>
  <si>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</si>
  <si>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</si>
  <si>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</si>
  <si>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</si>
  <si>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</si>
  <si>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</si>
  <si>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</si>
  <si>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</si>
  <si>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</si>
  <si>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</si>
  <si>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</si>
  <si>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</si>
  <si>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</si>
  <si>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</si>
  <si>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</si>
  <si>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</si>
  <si>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</si>
  <si>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</si>
  <si>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</si>
  <si>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</si>
  <si>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</si>
  <si>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</si>
  <si>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</si>
  <si>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</si>
  <si>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</si>
  <si>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</si>
  <si>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</si>
  <si>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</si>
  <si>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</si>
  <si>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</si>
  <si>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</si>
  <si>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</si>
  <si>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</si>
  <si>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</si>
  <si>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</si>
  <si>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</si>
  <si>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</si>
  <si>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</si>
  <si>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</si>
  <si>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</si>
  <si>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</si>
  <si>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</si>
  <si>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</si>
  <si>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</si>
  <si>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</si>
  <si>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</si>
  <si>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</si>
  <si>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</si>
  <si>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</si>
  <si>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</si>
  <si>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</si>
  <si>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</si>
  <si>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</si>
  <si>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</si>
  <si>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</si>
  <si>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</si>
  <si>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</si>
  <si>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</si>
  <si>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</si>
  <si>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</si>
  <si>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</si>
  <si>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</si>
  <si>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</si>
  <si>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</si>
  <si>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</si>
  <si>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</si>
  <si>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</si>
  <si>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</si>
  <si>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</si>
  <si>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</si>
  <si>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</si>
  <si>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</si>
  <si>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</si>
  <si>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</si>
  <si>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</si>
  <si>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</si>
  <si>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</si>
  <si>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</si>
  <si>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</si>
  <si>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</si>
  <si>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</si>
  <si>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</si>
  <si>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</si>
  <si>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</si>
  <si>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</si>
  <si>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</si>
  <si>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</si>
  <si>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</si>
  <si>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</si>
  <si>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</si>
  <si>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</si>
  <si>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</si>
  <si>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</si>
  <si>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</si>
  <si>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</si>
  <si>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</si>
  <si>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</si>
  <si>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</si>
  <si>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</si>
  <si>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</si>
  <si>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</si>
  <si>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</si>
  <si>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</si>
  <si>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</si>
  <si>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</si>
  <si>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</si>
  <si>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</si>
  <si>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</si>
  <si>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</si>
  <si>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</si>
  <si>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</si>
  <si>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</si>
  <si>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</si>
  <si>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</si>
  <si>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</si>
  <si>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</si>
  <si>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</si>
  <si>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</si>
  <si>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</si>
  <si>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</si>
  <si>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</si>
  <si>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</si>
  <si>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</si>
  <si>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</si>
  <si>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</si>
  <si>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</si>
  <si>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</si>
  <si>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</si>
  <si>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</si>
  <si>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</si>
  <si>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</si>
  <si>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</si>
  <si>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</si>
  <si>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</si>
  <si>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</si>
  <si>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</si>
  <si>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</si>
  <si>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</si>
  <si>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</si>
  <si>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</si>
  <si>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</si>
  <si>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</si>
  <si>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</si>
  <si>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</si>
  <si>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</si>
  <si>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</si>
  <si>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</si>
  <si>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</si>
  <si>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</si>
  <si>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</si>
  <si>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</si>
  <si>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</si>
  <si>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</si>
  <si>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</si>
  <si>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</si>
  <si>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</si>
  <si>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</si>
  <si>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</si>
  <si>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</si>
  <si>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</si>
  <si>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</si>
  <si>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</si>
  <si>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</si>
  <si>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</si>
  <si>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</si>
  <si>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</si>
  <si>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</si>
  <si>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</si>
  <si>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</si>
  <si>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</si>
  <si>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</si>
  <si>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</si>
  <si>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</si>
  <si>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</si>
  <si>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</si>
  <si>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</si>
  <si>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</si>
  <si>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</si>
  <si>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</si>
  <si>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</si>
  <si>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</si>
  <si>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</si>
  <si>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</si>
  <si>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</si>
  <si>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</si>
  <si>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</si>
  <si>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</si>
  <si>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</si>
  <si>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</si>
  <si>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</si>
  <si>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</si>
  <si>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</si>
  <si>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</si>
  <si>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</si>
  <si>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</si>
  <si>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</si>
  <si>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</si>
  <si>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</si>
  <si>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</si>
  <si>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</si>
  <si>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</si>
  <si>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</si>
  <si>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</si>
  <si>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</si>
  <si>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</si>
  <si>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</si>
  <si>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</si>
  <si>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</si>
  <si>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</si>
  <si>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</si>
  <si>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</si>
  <si>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</si>
  <si>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</si>
  <si>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</si>
  <si>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</si>
  <si>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</si>
  <si>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</si>
  <si>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</si>
  <si>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</si>
  <si>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</si>
  <si>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</si>
  <si>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</si>
  <si>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</si>
  <si>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</si>
  <si>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</si>
  <si>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</si>
  <si>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</si>
  <si>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</si>
  <si>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</si>
  <si>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</si>
  <si>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</si>
  <si>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</si>
  <si>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</si>
  <si>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</si>
  <si>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</si>
  <si>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</si>
  <si>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</si>
  <si>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</si>
  <si>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</si>
  <si>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</si>
  <si>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</si>
  <si>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</si>
  <si>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</si>
  <si>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</si>
  <si>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</si>
  <si>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</si>
  <si>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</si>
  <si>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</si>
  <si>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</si>
  <si>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</si>
  <si>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</si>
  <si>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</si>
  <si>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</si>
  <si>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</si>
  <si>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</si>
  <si>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</si>
  <si>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</si>
  <si>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</si>
  <si>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</si>
  <si>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</si>
  <si>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</si>
  <si>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</si>
  <si>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</si>
  <si>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</si>
  <si>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</si>
  <si>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</si>
  <si>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</si>
  <si>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</si>
  <si>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</si>
  <si>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</si>
  <si>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</si>
  <si>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</si>
  <si>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</si>
  <si>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</si>
  <si>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</si>
  <si>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</si>
  <si>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</si>
  <si>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</si>
  <si>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</si>
  <si>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</si>
  <si>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</si>
  <si>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</si>
  <si>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</si>
  <si>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</si>
  <si>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</si>
  <si>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</si>
  <si>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</si>
  <si>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</si>
  <si>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</si>
  <si>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</si>
  <si>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</si>
  <si>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</si>
  <si>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</si>
  <si>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</si>
  <si>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</si>
  <si>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</si>
  <si>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</si>
  <si>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</si>
  <si>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</si>
  <si>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</si>
  <si>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</si>
  <si>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</si>
  <si>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</si>
  <si>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</si>
  <si>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</si>
  <si>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</si>
  <si>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</si>
  <si>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</si>
  <si>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</si>
  <si>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</si>
  <si>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</si>
  <si>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</si>
  <si>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</si>
  <si>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</si>
  <si>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</si>
  <si>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</si>
  <si>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</si>
  <si>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</si>
  <si>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</si>
  <si>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</si>
  <si>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</si>
  <si>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</si>
  <si>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</si>
  <si>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</si>
  <si>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</si>
  <si>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</si>
  <si>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</si>
  <si>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</si>
  <si>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</si>
  <si>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</si>
  <si>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</si>
  <si>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</si>
  <si>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</si>
  <si>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</si>
  <si>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</si>
  <si>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</si>
  <si>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</si>
  <si>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</si>
  <si>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</si>
  <si>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</si>
  <si>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</si>
  <si>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</si>
  <si>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</si>
  <si>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</si>
  <si>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</si>
  <si>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</si>
  <si>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</si>
  <si>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</si>
  <si>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</si>
  <si>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</si>
  <si>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</si>
  <si>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</si>
  <si>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</si>
  <si>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</si>
  <si>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</si>
  <si>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</si>
  <si>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</si>
  <si>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</si>
  <si>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</si>
  <si>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</si>
  <si>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</si>
  <si>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</si>
  <si>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</si>
  <si>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</si>
  <si>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</si>
  <si>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</si>
  <si>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</si>
  <si>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</si>
  <si>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</si>
  <si>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</si>
  <si>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</si>
  <si>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</si>
  <si>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</si>
  <si>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</si>
  <si>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</si>
  <si>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</si>
  <si>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</si>
  <si>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</si>
  <si>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</si>
  <si>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</si>
  <si>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</si>
  <si>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</si>
  <si>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</si>
  <si>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</si>
  <si>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</si>
  <si>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</si>
  <si>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</si>
  <si>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</si>
  <si>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</si>
  <si>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</si>
  <si>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</si>
  <si>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</si>
  <si>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</si>
  <si>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</si>
  <si>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</si>
  <si>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</si>
  <si>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</si>
  <si>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</si>
  <si>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</si>
  <si>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</si>
  <si>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</si>
  <si>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</si>
  <si>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</si>
  <si>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</si>
  <si>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</si>
  <si>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</si>
  <si>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</si>
  <si>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</si>
  <si>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</si>
  <si>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</si>
  <si>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</si>
  <si>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</si>
  <si>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</si>
  <si>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</si>
  <si>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</si>
  <si>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</si>
  <si>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</si>
  <si>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</si>
  <si>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</si>
  <si>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</si>
  <si>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</si>
  <si>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</si>
  <si>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</si>
  <si>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</si>
  <si>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</si>
  <si>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</si>
  <si>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</si>
  <si>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</si>
  <si>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</si>
  <si>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</si>
  <si>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</si>
  <si>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</si>
  <si>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</si>
  <si>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</si>
  <si>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</si>
  <si>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</si>
  <si>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</si>
  <si>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</si>
  <si>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</si>
  <si>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</si>
  <si>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</si>
  <si>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</si>
  <si>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</si>
  <si>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</si>
  <si>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</si>
  <si>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</si>
  <si>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</si>
  <si>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</si>
  <si>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</si>
  <si>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</si>
  <si>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</si>
  <si>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</si>
  <si>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</si>
  <si>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</si>
  <si>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</si>
  <si>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</si>
  <si>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</si>
  <si>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</si>
  <si>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</si>
  <si>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</si>
  <si>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</si>
  <si>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</si>
  <si>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</si>
  <si>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</si>
  <si>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</si>
  <si>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</si>
  <si>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</si>
  <si>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</si>
  <si>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</si>
  <si>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</si>
  <si>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</si>
  <si>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</si>
  <si>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</si>
  <si>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</si>
  <si>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</si>
  <si>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</si>
  <si>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</si>
  <si>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</si>
  <si>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</si>
  <si>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</si>
  <si>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</si>
  <si>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</si>
  <si>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</si>
  <si>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</si>
  <si>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</si>
  <si>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</si>
  <si>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</si>
  <si>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</si>
  <si>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</si>
  <si>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</si>
  <si>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</si>
  <si>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</si>
  <si>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</si>
  <si>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</si>
  <si>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</si>
  <si>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</si>
  <si>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</si>
  <si>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</si>
  <si>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</si>
  <si>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</si>
  <si>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</si>
  <si>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</si>
  <si>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</si>
  <si>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</si>
  <si>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</si>
  <si>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</si>
  <si>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</si>
  <si>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</si>
  <si>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</si>
  <si>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</si>
  <si>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</si>
  <si>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</si>
  <si>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</si>
  <si>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</si>
  <si>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</si>
  <si>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</si>
  <si>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</si>
  <si>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</si>
  <si>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</si>
  <si>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</si>
  <si>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</si>
  <si>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</si>
  <si>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</si>
  <si>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</si>
  <si>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</si>
  <si>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</si>
  <si>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</si>
  <si>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</si>
  <si>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</si>
  <si>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</si>
  <si>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</si>
  <si>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</si>
  <si>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</si>
  <si>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</si>
  <si>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</si>
  <si>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</si>
  <si>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</si>
  <si>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</si>
  <si>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</si>
  <si>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</si>
  <si>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</si>
  <si>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</si>
  <si>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</si>
  <si>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</si>
  <si>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</si>
  <si>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</si>
  <si>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</si>
  <si>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</si>
  <si>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</si>
  <si>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</si>
  <si>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</si>
  <si>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</si>
  <si>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</si>
  <si>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</si>
  <si>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</si>
  <si>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</si>
  <si>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</si>
  <si>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</si>
  <si>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</si>
  <si>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</si>
  <si>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</si>
  <si>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</si>
  <si>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</si>
  <si>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</si>
  <si>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</si>
  <si>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</si>
  <si>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</si>
  <si>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</si>
  <si>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</si>
  <si>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</si>
  <si>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</si>
  <si>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</si>
  <si>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</si>
  <si>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</si>
  <si>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</si>
  <si>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</si>
  <si>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</si>
  <si>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</si>
  <si>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</si>
  <si>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</si>
  <si>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</si>
  <si>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</si>
  <si>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</si>
  <si>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</si>
  <si>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</si>
  <si>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</si>
  <si>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</si>
  <si>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</si>
  <si>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</si>
  <si>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</si>
  <si>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</si>
  <si>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</si>
  <si>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</si>
  <si>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</si>
  <si>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</si>
  <si>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</si>
  <si>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</si>
  <si>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</si>
  <si>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</si>
  <si>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</si>
  <si>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</si>
  <si>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</si>
  <si>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</si>
  <si>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</si>
  <si>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</si>
  <si>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</si>
  <si>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</si>
  <si>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</si>
  <si>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</si>
  <si>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</si>
  <si>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</si>
  <si>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availability of multiple items to mostly match Wowhead's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</si>
</sst>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0" fontId="45" fillId="0" borderId="0" xfId="2" applyFont="1"/>
    <xf numFmtId="0" fontId="45" fillId="0" borderId="0" xfId="2" applyFont="1" applyFill="1"/>
    <xf numFmtId="0" fontId="45" fillId="0" borderId="0" xfId="2" applyFont="1" applyFill="1" applyBorder="1"/>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6" t="s">
        <v>3032</v>
      </c>
      <c r="C2" s="1396"/>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4" t="s">
        <v>934</v>
      </c>
      <c r="C10" s="1395"/>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2" t="s">
        <v>2326</v>
      </c>
      <c r="C13" s="1387" t="s">
        <v>3228</v>
      </c>
    </row>
    <row r="14" spans="1:256" ht="22.5">
      <c r="B14" s="1392"/>
      <c r="C14" s="1387" t="s">
        <v>3229</v>
      </c>
    </row>
    <row r="15" spans="1:256" ht="22.5">
      <c r="B15" s="1392"/>
      <c r="C15" s="1387" t="s">
        <v>3230</v>
      </c>
    </row>
    <row r="16" spans="1:256">
      <c r="B16" s="1392"/>
      <c r="C16" s="1387" t="s">
        <v>3231</v>
      </c>
    </row>
    <row r="17" spans="2:3">
      <c r="B17" s="1392"/>
      <c r="C17" s="1387" t="s">
        <v>1899</v>
      </c>
    </row>
    <row r="18" spans="2:3" ht="35.25" customHeight="1">
      <c r="B18" s="1392"/>
      <c r="C18" s="1388" t="s">
        <v>3232</v>
      </c>
    </row>
    <row r="19" spans="2:3" ht="22.5">
      <c r="B19" s="1392"/>
      <c r="C19" s="1387" t="s">
        <v>3233</v>
      </c>
    </row>
    <row r="20" spans="2:3" ht="56.25">
      <c r="B20" s="1392"/>
      <c r="C20" s="1387" t="s">
        <v>3234</v>
      </c>
    </row>
    <row r="21" spans="2:3">
      <c r="B21" s="1393" t="s">
        <v>1898</v>
      </c>
      <c r="C21" s="1381" t="s">
        <v>3242</v>
      </c>
    </row>
    <row r="22" spans="2:3" ht="22.5">
      <c r="B22" s="1393"/>
      <c r="C22" s="1380" t="s">
        <v>3235</v>
      </c>
    </row>
    <row r="23" spans="2:3" ht="33.75">
      <c r="B23" s="1393"/>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1" t="s">
        <v>3227</v>
      </c>
      <c r="C64" s="1391"/>
      <c r="D64" s="1391"/>
      <c r="E64" s="1391"/>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5"/>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3251</v>
      </c>
    </row>
    <row r="9" spans="1:2">
      <c r="A9" s="9" t="s">
        <v>3205</v>
      </c>
      <c r="B9" s="9" t="s">
        <v>2330</v>
      </c>
    </row>
    <row r="10" spans="1:2">
      <c r="A10" s="9" t="s">
        <v>2215</v>
      </c>
      <c r="B10" s="9" t="s">
        <v>3009</v>
      </c>
    </row>
    <row r="11" spans="1:2">
      <c r="B11" s="9" t="s">
        <v>3008</v>
      </c>
    </row>
    <row r="12" spans="1:2">
      <c r="B12" s="48" t="s">
        <v>2406</v>
      </c>
    </row>
    <row r="13" spans="1:2">
      <c r="B13" s="650" t="s">
        <v>2413</v>
      </c>
    </row>
    <row r="14" spans="1:2">
      <c r="B14" s="650" t="s">
        <v>2991</v>
      </c>
    </row>
    <row r="15" spans="1:2">
      <c r="B15" s="650" t="s">
        <v>2862</v>
      </c>
    </row>
    <row r="16" spans="1:2">
      <c r="B16" s="650" t="s">
        <v>3023</v>
      </c>
    </row>
    <row r="17" spans="1:2">
      <c r="B17" s="650" t="s">
        <v>3038</v>
      </c>
    </row>
    <row r="18" spans="1:2">
      <c r="A18" s="2"/>
      <c r="B18" s="650" t="s">
        <v>2869</v>
      </c>
    </row>
    <row r="19" spans="1:2">
      <c r="A19" s="2"/>
      <c r="B19" s="650" t="s">
        <v>3039</v>
      </c>
    </row>
    <row r="20" spans="1:2">
      <c r="B20" s="650" t="s">
        <v>2888</v>
      </c>
    </row>
    <row r="21" spans="1:2">
      <c r="A21" s="9" t="s">
        <v>1584</v>
      </c>
      <c r="B21" s="9" t="s">
        <v>2331</v>
      </c>
    </row>
    <row r="22" spans="1:2">
      <c r="B22" s="9" t="s">
        <v>2407</v>
      </c>
    </row>
    <row r="23" spans="1:2">
      <c r="B23" s="9" t="s">
        <v>2425</v>
      </c>
    </row>
    <row r="24" spans="1:2">
      <c r="B24" s="9" t="s">
        <v>2863</v>
      </c>
    </row>
    <row r="25" spans="1:2">
      <c r="B25" s="9" t="s">
        <v>2879</v>
      </c>
    </row>
    <row r="26" spans="1:2">
      <c r="B26" s="9" t="s">
        <v>2882</v>
      </c>
    </row>
    <row r="27" spans="1:2">
      <c r="B27" s="9" t="s">
        <v>2987</v>
      </c>
    </row>
    <row r="28" spans="1:2">
      <c r="B28" s="9" t="s">
        <v>2988</v>
      </c>
    </row>
    <row r="29" spans="1:2">
      <c r="B29" s="9" t="s">
        <v>3018</v>
      </c>
    </row>
    <row r="30" spans="1:2">
      <c r="B30" s="9" t="s">
        <v>3019</v>
      </c>
    </row>
    <row r="31" spans="1:2">
      <c r="B31" s="9" t="s">
        <v>3020</v>
      </c>
    </row>
    <row r="32" spans="1:2">
      <c r="B32" s="9" t="s">
        <v>2989</v>
      </c>
    </row>
    <row r="33" spans="1:2">
      <c r="A33" s="9" t="s">
        <v>1857</v>
      </c>
      <c r="B33" s="9" t="s">
        <v>2990</v>
      </c>
    </row>
    <row r="34" spans="1:2">
      <c r="B34" s="9" t="s">
        <v>2867</v>
      </c>
    </row>
    <row r="35" spans="1:2">
      <c r="A35" s="9" t="s">
        <v>2071</v>
      </c>
      <c r="B35" s="9" t="s">
        <v>2333</v>
      </c>
    </row>
    <row r="36" spans="1:2">
      <c r="B36" s="9" t="s">
        <v>2424</v>
      </c>
    </row>
    <row r="38" spans="1:2">
      <c r="A38" s="9" t="s">
        <v>1851</v>
      </c>
    </row>
    <row r="39" spans="1:2">
      <c r="A39" s="9" t="s">
        <v>2332</v>
      </c>
    </row>
    <row r="40" spans="1:2">
      <c r="A40" s="9" t="s">
        <v>311</v>
      </c>
      <c r="B40" s="9" t="s">
        <v>2041</v>
      </c>
    </row>
    <row r="41" spans="1:2">
      <c r="A41" s="9" t="s">
        <v>2215</v>
      </c>
      <c r="B41" s="9" t="s">
        <v>1443</v>
      </c>
    </row>
    <row r="42" spans="1:2">
      <c r="B42" s="9" t="s">
        <v>1442</v>
      </c>
    </row>
    <row r="43" spans="1:2">
      <c r="B43" s="9" t="s">
        <v>65</v>
      </c>
    </row>
    <row r="44" spans="1:2">
      <c r="B44" s="9" t="s">
        <v>62</v>
      </c>
    </row>
    <row r="45" spans="1:2">
      <c r="B45" s="9" t="s">
        <v>60</v>
      </c>
    </row>
    <row r="46" spans="1:2">
      <c r="B46" s="9" t="s">
        <v>61</v>
      </c>
    </row>
    <row r="47" spans="1:2">
      <c r="B47" s="9" t="s">
        <v>64</v>
      </c>
    </row>
    <row r="48" spans="1:2">
      <c r="B48" s="9" t="s">
        <v>1730</v>
      </c>
    </row>
    <row r="49" spans="1:2">
      <c r="B49" s="9" t="s">
        <v>69</v>
      </c>
    </row>
    <row r="50" spans="1:2">
      <c r="B50" s="2" t="s">
        <v>2163</v>
      </c>
    </row>
    <row r="51" spans="1:2">
      <c r="B51" s="2" t="s">
        <v>2164</v>
      </c>
    </row>
    <row r="52" spans="1:2">
      <c r="B52" s="2" t="s">
        <v>67</v>
      </c>
    </row>
    <row r="53" spans="1:2">
      <c r="B53" s="9" t="s">
        <v>68</v>
      </c>
    </row>
    <row r="54" spans="1:2">
      <c r="B54" s="9" t="s">
        <v>1729</v>
      </c>
    </row>
    <row r="55" spans="1:2">
      <c r="B55" s="9" t="s">
        <v>73</v>
      </c>
    </row>
    <row r="56" spans="1:2">
      <c r="B56" s="9" t="s">
        <v>2165</v>
      </c>
    </row>
    <row r="57" spans="1:2">
      <c r="B57" s="9" t="s">
        <v>70</v>
      </c>
    </row>
    <row r="58" spans="1:2">
      <c r="B58" s="9" t="s">
        <v>2160</v>
      </c>
    </row>
    <row r="59" spans="1:2">
      <c r="B59" s="9" t="s">
        <v>790</v>
      </c>
    </row>
    <row r="60" spans="1:2">
      <c r="A60" s="9" t="s">
        <v>1857</v>
      </c>
      <c r="B60" s="9" t="s">
        <v>71</v>
      </c>
    </row>
    <row r="61" spans="1:2">
      <c r="B61" s="9" t="s">
        <v>1444</v>
      </c>
    </row>
    <row r="62" spans="1:2">
      <c r="B62" s="9" t="s">
        <v>66</v>
      </c>
    </row>
    <row r="63" spans="1:2">
      <c r="B63" s="9" t="s">
        <v>1731</v>
      </c>
    </row>
    <row r="64" spans="1:2">
      <c r="B64" s="9" t="s">
        <v>305</v>
      </c>
    </row>
    <row r="65" spans="1:2">
      <c r="B65" s="9" t="s">
        <v>788</v>
      </c>
    </row>
    <row r="66" spans="1:2">
      <c r="B66" s="9" t="s">
        <v>789</v>
      </c>
    </row>
    <row r="67" spans="1:2">
      <c r="B67" s="9" t="s">
        <v>1558</v>
      </c>
    </row>
    <row r="68" spans="1:2">
      <c r="B68" s="9" t="s">
        <v>1757</v>
      </c>
    </row>
    <row r="69" spans="1:2">
      <c r="B69" s="9" t="s">
        <v>309</v>
      </c>
    </row>
    <row r="70" spans="1:2">
      <c r="B70" s="9" t="s">
        <v>310</v>
      </c>
    </row>
    <row r="72" spans="1:2">
      <c r="A72" s="9" t="s">
        <v>2203</v>
      </c>
      <c r="B72" s="9" t="s">
        <v>791</v>
      </c>
    </row>
    <row r="73" spans="1:2">
      <c r="A73" s="9" t="s">
        <v>2215</v>
      </c>
      <c r="B73" s="9" t="s">
        <v>1988</v>
      </c>
    </row>
    <row r="74" spans="1:2">
      <c r="A74" s="2"/>
      <c r="B74" s="9" t="s">
        <v>1834</v>
      </c>
    </row>
    <row r="75" spans="1:2">
      <c r="B75" s="9" t="s">
        <v>408</v>
      </c>
    </row>
    <row r="76" spans="1:2">
      <c r="B76" s="9" t="s">
        <v>1733</v>
      </c>
    </row>
    <row r="77" spans="1:2">
      <c r="A77" s="9" t="s">
        <v>1584</v>
      </c>
      <c r="B77" s="9" t="s">
        <v>1238</v>
      </c>
    </row>
    <row r="78" spans="1:2">
      <c r="B78" s="9" t="s">
        <v>1677</v>
      </c>
    </row>
    <row r="79" spans="1:2">
      <c r="B79" s="9" t="s">
        <v>603</v>
      </c>
    </row>
    <row r="80" spans="1:2">
      <c r="B80" s="9" t="s">
        <v>2204</v>
      </c>
    </row>
    <row r="81" spans="1:2">
      <c r="B81" s="9" t="s">
        <v>37</v>
      </c>
    </row>
    <row r="82" spans="1:2">
      <c r="B82" s="9" t="s">
        <v>2007</v>
      </c>
    </row>
    <row r="83" spans="1:2">
      <c r="B83" s="9" t="s">
        <v>2237</v>
      </c>
    </row>
    <row r="84" spans="1:2">
      <c r="B84" s="9" t="s">
        <v>2236</v>
      </c>
    </row>
    <row r="85" spans="1:2">
      <c r="B85" s="9" t="s">
        <v>2240</v>
      </c>
    </row>
    <row r="86" spans="1:2">
      <c r="A86" s="9" t="s">
        <v>1857</v>
      </c>
      <c r="B86" s="9" t="s">
        <v>1237</v>
      </c>
    </row>
    <row r="87" spans="1:2">
      <c r="B87" s="9" t="s">
        <v>1239</v>
      </c>
    </row>
    <row r="88" spans="1:2">
      <c r="B88" s="9" t="s">
        <v>1240</v>
      </c>
    </row>
    <row r="89" spans="1:2">
      <c r="B89" s="9" t="s">
        <v>1241</v>
      </c>
    </row>
    <row r="90" spans="1:2">
      <c r="B90" s="9" t="s">
        <v>441</v>
      </c>
    </row>
    <row r="91" spans="1:2">
      <c r="B91" s="9" t="s">
        <v>406</v>
      </c>
    </row>
    <row r="92" spans="1:2">
      <c r="B92" s="9" t="s">
        <v>2013</v>
      </c>
    </row>
    <row r="93" spans="1:2">
      <c r="B93" s="9" t="s">
        <v>2314</v>
      </c>
    </row>
    <row r="94" spans="1:2">
      <c r="B94" s="9" t="s">
        <v>2315</v>
      </c>
    </row>
    <row r="95" spans="1:2">
      <c r="B95" s="9" t="s">
        <v>1250</v>
      </c>
    </row>
    <row r="96" spans="1:2">
      <c r="B96" s="9" t="s">
        <v>1732</v>
      </c>
    </row>
    <row r="97" spans="1:2">
      <c r="B97" s="9" t="s">
        <v>1910</v>
      </c>
    </row>
    <row r="98" spans="1:2">
      <c r="B98" s="9" t="s">
        <v>1911</v>
      </c>
    </row>
    <row r="99" spans="1:2">
      <c r="B99" s="9" t="s">
        <v>2234</v>
      </c>
    </row>
    <row r="100" spans="1:2">
      <c r="B100" s="9" t="s">
        <v>1111</v>
      </c>
    </row>
    <row r="101" spans="1:2">
      <c r="B101" s="9" t="s">
        <v>1112</v>
      </c>
    </row>
    <row r="103" spans="1:2">
      <c r="A103" s="9" t="s">
        <v>624</v>
      </c>
      <c r="B103" s="9" t="s">
        <v>791</v>
      </c>
    </row>
    <row r="104" spans="1:2">
      <c r="A104" s="9" t="s">
        <v>2215</v>
      </c>
      <c r="B104" s="9" t="s">
        <v>623</v>
      </c>
    </row>
    <row r="105" spans="1:2">
      <c r="A105" s="9" t="s">
        <v>1584</v>
      </c>
      <c r="B105" s="9" t="s">
        <v>431</v>
      </c>
    </row>
    <row r="106" spans="1:2">
      <c r="B106" s="9" t="s">
        <v>2267</v>
      </c>
    </row>
    <row r="107" spans="1:2">
      <c r="B107" s="9" t="s">
        <v>2059</v>
      </c>
    </row>
    <row r="108" spans="1:2">
      <c r="B108" s="9" t="s">
        <v>2063</v>
      </c>
    </row>
    <row r="109" spans="1:2">
      <c r="B109" s="9" t="s">
        <v>622</v>
      </c>
    </row>
    <row r="110" spans="1:2">
      <c r="B110" s="9" t="s">
        <v>625</v>
      </c>
    </row>
    <row r="111" spans="1:2">
      <c r="A111" s="9" t="s">
        <v>1857</v>
      </c>
      <c r="B111" s="9" t="s">
        <v>1880</v>
      </c>
    </row>
    <row r="112" spans="1:2">
      <c r="B112" s="9" t="s">
        <v>1881</v>
      </c>
    </row>
    <row r="113" spans="1:2">
      <c r="B113" s="9" t="s">
        <v>430</v>
      </c>
    </row>
    <row r="114" spans="1:2">
      <c r="B114" s="9" t="s">
        <v>2265</v>
      </c>
    </row>
    <row r="116" spans="1:2">
      <c r="A116" s="9" t="s">
        <v>1744</v>
      </c>
      <c r="B116" s="9" t="s">
        <v>791</v>
      </c>
    </row>
    <row r="117" spans="1:2">
      <c r="A117" s="9" t="s">
        <v>2215</v>
      </c>
      <c r="B117" s="9" t="s">
        <v>1875</v>
      </c>
    </row>
    <row r="118" spans="1:2">
      <c r="A118" s="2"/>
      <c r="B118" s="9" t="s">
        <v>83</v>
      </c>
    </row>
    <row r="119" spans="1:2">
      <c r="A119" s="2"/>
      <c r="B119" s="9" t="s">
        <v>1261</v>
      </c>
    </row>
    <row r="120" spans="1:2">
      <c r="B120" s="9" t="s">
        <v>79</v>
      </c>
    </row>
    <row r="121" spans="1:2">
      <c r="B121" s="9" t="s">
        <v>1860</v>
      </c>
    </row>
    <row r="122" spans="1:2">
      <c r="B122" s="9" t="s">
        <v>1865</v>
      </c>
    </row>
    <row r="123" spans="1:2">
      <c r="B123" s="9" t="s">
        <v>1861</v>
      </c>
    </row>
    <row r="124" spans="1:2">
      <c r="B124" s="9" t="s">
        <v>1866</v>
      </c>
    </row>
    <row r="125" spans="1:2">
      <c r="B125" s="9" t="s">
        <v>85</v>
      </c>
    </row>
    <row r="126" spans="1:2">
      <c r="B126" s="9" t="s">
        <v>1868</v>
      </c>
    </row>
    <row r="127" spans="1:2">
      <c r="A127" s="2"/>
      <c r="B127" s="9" t="s">
        <v>77</v>
      </c>
    </row>
    <row r="128" spans="1:2">
      <c r="B128" s="9" t="s">
        <v>78</v>
      </c>
    </row>
    <row r="129" spans="2:2">
      <c r="B129" s="9" t="s">
        <v>1262</v>
      </c>
    </row>
    <row r="130" spans="2:2">
      <c r="B130" s="9" t="s">
        <v>1263</v>
      </c>
    </row>
    <row r="131" spans="2:2">
      <c r="B131" s="9" t="s">
        <v>82</v>
      </c>
    </row>
    <row r="132" spans="2:2">
      <c r="B132" s="9" t="s">
        <v>1260</v>
      </c>
    </row>
    <row r="133" spans="2:2">
      <c r="B133" s="9" t="s">
        <v>1554</v>
      </c>
    </row>
    <row r="134" spans="2:2">
      <c r="B134" s="9" t="s">
        <v>1555</v>
      </c>
    </row>
    <row r="135" spans="2:2">
      <c r="B135" s="9" t="s">
        <v>1862</v>
      </c>
    </row>
    <row r="136" spans="2:2">
      <c r="B136" s="9" t="s">
        <v>1871</v>
      </c>
    </row>
    <row r="137" spans="2:2">
      <c r="B137" s="9" t="s">
        <v>1874</v>
      </c>
    </row>
    <row r="138" spans="2:2">
      <c r="B138" s="9" t="s">
        <v>1870</v>
      </c>
    </row>
    <row r="139" spans="2:2">
      <c r="B139" s="9" t="s">
        <v>28</v>
      </c>
    </row>
    <row r="140" spans="2:2">
      <c r="B140" s="9" t="s">
        <v>38</v>
      </c>
    </row>
    <row r="141" spans="2:2">
      <c r="B141" s="9" t="s">
        <v>39</v>
      </c>
    </row>
    <row r="142" spans="2:2">
      <c r="B142" s="9" t="s">
        <v>1743</v>
      </c>
    </row>
    <row r="143" spans="2:2">
      <c r="B143" s="9" t="s">
        <v>103</v>
      </c>
    </row>
    <row r="144" spans="2:2">
      <c r="B144" s="9" t="s">
        <v>106</v>
      </c>
    </row>
    <row r="145" spans="1:2">
      <c r="B145" s="9" t="s">
        <v>1559</v>
      </c>
    </row>
    <row r="146" spans="1:2">
      <c r="A146" s="9" t="s">
        <v>1584</v>
      </c>
      <c r="B146" s="9" t="s">
        <v>1592</v>
      </c>
    </row>
    <row r="147" spans="1:2">
      <c r="B147" s="9" t="s">
        <v>865</v>
      </c>
    </row>
    <row r="148" spans="1:2">
      <c r="B148" s="9" t="s">
        <v>2296</v>
      </c>
    </row>
    <row r="149" spans="1:2">
      <c r="B149" s="9" t="s">
        <v>421</v>
      </c>
    </row>
    <row r="150" spans="1:2">
      <c r="B150" s="9" t="s">
        <v>959</v>
      </c>
    </row>
    <row r="151" spans="1:2">
      <c r="B151" s="9" t="s">
        <v>1136</v>
      </c>
    </row>
    <row r="152" spans="1:2">
      <c r="B152" s="9" t="s">
        <v>866</v>
      </c>
    </row>
    <row r="153" spans="1:2">
      <c r="B153" s="9" t="s">
        <v>94</v>
      </c>
    </row>
    <row r="154" spans="1:2">
      <c r="B154" s="9" t="s">
        <v>96</v>
      </c>
    </row>
    <row r="155" spans="1:2">
      <c r="B155" s="9" t="s">
        <v>1560</v>
      </c>
    </row>
    <row r="156" spans="1:2">
      <c r="A156" s="9" t="s">
        <v>1857</v>
      </c>
      <c r="B156" s="9" t="s">
        <v>1623</v>
      </c>
    </row>
    <row r="157" spans="1:2">
      <c r="B157" s="9" t="s">
        <v>2015</v>
      </c>
    </row>
    <row r="158" spans="1:2">
      <c r="B158" s="9" t="s">
        <v>2016</v>
      </c>
    </row>
    <row r="159" spans="1:2">
      <c r="B159" s="9" t="s">
        <v>99</v>
      </c>
    </row>
    <row r="160" spans="1:2">
      <c r="A160" s="9" t="s">
        <v>2071</v>
      </c>
      <c r="B160" s="9" t="s">
        <v>811</v>
      </c>
    </row>
    <row r="163" spans="1:2">
      <c r="A163" s="9" t="s">
        <v>810</v>
      </c>
      <c r="B163" s="9" t="s">
        <v>791</v>
      </c>
    </row>
    <row r="164" spans="1:2">
      <c r="A164" s="9" t="s">
        <v>1584</v>
      </c>
      <c r="B164" s="9" t="s">
        <v>2261</v>
      </c>
    </row>
    <row r="165" spans="1:2">
      <c r="B165" s="9" t="s">
        <v>2262</v>
      </c>
    </row>
    <row r="166" spans="1:2">
      <c r="B166" s="9" t="s">
        <v>451</v>
      </c>
    </row>
    <row r="167" spans="1:2">
      <c r="A167" s="9" t="s">
        <v>1857</v>
      </c>
      <c r="B167" s="9" t="s">
        <v>2258</v>
      </c>
    </row>
    <row r="168" spans="1:2">
      <c r="B168" s="9" t="s">
        <v>2228</v>
      </c>
    </row>
    <row r="169" spans="1:2">
      <c r="B169" s="9" t="s">
        <v>2259</v>
      </c>
    </row>
    <row r="170" spans="1:2">
      <c r="B170" s="9" t="s">
        <v>2260</v>
      </c>
    </row>
    <row r="173" spans="1:2">
      <c r="A173" s="9" t="s">
        <v>877</v>
      </c>
      <c r="B173" s="9" t="s">
        <v>791</v>
      </c>
    </row>
    <row r="174" spans="1:2">
      <c r="A174" s="9" t="s">
        <v>2215</v>
      </c>
      <c r="B174" s="9" t="s">
        <v>698</v>
      </c>
    </row>
    <row r="175" spans="1:2">
      <c r="B175" s="9" t="s">
        <v>154</v>
      </c>
    </row>
    <row r="176" spans="1:2">
      <c r="B176" s="9" t="s">
        <v>153</v>
      </c>
    </row>
    <row r="177" spans="1:2">
      <c r="B177" s="9" t="s">
        <v>875</v>
      </c>
    </row>
    <row r="178" spans="1:2">
      <c r="A178" s="9" t="s">
        <v>1584</v>
      </c>
      <c r="B178" s="9" t="s">
        <v>156</v>
      </c>
    </row>
    <row r="179" spans="1:2">
      <c r="B179" s="9" t="s">
        <v>849</v>
      </c>
    </row>
    <row r="180" spans="1:2">
      <c r="B180" s="9" t="s">
        <v>876</v>
      </c>
    </row>
    <row r="181" spans="1:2">
      <c r="A181" s="9" t="s">
        <v>1857</v>
      </c>
      <c r="B181" s="9" t="s">
        <v>995</v>
      </c>
    </row>
    <row r="182" spans="1:2">
      <c r="B182" s="9" t="s">
        <v>697</v>
      </c>
    </row>
    <row r="183" spans="1:2">
      <c r="B183" s="9" t="s">
        <v>157</v>
      </c>
    </row>
    <row r="184" spans="1:2">
      <c r="B184" s="9" t="s">
        <v>149</v>
      </c>
    </row>
    <row r="185" spans="1:2">
      <c r="B185" s="9" t="s">
        <v>150</v>
      </c>
    </row>
    <row r="186" spans="1:2">
      <c r="B186" s="9" t="s">
        <v>151</v>
      </c>
    </row>
    <row r="187" spans="1:2">
      <c r="B187" s="9" t="s">
        <v>848</v>
      </c>
    </row>
    <row r="188" spans="1:2">
      <c r="B188" s="9" t="s">
        <v>852</v>
      </c>
    </row>
    <row r="189" spans="1:2">
      <c r="B189" s="9" t="s">
        <v>879</v>
      </c>
    </row>
    <row r="190" spans="1:2">
      <c r="A190" s="9" t="s">
        <v>2071</v>
      </c>
      <c r="B190" s="9" t="s">
        <v>152</v>
      </c>
    </row>
    <row r="192" spans="1:2">
      <c r="A192" s="9" t="s">
        <v>1595</v>
      </c>
      <c r="B192" s="9" t="s">
        <v>791</v>
      </c>
    </row>
    <row r="193" spans="1:2">
      <c r="A193" s="9" t="s">
        <v>1584</v>
      </c>
      <c r="B193" s="9" t="s">
        <v>2040</v>
      </c>
    </row>
    <row r="194" spans="1:2">
      <c r="B194" s="9" t="s">
        <v>313</v>
      </c>
    </row>
    <row r="195" spans="1:2">
      <c r="B195" s="9" t="s">
        <v>314</v>
      </c>
    </row>
    <row r="196" spans="1:2">
      <c r="A196" s="9" t="s">
        <v>1857</v>
      </c>
      <c r="B196" s="9" t="s">
        <v>312</v>
      </c>
    </row>
    <row r="197" spans="1:2">
      <c r="B197" s="9" t="s">
        <v>315</v>
      </c>
    </row>
    <row r="198" spans="1:2">
      <c r="B198" s="9" t="s">
        <v>2039</v>
      </c>
    </row>
    <row r="200" spans="1:2">
      <c r="A200" s="9" t="s">
        <v>1606</v>
      </c>
      <c r="B200" s="9" t="s">
        <v>791</v>
      </c>
    </row>
    <row r="201" spans="1:2">
      <c r="A201" s="9" t="s">
        <v>2215</v>
      </c>
      <c r="B201" s="9" t="s">
        <v>835</v>
      </c>
    </row>
    <row r="202" spans="1:2">
      <c r="B202" s="9" t="s">
        <v>1140</v>
      </c>
    </row>
    <row r="203" spans="1:2">
      <c r="A203" s="9" t="s">
        <v>1584</v>
      </c>
      <c r="B203" s="9" t="s">
        <v>832</v>
      </c>
    </row>
    <row r="204" spans="1:2">
      <c r="B204" s="9" t="s">
        <v>1266</v>
      </c>
    </row>
    <row r="205" spans="1:2">
      <c r="B205" s="9" t="s">
        <v>1488</v>
      </c>
    </row>
    <row r="206" spans="1:2">
      <c r="B206" s="9" t="s">
        <v>1557</v>
      </c>
    </row>
    <row r="207" spans="1:2">
      <c r="B207" s="9" t="s">
        <v>1322</v>
      </c>
    </row>
    <row r="208" spans="1:2">
      <c r="B208" s="9" t="s">
        <v>1489</v>
      </c>
    </row>
    <row r="209" spans="1:2">
      <c r="B209" s="9" t="s">
        <v>1323</v>
      </c>
    </row>
    <row r="210" spans="1:2">
      <c r="B210" s="9" t="s">
        <v>1139</v>
      </c>
    </row>
    <row r="211" spans="1:2">
      <c r="B211" s="9" t="s">
        <v>1490</v>
      </c>
    </row>
    <row r="212" spans="1:2">
      <c r="B212" s="9" t="s">
        <v>1491</v>
      </c>
    </row>
    <row r="213" spans="1:2">
      <c r="B213" s="9" t="s">
        <v>1492</v>
      </c>
    </row>
    <row r="214" spans="1:2">
      <c r="A214" s="9" t="s">
        <v>1857</v>
      </c>
      <c r="B214" s="9" t="s">
        <v>833</v>
      </c>
    </row>
    <row r="215" spans="1:2">
      <c r="B215" s="9" t="s">
        <v>614</v>
      </c>
    </row>
    <row r="216" spans="1:2">
      <c r="B216" s="9" t="s">
        <v>588</v>
      </c>
    </row>
    <row r="217" spans="1:2">
      <c r="B217" s="9" t="s">
        <v>731</v>
      </c>
    </row>
    <row r="218" spans="1:2">
      <c r="B218" s="9" t="s">
        <v>938</v>
      </c>
    </row>
    <row r="219" spans="1:2">
      <c r="A219" s="9" t="s">
        <v>2071</v>
      </c>
      <c r="B219" s="9" t="s">
        <v>266</v>
      </c>
    </row>
    <row r="221" spans="1:2">
      <c r="A221" s="9" t="s">
        <v>1416</v>
      </c>
      <c r="B221" s="9" t="s">
        <v>791</v>
      </c>
    </row>
    <row r="222" spans="1:2">
      <c r="A222" s="9" t="s">
        <v>2215</v>
      </c>
      <c r="B222" s="9" t="s">
        <v>438</v>
      </c>
    </row>
    <row r="223" spans="1:2">
      <c r="B223" s="9" t="s">
        <v>1417</v>
      </c>
    </row>
    <row r="224" spans="1:2">
      <c r="B224" s="9" t="s">
        <v>306</v>
      </c>
    </row>
    <row r="225" spans="1:2">
      <c r="B225" s="9" t="s">
        <v>1355</v>
      </c>
    </row>
    <row r="226" spans="1:2">
      <c r="A226" s="9" t="s">
        <v>1584</v>
      </c>
      <c r="B226" s="9" t="s">
        <v>656</v>
      </c>
    </row>
    <row r="227" spans="1:2">
      <c r="B227" s="9" t="s">
        <v>631</v>
      </c>
    </row>
    <row r="228" spans="1:2">
      <c r="B228" s="9" t="s">
        <v>1351</v>
      </c>
    </row>
    <row r="229" spans="1:2">
      <c r="A229" s="2"/>
      <c r="B229" s="9" t="s">
        <v>627</v>
      </c>
    </row>
    <row r="230" spans="1:2">
      <c r="B230" s="9" t="s">
        <v>626</v>
      </c>
    </row>
    <row r="231" spans="1:2">
      <c r="B231" s="9" t="s">
        <v>628</v>
      </c>
    </row>
    <row r="232" spans="1:2">
      <c r="A232" s="9" t="s">
        <v>1857</v>
      </c>
      <c r="B232" s="9" t="s">
        <v>16</v>
      </c>
    </row>
    <row r="233" spans="1:2">
      <c r="B233" s="9" t="s">
        <v>1621</v>
      </c>
    </row>
    <row r="234" spans="1:2">
      <c r="B234" s="9" t="s">
        <v>1256</v>
      </c>
    </row>
    <row r="235" spans="1:2">
      <c r="B235" s="9" t="s">
        <v>1257</v>
      </c>
    </row>
    <row r="236" spans="1:2">
      <c r="B236" s="9" t="s">
        <v>1258</v>
      </c>
    </row>
    <row r="237" spans="1:2">
      <c r="B237" s="9" t="s">
        <v>1209</v>
      </c>
    </row>
    <row r="238" spans="1:2">
      <c r="B238" s="9" t="s">
        <v>1210</v>
      </c>
    </row>
    <row r="239" spans="1:2">
      <c r="B239" s="9" t="s">
        <v>1418</v>
      </c>
    </row>
    <row r="240" spans="1:2">
      <c r="A240" s="9" t="s">
        <v>2071</v>
      </c>
      <c r="B240" s="9" t="s">
        <v>2017</v>
      </c>
    </row>
    <row r="241" spans="1:2">
      <c r="B241" s="9" t="s">
        <v>2018</v>
      </c>
    </row>
    <row r="243" spans="1:2">
      <c r="A243" s="9" t="s">
        <v>1571</v>
      </c>
      <c r="B243" s="9" t="s">
        <v>791</v>
      </c>
    </row>
    <row r="244" spans="1:2">
      <c r="A244" s="9" t="s">
        <v>2215</v>
      </c>
      <c r="B244" s="9" t="s">
        <v>2094</v>
      </c>
    </row>
    <row r="245" spans="1:2">
      <c r="B245" s="9" t="s">
        <v>10</v>
      </c>
    </row>
    <row r="246" spans="1:2">
      <c r="B246" s="9" t="s">
        <v>130</v>
      </c>
    </row>
    <row r="247" spans="1:2">
      <c r="B247" s="9" t="s">
        <v>1884</v>
      </c>
    </row>
    <row r="248" spans="1:2">
      <c r="B248" s="9" t="s">
        <v>1569</v>
      </c>
    </row>
    <row r="249" spans="1:2">
      <c r="A249" s="2"/>
      <c r="B249" s="9" t="s">
        <v>1635</v>
      </c>
    </row>
    <row r="250" spans="1:2">
      <c r="A250" s="2"/>
      <c r="B250" s="9" t="s">
        <v>425</v>
      </c>
    </row>
    <row r="251" spans="1:2">
      <c r="A251" s="2"/>
      <c r="B251" s="9" t="s">
        <v>11</v>
      </c>
    </row>
    <row r="252" spans="1:2">
      <c r="B252" s="9" t="s">
        <v>2027</v>
      </c>
    </row>
    <row r="253" spans="1:2">
      <c r="B253" s="9" t="s">
        <v>2028</v>
      </c>
    </row>
    <row r="254" spans="1:2">
      <c r="B254" s="9" t="s">
        <v>426</v>
      </c>
    </row>
    <row r="255" spans="1:2">
      <c r="A255" s="2"/>
      <c r="B255" s="9" t="s">
        <v>1141</v>
      </c>
    </row>
    <row r="256" spans="1:2">
      <c r="B256" s="9" t="s">
        <v>1142</v>
      </c>
    </row>
    <row r="257" spans="1:2">
      <c r="B257" s="9" t="s">
        <v>1885</v>
      </c>
    </row>
    <row r="258" spans="1:2">
      <c r="B258" s="9" t="s">
        <v>1893</v>
      </c>
    </row>
    <row r="259" spans="1:2">
      <c r="B259" s="9" t="s">
        <v>1347</v>
      </c>
    </row>
    <row r="260" spans="1:2">
      <c r="B260" s="9" t="s">
        <v>1678</v>
      </c>
    </row>
    <row r="261" spans="1:2">
      <c r="B261" s="9" t="s">
        <v>1886</v>
      </c>
    </row>
    <row r="262" spans="1:2">
      <c r="B262" s="9" t="s">
        <v>12</v>
      </c>
    </row>
    <row r="263" spans="1:2">
      <c r="B263" s="9" t="s">
        <v>701</v>
      </c>
    </row>
    <row r="264" spans="1:2">
      <c r="A264" s="2"/>
      <c r="B264" s="9" t="s">
        <v>1028</v>
      </c>
    </row>
    <row r="265" spans="1:2">
      <c r="A265" s="2"/>
      <c r="B265" s="9" t="s">
        <v>1636</v>
      </c>
    </row>
    <row r="266" spans="1:2">
      <c r="A266" s="2"/>
      <c r="B266" s="9" t="s">
        <v>1143</v>
      </c>
    </row>
    <row r="267" spans="1:2">
      <c r="B267" s="9" t="s">
        <v>880</v>
      </c>
    </row>
    <row r="268" spans="1:2">
      <c r="B268" s="9" t="s">
        <v>129</v>
      </c>
    </row>
    <row r="269" spans="1:2">
      <c r="B269" s="9" t="s">
        <v>1887</v>
      </c>
    </row>
    <row r="270" spans="1:2">
      <c r="B270" s="9" t="s">
        <v>427</v>
      </c>
    </row>
    <row r="271" spans="1:2">
      <c r="B271" s="9" t="s">
        <v>1888</v>
      </c>
    </row>
    <row r="272" spans="1:2">
      <c r="B272" s="9" t="s">
        <v>1892</v>
      </c>
    </row>
    <row r="273" spans="1:2">
      <c r="B273" s="9" t="s">
        <v>428</v>
      </c>
    </row>
    <row r="274" spans="1:2">
      <c r="B274" s="9" t="s">
        <v>1890</v>
      </c>
    </row>
    <row r="275" spans="1:2">
      <c r="B275" s="9" t="s">
        <v>1891</v>
      </c>
    </row>
    <row r="276" spans="1:2">
      <c r="B276" s="9" t="s">
        <v>429</v>
      </c>
    </row>
    <row r="277" spans="1:2">
      <c r="B277" s="9" t="s">
        <v>1882</v>
      </c>
    </row>
    <row r="278" spans="1:2">
      <c r="B278" s="9" t="s">
        <v>1883</v>
      </c>
    </row>
    <row r="279" spans="1:2">
      <c r="A279" s="9" t="s">
        <v>1857</v>
      </c>
      <c r="B279" s="9" t="s">
        <v>422</v>
      </c>
    </row>
    <row r="280" spans="1:2">
      <c r="B280" s="9" t="s">
        <v>252</v>
      </c>
    </row>
    <row r="281" spans="1:2">
      <c r="B281" s="9" t="s">
        <v>254</v>
      </c>
    </row>
    <row r="282" spans="1:2">
      <c r="B282" s="9" t="s">
        <v>307</v>
      </c>
    </row>
    <row r="283" spans="1:2">
      <c r="B283" s="9" t="s">
        <v>1570</v>
      </c>
    </row>
    <row r="284" spans="1:2">
      <c r="B284" s="9" t="s">
        <v>1572</v>
      </c>
    </row>
    <row r="285" spans="1:2">
      <c r="A285" s="9" t="s">
        <v>423</v>
      </c>
      <c r="B285" s="9" t="s">
        <v>424</v>
      </c>
    </row>
    <row r="286" spans="1:2">
      <c r="B286" s="9" t="s">
        <v>253</v>
      </c>
    </row>
    <row r="287" spans="1:2">
      <c r="B287" s="9" t="s">
        <v>1568</v>
      </c>
    </row>
    <row r="289" spans="1:2">
      <c r="A289" s="9" t="s">
        <v>458</v>
      </c>
      <c r="B289" s="9" t="s">
        <v>791</v>
      </c>
    </row>
    <row r="290" spans="1:2">
      <c r="A290" s="9" t="s">
        <v>2215</v>
      </c>
      <c r="B290" s="9" t="s">
        <v>990</v>
      </c>
    </row>
    <row r="291" spans="1:2">
      <c r="A291" s="2"/>
      <c r="B291" s="9" t="s">
        <v>967</v>
      </c>
    </row>
    <row r="292" spans="1:2">
      <c r="B292" s="9" t="s">
        <v>971</v>
      </c>
    </row>
    <row r="293" spans="1:2">
      <c r="B293" s="9" t="s">
        <v>860</v>
      </c>
    </row>
    <row r="294" spans="1:2">
      <c r="B294" s="9" t="s">
        <v>708</v>
      </c>
    </row>
    <row r="295" spans="1:2">
      <c r="B295" s="9" t="s">
        <v>988</v>
      </c>
    </row>
    <row r="296" spans="1:2">
      <c r="A296" s="2"/>
      <c r="B296" s="9" t="s">
        <v>966</v>
      </c>
    </row>
    <row r="297" spans="1:2">
      <c r="A297" s="2"/>
      <c r="B297" s="9" t="s">
        <v>986</v>
      </c>
    </row>
    <row r="298" spans="1:2">
      <c r="A298" s="2"/>
      <c r="B298" s="9" t="s">
        <v>965</v>
      </c>
    </row>
    <row r="299" spans="1:2">
      <c r="A299" s="2"/>
      <c r="B299" s="9" t="s">
        <v>987</v>
      </c>
    </row>
    <row r="300" spans="1:2">
      <c r="A300" s="2"/>
      <c r="B300" s="9" t="s">
        <v>707</v>
      </c>
    </row>
    <row r="301" spans="1:2">
      <c r="A301" s="2"/>
      <c r="B301" s="9" t="s">
        <v>969</v>
      </c>
    </row>
    <row r="302" spans="1:2">
      <c r="A302" s="2"/>
      <c r="B302" s="9" t="s">
        <v>979</v>
      </c>
    </row>
    <row r="303" spans="1:2">
      <c r="A303" s="2"/>
      <c r="B303" s="9" t="s">
        <v>978</v>
      </c>
    </row>
    <row r="304" spans="1:2">
      <c r="A304" s="2"/>
      <c r="B304" s="9" t="s">
        <v>870</v>
      </c>
    </row>
    <row r="305" spans="1:2">
      <c r="A305" s="2"/>
      <c r="B305" s="9" t="s">
        <v>972</v>
      </c>
    </row>
    <row r="306" spans="1:2">
      <c r="A306" s="2"/>
      <c r="B306" s="9" t="s">
        <v>960</v>
      </c>
    </row>
    <row r="307" spans="1:2">
      <c r="A307" s="2"/>
      <c r="B307" s="9" t="s">
        <v>970</v>
      </c>
    </row>
    <row r="308" spans="1:2">
      <c r="A308" s="2"/>
      <c r="B308" s="9" t="s">
        <v>872</v>
      </c>
    </row>
    <row r="309" spans="1:2">
      <c r="A309" s="2"/>
      <c r="B309" s="9" t="s">
        <v>968</v>
      </c>
    </row>
    <row r="310" spans="1:2">
      <c r="A310" s="2"/>
      <c r="B310" s="9" t="s">
        <v>993</v>
      </c>
    </row>
    <row r="311" spans="1:2">
      <c r="A311" s="2"/>
      <c r="B311" s="9" t="s">
        <v>704</v>
      </c>
    </row>
    <row r="312" spans="1:2">
      <c r="A312" s="2"/>
      <c r="B312" s="9" t="s">
        <v>705</v>
      </c>
    </row>
    <row r="313" spans="1:2">
      <c r="A313" s="2"/>
      <c r="B313" s="9" t="s">
        <v>703</v>
      </c>
    </row>
    <row r="314" spans="1:2">
      <c r="A314" s="2"/>
      <c r="B314" s="9" t="s">
        <v>702</v>
      </c>
    </row>
    <row r="315" spans="1:2">
      <c r="A315" s="2"/>
      <c r="B315" s="9" t="s">
        <v>706</v>
      </c>
    </row>
    <row r="316" spans="1:2">
      <c r="A316" s="2"/>
      <c r="B316" s="9" t="s">
        <v>980</v>
      </c>
    </row>
    <row r="317" spans="1:2">
      <c r="A317" s="2"/>
      <c r="B317" s="9" t="s">
        <v>964</v>
      </c>
    </row>
    <row r="318" spans="1:2">
      <c r="A318" s="2"/>
      <c r="B318" s="9" t="s">
        <v>991</v>
      </c>
    </row>
    <row r="319" spans="1:2">
      <c r="A319" s="2"/>
      <c r="B319" s="9" t="s">
        <v>975</v>
      </c>
    </row>
    <row r="320" spans="1:2">
      <c r="A320" s="2"/>
      <c r="B320" s="9" t="s">
        <v>976</v>
      </c>
    </row>
    <row r="321" spans="1:2">
      <c r="A321" s="2"/>
      <c r="B321" s="9" t="s">
        <v>989</v>
      </c>
    </row>
    <row r="322" spans="1:2">
      <c r="B322" s="9" t="s">
        <v>873</v>
      </c>
    </row>
    <row r="323" spans="1:2">
      <c r="B323" s="9" t="s">
        <v>981</v>
      </c>
    </row>
    <row r="324" spans="1:2">
      <c r="B324" s="9" t="s">
        <v>982</v>
      </c>
    </row>
    <row r="325" spans="1:2">
      <c r="B325" s="9" t="s">
        <v>983</v>
      </c>
    </row>
    <row r="326" spans="1:2">
      <c r="B326" s="9" t="s">
        <v>992</v>
      </c>
    </row>
    <row r="327" spans="1:2">
      <c r="B327" s="9" t="s">
        <v>973</v>
      </c>
    </row>
    <row r="328" spans="1:2">
      <c r="B328" s="9" t="s">
        <v>984</v>
      </c>
    </row>
    <row r="329" spans="1:2">
      <c r="B329" s="9" t="s">
        <v>974</v>
      </c>
    </row>
    <row r="330" spans="1:2">
      <c r="B330" s="9" t="s">
        <v>1267</v>
      </c>
    </row>
    <row r="331" spans="1:2">
      <c r="A331" s="9" t="s">
        <v>1584</v>
      </c>
      <c r="B331" s="9" t="s">
        <v>610</v>
      </c>
    </row>
    <row r="332" spans="1:2">
      <c r="B332" s="9" t="s">
        <v>611</v>
      </c>
    </row>
    <row r="333" spans="1:2">
      <c r="B333" s="9" t="s">
        <v>612</v>
      </c>
    </row>
    <row r="334" spans="1:2">
      <c r="B334" s="9" t="s">
        <v>939</v>
      </c>
    </row>
    <row r="335" spans="1:2">
      <c r="A335" s="9" t="s">
        <v>1857</v>
      </c>
      <c r="B335" s="9" t="s">
        <v>715</v>
      </c>
    </row>
    <row r="336" spans="1:2">
      <c r="B336" s="9" t="s">
        <v>994</v>
      </c>
    </row>
    <row r="337" spans="1:2">
      <c r="B337" s="9" t="s">
        <v>956</v>
      </c>
    </row>
    <row r="338" spans="1:2">
      <c r="B338" s="9" t="s">
        <v>1605</v>
      </c>
    </row>
    <row r="339" spans="1:2">
      <c r="B339" s="9" t="s">
        <v>1963</v>
      </c>
    </row>
    <row r="340" spans="1:2">
      <c r="B340" s="9" t="s">
        <v>613</v>
      </c>
    </row>
    <row r="341" spans="1:2">
      <c r="A341" s="9" t="s">
        <v>856</v>
      </c>
      <c r="B341" s="9" t="s">
        <v>857</v>
      </c>
    </row>
    <row r="342" spans="1:2">
      <c r="B342" s="9" t="s">
        <v>1399</v>
      </c>
    </row>
    <row r="343" spans="1:2">
      <c r="B343" s="9" t="s">
        <v>858</v>
      </c>
    </row>
    <row r="344" spans="1:2">
      <c r="B344" s="9" t="s">
        <v>859</v>
      </c>
    </row>
    <row r="345" spans="1:2">
      <c r="B345" s="9" t="s">
        <v>1151</v>
      </c>
    </row>
    <row r="347" spans="1:2">
      <c r="A347" s="9" t="s">
        <v>189</v>
      </c>
      <c r="B347" s="9" t="s">
        <v>791</v>
      </c>
    </row>
    <row r="348" spans="1:2">
      <c r="A348" s="9" t="s">
        <v>2215</v>
      </c>
      <c r="B348" s="9" t="s">
        <v>1291</v>
      </c>
    </row>
    <row r="349" spans="1:2">
      <c r="A349" s="2"/>
      <c r="B349" s="9" t="s">
        <v>1292</v>
      </c>
    </row>
    <row r="350" spans="1:2">
      <c r="A350" s="2"/>
      <c r="B350" s="9" t="s">
        <v>812</v>
      </c>
    </row>
    <row r="351" spans="1:2">
      <c r="A351" s="2"/>
      <c r="B351" s="9" t="s">
        <v>1358</v>
      </c>
    </row>
    <row r="352" spans="1:2">
      <c r="A352" s="2"/>
      <c r="B352" s="9" t="s">
        <v>188</v>
      </c>
    </row>
    <row r="353" spans="1:2">
      <c r="A353" s="2" t="s">
        <v>1584</v>
      </c>
      <c r="B353" s="9" t="s">
        <v>1912</v>
      </c>
    </row>
    <row r="354" spans="1:2">
      <c r="A354" s="2"/>
      <c r="B354" s="9" t="s">
        <v>1130</v>
      </c>
    </row>
    <row r="355" spans="1:2">
      <c r="A355" s="2"/>
      <c r="B355" s="9" t="s">
        <v>190</v>
      </c>
    </row>
    <row r="356" spans="1:2">
      <c r="A356" s="2"/>
      <c r="B356" s="9" t="s">
        <v>561</v>
      </c>
    </row>
    <row r="357" spans="1:2">
      <c r="A357" s="2"/>
      <c r="B357" s="9" t="s">
        <v>1631</v>
      </c>
    </row>
    <row r="358" spans="1:2">
      <c r="A358" s="2"/>
      <c r="B358" s="9" t="s">
        <v>1637</v>
      </c>
    </row>
    <row r="359" spans="1:2">
      <c r="A359" s="2"/>
      <c r="B359" s="9" t="s">
        <v>1742</v>
      </c>
    </row>
    <row r="360" spans="1:2">
      <c r="A360" s="2"/>
      <c r="B360" s="9" t="s">
        <v>1632</v>
      </c>
    </row>
    <row r="361" spans="1:2">
      <c r="A361" s="2"/>
      <c r="B361" s="9" t="s">
        <v>1633</v>
      </c>
    </row>
    <row r="362" spans="1:2">
      <c r="A362" s="2"/>
      <c r="B362" s="9" t="s">
        <v>1741</v>
      </c>
    </row>
    <row r="363" spans="1:2">
      <c r="A363" s="2"/>
      <c r="B363" s="9" t="s">
        <v>1634</v>
      </c>
    </row>
    <row r="364" spans="1:2">
      <c r="A364" s="2"/>
      <c r="B364" s="9" t="s">
        <v>45</v>
      </c>
    </row>
    <row r="365" spans="1:2">
      <c r="A365" s="2"/>
      <c r="B365" s="9" t="s">
        <v>52</v>
      </c>
    </row>
    <row r="366" spans="1:2">
      <c r="A366" s="2"/>
      <c r="B366" s="9" t="s">
        <v>1638</v>
      </c>
    </row>
    <row r="367" spans="1:2">
      <c r="A367" s="2" t="s">
        <v>1857</v>
      </c>
      <c r="B367" s="9" t="s">
        <v>1293</v>
      </c>
    </row>
    <row r="368" spans="1:2">
      <c r="A368" s="2"/>
      <c r="B368" s="9" t="s">
        <v>1294</v>
      </c>
    </row>
    <row r="369" spans="1:2">
      <c r="A369" s="2"/>
      <c r="B369" s="9" t="s">
        <v>1131</v>
      </c>
    </row>
    <row r="370" spans="1:2">
      <c r="A370" s="2"/>
      <c r="B370" s="9" t="s">
        <v>1653</v>
      </c>
    </row>
    <row r="371" spans="1:2">
      <c r="A371" s="2"/>
      <c r="B371" s="9" t="s">
        <v>114</v>
      </c>
    </row>
    <row r="372" spans="1:2">
      <c r="A372" s="2"/>
      <c r="B372" s="9" t="s">
        <v>607</v>
      </c>
    </row>
    <row r="373" spans="1:2">
      <c r="A373" s="2"/>
      <c r="B373" s="9" t="s">
        <v>40</v>
      </c>
    </row>
    <row r="374" spans="1:2">
      <c r="A374" s="2"/>
      <c r="B374" s="9" t="s">
        <v>42</v>
      </c>
    </row>
    <row r="375" spans="1:2">
      <c r="A375" s="2"/>
      <c r="B375" s="9" t="s">
        <v>41</v>
      </c>
    </row>
    <row r="376" spans="1:2">
      <c r="A376" s="2" t="s">
        <v>2071</v>
      </c>
      <c r="B376" s="9" t="s">
        <v>43</v>
      </c>
    </row>
    <row r="377" spans="1:2">
      <c r="A377" s="2"/>
      <c r="B377" s="9" t="s">
        <v>51</v>
      </c>
    </row>
    <row r="378" spans="1:2">
      <c r="B378" s="9" t="s">
        <v>1619</v>
      </c>
    </row>
    <row r="379" spans="1:2">
      <c r="B379" s="9" t="s">
        <v>1620</v>
      </c>
    </row>
    <row r="380" spans="1:2">
      <c r="B380" s="9" t="s">
        <v>2069</v>
      </c>
    </row>
    <row r="382" spans="1:2">
      <c r="A382" s="9" t="s">
        <v>1856</v>
      </c>
      <c r="B382" s="9" t="s">
        <v>791</v>
      </c>
    </row>
    <row r="383" spans="1:2">
      <c r="A383" s="9" t="s">
        <v>2215</v>
      </c>
      <c r="B383" s="9" t="s">
        <v>2216</v>
      </c>
    </row>
    <row r="384" spans="1:2">
      <c r="A384" s="9" t="s">
        <v>1857</v>
      </c>
      <c r="B384" s="9" t="s">
        <v>2218</v>
      </c>
    </row>
    <row r="385" spans="1:2">
      <c r="B385" s="9" t="s">
        <v>498</v>
      </c>
    </row>
    <row r="386" spans="1:2">
      <c r="B386" s="9" t="s">
        <v>2217</v>
      </c>
    </row>
    <row r="387" spans="1:2">
      <c r="B387" s="9" t="s">
        <v>996</v>
      </c>
    </row>
    <row r="388" spans="1:2">
      <c r="B388" s="9" t="s">
        <v>1340</v>
      </c>
    </row>
    <row r="389" spans="1:2">
      <c r="B389" s="9" t="s">
        <v>2213</v>
      </c>
    </row>
    <row r="390" spans="1:2">
      <c r="B390" s="9" t="s">
        <v>2219</v>
      </c>
    </row>
    <row r="392" spans="1:2">
      <c r="A392" s="9" t="s">
        <v>1354</v>
      </c>
      <c r="B392" s="9" t="s">
        <v>791</v>
      </c>
    </row>
    <row r="393" spans="1:2">
      <c r="A393" s="9" t="s">
        <v>2248</v>
      </c>
      <c r="B393" s="9" t="s">
        <v>792</v>
      </c>
    </row>
    <row r="394" spans="1:2">
      <c r="A394" s="9" t="s">
        <v>2179</v>
      </c>
      <c r="B394" s="9" t="s">
        <v>1425</v>
      </c>
    </row>
    <row r="395" spans="1:2">
      <c r="B395" s="9" t="s">
        <v>1426</v>
      </c>
    </row>
    <row r="396" spans="1:2">
      <c r="B396" s="9" t="s">
        <v>489</v>
      </c>
    </row>
    <row r="397" spans="1:2">
      <c r="B397" s="9" t="s">
        <v>490</v>
      </c>
    </row>
    <row r="398" spans="1:2">
      <c r="B398" s="9" t="s">
        <v>1337</v>
      </c>
    </row>
    <row r="399" spans="1:2">
      <c r="B399" s="9" t="s">
        <v>874</v>
      </c>
    </row>
    <row r="400" spans="1:2">
      <c r="A400" s="9" t="s">
        <v>2247</v>
      </c>
      <c r="B400" s="9" t="s">
        <v>261</v>
      </c>
    </row>
    <row r="401" spans="1:2">
      <c r="B401" s="9" t="s">
        <v>262</v>
      </c>
    </row>
    <row r="402" spans="1:2">
      <c r="B402" s="9" t="s">
        <v>853</v>
      </c>
    </row>
    <row r="404" spans="1:2">
      <c r="A404" s="9" t="s">
        <v>1965</v>
      </c>
      <c r="B404" s="9" t="s">
        <v>791</v>
      </c>
    </row>
    <row r="405" spans="1:2">
      <c r="A405" s="9" t="s">
        <v>2248</v>
      </c>
      <c r="B405" s="9" t="s">
        <v>535</v>
      </c>
    </row>
    <row r="406" spans="1:2">
      <c r="B406" s="9" t="s">
        <v>890</v>
      </c>
    </row>
    <row r="407" spans="1:2">
      <c r="B407" s="9" t="s">
        <v>891</v>
      </c>
    </row>
    <row r="408" spans="1:2">
      <c r="B408" s="9" t="s">
        <v>1594</v>
      </c>
    </row>
    <row r="409" spans="1:2">
      <c r="A409" s="9" t="s">
        <v>2247</v>
      </c>
      <c r="B409" s="9" t="s">
        <v>1855</v>
      </c>
    </row>
    <row r="410" spans="1:2">
      <c r="A410" s="9" t="s">
        <v>2179</v>
      </c>
      <c r="B410" s="9" t="s">
        <v>1964</v>
      </c>
    </row>
    <row r="411" spans="1:2">
      <c r="B411" s="9" t="s">
        <v>796</v>
      </c>
    </row>
    <row r="412" spans="1:2">
      <c r="B412" s="9" t="s">
        <v>7</v>
      </c>
    </row>
    <row r="413" spans="1:2">
      <c r="B413" s="9" t="s">
        <v>897</v>
      </c>
    </row>
    <row r="414" spans="1:2">
      <c r="B414" s="9" t="s">
        <v>2182</v>
      </c>
    </row>
    <row r="415" spans="1:2">
      <c r="B415" s="9" t="s">
        <v>2183</v>
      </c>
    </row>
    <row r="416" spans="1:2">
      <c r="B416" s="9" t="s">
        <v>2184</v>
      </c>
    </row>
    <row r="417" spans="1:2">
      <c r="B417" s="9" t="s">
        <v>1561</v>
      </c>
    </row>
    <row r="418" spans="1:2">
      <c r="B418" s="9" t="s">
        <v>1854</v>
      </c>
    </row>
    <row r="419" spans="1:2">
      <c r="A419" s="9" t="s">
        <v>1566</v>
      </c>
      <c r="B419" s="9" t="s">
        <v>1562</v>
      </c>
    </row>
    <row r="421" spans="1:2">
      <c r="A421" s="9" t="s">
        <v>501</v>
      </c>
      <c r="B421" s="9" t="s">
        <v>791</v>
      </c>
    </row>
    <row r="422" spans="1:2">
      <c r="A422" s="9" t="s">
        <v>2248</v>
      </c>
      <c r="B422" s="9" t="s">
        <v>1926</v>
      </c>
    </row>
    <row r="423" spans="1:2">
      <c r="B423" s="9" t="s">
        <v>453</v>
      </c>
    </row>
    <row r="424" spans="1:2">
      <c r="B424" s="6" t="s">
        <v>1927</v>
      </c>
    </row>
    <row r="425" spans="1:2">
      <c r="A425" s="9" t="s">
        <v>452</v>
      </c>
      <c r="B425" s="6" t="s">
        <v>908</v>
      </c>
    </row>
    <row r="426" spans="1:2">
      <c r="A426" s="9" t="s">
        <v>2179</v>
      </c>
      <c r="B426" s="9" t="s">
        <v>502</v>
      </c>
    </row>
    <row r="427" spans="1:2">
      <c r="B427" s="9" t="s">
        <v>503</v>
      </c>
    </row>
    <row r="428" spans="1:2">
      <c r="B428" s="9" t="s">
        <v>504</v>
      </c>
    </row>
    <row r="429" spans="1:2">
      <c r="B429" s="9" t="s">
        <v>907</v>
      </c>
    </row>
    <row r="430" spans="1:2">
      <c r="B430" s="9" t="s">
        <v>1925</v>
      </c>
    </row>
    <row r="431" spans="1:2">
      <c r="B431" s="9" t="s">
        <v>906</v>
      </c>
    </row>
    <row r="433" spans="1:2">
      <c r="A433" s="9" t="s">
        <v>1478</v>
      </c>
      <c r="B433" s="9" t="s">
        <v>791</v>
      </c>
    </row>
    <row r="434" spans="1:2">
      <c r="A434" s="9" t="s">
        <v>2247</v>
      </c>
      <c r="B434" s="9" t="s">
        <v>1659</v>
      </c>
    </row>
    <row r="435" spans="1:2">
      <c r="B435" s="9" t="s">
        <v>1008</v>
      </c>
    </row>
    <row r="436" spans="1:2">
      <c r="A436" s="9" t="s">
        <v>2248</v>
      </c>
      <c r="B436" s="9" t="s">
        <v>1007</v>
      </c>
    </row>
    <row r="437" spans="1:2">
      <c r="B437" s="9" t="s">
        <v>1207</v>
      </c>
    </row>
    <row r="438" spans="1:2">
      <c r="B438" s="9" t="s">
        <v>1230</v>
      </c>
    </row>
    <row r="439" spans="1:2">
      <c r="B439" s="9" t="s">
        <v>1231</v>
      </c>
    </row>
    <row r="440" spans="1:2">
      <c r="B440" s="9" t="s">
        <v>1408</v>
      </c>
    </row>
    <row r="441" spans="1:2">
      <c r="B441" s="9" t="s">
        <v>1494</v>
      </c>
    </row>
    <row r="442" spans="1:2">
      <c r="B442" s="9" t="s">
        <v>1497</v>
      </c>
    </row>
    <row r="443" spans="1:2">
      <c r="B443" s="9" t="s">
        <v>1504</v>
      </c>
    </row>
    <row r="444" spans="1:2">
      <c r="B444" s="9" t="s">
        <v>1505</v>
      </c>
    </row>
    <row r="445" spans="1:2">
      <c r="B445" s="9" t="s">
        <v>1506</v>
      </c>
    </row>
    <row r="446" spans="1:2">
      <c r="B446" s="9" t="s">
        <v>1507</v>
      </c>
    </row>
    <row r="447" spans="1:2">
      <c r="B447" s="9" t="s">
        <v>1508</v>
      </c>
    </row>
    <row r="448" spans="1:2">
      <c r="B448" s="9" t="s">
        <v>1509</v>
      </c>
    </row>
    <row r="449" spans="1:2">
      <c r="A449" s="9" t="s">
        <v>1566</v>
      </c>
      <c r="B449" s="9" t="s">
        <v>1914</v>
      </c>
    </row>
    <row r="450" spans="1:2">
      <c r="B450" s="9" t="s">
        <v>1510</v>
      </c>
    </row>
    <row r="451" spans="1:2">
      <c r="A451" s="9" t="s">
        <v>2179</v>
      </c>
      <c r="B451" s="9" t="s">
        <v>1482</v>
      </c>
    </row>
    <row r="452" spans="1:2">
      <c r="B452" s="9" t="s">
        <v>1483</v>
      </c>
    </row>
    <row r="453" spans="1:2">
      <c r="B453" s="9" t="s">
        <v>1468</v>
      </c>
    </row>
    <row r="454" spans="1:2">
      <c r="B454" s="9" t="s">
        <v>136</v>
      </c>
    </row>
    <row r="456" spans="1:2">
      <c r="A456" s="9" t="s">
        <v>1479</v>
      </c>
      <c r="B456" s="9" t="s">
        <v>1480</v>
      </c>
    </row>
    <row r="457" spans="1:2">
      <c r="A457" s="9" t="s">
        <v>2248</v>
      </c>
      <c r="B457" s="9" t="s">
        <v>1481</v>
      </c>
    </row>
    <row r="459" spans="1:2">
      <c r="A459" s="9" t="s">
        <v>1062</v>
      </c>
      <c r="B459" s="9" t="s">
        <v>791</v>
      </c>
    </row>
    <row r="460" spans="1:2">
      <c r="A460" s="9" t="s">
        <v>2247</v>
      </c>
      <c r="B460" s="9" t="s">
        <v>1058</v>
      </c>
    </row>
    <row r="461" spans="1:2">
      <c r="A461" s="9" t="s">
        <v>2179</v>
      </c>
      <c r="B461" s="9" t="s">
        <v>283</v>
      </c>
    </row>
    <row r="462" spans="1:2">
      <c r="B462" s="9" t="s">
        <v>284</v>
      </c>
    </row>
    <row r="463" spans="1:2">
      <c r="B463" s="9" t="s">
        <v>285</v>
      </c>
    </row>
    <row r="464" spans="1:2">
      <c r="B464" s="9" t="s">
        <v>286</v>
      </c>
    </row>
    <row r="465" spans="1:2">
      <c r="B465" s="9" t="s">
        <v>287</v>
      </c>
    </row>
    <row r="466" spans="1:2">
      <c r="B466" s="9" t="s">
        <v>288</v>
      </c>
    </row>
    <row r="467" spans="1:2">
      <c r="B467" s="9" t="s">
        <v>289</v>
      </c>
    </row>
    <row r="468" spans="1:2">
      <c r="B468" s="9" t="s">
        <v>1024</v>
      </c>
    </row>
    <row r="469" spans="1:2">
      <c r="B469" s="9" t="s">
        <v>758</v>
      </c>
    </row>
    <row r="470" spans="1:2">
      <c r="B470" s="9" t="s">
        <v>759</v>
      </c>
    </row>
    <row r="471" spans="1:2">
      <c r="B471" s="9" t="s">
        <v>1059</v>
      </c>
    </row>
    <row r="472" spans="1:2">
      <c r="B472" s="9" t="s">
        <v>1061</v>
      </c>
    </row>
    <row r="473" spans="1:2">
      <c r="B473" s="9" t="s">
        <v>1060</v>
      </c>
    </row>
    <row r="475" spans="1:2">
      <c r="A475" s="9" t="s">
        <v>1126</v>
      </c>
      <c r="B475" s="9" t="s">
        <v>791</v>
      </c>
    </row>
    <row r="476" spans="1:2">
      <c r="A476" s="9" t="s">
        <v>2179</v>
      </c>
      <c r="B476" s="9" t="s">
        <v>1127</v>
      </c>
    </row>
    <row r="477" spans="1:2">
      <c r="B477" s="9" t="s">
        <v>1128</v>
      </c>
    </row>
    <row r="478" spans="1:2">
      <c r="A478" s="9" t="s">
        <v>2248</v>
      </c>
      <c r="B478" s="9" t="s">
        <v>1129</v>
      </c>
    </row>
    <row r="479" spans="1:2">
      <c r="B479" s="9" t="s">
        <v>868</v>
      </c>
    </row>
    <row r="481" spans="1:2">
      <c r="A481" s="9" t="s">
        <v>2264</v>
      </c>
      <c r="B481" s="9" t="s">
        <v>791</v>
      </c>
    </row>
    <row r="482" spans="1:2">
      <c r="A482" s="9" t="s">
        <v>2247</v>
      </c>
      <c r="B482" s="9" t="s">
        <v>160</v>
      </c>
    </row>
    <row r="484" spans="1:2">
      <c r="A484" s="9" t="s">
        <v>2263</v>
      </c>
      <c r="B484" s="9" t="s">
        <v>791</v>
      </c>
    </row>
    <row r="485" spans="1:2">
      <c r="A485" s="9" t="s">
        <v>2247</v>
      </c>
      <c r="B485" s="9" t="s">
        <v>1769</v>
      </c>
    </row>
    <row r="486" spans="1:2">
      <c r="B486" s="9" t="s">
        <v>1960</v>
      </c>
    </row>
    <row r="487" spans="1:2">
      <c r="A487" s="9" t="s">
        <v>2248</v>
      </c>
      <c r="B487" s="9" t="s">
        <v>165</v>
      </c>
    </row>
    <row r="488" spans="1:2">
      <c r="A488" s="9" t="s">
        <v>1566</v>
      </c>
      <c r="B488" s="9" t="s">
        <v>162</v>
      </c>
    </row>
    <row r="489" spans="1:2">
      <c r="B489" s="9" t="s">
        <v>1770</v>
      </c>
    </row>
    <row r="490" spans="1:2">
      <c r="A490" s="9" t="s">
        <v>2179</v>
      </c>
      <c r="B490" s="9" t="s">
        <v>531</v>
      </c>
    </row>
    <row r="491" spans="1:2">
      <c r="B491" s="9" t="s">
        <v>530</v>
      </c>
    </row>
    <row r="492" spans="1:2">
      <c r="B492" s="9" t="s">
        <v>230</v>
      </c>
    </row>
    <row r="493" spans="1:2">
      <c r="B493" s="9" t="s">
        <v>166</v>
      </c>
    </row>
    <row r="494" spans="1:2">
      <c r="B494" s="10" t="s">
        <v>1771</v>
      </c>
    </row>
    <row r="495" spans="1:2">
      <c r="B495" s="9" t="s">
        <v>1957</v>
      </c>
    </row>
    <row r="496" spans="1:2">
      <c r="B496" s="10" t="s">
        <v>1958</v>
      </c>
    </row>
    <row r="497" spans="1:256">
      <c r="B497" s="10" t="s">
        <v>1959</v>
      </c>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c r="BY497" s="9"/>
      <c r="BZ497" s="9"/>
      <c r="CA497" s="9"/>
      <c r="CB497" s="9"/>
      <c r="CC497" s="9"/>
      <c r="CD497" s="9"/>
      <c r="CE497" s="9"/>
      <c r="CF497" s="9"/>
      <c r="CG497" s="9"/>
      <c r="CH497" s="9"/>
      <c r="CI497" s="9"/>
      <c r="CJ497" s="9"/>
      <c r="CK497" s="9"/>
      <c r="CL497" s="9"/>
      <c r="CM497" s="9"/>
      <c r="CN497" s="9"/>
      <c r="CO497" s="9"/>
      <c r="CP497" s="9"/>
      <c r="CQ497" s="9"/>
      <c r="CR497" s="9"/>
      <c r="CS497" s="9"/>
      <c r="CT497" s="9"/>
      <c r="CU497" s="9"/>
      <c r="CV497" s="9"/>
      <c r="CW497" s="9"/>
      <c r="CX497" s="9"/>
      <c r="CY497" s="9"/>
      <c r="CZ497" s="9"/>
      <c r="DA497" s="9"/>
      <c r="DB497" s="9"/>
      <c r="DC497" s="9"/>
      <c r="DD497" s="9"/>
      <c r="DE497" s="9"/>
      <c r="DF497" s="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9"/>
      <c r="FK497" s="9"/>
      <c r="FL497" s="9"/>
      <c r="FM497" s="9"/>
      <c r="FN497" s="9"/>
      <c r="FO497" s="9"/>
      <c r="FP497" s="9"/>
      <c r="FQ497" s="9"/>
      <c r="FR497" s="9"/>
      <c r="FS497" s="9"/>
      <c r="FT497" s="9"/>
      <c r="FU497" s="9"/>
      <c r="FV497" s="9"/>
      <c r="FW497" s="9"/>
      <c r="FX497" s="9"/>
      <c r="FY497" s="9"/>
      <c r="FZ497" s="9"/>
      <c r="GA497" s="9"/>
      <c r="GB497" s="9"/>
      <c r="GC497" s="9"/>
      <c r="GD497" s="9"/>
      <c r="GE497" s="9"/>
      <c r="GF497" s="9"/>
      <c r="GG497" s="9"/>
      <c r="GH497" s="9"/>
      <c r="GI497" s="9"/>
      <c r="GJ497" s="9"/>
      <c r="GK497" s="9"/>
      <c r="GL497" s="9"/>
      <c r="GM497" s="9"/>
      <c r="GN497" s="9"/>
      <c r="GO497" s="9"/>
      <c r="GP497" s="9"/>
      <c r="GQ497" s="9"/>
      <c r="GR497" s="9"/>
      <c r="GS497" s="9"/>
      <c r="GT497" s="9"/>
      <c r="GU497" s="9"/>
      <c r="GV497" s="9"/>
      <c r="GW497" s="9"/>
      <c r="GX497" s="9"/>
      <c r="GY497" s="9"/>
      <c r="GZ497" s="9"/>
      <c r="HA497" s="9"/>
      <c r="HB497" s="9"/>
      <c r="HC497" s="9"/>
      <c r="HD497" s="9"/>
      <c r="HE497" s="9"/>
      <c r="HF497" s="9"/>
      <c r="HG497" s="9"/>
      <c r="HH497" s="9"/>
      <c r="HI497" s="9"/>
      <c r="HJ497" s="9"/>
      <c r="HK497" s="9"/>
      <c r="HL497" s="9"/>
      <c r="HM497" s="9"/>
      <c r="HN497" s="9"/>
      <c r="HO497" s="9"/>
      <c r="HP497" s="9"/>
      <c r="HQ497" s="9"/>
      <c r="HR497" s="9"/>
      <c r="HS497" s="9"/>
      <c r="HT497" s="9"/>
      <c r="HU497" s="9"/>
      <c r="HV497" s="9"/>
      <c r="HW497" s="9"/>
      <c r="HX497" s="9"/>
      <c r="HY497" s="9"/>
      <c r="HZ497" s="9"/>
      <c r="IA497" s="9"/>
      <c r="IB497" s="9"/>
      <c r="IC497" s="9"/>
      <c r="ID497" s="9"/>
      <c r="IE497" s="9"/>
      <c r="IF497" s="9"/>
      <c r="IG497" s="9"/>
      <c r="IH497" s="9"/>
      <c r="II497" s="9"/>
      <c r="IJ497" s="9"/>
      <c r="IK497" s="9"/>
      <c r="IL497" s="9"/>
      <c r="IM497" s="9"/>
      <c r="IN497" s="9"/>
      <c r="IO497" s="9"/>
      <c r="IP497" s="9"/>
      <c r="IQ497" s="9"/>
      <c r="IR497" s="9"/>
      <c r="IS497" s="9"/>
      <c r="IT497" s="9"/>
      <c r="IU497" s="9"/>
      <c r="IV497" s="9"/>
    </row>
    <row r="498" spans="1:256">
      <c r="B498" s="10" t="s">
        <v>1961</v>
      </c>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c r="BY498" s="9"/>
      <c r="BZ498" s="9"/>
      <c r="CA498" s="9"/>
      <c r="CB498" s="9"/>
      <c r="CC498" s="9"/>
      <c r="CD498" s="9"/>
      <c r="CE498" s="9"/>
      <c r="CF498" s="9"/>
      <c r="CG498" s="9"/>
      <c r="CH498" s="9"/>
      <c r="CI498" s="9"/>
      <c r="CJ498" s="9"/>
      <c r="CK498" s="9"/>
      <c r="CL498" s="9"/>
      <c r="CM498" s="9"/>
      <c r="CN498" s="9"/>
      <c r="CO498" s="9"/>
      <c r="CP498" s="9"/>
      <c r="CQ498" s="9"/>
      <c r="CR498" s="9"/>
      <c r="CS498" s="9"/>
      <c r="CT498" s="9"/>
      <c r="CU498" s="9"/>
      <c r="CV498" s="9"/>
      <c r="CW498" s="9"/>
      <c r="CX498" s="9"/>
      <c r="CY498" s="9"/>
      <c r="CZ498" s="9"/>
      <c r="DA498" s="9"/>
      <c r="DB498" s="9"/>
      <c r="DC498" s="9"/>
      <c r="DD498" s="9"/>
      <c r="DE498" s="9"/>
      <c r="DF498" s="9"/>
      <c r="DG498" s="9"/>
      <c r="DH498" s="9"/>
      <c r="DI498" s="9"/>
      <c r="DJ498" s="9"/>
      <c r="DK498" s="9"/>
      <c r="DL498" s="9"/>
      <c r="DM498" s="9"/>
      <c r="DN498" s="9"/>
      <c r="DO498" s="9"/>
      <c r="DP498" s="9"/>
      <c r="DQ498" s="9"/>
      <c r="DR498" s="9"/>
      <c r="DS498" s="9"/>
      <c r="DT498" s="9"/>
      <c r="DU498" s="9"/>
      <c r="DV498" s="9"/>
      <c r="DW498" s="9"/>
      <c r="DX498" s="9"/>
      <c r="DY498" s="9"/>
      <c r="DZ498" s="9"/>
      <c r="EA498" s="9"/>
      <c r="EB498" s="9"/>
      <c r="EC498" s="9"/>
      <c r="ED498" s="9"/>
      <c r="EE498" s="9"/>
      <c r="EF498" s="9"/>
      <c r="EG498" s="9"/>
      <c r="EH498" s="9"/>
      <c r="EI498" s="9"/>
      <c r="EJ498" s="9"/>
      <c r="EK498" s="9"/>
      <c r="EL498" s="9"/>
      <c r="EM498" s="9"/>
      <c r="EN498" s="9"/>
      <c r="EO498" s="9"/>
      <c r="EP498" s="9"/>
      <c r="EQ498" s="9"/>
      <c r="ER498" s="9"/>
      <c r="ES498" s="9"/>
      <c r="ET498" s="9"/>
      <c r="EU498" s="9"/>
      <c r="EV498" s="9"/>
      <c r="EW498" s="9"/>
      <c r="EX498" s="9"/>
      <c r="EY498" s="9"/>
      <c r="EZ498" s="9"/>
      <c r="FA498" s="9"/>
      <c r="FB498" s="9"/>
      <c r="FC498" s="9"/>
      <c r="FD498" s="9"/>
      <c r="FE498" s="9"/>
      <c r="FF498" s="9"/>
      <c r="FG498" s="9"/>
      <c r="FH498" s="9"/>
      <c r="FI498" s="9"/>
      <c r="FJ498" s="9"/>
      <c r="FK498" s="9"/>
      <c r="FL498" s="9"/>
      <c r="FM498" s="9"/>
      <c r="FN498" s="9"/>
      <c r="FO498" s="9"/>
      <c r="FP498" s="9"/>
      <c r="FQ498" s="9"/>
      <c r="FR498" s="9"/>
      <c r="FS498" s="9"/>
      <c r="FT498" s="9"/>
      <c r="FU498" s="9"/>
      <c r="FV498" s="9"/>
      <c r="FW498" s="9"/>
      <c r="FX498" s="9"/>
      <c r="FY498" s="9"/>
      <c r="FZ498" s="9"/>
      <c r="GA498" s="9"/>
      <c r="GB498" s="9"/>
      <c r="GC498" s="9"/>
      <c r="GD498" s="9"/>
      <c r="GE498" s="9"/>
      <c r="GF498" s="9"/>
      <c r="GG498" s="9"/>
      <c r="GH498" s="9"/>
      <c r="GI498" s="9"/>
      <c r="GJ498" s="9"/>
      <c r="GK498" s="9"/>
      <c r="GL498" s="9"/>
      <c r="GM498" s="9"/>
      <c r="GN498" s="9"/>
      <c r="GO498" s="9"/>
      <c r="GP498" s="9"/>
      <c r="GQ498" s="9"/>
      <c r="GR498" s="9"/>
      <c r="GS498" s="9"/>
      <c r="GT498" s="9"/>
      <c r="GU498" s="9"/>
      <c r="GV498" s="9"/>
      <c r="GW498" s="9"/>
      <c r="GX498" s="9"/>
      <c r="GY498" s="9"/>
      <c r="GZ498" s="9"/>
      <c r="HA498" s="9"/>
      <c r="HB498" s="9"/>
      <c r="HC498" s="9"/>
      <c r="HD498" s="9"/>
      <c r="HE498" s="9"/>
      <c r="HF498" s="9"/>
      <c r="HG498" s="9"/>
      <c r="HH498" s="9"/>
      <c r="HI498" s="9"/>
      <c r="HJ498" s="9"/>
      <c r="HK498" s="9"/>
      <c r="HL498" s="9"/>
      <c r="HM498" s="9"/>
      <c r="HN498" s="9"/>
      <c r="HO498" s="9"/>
      <c r="HP498" s="9"/>
      <c r="HQ498" s="9"/>
      <c r="HR498" s="9"/>
      <c r="HS498" s="9"/>
      <c r="HT498" s="9"/>
      <c r="HU498" s="9"/>
      <c r="HV498" s="9"/>
      <c r="HW498" s="9"/>
      <c r="HX498" s="9"/>
      <c r="HY498" s="9"/>
      <c r="HZ498" s="9"/>
      <c r="IA498" s="9"/>
      <c r="IB498" s="9"/>
      <c r="IC498" s="9"/>
      <c r="ID498" s="9"/>
      <c r="IE498" s="9"/>
      <c r="IF498" s="9"/>
      <c r="IG498" s="9"/>
      <c r="IH498" s="9"/>
      <c r="II498" s="9"/>
      <c r="IJ498" s="9"/>
      <c r="IK498" s="9"/>
      <c r="IL498" s="9"/>
      <c r="IM498" s="9"/>
      <c r="IN498" s="9"/>
      <c r="IO498" s="9"/>
      <c r="IP498" s="9"/>
      <c r="IQ498" s="9"/>
      <c r="IR498" s="9"/>
      <c r="IS498" s="9"/>
      <c r="IT498" s="9"/>
      <c r="IU498" s="9"/>
      <c r="IV498" s="9"/>
    </row>
    <row r="499" spans="1:256">
      <c r="B499" s="10" t="s">
        <v>1962</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A501" s="9" t="s">
        <v>824</v>
      </c>
      <c r="B501" s="9" t="s">
        <v>1672</v>
      </c>
      <c r="C501" s="9"/>
      <c r="D501" s="10"/>
      <c r="E501" s="9"/>
      <c r="F501" s="10"/>
      <c r="G501" s="9"/>
      <c r="H501" s="10"/>
      <c r="I501" s="9"/>
      <c r="J501" s="10"/>
      <c r="K501" s="9"/>
      <c r="L501" s="10"/>
      <c r="M501" s="9"/>
      <c r="N501" s="10"/>
      <c r="O501" s="9"/>
      <c r="P501" s="10"/>
      <c r="Q501" s="9"/>
      <c r="R501" s="10"/>
      <c r="S501" s="9"/>
      <c r="T501" s="10"/>
      <c r="U501" s="9"/>
      <c r="V501" s="10"/>
      <c r="W501" s="9"/>
      <c r="X501" s="10"/>
      <c r="Y501" s="9"/>
      <c r="Z501" s="10"/>
      <c r="AA501" s="9"/>
      <c r="AB501" s="10"/>
      <c r="AC501" s="9"/>
      <c r="AD501" s="10"/>
      <c r="AE501" s="9"/>
      <c r="AF501" s="10"/>
      <c r="AG501" s="9"/>
      <c r="AH501" s="10"/>
      <c r="AI501" s="9"/>
      <c r="AJ501" s="10"/>
      <c r="AK501" s="9"/>
      <c r="AL501" s="10"/>
      <c r="AM501" s="9"/>
      <c r="AN501" s="10"/>
      <c r="AO501" s="9"/>
      <c r="AP501" s="10"/>
      <c r="AQ501" s="9"/>
      <c r="AR501" s="10"/>
      <c r="AS501" s="9"/>
      <c r="AT501" s="10"/>
      <c r="AU501" s="9"/>
      <c r="AV501" s="10"/>
      <c r="AW501" s="9"/>
      <c r="AX501" s="10"/>
      <c r="AY501" s="9"/>
      <c r="AZ501" s="10"/>
      <c r="BA501" s="9"/>
      <c r="BB501" s="10"/>
      <c r="BC501" s="9"/>
      <c r="BD501" s="10"/>
      <c r="BE501" s="9"/>
      <c r="BF501" s="10"/>
      <c r="BG501" s="9"/>
      <c r="BH501" s="10"/>
      <c r="BI501" s="9"/>
      <c r="BJ501" s="10"/>
      <c r="BK501" s="9"/>
      <c r="BL501" s="10"/>
      <c r="BM501" s="9"/>
      <c r="BN501" s="10"/>
      <c r="BO501" s="9"/>
      <c r="BP501" s="10"/>
      <c r="BQ501" s="9"/>
      <c r="BR501" s="10"/>
      <c r="BS501" s="9"/>
      <c r="BT501" s="10"/>
      <c r="BU501" s="9"/>
      <c r="BV501" s="10"/>
      <c r="BW501" s="9"/>
      <c r="BX501" s="10"/>
      <c r="BY501" s="9"/>
      <c r="BZ501" s="10"/>
      <c r="CA501" s="9"/>
      <c r="CB501" s="10"/>
      <c r="CC501" s="9"/>
      <c r="CD501" s="10"/>
      <c r="CE501" s="9"/>
      <c r="CF501" s="10"/>
      <c r="CG501" s="9"/>
      <c r="CH501" s="10"/>
      <c r="CI501" s="9"/>
      <c r="CJ501" s="10"/>
      <c r="CK501" s="9"/>
      <c r="CL501" s="10"/>
      <c r="CM501" s="9"/>
      <c r="CN501" s="10"/>
      <c r="CO501" s="9"/>
      <c r="CP501" s="10"/>
      <c r="CQ501" s="9"/>
      <c r="CR501" s="10"/>
      <c r="CS501" s="9"/>
      <c r="CT501" s="10"/>
      <c r="CU501" s="9"/>
      <c r="CV501" s="10"/>
      <c r="CW501" s="9"/>
      <c r="CX501" s="10"/>
      <c r="CY501" s="9"/>
      <c r="CZ501" s="10"/>
      <c r="DA501" s="9"/>
      <c r="DB501" s="10"/>
      <c r="DC501" s="9"/>
      <c r="DD501" s="10"/>
      <c r="DE501" s="9"/>
      <c r="DF501" s="10"/>
      <c r="DG501" s="9"/>
      <c r="DH501" s="10"/>
      <c r="DI501" s="9"/>
      <c r="DJ501" s="10"/>
      <c r="DK501" s="9"/>
      <c r="DL501" s="10"/>
      <c r="DM501" s="9"/>
      <c r="DN501" s="10"/>
      <c r="DO501" s="9"/>
      <c r="DP501" s="10"/>
      <c r="DQ501" s="9"/>
      <c r="DR501" s="10"/>
      <c r="DS501" s="9"/>
      <c r="DT501" s="10"/>
      <c r="DU501" s="9"/>
      <c r="DV501" s="10"/>
      <c r="DW501" s="9"/>
      <c r="DX501" s="10"/>
      <c r="DY501" s="9"/>
      <c r="DZ501" s="10"/>
      <c r="EA501" s="9"/>
      <c r="EB501" s="10"/>
      <c r="EC501" s="9"/>
      <c r="ED501" s="10"/>
      <c r="EE501" s="9"/>
      <c r="EF501" s="10"/>
      <c r="EG501" s="9"/>
      <c r="EH501" s="10"/>
      <c r="EI501" s="9"/>
      <c r="EJ501" s="10"/>
      <c r="EK501" s="9"/>
      <c r="EL501" s="10"/>
      <c r="EM501" s="9"/>
      <c r="EN501" s="10"/>
      <c r="EO501" s="9"/>
      <c r="EP501" s="10"/>
      <c r="EQ501" s="9"/>
      <c r="ER501" s="10"/>
      <c r="ES501" s="9"/>
      <c r="ET501" s="10"/>
      <c r="EU501" s="9"/>
      <c r="EV501" s="10"/>
      <c r="EW501" s="9"/>
      <c r="EX501" s="10"/>
      <c r="EY501" s="9"/>
      <c r="EZ501" s="10"/>
      <c r="FA501" s="9"/>
      <c r="FB501" s="10"/>
      <c r="FC501" s="9"/>
      <c r="FD501" s="10"/>
      <c r="FE501" s="9"/>
      <c r="FF501" s="10"/>
      <c r="FG501" s="9"/>
      <c r="FH501" s="10"/>
      <c r="FI501" s="9"/>
      <c r="FJ501" s="10"/>
      <c r="FK501" s="9"/>
      <c r="FL501" s="10"/>
      <c r="FM501" s="9"/>
      <c r="FN501" s="10"/>
      <c r="FO501" s="9"/>
      <c r="FP501" s="10"/>
      <c r="FQ501" s="9"/>
      <c r="FR501" s="10"/>
      <c r="FS501" s="9"/>
      <c r="FT501" s="10"/>
      <c r="FU501" s="9"/>
      <c r="FV501" s="10"/>
      <c r="FW501" s="9"/>
      <c r="FX501" s="10"/>
      <c r="FY501" s="9"/>
      <c r="FZ501" s="10"/>
      <c r="GA501" s="9"/>
      <c r="GB501" s="10"/>
      <c r="GC501" s="9"/>
      <c r="GD501" s="10"/>
      <c r="GE501" s="9"/>
      <c r="GF501" s="10"/>
      <c r="GG501" s="9"/>
      <c r="GH501" s="10"/>
      <c r="GI501" s="9"/>
      <c r="GJ501" s="10"/>
      <c r="GK501" s="9"/>
      <c r="GL501" s="10"/>
      <c r="GM501" s="9"/>
      <c r="GN501" s="10"/>
      <c r="GO501" s="9"/>
      <c r="GP501" s="10"/>
      <c r="GQ501" s="9"/>
      <c r="GR501" s="10"/>
      <c r="GS501" s="9"/>
      <c r="GT501" s="10"/>
      <c r="GU501" s="9"/>
      <c r="GV501" s="10"/>
      <c r="GW501" s="9"/>
      <c r="GX501" s="10"/>
      <c r="GY501" s="9"/>
      <c r="GZ501" s="10"/>
      <c r="HA501" s="9"/>
      <c r="HB501" s="10"/>
      <c r="HC501" s="9"/>
      <c r="HD501" s="10"/>
      <c r="HE501" s="9"/>
      <c r="HF501" s="10"/>
      <c r="HG501" s="9"/>
      <c r="HH501" s="10"/>
      <c r="HI501" s="9"/>
      <c r="HJ501" s="10"/>
      <c r="HK501" s="9"/>
      <c r="HL501" s="10"/>
      <c r="HM501" s="9"/>
      <c r="HN501" s="10"/>
      <c r="HO501" s="9"/>
      <c r="HP501" s="10"/>
      <c r="HQ501" s="9"/>
      <c r="HR501" s="10"/>
      <c r="HS501" s="9"/>
      <c r="HT501" s="10"/>
      <c r="HU501" s="9"/>
      <c r="HV501" s="10"/>
      <c r="HW501" s="9"/>
      <c r="HX501" s="10"/>
      <c r="HY501" s="9"/>
      <c r="HZ501" s="10"/>
      <c r="IA501" s="9"/>
      <c r="IB501" s="10"/>
      <c r="IC501" s="9"/>
      <c r="ID501" s="10"/>
      <c r="IE501" s="9"/>
      <c r="IF501" s="10"/>
      <c r="IG501" s="9"/>
      <c r="IH501" s="10"/>
      <c r="II501" s="9"/>
      <c r="IJ501" s="10"/>
      <c r="IK501" s="9"/>
      <c r="IL501" s="10"/>
      <c r="IM501" s="9"/>
      <c r="IN501" s="10"/>
      <c r="IO501" s="9"/>
      <c r="IP501" s="10"/>
      <c r="IQ501" s="9"/>
      <c r="IR501" s="10"/>
      <c r="IS501" s="9"/>
      <c r="IT501" s="10"/>
      <c r="IU501" s="9"/>
      <c r="IV501" s="10"/>
    </row>
    <row r="502" spans="1:256">
      <c r="A502" s="9" t="s">
        <v>2247</v>
      </c>
      <c r="B502" s="9" t="s">
        <v>1673</v>
      </c>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B503" s="9" t="s">
        <v>1242</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B504" s="9" t="s">
        <v>2176</v>
      </c>
      <c r="C504" s="9"/>
      <c r="D504" s="10"/>
      <c r="E504" s="9"/>
      <c r="F504" s="10"/>
      <c r="G504" s="9"/>
      <c r="H504" s="10"/>
      <c r="I504" s="9"/>
      <c r="J504" s="10"/>
      <c r="K504" s="9"/>
      <c r="L504" s="10"/>
      <c r="M504" s="9"/>
      <c r="N504" s="10"/>
      <c r="O504" s="9"/>
      <c r="P504" s="10"/>
      <c r="Q504" s="9"/>
      <c r="R504" s="10"/>
      <c r="S504" s="9"/>
      <c r="T504" s="10"/>
      <c r="U504" s="9"/>
      <c r="V504" s="10"/>
      <c r="W504" s="9"/>
      <c r="X504" s="10"/>
      <c r="Y504" s="9"/>
      <c r="Z504" s="10"/>
      <c r="AA504" s="9"/>
      <c r="AB504" s="10"/>
      <c r="AC504" s="9"/>
      <c r="AD504" s="10"/>
      <c r="AE504" s="9"/>
      <c r="AF504" s="10"/>
      <c r="AG504" s="9"/>
      <c r="AH504" s="10"/>
      <c r="AI504" s="9"/>
      <c r="AJ504" s="10"/>
      <c r="AK504" s="9"/>
      <c r="AL504" s="10"/>
      <c r="AM504" s="9"/>
      <c r="AN504" s="10"/>
      <c r="AO504" s="9"/>
      <c r="AP504" s="10"/>
      <c r="AQ504" s="9"/>
      <c r="AR504" s="10"/>
      <c r="AS504" s="9"/>
      <c r="AT504" s="10"/>
      <c r="AU504" s="9"/>
      <c r="AV504" s="10"/>
      <c r="AW504" s="9"/>
      <c r="AX504" s="10"/>
      <c r="AY504" s="9"/>
      <c r="AZ504" s="10"/>
      <c r="BA504" s="9"/>
      <c r="BB504" s="10"/>
      <c r="BC504" s="9"/>
      <c r="BD504" s="10"/>
      <c r="BE504" s="9"/>
      <c r="BF504" s="10"/>
      <c r="BG504" s="9"/>
      <c r="BH504" s="10"/>
      <c r="BI504" s="9"/>
      <c r="BJ504" s="10"/>
      <c r="BK504" s="9"/>
      <c r="BL504" s="10"/>
      <c r="BM504" s="9"/>
      <c r="BN504" s="10"/>
      <c r="BO504" s="9"/>
      <c r="BP504" s="10"/>
      <c r="BQ504" s="9"/>
      <c r="BR504" s="10"/>
      <c r="BS504" s="9"/>
      <c r="BT504" s="10"/>
      <c r="BU504" s="9"/>
      <c r="BV504" s="10"/>
      <c r="BW504" s="9"/>
      <c r="BX504" s="10"/>
      <c r="BY504" s="9"/>
      <c r="BZ504" s="10"/>
      <c r="CA504" s="9"/>
      <c r="CB504" s="10"/>
      <c r="CC504" s="9"/>
      <c r="CD504" s="10"/>
      <c r="CE504" s="9"/>
      <c r="CF504" s="10"/>
      <c r="CG504" s="9"/>
      <c r="CH504" s="10"/>
      <c r="CI504" s="9"/>
      <c r="CJ504" s="10"/>
      <c r="CK504" s="9"/>
      <c r="CL504" s="10"/>
      <c r="CM504" s="9"/>
      <c r="CN504" s="10"/>
      <c r="CO504" s="9"/>
      <c r="CP504" s="10"/>
      <c r="CQ504" s="9"/>
      <c r="CR504" s="10"/>
      <c r="CS504" s="9"/>
      <c r="CT504" s="10"/>
      <c r="CU504" s="9"/>
      <c r="CV504" s="10"/>
      <c r="CW504" s="9"/>
      <c r="CX504" s="10"/>
      <c r="CY504" s="9"/>
      <c r="CZ504" s="10"/>
      <c r="DA504" s="9"/>
      <c r="DB504" s="10"/>
      <c r="DC504" s="9"/>
      <c r="DD504" s="10"/>
      <c r="DE504" s="9"/>
      <c r="DF504" s="10"/>
      <c r="DG504" s="9"/>
      <c r="DH504" s="10"/>
      <c r="DI504" s="9"/>
      <c r="DJ504" s="10"/>
      <c r="DK504" s="9"/>
      <c r="DL504" s="10"/>
      <c r="DM504" s="9"/>
      <c r="DN504" s="10"/>
      <c r="DO504" s="9"/>
      <c r="DP504" s="10"/>
      <c r="DQ504" s="9"/>
      <c r="DR504" s="10"/>
      <c r="DS504" s="9"/>
      <c r="DT504" s="10"/>
      <c r="DU504" s="9"/>
      <c r="DV504" s="10"/>
      <c r="DW504" s="9"/>
      <c r="DX504" s="10"/>
      <c r="DY504" s="9"/>
      <c r="DZ504" s="10"/>
      <c r="EA504" s="9"/>
      <c r="EB504" s="10"/>
      <c r="EC504" s="9"/>
      <c r="ED504" s="10"/>
      <c r="EE504" s="9"/>
      <c r="EF504" s="10"/>
      <c r="EG504" s="9"/>
      <c r="EH504" s="10"/>
      <c r="EI504" s="9"/>
      <c r="EJ504" s="10"/>
      <c r="EK504" s="9"/>
      <c r="EL504" s="10"/>
      <c r="EM504" s="9"/>
      <c r="EN504" s="10"/>
      <c r="EO504" s="9"/>
      <c r="EP504" s="10"/>
      <c r="EQ504" s="9"/>
      <c r="ER504" s="10"/>
      <c r="ES504" s="9"/>
      <c r="ET504" s="10"/>
      <c r="EU504" s="9"/>
      <c r="EV504" s="10"/>
      <c r="EW504" s="9"/>
      <c r="EX504" s="10"/>
      <c r="EY504" s="9"/>
      <c r="EZ504" s="10"/>
      <c r="FA504" s="9"/>
      <c r="FB504" s="10"/>
      <c r="FC504" s="9"/>
      <c r="FD504" s="10"/>
      <c r="FE504" s="9"/>
      <c r="FF504" s="10"/>
      <c r="FG504" s="9"/>
      <c r="FH504" s="10"/>
      <c r="FI504" s="9"/>
      <c r="FJ504" s="10"/>
      <c r="FK504" s="9"/>
      <c r="FL504" s="10"/>
      <c r="FM504" s="9"/>
      <c r="FN504" s="10"/>
      <c r="FO504" s="9"/>
      <c r="FP504" s="10"/>
      <c r="FQ504" s="9"/>
      <c r="FR504" s="10"/>
      <c r="FS504" s="9"/>
      <c r="FT504" s="10"/>
      <c r="FU504" s="9"/>
      <c r="FV504" s="10"/>
      <c r="FW504" s="9"/>
      <c r="FX504" s="10"/>
      <c r="FY504" s="9"/>
      <c r="FZ504" s="10"/>
      <c r="GA504" s="9"/>
      <c r="GB504" s="10"/>
      <c r="GC504" s="9"/>
      <c r="GD504" s="10"/>
      <c r="GE504" s="9"/>
      <c r="GF504" s="10"/>
      <c r="GG504" s="9"/>
      <c r="GH504" s="10"/>
      <c r="GI504" s="9"/>
      <c r="GJ504" s="10"/>
      <c r="GK504" s="9"/>
      <c r="GL504" s="10"/>
      <c r="GM504" s="9"/>
      <c r="GN504" s="10"/>
      <c r="GO504" s="9"/>
      <c r="GP504" s="10"/>
      <c r="GQ504" s="9"/>
      <c r="GR504" s="10"/>
      <c r="GS504" s="9"/>
      <c r="GT504" s="10"/>
      <c r="GU504" s="9"/>
      <c r="GV504" s="10"/>
      <c r="GW504" s="9"/>
      <c r="GX504" s="10"/>
      <c r="GY504" s="9"/>
      <c r="GZ504" s="10"/>
      <c r="HA504" s="9"/>
      <c r="HB504" s="10"/>
      <c r="HC504" s="9"/>
      <c r="HD504" s="10"/>
      <c r="HE504" s="9"/>
      <c r="HF504" s="10"/>
      <c r="HG504" s="9"/>
      <c r="HH504" s="10"/>
      <c r="HI504" s="9"/>
      <c r="HJ504" s="10"/>
      <c r="HK504" s="9"/>
      <c r="HL504" s="10"/>
      <c r="HM504" s="9"/>
      <c r="HN504" s="10"/>
      <c r="HO504" s="9"/>
      <c r="HP504" s="10"/>
      <c r="HQ504" s="9"/>
      <c r="HR504" s="10"/>
      <c r="HS504" s="9"/>
      <c r="HT504" s="10"/>
      <c r="HU504" s="9"/>
      <c r="HV504" s="10"/>
      <c r="HW504" s="9"/>
      <c r="HX504" s="10"/>
      <c r="HY504" s="9"/>
      <c r="HZ504" s="10"/>
      <c r="IA504" s="9"/>
      <c r="IB504" s="10"/>
      <c r="IC504" s="9"/>
      <c r="ID504" s="10"/>
      <c r="IE504" s="9"/>
      <c r="IF504" s="10"/>
      <c r="IG504" s="9"/>
      <c r="IH504" s="10"/>
      <c r="II504" s="9"/>
      <c r="IJ504" s="10"/>
      <c r="IK504" s="9"/>
      <c r="IL504" s="10"/>
      <c r="IM504" s="9"/>
      <c r="IN504" s="10"/>
      <c r="IO504" s="9"/>
      <c r="IP504" s="10"/>
      <c r="IQ504" s="9"/>
      <c r="IR504" s="10"/>
      <c r="IS504" s="9"/>
      <c r="IT504" s="10"/>
      <c r="IU504" s="9"/>
      <c r="IV504" s="10"/>
    </row>
    <row r="505" spans="1:256">
      <c r="B505" s="10" t="s">
        <v>2177</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A506" s="9" t="s">
        <v>2248</v>
      </c>
      <c r="B506" s="9" t="s">
        <v>2178</v>
      </c>
    </row>
    <row r="507" spans="1:256">
      <c r="A507" s="9" t="s">
        <v>2179</v>
      </c>
      <c r="B507" s="10" t="s">
        <v>2180</v>
      </c>
    </row>
    <row r="508" spans="1:256">
      <c r="B508" s="10" t="s">
        <v>2181</v>
      </c>
    </row>
    <row r="509" spans="1:256">
      <c r="B509" s="10"/>
    </row>
    <row r="510" spans="1:256">
      <c r="A510" s="9" t="s">
        <v>1671</v>
      </c>
    </row>
    <row r="511" spans="1:256">
      <c r="A511" s="9" t="s">
        <v>2247</v>
      </c>
      <c r="B511" s="9" t="s">
        <v>1670</v>
      </c>
    </row>
    <row r="512" spans="1:256">
      <c r="B512" s="9" t="s">
        <v>2211</v>
      </c>
      <c r="J512" s="10"/>
    </row>
    <row r="513" spans="1:2">
      <c r="A513" s="9" t="s">
        <v>2248</v>
      </c>
      <c r="B513" s="9" t="s">
        <v>161</v>
      </c>
    </row>
    <row r="515" spans="1:2">
      <c r="A515" s="9" t="s">
        <v>1580</v>
      </c>
      <c r="B515" s="9" t="s">
        <v>1581</v>
      </c>
    </row>
    <row r="516" spans="1:2">
      <c r="A516" s="9" t="s">
        <v>1584</v>
      </c>
      <c r="B516" s="9" t="s">
        <v>1585</v>
      </c>
    </row>
    <row r="517" spans="1:2">
      <c r="B517" s="9" t="s">
        <v>1583</v>
      </c>
    </row>
    <row r="518" spans="1:2">
      <c r="B518" s="9" t="s">
        <v>1427</v>
      </c>
    </row>
    <row r="519" spans="1:2">
      <c r="B519" s="9" t="s">
        <v>1716</v>
      </c>
    </row>
    <row r="520" spans="1:2">
      <c r="B520" s="9" t="s">
        <v>1717</v>
      </c>
    </row>
    <row r="521" spans="1:2">
      <c r="B521" s="9" t="s">
        <v>219</v>
      </c>
    </row>
    <row r="522" spans="1:2">
      <c r="B522" s="9" t="s">
        <v>220</v>
      </c>
    </row>
    <row r="523" spans="1:2">
      <c r="B523" s="9" t="s">
        <v>221</v>
      </c>
    </row>
    <row r="525" spans="1:2">
      <c r="A525" s="9" t="s">
        <v>726</v>
      </c>
    </row>
    <row r="526" spans="1:2">
      <c r="A526" s="9" t="s">
        <v>2247</v>
      </c>
      <c r="B526" s="10" t="s">
        <v>725</v>
      </c>
    </row>
    <row r="527" spans="1:2">
      <c r="B527" s="9" t="s">
        <v>937</v>
      </c>
    </row>
    <row r="528" spans="1:2">
      <c r="A528" s="9" t="s">
        <v>1566</v>
      </c>
      <c r="B528" s="9" t="s">
        <v>544</v>
      </c>
    </row>
    <row r="529" spans="1:6">
      <c r="A529" s="9" t="s">
        <v>2248</v>
      </c>
      <c r="B529" s="285" t="s">
        <v>1438</v>
      </c>
    </row>
    <row r="530" spans="1:6">
      <c r="B530" s="10" t="s">
        <v>282</v>
      </c>
    </row>
    <row r="531" spans="1:6">
      <c r="B531" s="10" t="s">
        <v>278</v>
      </c>
    </row>
    <row r="532" spans="1:6">
      <c r="B532" s="10" t="s">
        <v>1760</v>
      </c>
    </row>
    <row r="533" spans="1:6">
      <c r="B533" s="10" t="s">
        <v>1530</v>
      </c>
    </row>
    <row r="534" spans="1:6">
      <c r="B534" s="10" t="s">
        <v>545</v>
      </c>
    </row>
    <row r="535" spans="1:6">
      <c r="B535" s="48" t="s">
        <v>1430</v>
      </c>
    </row>
    <row r="536" spans="1:6">
      <c r="B536" s="126" t="s">
        <v>1429</v>
      </c>
    </row>
    <row r="537" spans="1:6">
      <c r="B537" s="10" t="s">
        <v>280</v>
      </c>
    </row>
    <row r="538" spans="1:6">
      <c r="B538" s="10" t="s">
        <v>548</v>
      </c>
    </row>
    <row r="539" spans="1:6">
      <c r="B539" s="10" t="s">
        <v>281</v>
      </c>
    </row>
    <row r="540" spans="1:6">
      <c r="B540" s="10" t="s">
        <v>1432</v>
      </c>
    </row>
    <row r="541" spans="1:6">
      <c r="B541" s="10" t="s">
        <v>1431</v>
      </c>
    </row>
    <row r="542" spans="1:6">
      <c r="B542" s="10" t="s">
        <v>1531</v>
      </c>
    </row>
    <row r="543" spans="1:6">
      <c r="A543" s="2"/>
      <c r="B543" s="10" t="s">
        <v>279</v>
      </c>
    </row>
    <row r="544" spans="1:6">
      <c r="A544" s="2"/>
      <c r="B544" s="10" t="s">
        <v>727</v>
      </c>
      <c r="F544" s="286"/>
    </row>
    <row r="545" spans="1:2">
      <c r="A545" s="2"/>
      <c r="B545" s="10" t="s">
        <v>546</v>
      </c>
    </row>
    <row r="546" spans="1:2">
      <c r="A546" s="2"/>
      <c r="B546" s="10" t="s">
        <v>1433</v>
      </c>
    </row>
    <row r="547" spans="1:2">
      <c r="A547" s="2"/>
      <c r="B547" s="10" t="s">
        <v>1302</v>
      </c>
    </row>
    <row r="548" spans="1:2">
      <c r="A548" s="2"/>
      <c r="B548" s="10" t="s">
        <v>1437</v>
      </c>
    </row>
    <row r="549" spans="1:2">
      <c r="A549" s="2"/>
      <c r="B549" s="10" t="s">
        <v>277</v>
      </c>
    </row>
    <row r="550" spans="1:2">
      <c r="A550" s="2"/>
      <c r="B550" s="10" t="s">
        <v>1434</v>
      </c>
    </row>
    <row r="551" spans="1:2">
      <c r="A551" s="2"/>
      <c r="B551" s="10" t="s">
        <v>1435</v>
      </c>
    </row>
    <row r="552" spans="1:2">
      <c r="A552" s="2"/>
      <c r="B552" s="10" t="s">
        <v>1436</v>
      </c>
    </row>
    <row r="553" spans="1:2">
      <c r="A553" s="2"/>
      <c r="B553" s="10" t="s">
        <v>1763</v>
      </c>
    </row>
    <row r="554" spans="1:2">
      <c r="A554" s="2"/>
      <c r="B554" s="10" t="s">
        <v>1528</v>
      </c>
    </row>
    <row r="555" spans="1:2">
      <c r="A555" s="2"/>
      <c r="B555" s="10" t="s">
        <v>1525</v>
      </c>
    </row>
    <row r="556" spans="1:2">
      <c r="A556" s="2"/>
      <c r="B556" s="10" t="s">
        <v>1529</v>
      </c>
    </row>
    <row r="557" spans="1:2">
      <c r="A557" s="2"/>
      <c r="B557" s="10" t="s">
        <v>1526</v>
      </c>
    </row>
    <row r="558" spans="1:2">
      <c r="A558" s="2"/>
      <c r="B558" s="10" t="s">
        <v>1527</v>
      </c>
    </row>
    <row r="559" spans="1:2">
      <c r="A559" s="2"/>
      <c r="B559" s="10" t="s">
        <v>1762</v>
      </c>
    </row>
    <row r="560" spans="1:2">
      <c r="A560" s="2"/>
      <c r="B560" s="10" t="s">
        <v>1421</v>
      </c>
    </row>
    <row r="561" spans="1:2">
      <c r="A561" s="2"/>
      <c r="B561" s="10" t="s">
        <v>1766</v>
      </c>
    </row>
    <row r="562" spans="1:2">
      <c r="A562" s="2"/>
      <c r="B562" s="10" t="s">
        <v>1761</v>
      </c>
    </row>
    <row r="563" spans="1:2">
      <c r="A563" s="2"/>
      <c r="B563" s="10" t="s">
        <v>1767</v>
      </c>
    </row>
    <row r="564" spans="1:2">
      <c r="A564" s="2"/>
      <c r="B564" s="10" t="s">
        <v>1765</v>
      </c>
    </row>
    <row r="565" spans="1:2">
      <c r="A565" s="2"/>
      <c r="B565" s="10" t="s">
        <v>1764</v>
      </c>
    </row>
    <row r="566" spans="1:2">
      <c r="A566" s="2"/>
      <c r="B566" s="10" t="s">
        <v>1768</v>
      </c>
    </row>
    <row r="567" spans="1:2">
      <c r="A567" s="2"/>
      <c r="B567" s="10" t="s">
        <v>547</v>
      </c>
    </row>
    <row r="568" spans="1:2">
      <c r="A568" s="2"/>
      <c r="B568" s="10" t="s">
        <v>159</v>
      </c>
    </row>
    <row r="569" spans="1:2">
      <c r="A569" s="2"/>
      <c r="B569" s="10" t="s">
        <v>1422</v>
      </c>
    </row>
    <row r="570" spans="1:2">
      <c r="A570" s="2"/>
      <c r="B570" s="10" t="s">
        <v>1423</v>
      </c>
    </row>
    <row r="571" spans="1:2">
      <c r="A571" s="2"/>
      <c r="B571" s="10" t="s">
        <v>1424</v>
      </c>
    </row>
    <row r="572" spans="1:2">
      <c r="A572" s="2"/>
      <c r="B572" s="10" t="s">
        <v>158</v>
      </c>
    </row>
    <row r="573" spans="1:2">
      <c r="A573" s="2"/>
      <c r="B573" s="10"/>
    </row>
    <row r="574" spans="1:2">
      <c r="A574" s="2"/>
      <c r="B574" s="10"/>
    </row>
    <row r="575" spans="1:2">
      <c r="A575" s="2"/>
      <c r="B575" s="285" t="s">
        <v>543</v>
      </c>
    </row>
    <row r="576" spans="1:2">
      <c r="B576" s="286" t="s">
        <v>549</v>
      </c>
    </row>
    <row r="578" spans="1:2">
      <c r="A578" s="9" t="s">
        <v>1031</v>
      </c>
    </row>
    <row r="579" spans="1:2">
      <c r="A579" s="9" t="s">
        <v>276</v>
      </c>
      <c r="B579" s="9" t="s">
        <v>963</v>
      </c>
    </row>
    <row r="580" spans="1:2">
      <c r="A580" s="9" t="s">
        <v>273</v>
      </c>
      <c r="B580" s="9" t="s">
        <v>963</v>
      </c>
    </row>
    <row r="581" spans="1:2">
      <c r="A581" s="9" t="s">
        <v>1343</v>
      </c>
      <c r="B581" s="9" t="s">
        <v>963</v>
      </c>
    </row>
    <row r="582" spans="1:2">
      <c r="A582" s="9" t="s">
        <v>1565</v>
      </c>
      <c r="B582" s="9" t="s">
        <v>963</v>
      </c>
    </row>
    <row r="583" spans="1:2">
      <c r="A583" s="9" t="s">
        <v>1900</v>
      </c>
      <c r="B583" s="9" t="s">
        <v>2246</v>
      </c>
    </row>
    <row r="584" spans="1:2">
      <c r="A584" s="9" t="s">
        <v>1664</v>
      </c>
      <c r="B584" s="9" t="s">
        <v>2246</v>
      </c>
    </row>
    <row r="585" spans="1:2">
      <c r="A585" s="9" t="s">
        <v>1918</v>
      </c>
      <c r="B585" s="9" t="s">
        <v>2246</v>
      </c>
    </row>
    <row r="586" spans="1:2">
      <c r="A586" s="9" t="s">
        <v>2230</v>
      </c>
      <c r="B586" s="9" t="s">
        <v>963</v>
      </c>
    </row>
    <row r="587" spans="1:2">
      <c r="A587" s="9" t="s">
        <v>807</v>
      </c>
      <c r="B587" s="9" t="s">
        <v>963</v>
      </c>
    </row>
    <row r="588" spans="1:2">
      <c r="A588" s="9" t="s">
        <v>805</v>
      </c>
      <c r="B588" s="9" t="s">
        <v>963</v>
      </c>
    </row>
    <row r="589" spans="1:2">
      <c r="A589" s="9" t="s">
        <v>2074</v>
      </c>
      <c r="B589" s="9" t="s">
        <v>963</v>
      </c>
    </row>
    <row r="590" spans="1:2">
      <c r="A590" s="9" t="s">
        <v>1853</v>
      </c>
      <c r="B590" s="10" t="s">
        <v>963</v>
      </c>
    </row>
    <row r="591" spans="1:2">
      <c r="A591" s="9" t="s">
        <v>1852</v>
      </c>
      <c r="B591" s="9" t="s">
        <v>2246</v>
      </c>
    </row>
    <row r="592" spans="1:2">
      <c r="A592" s="9" t="s">
        <v>1470</v>
      </c>
      <c r="B592" s="9" t="s">
        <v>2246</v>
      </c>
    </row>
    <row r="593" spans="1:8">
      <c r="A593" s="9" t="s">
        <v>820</v>
      </c>
      <c r="B593" s="9" t="s">
        <v>963</v>
      </c>
    </row>
    <row r="594" spans="1:8">
      <c r="A594" s="9" t="s">
        <v>931</v>
      </c>
      <c r="B594" s="9" t="s">
        <v>2246</v>
      </c>
    </row>
    <row r="595" spans="1:8">
      <c r="A595" s="9" t="s">
        <v>930</v>
      </c>
      <c r="B595" s="9" t="s">
        <v>963</v>
      </c>
    </row>
    <row r="596" spans="1:8">
      <c r="A596" s="9" t="s">
        <v>2245</v>
      </c>
      <c r="B596" s="9" t="s">
        <v>963</v>
      </c>
    </row>
    <row r="597" spans="1:8">
      <c r="A597" s="9" t="s">
        <v>2250</v>
      </c>
      <c r="B597" s="9" t="s">
        <v>2246</v>
      </c>
    </row>
    <row r="598" spans="1:8">
      <c r="A598" s="9" t="s">
        <v>2095</v>
      </c>
      <c r="B598" s="9" t="s">
        <v>963</v>
      </c>
    </row>
    <row r="599" spans="1:8">
      <c r="A599" s="9" t="s">
        <v>2096</v>
      </c>
      <c r="B599" s="9" t="s">
        <v>963</v>
      </c>
    </row>
    <row r="600" spans="1:8">
      <c r="A600" s="9" t="s">
        <v>2097</v>
      </c>
      <c r="B600" s="9" t="s">
        <v>963</v>
      </c>
    </row>
    <row r="601" spans="1:8">
      <c r="A601" s="9" t="s">
        <v>2098</v>
      </c>
      <c r="B601" s="9" t="s">
        <v>963</v>
      </c>
    </row>
    <row r="602" spans="1:8">
      <c r="A602" s="9" t="s">
        <v>2099</v>
      </c>
      <c r="B602" s="9" t="s">
        <v>963</v>
      </c>
      <c r="G602" s="10"/>
    </row>
    <row r="603" spans="1:8">
      <c r="A603" s="9" t="s">
        <v>2101</v>
      </c>
      <c r="B603" s="9" t="s">
        <v>2100</v>
      </c>
      <c r="G603" s="10"/>
    </row>
    <row r="604" spans="1:8">
      <c r="A604" s="9" t="s">
        <v>2102</v>
      </c>
      <c r="B604" s="9" t="s">
        <v>2246</v>
      </c>
      <c r="H604" s="2"/>
    </row>
    <row r="605" spans="1:8">
      <c r="A605" s="9" t="s">
        <v>2103</v>
      </c>
      <c r="B605" s="9" t="s">
        <v>2246</v>
      </c>
      <c r="H605" s="2"/>
    </row>
    <row r="606" spans="1:8">
      <c r="A606" s="9" t="s">
        <v>2105</v>
      </c>
      <c r="B606" s="9" t="s">
        <v>2104</v>
      </c>
      <c r="H606" s="2"/>
    </row>
    <row r="607" spans="1:8">
      <c r="A607" s="9" t="s">
        <v>2106</v>
      </c>
      <c r="B607" s="9" t="s">
        <v>963</v>
      </c>
      <c r="H607" s="2"/>
    </row>
    <row r="608" spans="1:8">
      <c r="A608" s="9" t="s">
        <v>2107</v>
      </c>
      <c r="B608" s="9" t="s">
        <v>2246</v>
      </c>
      <c r="H608" s="2"/>
    </row>
    <row r="609" spans="1:8">
      <c r="A609" s="9" t="s">
        <v>2108</v>
      </c>
      <c r="B609" s="9" t="s">
        <v>963</v>
      </c>
    </row>
    <row r="610" spans="1:8">
      <c r="A610" s="9" t="s">
        <v>2109</v>
      </c>
      <c r="B610" s="9" t="s">
        <v>2246</v>
      </c>
      <c r="H610" s="2"/>
    </row>
    <row r="611" spans="1:8">
      <c r="A611" s="9" t="s">
        <v>2110</v>
      </c>
      <c r="B611" s="9" t="s">
        <v>963</v>
      </c>
      <c r="H611" s="2"/>
    </row>
    <row r="612" spans="1:8">
      <c r="A612" s="9" t="s">
        <v>2111</v>
      </c>
      <c r="B612" s="9" t="s">
        <v>963</v>
      </c>
    </row>
    <row r="613" spans="1:8">
      <c r="A613" s="9" t="s">
        <v>2113</v>
      </c>
      <c r="B613" s="9" t="s">
        <v>2112</v>
      </c>
      <c r="H613" s="2"/>
    </row>
    <row r="614" spans="1:8">
      <c r="A614" s="9" t="s">
        <v>2114</v>
      </c>
      <c r="B614" s="9" t="s">
        <v>2246</v>
      </c>
      <c r="G614" s="8"/>
      <c r="H614" s="2"/>
    </row>
    <row r="615" spans="1:8">
      <c r="A615" s="9" t="s">
        <v>2115</v>
      </c>
      <c r="B615" s="9" t="s">
        <v>2112</v>
      </c>
      <c r="H615" s="2"/>
    </row>
    <row r="616" spans="1:8">
      <c r="A616" s="9" t="s">
        <v>2116</v>
      </c>
      <c r="B616" s="9" t="s">
        <v>2246</v>
      </c>
      <c r="H616" s="2"/>
    </row>
    <row r="617" spans="1:8">
      <c r="A617" s="9" t="s">
        <v>2117</v>
      </c>
      <c r="B617" s="9" t="s">
        <v>2246</v>
      </c>
      <c r="H617" s="2"/>
    </row>
    <row r="618" spans="1:8">
      <c r="A618" s="9" t="s">
        <v>2118</v>
      </c>
      <c r="B618" s="9" t="s">
        <v>2112</v>
      </c>
    </row>
    <row r="619" spans="1:8">
      <c r="A619" s="9" t="s">
        <v>2119</v>
      </c>
      <c r="B619" s="9" t="s">
        <v>2246</v>
      </c>
      <c r="H619" s="2"/>
    </row>
    <row r="620" spans="1:8">
      <c r="A620" s="9" t="s">
        <v>2120</v>
      </c>
      <c r="B620" s="9" t="s">
        <v>2112</v>
      </c>
      <c r="H620" s="2"/>
    </row>
    <row r="621" spans="1:8">
      <c r="A621" s="9" t="s">
        <v>2121</v>
      </c>
      <c r="B621" s="9" t="s">
        <v>2246</v>
      </c>
      <c r="H621" s="2"/>
    </row>
    <row r="622" spans="1:8">
      <c r="A622" s="9" t="s">
        <v>2122</v>
      </c>
      <c r="B622" s="9" t="s">
        <v>2246</v>
      </c>
      <c r="H622" s="2"/>
    </row>
    <row r="623" spans="1:8">
      <c r="A623" s="9" t="s">
        <v>2123</v>
      </c>
      <c r="B623" s="9" t="s">
        <v>2246</v>
      </c>
      <c r="H623" s="2"/>
    </row>
    <row r="624" spans="1:8">
      <c r="A624" s="9" t="s">
        <v>2124</v>
      </c>
      <c r="B624" s="9" t="s">
        <v>2246</v>
      </c>
      <c r="H624" s="2"/>
    </row>
    <row r="625" spans="1:8">
      <c r="A625" s="9" t="s">
        <v>2126</v>
      </c>
      <c r="B625" s="9" t="s">
        <v>2125</v>
      </c>
      <c r="H625" s="2"/>
    </row>
    <row r="626" spans="1:8">
      <c r="A626" s="9" t="s">
        <v>2127</v>
      </c>
      <c r="B626" s="9" t="s">
        <v>2246</v>
      </c>
      <c r="H626" s="2"/>
    </row>
    <row r="627" spans="1:8">
      <c r="A627" s="9" t="s">
        <v>2128</v>
      </c>
      <c r="B627" s="9" t="s">
        <v>2125</v>
      </c>
      <c r="H627" s="2"/>
    </row>
    <row r="628" spans="1:8">
      <c r="A628" s="9" t="s">
        <v>2129</v>
      </c>
      <c r="B628" s="9" t="s">
        <v>2246</v>
      </c>
      <c r="H628" s="2"/>
    </row>
    <row r="629" spans="1:8">
      <c r="A629" s="9" t="s">
        <v>2130</v>
      </c>
      <c r="B629" s="9" t="s">
        <v>2246</v>
      </c>
      <c r="H629" s="2"/>
    </row>
    <row r="630" spans="1:8">
      <c r="A630" s="9" t="s">
        <v>2131</v>
      </c>
      <c r="B630" s="9" t="s">
        <v>2246</v>
      </c>
      <c r="H630" s="2"/>
    </row>
    <row r="631" spans="1:8">
      <c r="A631" s="9" t="s">
        <v>2132</v>
      </c>
      <c r="B631" s="9" t="s">
        <v>2125</v>
      </c>
      <c r="H631" s="2"/>
    </row>
    <row r="632" spans="1:8">
      <c r="A632" s="9" t="s">
        <v>2133</v>
      </c>
      <c r="B632" s="9" t="s">
        <v>2246</v>
      </c>
      <c r="H632" s="2"/>
    </row>
    <row r="633" spans="1:8">
      <c r="A633" s="9" t="s">
        <v>2134</v>
      </c>
      <c r="B633" s="9" t="s">
        <v>2246</v>
      </c>
      <c r="H633" s="2"/>
    </row>
    <row r="634" spans="1:8">
      <c r="A634" s="9" t="s">
        <v>2135</v>
      </c>
      <c r="B634" s="2"/>
    </row>
    <row r="635" spans="1:8">
      <c r="A635" s="9" t="s">
        <v>2136</v>
      </c>
      <c r="B635" s="2"/>
      <c r="H635" s="2"/>
    </row>
    <row r="636" spans="1:8">
      <c r="B636" s="2"/>
      <c r="H636" s="2"/>
    </row>
    <row r="637" spans="1:8">
      <c r="H637" s="2"/>
    </row>
    <row r="638" spans="1:8">
      <c r="H638" s="2"/>
    </row>
    <row r="639" spans="1:8">
      <c r="G639" s="11"/>
      <c r="H639" s="2"/>
    </row>
    <row r="640" spans="1:8">
      <c r="G640" s="11"/>
      <c r="H640" s="2"/>
    </row>
    <row r="641" spans="7:8">
      <c r="G641" s="11"/>
      <c r="H641" s="2"/>
    </row>
    <row r="642" spans="7:8">
      <c r="H642" s="2"/>
    </row>
    <row r="643" spans="7:8">
      <c r="H643" s="2"/>
    </row>
    <row r="644" spans="7:8">
      <c r="H644" s="2"/>
    </row>
    <row r="645" spans="7:8">
      <c r="H645" s="2"/>
    </row>
    <row r="646" spans="7:8">
      <c r="H646" s="2"/>
    </row>
    <row r="647" spans="7:8">
      <c r="H647" s="2"/>
    </row>
    <row r="648" spans="7:8">
      <c r="H648" s="2"/>
    </row>
    <row r="650" spans="7:8">
      <c r="H650" s="2"/>
    </row>
    <row r="651" spans="7:8">
      <c r="H651" s="2"/>
    </row>
    <row r="652" spans="7:8">
      <c r="H652" s="2"/>
    </row>
    <row r="654" spans="7:8">
      <c r="H654" s="2"/>
    </row>
    <row r="655" spans="7:8">
      <c r="G655" s="12"/>
      <c r="H655" s="2"/>
    </row>
    <row r="656" spans="7:8">
      <c r="G656" s="287"/>
      <c r="H656" s="2"/>
    </row>
    <row r="657" spans="7:8">
      <c r="G657" s="287"/>
      <c r="H657" s="2"/>
    </row>
    <row r="658" spans="7:8">
      <c r="G658" s="287"/>
      <c r="H658" s="2"/>
    </row>
    <row r="659" spans="7:8">
      <c r="G659" s="287"/>
      <c r="H659" s="2"/>
    </row>
    <row r="660" spans="7:8">
      <c r="G660" s="287"/>
      <c r="H660" s="2"/>
    </row>
    <row r="661" spans="7:8">
      <c r="H661" s="2"/>
    </row>
    <row r="662" spans="7:8">
      <c r="H662" s="2"/>
    </row>
    <row r="663" spans="7:8">
      <c r="H663" s="2"/>
    </row>
    <row r="664" spans="7:8">
      <c r="G664" s="12"/>
      <c r="H664" s="2"/>
    </row>
    <row r="665" spans="7:8">
      <c r="G665" s="12"/>
      <c r="H665" s="2"/>
    </row>
    <row r="666" spans="7:8">
      <c r="H666" s="2"/>
    </row>
    <row r="669" spans="7:8">
      <c r="G669" s="12"/>
    </row>
    <row r="678" spans="1:8">
      <c r="G678" s="9"/>
    </row>
    <row r="679" spans="1:8">
      <c r="G679" s="9"/>
    </row>
    <row r="680" spans="1:8">
      <c r="G680" s="9"/>
    </row>
    <row r="681" spans="1:8">
      <c r="B681" s="8"/>
      <c r="G681" s="9"/>
    </row>
    <row r="682" spans="1:8">
      <c r="A682" s="2"/>
      <c r="H682" s="2"/>
    </row>
    <row r="683" spans="1:8">
      <c r="A683" s="2"/>
      <c r="B683" s="13"/>
      <c r="H683" s="2"/>
    </row>
    <row r="684" spans="1:8">
      <c r="H684" s="2"/>
    </row>
    <row r="685" spans="1:8">
      <c r="B685" s="8"/>
      <c r="H685" s="2"/>
    </row>
    <row r="686" spans="1:8">
      <c r="H686" s="2"/>
    </row>
    <row r="687" spans="1:8">
      <c r="B687" s="8"/>
    </row>
    <row r="688" spans="1:8">
      <c r="H688" s="2"/>
    </row>
    <row r="689" spans="7:8">
      <c r="H689" s="2"/>
    </row>
    <row r="690" spans="7:8">
      <c r="H690" s="2"/>
    </row>
    <row r="691" spans="7:8">
      <c r="H691" s="2"/>
    </row>
    <row r="692" spans="7:8">
      <c r="H692" s="2"/>
    </row>
    <row r="693" spans="7:8">
      <c r="H693" s="2"/>
    </row>
    <row r="694" spans="7:8">
      <c r="H694" s="2"/>
    </row>
    <row r="695" spans="7:8">
      <c r="H695" s="2"/>
    </row>
    <row r="697" spans="7:8">
      <c r="H697" s="2"/>
    </row>
    <row r="698" spans="7:8">
      <c r="H698" s="2"/>
    </row>
    <row r="699" spans="7:8">
      <c r="H699" s="2"/>
    </row>
    <row r="700" spans="7:8">
      <c r="G700" s="9"/>
      <c r="H700" s="2"/>
    </row>
    <row r="701" spans="7:8">
      <c r="H701" s="2"/>
    </row>
    <row r="702" spans="7:8">
      <c r="H702" s="2"/>
    </row>
    <row r="704" spans="7:8">
      <c r="H704" s="2"/>
    </row>
    <row r="705" spans="6:8">
      <c r="H705" s="2"/>
    </row>
    <row r="706" spans="6:8">
      <c r="H706" s="2"/>
    </row>
    <row r="708" spans="6:8">
      <c r="H708" s="2"/>
    </row>
    <row r="709" spans="6:8">
      <c r="F709" s="9"/>
      <c r="G709" s="9"/>
      <c r="H709" s="2"/>
    </row>
    <row r="710" spans="6:8">
      <c r="F710" s="9"/>
      <c r="H710" s="2"/>
    </row>
    <row r="711" spans="6:8">
      <c r="F711" s="9"/>
      <c r="G711" s="9"/>
      <c r="H711" s="2"/>
    </row>
    <row r="712" spans="6:8">
      <c r="H712" s="2"/>
    </row>
    <row r="713" spans="6:8">
      <c r="H713" s="2"/>
    </row>
    <row r="714" spans="6:8">
      <c r="H714" s="2"/>
    </row>
    <row r="716" spans="6:8">
      <c r="H716" s="2"/>
    </row>
    <row r="717" spans="6:8">
      <c r="H717" s="2"/>
    </row>
    <row r="718" spans="6:8">
      <c r="H718" s="2"/>
    </row>
    <row r="719" spans="6:8">
      <c r="H719" s="2"/>
    </row>
    <row r="720" spans="6:8">
      <c r="H720" s="2"/>
    </row>
    <row r="721" spans="5:8">
      <c r="H721" s="2"/>
    </row>
    <row r="722" spans="5:8">
      <c r="H722" s="2"/>
    </row>
    <row r="723" spans="5:8">
      <c r="H723" s="2"/>
    </row>
    <row r="725" spans="5:8">
      <c r="H725" s="2"/>
    </row>
    <row r="726" spans="5:8">
      <c r="H726" s="2"/>
    </row>
    <row r="727" spans="5:8">
      <c r="H727" s="2"/>
    </row>
    <row r="728" spans="5:8">
      <c r="H728" s="2"/>
    </row>
    <row r="730" spans="5:8">
      <c r="F730" s="8"/>
      <c r="H730" s="2"/>
    </row>
    <row r="731" spans="5:8">
      <c r="E731" s="285"/>
      <c r="F731" s="8"/>
      <c r="H731" s="2"/>
    </row>
    <row r="732" spans="5:8">
      <c r="F732" s="8"/>
      <c r="H732" s="2"/>
    </row>
    <row r="733" spans="5:8">
      <c r="F733" s="8"/>
      <c r="H733" s="2"/>
    </row>
    <row r="734" spans="5:8">
      <c r="E734" s="285"/>
      <c r="F734" s="8"/>
      <c r="H734" s="2"/>
    </row>
    <row r="735" spans="5:8">
      <c r="F735" s="8"/>
      <c r="H735" s="2"/>
    </row>
    <row r="736" spans="5:8">
      <c r="F736" s="8"/>
      <c r="H736" s="2"/>
    </row>
    <row r="737" spans="1:8">
      <c r="F737" s="8"/>
      <c r="H737" s="2"/>
    </row>
    <row r="738" spans="1:8">
      <c r="F738" s="8"/>
      <c r="H738" s="2"/>
    </row>
    <row r="739" spans="1:8">
      <c r="F739" s="8"/>
      <c r="H739" s="2"/>
    </row>
    <row r="740" spans="1:8">
      <c r="F740" s="8"/>
      <c r="H740" s="2"/>
    </row>
    <row r="741" spans="1:8">
      <c r="F741" s="8"/>
      <c r="H741" s="2"/>
    </row>
    <row r="742" spans="1:8">
      <c r="A742" s="2"/>
      <c r="B742" s="2"/>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E754" s="8"/>
      <c r="F754" s="8"/>
      <c r="H754" s="2"/>
    </row>
    <row r="755" spans="1:8">
      <c r="A755" s="2"/>
      <c r="B755" s="2"/>
      <c r="E755" s="8"/>
      <c r="F755" s="8"/>
      <c r="H755" s="2"/>
    </row>
    <row r="756" spans="1:8">
      <c r="A756" s="2"/>
      <c r="B756" s="2"/>
      <c r="E756" s="8"/>
      <c r="F756" s="8"/>
      <c r="H756" s="2"/>
    </row>
    <row r="757" spans="1:8">
      <c r="A757" s="2"/>
      <c r="B757" s="2"/>
      <c r="C757" s="8"/>
      <c r="E757" s="8"/>
      <c r="F757" s="8"/>
      <c r="H757" s="2"/>
    </row>
    <row r="758" spans="1:8">
      <c r="A758" s="2"/>
      <c r="B758" s="2"/>
      <c r="C758" s="8"/>
      <c r="E758" s="8"/>
      <c r="F758" s="8"/>
      <c r="H758" s="2"/>
    </row>
    <row r="759" spans="1:8">
      <c r="A759" s="2"/>
      <c r="B759" s="2"/>
      <c r="C759" s="8"/>
      <c r="E759" s="8"/>
      <c r="F759" s="8"/>
      <c r="H759" s="2"/>
    </row>
    <row r="760" spans="1:8">
      <c r="A760" s="2"/>
      <c r="B760" s="2"/>
      <c r="C760" s="8"/>
      <c r="D760" s="8"/>
      <c r="E760" s="8"/>
      <c r="F760" s="8"/>
      <c r="H760" s="2"/>
    </row>
    <row r="761" spans="1:8">
      <c r="A761" s="2"/>
      <c r="B761" s="2"/>
      <c r="C761" s="8"/>
      <c r="E761" s="8"/>
      <c r="F761" s="14"/>
      <c r="H761" s="2"/>
    </row>
    <row r="762" spans="1:8">
      <c r="A762" s="2"/>
      <c r="B762" s="2"/>
      <c r="C762" s="8"/>
      <c r="E762" s="8"/>
      <c r="F762" s="14"/>
      <c r="H762" s="2"/>
    </row>
    <row r="763" spans="1:8">
      <c r="A763" s="2"/>
      <c r="B763" s="2"/>
      <c r="C763" s="8"/>
      <c r="F763" s="14"/>
      <c r="H763" s="2"/>
    </row>
    <row r="764" spans="1:8">
      <c r="B764" s="2"/>
      <c r="C764" s="8"/>
      <c r="F764" s="8"/>
      <c r="H764" s="2"/>
    </row>
    <row r="765" spans="1:8">
      <c r="C765" s="8"/>
      <c r="F765" s="8"/>
      <c r="H765" s="2"/>
    </row>
    <row r="766" spans="1:8">
      <c r="F766" s="8"/>
      <c r="H766" s="2"/>
    </row>
    <row r="767" spans="1:8">
      <c r="F767" s="8"/>
      <c r="H767" s="2"/>
    </row>
    <row r="768" spans="1:8">
      <c r="F768" s="8"/>
      <c r="H768" s="2"/>
    </row>
    <row r="769" spans="4:8">
      <c r="F769" s="8"/>
      <c r="H769" s="2"/>
    </row>
    <row r="770" spans="4:8">
      <c r="F770" s="8"/>
      <c r="H770" s="2"/>
    </row>
    <row r="771" spans="4:8">
      <c r="F771" s="8"/>
      <c r="H771" s="2"/>
    </row>
    <row r="772" spans="4:8">
      <c r="D772" s="8"/>
      <c r="F772" s="8"/>
      <c r="H772" s="2"/>
    </row>
    <row r="773" spans="4:8">
      <c r="D773" s="8"/>
      <c r="F773" s="8"/>
      <c r="H773" s="2"/>
    </row>
    <row r="774" spans="4:8">
      <c r="D774" s="8"/>
      <c r="F774" s="8"/>
      <c r="H774" s="2"/>
    </row>
    <row r="775" spans="4:8">
      <c r="D775" s="8"/>
      <c r="F775" s="8"/>
      <c r="H775"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37" t="s">
        <v>3084</v>
      </c>
      <c r="B1" s="1423"/>
      <c r="C1" s="1424"/>
      <c r="D1" s="1138" t="s">
        <v>271</v>
      </c>
      <c r="E1" s="1429" t="s">
        <v>2138</v>
      </c>
      <c r="F1" s="1430"/>
      <c r="G1" s="1430"/>
      <c r="H1" s="1430"/>
      <c r="I1" s="1430"/>
      <c r="J1" s="1430"/>
      <c r="K1" s="1431"/>
      <c r="L1" s="1439">
        <f>E143/20/100</f>
        <v>0.39383314060168295</v>
      </c>
      <c r="M1" s="1439"/>
      <c r="N1" s="105" t="s">
        <v>1215</v>
      </c>
      <c r="O1" s="18"/>
      <c r="P1" s="490"/>
      <c r="Q1" s="490"/>
      <c r="R1" s="490"/>
      <c r="S1" s="491"/>
      <c r="T1" s="1118"/>
      <c r="U1" s="1119" t="s">
        <v>3045</v>
      </c>
      <c r="V1" s="1120"/>
      <c r="W1" s="1120"/>
      <c r="X1" s="1121"/>
      <c r="Y1" s="1122"/>
      <c r="Z1" s="27"/>
      <c r="AD1" s="1339"/>
      <c r="AE1" s="1339"/>
      <c r="AF1" s="1339"/>
    </row>
    <row r="2" spans="1:32" ht="13.5" thickBot="1">
      <c r="A2" s="1438"/>
      <c r="B2" s="1109" t="s">
        <v>1138</v>
      </c>
      <c r="C2" s="1110">
        <f>SUM('Damage Calc'!J2:J7)</f>
        <v>1002.017991686008</v>
      </c>
      <c r="D2" s="1111">
        <f>C2/$C$6</f>
        <v>0.64430892978265919</v>
      </c>
      <c r="E2" s="1425" t="str">
        <f>cycle</f>
        <v>Cycle: 1s/5r   SnD Slack: 1.24</v>
      </c>
      <c r="F2" s="1426"/>
      <c r="G2" s="1426"/>
      <c r="H2" s="1426"/>
      <c r="I2" s="1426"/>
      <c r="J2" s="1426"/>
      <c r="K2" s="1427"/>
      <c r="L2" s="1439">
        <f>(K143/dorate)/100</f>
        <v>0</v>
      </c>
      <c r="M2" s="1439"/>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327.58159382962725</v>
      </c>
      <c r="D3" s="1114">
        <f>C3/$C$6</f>
        <v>0.21063867903382291</v>
      </c>
      <c r="E3" s="1432" t="s">
        <v>2137</v>
      </c>
      <c r="F3" s="1433"/>
      <c r="G3" s="1434" t="s">
        <v>771</v>
      </c>
      <c r="H3" s="1434"/>
      <c r="I3" s="1433" t="s">
        <v>768</v>
      </c>
      <c r="J3" s="1433"/>
      <c r="K3" s="1134" t="s">
        <v>770</v>
      </c>
      <c r="L3" s="1439">
        <f>(ROUNDDOWN(M143/defrating_def,0)*0.04)/100</f>
        <v>0</v>
      </c>
      <c r="M3" s="1439"/>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119.18260098388045</v>
      </c>
      <c r="D4" s="1117">
        <f>C4/$C$6</f>
        <v>7.6635763754530198E-2</v>
      </c>
      <c r="E4" s="1435">
        <f>3524+INT(F143)*10</f>
        <v>9674</v>
      </c>
      <c r="F4" s="1436"/>
      <c r="G4" s="1399">
        <f>(1+'Gear &amp; Buffs'!$P$143/(hasterate*100))</f>
        <v>1.0808524183153847</v>
      </c>
      <c r="H4" s="1399"/>
      <c r="I4" s="1428">
        <f>ap</f>
        <v>3165.5289383329646</v>
      </c>
      <c r="J4" s="1428"/>
      <c r="K4" s="1135">
        <f>'Damage Calc'!$Q$42</f>
        <v>4010</v>
      </c>
      <c r="L4" s="1398">
        <f>-0.59/100</f>
        <v>-5.8999999999999999E-3</v>
      </c>
      <c r="M4" s="1398"/>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106.40034375660329</v>
      </c>
      <c r="D5" s="1114">
        <f>C5/$C$6</f>
        <v>6.84166274289877E-2</v>
      </c>
      <c r="E5" s="1420" t="s">
        <v>2140</v>
      </c>
      <c r="F5" s="1421"/>
      <c r="G5" s="1422" t="s">
        <v>2139</v>
      </c>
      <c r="H5" s="1422"/>
      <c r="I5" s="1421" t="s">
        <v>2141</v>
      </c>
      <c r="J5" s="1421"/>
      <c r="K5" s="1136" t="s">
        <v>2144</v>
      </c>
      <c r="L5" s="1398">
        <f>((CharLevel-BossLevel)*(0.2))/100</f>
        <v>-6.000000000000001E-3</v>
      </c>
      <c r="M5" s="1398"/>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1555.182530256119</v>
      </c>
      <c r="D6" s="1133">
        <f>D2+D3+D4+D5</f>
        <v>1</v>
      </c>
      <c r="E6" s="1419">
        <f>((E143/agicrit+G143/crrate)/100)+bwrath+(CharLevel-BossLevel)*bosscrit*5-IF(BossLevel*5-CharLevel*5&gt;10, 1.8%, 0)</f>
        <v>0.22111169225206101</v>
      </c>
      <c r="F6" s="1416"/>
      <c r="G6" s="1416">
        <f>'Damage Calc'!Q2+-'Gear &amp; Buffs'!I6</f>
        <v>0.26956097560975611</v>
      </c>
      <c r="H6" s="1416"/>
      <c r="I6" s="1416">
        <f>'Damage Calc'!B19</f>
        <v>4.3902439024390283E-4</v>
      </c>
      <c r="J6" s="1416"/>
      <c r="K6" s="1137">
        <f>'Damage Calc'!B20</f>
        <v>2.0000000000000004E-2</v>
      </c>
      <c r="L6" s="1397">
        <f>MAX((-0.59+E143/20+(K143/dorate)+(ROUNDDOWN(M143/defrating_def,0)*0.04))/100+0.2%*(CharLevel-BossLevel),0%)</f>
        <v>0.38193314060168293</v>
      </c>
      <c r="M6" s="1398"/>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1555.182530256119</v>
      </c>
      <c r="D7" s="492">
        <f>C7*0.71</f>
        <v>1104.1795964818443</v>
      </c>
      <c r="E7" s="44" t="s">
        <v>1177</v>
      </c>
      <c r="L7" s="1407">
        <f>Talents!H8</f>
        <v>0.4699331406016829</v>
      </c>
      <c r="M7" s="1408"/>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09" t="s">
        <v>2210</v>
      </c>
      <c r="V22" s="1410"/>
      <c r="W22" s="1410"/>
      <c r="X22" s="1411"/>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02" t="s">
        <v>460</v>
      </c>
      <c r="V23" s="1406"/>
      <c r="W23" s="1406"/>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04" t="s">
        <v>2408</v>
      </c>
      <c r="V24" s="1401"/>
      <c r="W24" s="1401"/>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04" t="s">
        <v>2409</v>
      </c>
      <c r="V25" s="1401"/>
      <c r="W25" s="1401"/>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02" t="s">
        <v>463</v>
      </c>
      <c r="V26" s="1406"/>
      <c r="W26" s="1406"/>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02" t="s">
        <v>433</v>
      </c>
      <c r="V27" s="1406"/>
      <c r="W27" s="1406"/>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04" t="s">
        <v>434</v>
      </c>
      <c r="V28" s="1401"/>
      <c r="W28" s="1401"/>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00" t="s">
        <v>2214</v>
      </c>
      <c r="V29" s="1401"/>
      <c r="W29" s="1401"/>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02" t="s">
        <v>435</v>
      </c>
      <c r="V30" s="1406"/>
      <c r="W30" s="1406"/>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02" t="s">
        <v>436</v>
      </c>
      <c r="V31" s="1406"/>
      <c r="W31" s="1406"/>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04" t="s">
        <v>658</v>
      </c>
      <c r="V32" s="1401"/>
      <c r="W32" s="1401"/>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02" t="s">
        <v>659</v>
      </c>
      <c r="V33" s="1406"/>
      <c r="W33" s="1406"/>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04" t="s">
        <v>1115</v>
      </c>
      <c r="V34" s="1405"/>
      <c r="W34" s="1405"/>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04" t="s">
        <v>1116</v>
      </c>
      <c r="V35" s="1405"/>
      <c r="W35" s="1405"/>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02" t="s">
        <v>1119</v>
      </c>
      <c r="V36" s="1403"/>
      <c r="W36" s="1403"/>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02" t="s">
        <v>1122</v>
      </c>
      <c r="V37" s="1403"/>
      <c r="W37" s="1403"/>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04" t="s">
        <v>1123</v>
      </c>
      <c r="V38" s="1401"/>
      <c r="W38" s="1401"/>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14" t="s">
        <v>962</v>
      </c>
      <c r="V39" s="1415"/>
      <c r="W39" s="1415"/>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0</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0</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0</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0</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0</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0</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381.15216877515627</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17" t="s">
        <v>1942</v>
      </c>
      <c r="C78" s="1418"/>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12" t="s">
        <v>3046</v>
      </c>
      <c r="C143" s="1413"/>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6" t="s">
        <v>1025</v>
      </c>
      <c r="B1" s="1529" t="str">
        <f>cycle</f>
        <v>Cycle: 1s/5r   SnD Slack: 1.24</v>
      </c>
      <c r="C1" s="1529"/>
      <c r="D1" s="1530"/>
      <c r="E1" s="1525" t="s">
        <v>591</v>
      </c>
      <c r="F1" s="1526"/>
      <c r="G1" s="1527" t="s">
        <v>592</v>
      </c>
      <c r="H1" s="1528"/>
      <c r="I1" s="1537" t="s">
        <v>593</v>
      </c>
      <c r="J1" s="1538"/>
      <c r="K1" s="1539"/>
      <c r="L1" s="1526"/>
      <c r="M1" s="1488" t="s">
        <v>2325</v>
      </c>
      <c r="N1" s="1489"/>
      <c r="O1" s="1489"/>
      <c r="P1" s="1489"/>
      <c r="Q1" s="1490"/>
    </row>
    <row r="2" spans="1:26" ht="12.75" customHeight="1" thickBot="1">
      <c r="A2" s="1517"/>
      <c r="B2" s="1531"/>
      <c r="C2" s="1531"/>
      <c r="D2" s="1532"/>
      <c r="E2" s="1075" t="s">
        <v>594</v>
      </c>
      <c r="F2" s="1015">
        <f>ap</f>
        <v>3165.5289383329646</v>
      </c>
      <c r="G2" s="906" t="s">
        <v>599</v>
      </c>
      <c r="H2" s="1015">
        <f>hp</f>
        <v>9674</v>
      </c>
      <c r="I2" s="1540"/>
      <c r="J2" s="1541"/>
      <c r="K2" s="1542"/>
      <c r="L2" s="907"/>
      <c r="M2" s="1497" t="s">
        <v>2320</v>
      </c>
      <c r="N2" s="1498"/>
      <c r="O2" s="1023" t="str">
        <f>ROUND(SUM('Damage Calc'!$J$2:$J$7),2)&amp;"  "</f>
        <v xml:space="preserve">1002.02  </v>
      </c>
      <c r="P2" s="1491" t="str">
        <f>ROUND(SUM('Damage Calc'!$J$2:$J$7)/'Damage Calc'!$J$16*100,0)&amp;"%  "</f>
        <v xml:space="preserve">64%  </v>
      </c>
      <c r="Q2" s="1492"/>
    </row>
    <row r="3" spans="1:26" ht="12.75" customHeight="1">
      <c r="A3" s="1521" t="s">
        <v>1538</v>
      </c>
      <c r="B3" s="1533">
        <f>'Damage Calc'!$J$16</f>
        <v>1555.182530256119</v>
      </c>
      <c r="C3" s="1533"/>
      <c r="D3" s="1534"/>
      <c r="E3" s="1011" t="s">
        <v>595</v>
      </c>
      <c r="F3" s="1012">
        <f>'Damage Calc'!Q2-Talents!F4</f>
        <v>0.26956097560975611</v>
      </c>
      <c r="G3" s="1011" t="s">
        <v>600</v>
      </c>
      <c r="H3" s="1012">
        <f>dodge</f>
        <v>0.38193314060168293</v>
      </c>
      <c r="I3" s="1543" t="s">
        <v>2316</v>
      </c>
      <c r="J3" s="1454"/>
      <c r="K3" s="1455"/>
      <c r="L3" s="1016">
        <f>CEILING(($F$4*100)*(10*conv),1)</f>
        <v>1</v>
      </c>
      <c r="M3" s="1510" t="str">
        <f>"  "&amp;instatklng&amp;" DPS"</f>
        <v xml:space="preserve">  Sinister Strike DPS</v>
      </c>
      <c r="N3" s="1511"/>
      <c r="O3" s="1080" t="str">
        <f>ROUND('Damage Calc'!$J$8,2)&amp;"  "</f>
        <v xml:space="preserve">327.58  </v>
      </c>
      <c r="P3" s="1493" t="str">
        <f>ROUND('Damage Calc'!$J$8/'Damage Calc'!$J$16*100,0)&amp;"%  "</f>
        <v xml:space="preserve">21%  </v>
      </c>
      <c r="Q3" s="1494"/>
    </row>
    <row r="4" spans="1:26" ht="12.75" customHeight="1" thickBot="1">
      <c r="A4" s="1522"/>
      <c r="B4" s="1535"/>
      <c r="C4" s="1535"/>
      <c r="D4" s="1536"/>
      <c r="E4" s="1077" t="s">
        <v>596</v>
      </c>
      <c r="F4" s="1017">
        <f>bMHmiss</f>
        <v>4.3902439024390283E-4</v>
      </c>
      <c r="G4" s="1018" t="s">
        <v>601</v>
      </c>
      <c r="H4" s="1019">
        <f>'Gear &amp; Buffs'!$J$143</f>
        <v>0</v>
      </c>
      <c r="I4" s="1544" t="s">
        <v>2317</v>
      </c>
      <c r="J4" s="1519"/>
      <c r="K4" s="1520"/>
      <c r="L4" s="1076">
        <f>'Damage Calc'!D34</f>
        <v>30</v>
      </c>
      <c r="M4" s="1512" t="s">
        <v>2321</v>
      </c>
      <c r="N4" s="1513"/>
      <c r="O4" s="1024" t="str">
        <f>ROUND('Damage Calc'!$J$10+'Damage Calc'!$J$11+'Damage Calc'!$J$12,2)&amp;"  "</f>
        <v xml:space="preserve">119.18  </v>
      </c>
      <c r="P4" s="1495" t="str">
        <f>ROUND(('Damage Calc'!$J$10+'Damage Calc'!$J$11+'Damage Calc'!$J$12)/'Damage Calc'!$J$16*100,0)&amp;"%  "</f>
        <v xml:space="preserve">8%  </v>
      </c>
      <c r="Q4" s="1496"/>
    </row>
    <row r="5" spans="1:26" ht="12.75" customHeight="1" thickBot="1">
      <c r="A5" s="1008" t="s">
        <v>1137</v>
      </c>
      <c r="B5" s="1523">
        <f>'Gear &amp; Buffs'!$C$7</f>
        <v>1555.182530256119</v>
      </c>
      <c r="C5" s="1523"/>
      <c r="D5" s="1524"/>
      <c r="E5" s="1011" t="s">
        <v>597</v>
      </c>
      <c r="F5" s="1012">
        <f>bMHcrit</f>
        <v>0.22111169225206101</v>
      </c>
      <c r="G5" s="1081" t="s">
        <v>1321</v>
      </c>
      <c r="H5" s="1012">
        <f>('Gear &amp; Buffs'!J143/(25*conv)+Talents!I17)/100</f>
        <v>0</v>
      </c>
      <c r="I5" s="1453"/>
      <c r="J5" s="1454"/>
      <c r="K5" s="1455"/>
      <c r="L5" s="1020"/>
      <c r="M5" s="1514" t="s">
        <v>2322</v>
      </c>
      <c r="N5" s="1515"/>
      <c r="O5" s="1082" t="str">
        <f>ROUND('Damage Calc'!$J$13+'Damage Calc'!$J$14+'Damage Calc'!$J$15+'Damage Calc'!$J$9,2)&amp;"  "</f>
        <v xml:space="preserve">106.4  </v>
      </c>
      <c r="P5" s="1447" t="str">
        <f>ROUND(('Damage Calc'!$J$13+'Damage Calc'!$J$14+'Damage Calc'!$J$15+'Damage Calc'!$J$9)/'Damage Calc'!$J$16*100,0)&amp;"%  "</f>
        <v xml:space="preserve">7%  </v>
      </c>
      <c r="Q5" s="1448"/>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518" t="s">
        <v>2318</v>
      </c>
      <c r="J6" s="1519"/>
      <c r="K6" s="1520"/>
      <c r="L6" s="1017">
        <f>sndup</f>
        <v>0.9966666666666667</v>
      </c>
      <c r="M6" s="1451" t="s">
        <v>2323</v>
      </c>
      <c r="N6" s="1452"/>
      <c r="O6" s="1009" t="str">
        <f>ROUND('Damage Calc'!$J$16,2)&amp;"  "</f>
        <v xml:space="preserve">1555.18  </v>
      </c>
      <c r="P6" s="1449" t="str">
        <f>"100%  "</f>
        <v xml:space="preserve">100%  </v>
      </c>
      <c r="Q6" s="1450"/>
    </row>
    <row r="7" spans="1:26" ht="12.75" customHeight="1">
      <c r="A7" s="1500"/>
      <c r="B7" s="1501"/>
      <c r="C7" s="1501"/>
      <c r="D7" s="1502"/>
      <c r="E7" s="1011" t="s">
        <v>634</v>
      </c>
      <c r="F7" s="1012">
        <f>bMHpar</f>
        <v>0</v>
      </c>
      <c r="G7" s="1081" t="s">
        <v>2168</v>
      </c>
      <c r="H7" s="1012">
        <f>MAX(5%+0.2%*(CharLevel-BossLevel)+(ROUNDDOWN('Gear &amp; Buffs'!M143/defrating_def,0)*0.04/100),0%)</f>
        <v>4.4000000000000004E-2</v>
      </c>
      <c r="I7" s="1453" t="s">
        <v>2319</v>
      </c>
      <c r="J7" s="1454"/>
      <c r="K7" s="1455"/>
      <c r="L7" s="1022">
        <f>ruptup</f>
        <v>0.98</v>
      </c>
      <c r="M7" s="1506" t="s">
        <v>2324</v>
      </c>
      <c r="N7" s="1507"/>
      <c r="O7" s="1010" t="str">
        <f>ROUND('Gear &amp; Buffs'!$C$7,2)&amp;"  "</f>
        <v xml:space="preserve">1555.18  </v>
      </c>
      <c r="P7" s="1458"/>
      <c r="Q7" s="1459"/>
    </row>
    <row r="8" spans="1:26" ht="12.75" customHeight="1" thickBot="1">
      <c r="A8" s="1503"/>
      <c r="B8" s="1504"/>
      <c r="C8" s="1504"/>
      <c r="D8" s="1505"/>
      <c r="E8" s="1013" t="s">
        <v>598</v>
      </c>
      <c r="F8" s="1078">
        <f>'Damage Calc'!$Q$42</f>
        <v>4010</v>
      </c>
      <c r="G8" s="1013" t="s">
        <v>2167</v>
      </c>
      <c r="H8" s="1014">
        <f>H3+H6+H7</f>
        <v>0.4699331406016829</v>
      </c>
      <c r="I8" s="1473" t="s">
        <v>1178</v>
      </c>
      <c r="J8" s="1474"/>
      <c r="K8" s="1475"/>
      <c r="L8" s="1079">
        <f>B3*0.71</f>
        <v>1104.1795964818443</v>
      </c>
      <c r="M8" s="1508" t="s">
        <v>2266</v>
      </c>
      <c r="N8" s="1509"/>
      <c r="O8" s="1025" t="str">
        <f>ROUND($O$6-'Gear &amp; Buffs'!$C$7,2)&amp;"  "</f>
        <v xml:space="preserve">0  </v>
      </c>
      <c r="P8" s="1456" t="str">
        <f>IF(($B$6/$B$3)&lt;0,ROUND($B$6/$B$3*100,2)&amp;"%  ","+"&amp;ROUND($B$6/$B$3*100,2)&amp;"%  ")</f>
        <v xml:space="preserve">+0%  </v>
      </c>
      <c r="Q8" s="1457"/>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63" t="s">
        <v>182</v>
      </c>
      <c r="E11" s="1463">
        <v>1</v>
      </c>
      <c r="F11" s="1463"/>
      <c r="G11" s="990"/>
      <c r="H11" s="990"/>
      <c r="I11" s="991"/>
      <c r="J11"/>
      <c r="K11" s="1003"/>
      <c r="L11" s="995"/>
      <c r="M11" s="995"/>
      <c r="N11" s="995"/>
      <c r="O11" s="1004"/>
      <c r="S11"/>
      <c r="T11"/>
      <c r="U11"/>
      <c r="V11"/>
      <c r="W11"/>
      <c r="X11"/>
      <c r="Y11"/>
      <c r="Z11"/>
    </row>
    <row r="12" spans="1:26" ht="21.75" customHeight="1" thickBot="1">
      <c r="A12" s="1499" t="s">
        <v>2146</v>
      </c>
      <c r="B12" s="1461"/>
      <c r="C12" s="1461"/>
      <c r="D12" s="1460" t="s">
        <v>2147</v>
      </c>
      <c r="E12" s="1461"/>
      <c r="F12" s="1461"/>
      <c r="G12" s="1460" t="s">
        <v>248</v>
      </c>
      <c r="H12" s="1461"/>
      <c r="I12" s="1462"/>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470" t="s">
        <v>881</v>
      </c>
      <c r="L13" s="1471"/>
      <c r="M13" s="1471"/>
      <c r="N13" s="1471">
        <v>1</v>
      </c>
      <c r="O13" s="1472"/>
      <c r="Q13" s="1464" t="s">
        <v>882</v>
      </c>
      <c r="R13" s="1465"/>
      <c r="S13" s="1465"/>
      <c r="T13" s="1465"/>
      <c r="U13" s="1465"/>
      <c r="V13" s="1466"/>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467" t="s">
        <v>308</v>
      </c>
      <c r="L22" s="1468"/>
      <c r="M22" s="1468"/>
      <c r="N22" s="1468"/>
      <c r="O22" s="1469"/>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40" t="s">
        <v>1441</v>
      </c>
      <c r="B39" s="1441"/>
      <c r="C39" s="494">
        <f>CharLevel-9-I39</f>
        <v>0</v>
      </c>
      <c r="D39" s="999"/>
      <c r="E39" s="999"/>
      <c r="F39" s="999"/>
      <c r="G39" s="1445" t="s">
        <v>410</v>
      </c>
      <c r="H39" s="1446"/>
      <c r="I39" s="495">
        <f>C38+F38+I38</f>
        <v>61</v>
      </c>
    </row>
    <row r="40" spans="1:18" ht="13.5" thickBot="1">
      <c r="A40" s="167"/>
      <c r="B40" s="167"/>
      <c r="C40" s="167"/>
      <c r="D40" s="167"/>
      <c r="E40" s="167"/>
      <c r="F40" s="167"/>
      <c r="G40" s="167"/>
      <c r="H40" s="167"/>
      <c r="I40" s="167"/>
    </row>
    <row r="41" spans="1:18" ht="13.5" thickBot="1">
      <c r="A41" s="1442" t="s">
        <v>763</v>
      </c>
      <c r="B41" s="1443"/>
      <c r="C41" s="1443"/>
      <c r="D41" s="1443"/>
      <c r="E41" s="1443"/>
      <c r="F41" s="1443"/>
      <c r="G41" s="1444"/>
      <c r="H41" s="64"/>
      <c r="I41" s="64"/>
      <c r="J41" s="64"/>
    </row>
    <row r="42" spans="1:18" ht="13.5" thickBot="1">
      <c r="A42" s="1483" t="s">
        <v>3043</v>
      </c>
      <c r="B42" s="1484"/>
      <c r="C42" s="1484"/>
      <c r="D42" s="1484"/>
      <c r="E42" s="1484"/>
      <c r="F42" s="1484"/>
      <c r="G42" s="1485"/>
      <c r="H42" s="64"/>
      <c r="I42" s="64"/>
      <c r="J42" s="64"/>
    </row>
    <row r="43" spans="1:18">
      <c r="A43" s="1037"/>
      <c r="B43" s="1486"/>
      <c r="C43" s="1486"/>
      <c r="D43" s="501"/>
      <c r="E43" s="501"/>
      <c r="F43" s="501"/>
      <c r="G43" s="502"/>
      <c r="H43" s="64"/>
      <c r="I43" s="64"/>
      <c r="J43" s="64"/>
    </row>
    <row r="44" spans="1:18">
      <c r="A44" s="1038"/>
      <c r="B44" s="1487"/>
      <c r="C44" s="1487"/>
      <c r="D44" s="499"/>
      <c r="E44" s="499"/>
      <c r="F44" s="499"/>
      <c r="G44" s="500"/>
      <c r="H44" s="64"/>
      <c r="I44" s="64"/>
      <c r="J44" s="64"/>
    </row>
    <row r="45" spans="1:18">
      <c r="A45" s="1029"/>
      <c r="B45" s="1478" t="s">
        <v>864</v>
      </c>
      <c r="C45" s="1480"/>
      <c r="D45" s="1478" t="s">
        <v>863</v>
      </c>
      <c r="E45" s="1479"/>
      <c r="F45" s="1478" t="s">
        <v>862</v>
      </c>
      <c r="G45" s="1479"/>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83" t="s">
        <v>772</v>
      </c>
      <c r="B54" s="1484"/>
      <c r="C54" s="1484"/>
      <c r="D54" s="1484"/>
      <c r="E54" s="1484"/>
      <c r="F54" s="1485"/>
      <c r="H54" s="64"/>
      <c r="I54" s="64"/>
      <c r="J54" s="64"/>
      <c r="K54" s="64"/>
      <c r="L54" s="64"/>
      <c r="P54" s="64"/>
      <c r="Q54" s="64"/>
    </row>
    <row r="55" spans="1:25">
      <c r="A55" s="1481" t="s">
        <v>773</v>
      </c>
      <c r="B55" s="1482"/>
      <c r="C55" s="1095">
        <v>0</v>
      </c>
      <c r="D55" s="1083" t="s">
        <v>774</v>
      </c>
      <c r="E55" s="1084"/>
      <c r="F55" s="1098">
        <v>13</v>
      </c>
      <c r="H55" s="64"/>
      <c r="I55" s="64"/>
      <c r="J55" s="64"/>
      <c r="K55" s="64"/>
      <c r="L55" s="64"/>
      <c r="P55" s="64"/>
      <c r="Q55" s="64"/>
    </row>
    <row r="56" spans="1:25">
      <c r="A56" s="1476" t="s">
        <v>775</v>
      </c>
      <c r="B56" s="1477"/>
      <c r="C56" s="1096">
        <v>0</v>
      </c>
      <c r="D56" s="1085" t="s">
        <v>776</v>
      </c>
      <c r="E56" s="1086"/>
      <c r="F56" s="1097">
        <v>8</v>
      </c>
      <c r="H56" s="64"/>
      <c r="I56" s="64"/>
      <c r="J56" s="64"/>
      <c r="K56" s="64"/>
      <c r="L56" s="64"/>
      <c r="O56" s="167"/>
      <c r="P56" s="64"/>
      <c r="Q56" s="64"/>
    </row>
    <row r="57" spans="1:25">
      <c r="A57" s="1476" t="s">
        <v>777</v>
      </c>
      <c r="B57" s="1477"/>
      <c r="C57" s="1097">
        <v>0</v>
      </c>
      <c r="D57" s="1085" t="s">
        <v>778</v>
      </c>
      <c r="E57" s="1086"/>
      <c r="F57" s="1097">
        <v>8</v>
      </c>
      <c r="K57" s="64"/>
      <c r="L57" s="64"/>
      <c r="N57" s="167"/>
      <c r="O57" s="167"/>
      <c r="P57" s="64"/>
      <c r="Q57" s="64"/>
    </row>
    <row r="58" spans="1:25">
      <c r="A58" s="1476" t="s">
        <v>779</v>
      </c>
      <c r="B58" s="1477"/>
      <c r="C58" s="1097">
        <v>0</v>
      </c>
      <c r="D58" s="1085" t="s">
        <v>780</v>
      </c>
      <c r="E58" s="1086"/>
      <c r="F58" s="1097">
        <v>8</v>
      </c>
      <c r="M58" s="64"/>
      <c r="N58" s="64"/>
      <c r="O58" s="64"/>
      <c r="P58" s="64"/>
      <c r="Q58" s="64"/>
    </row>
    <row r="59" spans="1:25" ht="13.5" thickBot="1">
      <c r="A59" s="1476" t="s">
        <v>1474</v>
      </c>
      <c r="B59" s="1477"/>
      <c r="C59" s="1097">
        <v>0</v>
      </c>
      <c r="D59" s="1085" t="s">
        <v>1475</v>
      </c>
      <c r="E59" s="1086"/>
      <c r="F59" s="1097">
        <v>0</v>
      </c>
      <c r="M59" s="64"/>
      <c r="N59" s="64"/>
      <c r="O59" s="64"/>
      <c r="P59" s="64"/>
      <c r="Q59" s="64"/>
    </row>
    <row r="60" spans="1:25" ht="13.5" thickBot="1">
      <c r="A60" s="1087" t="s">
        <v>769</v>
      </c>
      <c r="B60" s="1088"/>
      <c r="C60" s="1088"/>
      <c r="D60" s="1088"/>
      <c r="E60" s="1088"/>
      <c r="F60" s="1088"/>
      <c r="G60" s="1088"/>
      <c r="H60" s="1088"/>
      <c r="I60" s="1088"/>
      <c r="J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88"/>
      <c r="L61" s="1088"/>
      <c r="M61" s="1088"/>
      <c r="N61" s="1089"/>
      <c r="O61" s="1088"/>
      <c r="P61" s="1093"/>
      <c r="Q61" s="1093"/>
      <c r="R61" s="1093"/>
      <c r="S61" s="1093"/>
      <c r="T61" s="1093"/>
      <c r="U61" s="1093"/>
      <c r="V61" s="1093"/>
      <c r="W61" s="1093"/>
      <c r="X61" s="1093"/>
      <c r="Y61" s="1094"/>
    </row>
    <row r="62" spans="1:25" ht="13.5" thickBot="1">
      <c r="K62" s="1093"/>
      <c r="L62" s="1093"/>
      <c r="M62" s="1093"/>
      <c r="N62" s="1093"/>
      <c r="O62" s="1093"/>
      <c r="P62" s="64"/>
    </row>
    <row r="63" spans="1:25">
      <c r="N63" s="64"/>
      <c r="O63" s="64"/>
      <c r="P63" s="167"/>
    </row>
    <row r="64" spans="1:25">
      <c r="A64" s="64"/>
      <c r="B64" s="64"/>
      <c r="C64" s="64"/>
      <c r="D64" s="64"/>
      <c r="E64" s="64"/>
      <c r="F64" s="64"/>
      <c r="G64" s="64"/>
      <c r="H64" s="64"/>
      <c r="I64" s="64"/>
      <c r="J64" s="64"/>
      <c r="K64" s="64"/>
      <c r="L64" s="64"/>
      <c r="M64" s="64"/>
      <c r="N64" s="64"/>
      <c r="O64" s="167"/>
      <c r="P64" s="167"/>
    </row>
    <row r="65" spans="1:26">
      <c r="N65" s="64"/>
    </row>
    <row r="66" spans="1:26">
      <c r="N66" s="167"/>
    </row>
    <row r="68" spans="1:26">
      <c r="O68" s="167"/>
      <c r="P68" s="167"/>
    </row>
    <row r="69" spans="1:26">
      <c r="O69" s="167"/>
      <c r="P69" s="167"/>
    </row>
    <row r="73" spans="1:26">
      <c r="O73" s="64"/>
    </row>
    <row r="74" spans="1:26">
      <c r="P74" s="64"/>
      <c r="Q74" s="64"/>
      <c r="R74" s="64"/>
      <c r="S74" s="64"/>
      <c r="T74" s="64"/>
      <c r="U74" s="64"/>
      <c r="V74" s="64"/>
      <c r="W74" s="64"/>
      <c r="X74" s="64"/>
      <c r="Y74" s="64"/>
    </row>
    <row r="75" spans="1:26">
      <c r="Z75" s="64"/>
    </row>
    <row r="76" spans="1:26" s="64" customFormat="1">
      <c r="A76"/>
      <c r="B76"/>
      <c r="C76"/>
      <c r="D76"/>
      <c r="E76"/>
      <c r="F76"/>
      <c r="G76"/>
      <c r="H76"/>
      <c r="I76"/>
      <c r="J76"/>
      <c r="K76"/>
      <c r="L76"/>
      <c r="M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6" t="s">
        <v>3049</v>
      </c>
      <c r="F1" s="1516" t="s">
        <v>1538</v>
      </c>
      <c r="G1" s="1547">
        <f>'Damage Calc'!$J$16</f>
        <v>1555.182530256119</v>
      </c>
      <c r="H1" s="1547"/>
      <c r="I1" s="1548"/>
    </row>
    <row r="2" spans="2:10" ht="13.5" customHeight="1" thickBot="1">
      <c r="B2" s="1546"/>
      <c r="F2" s="1545"/>
      <c r="G2" s="1549"/>
      <c r="H2" s="1549"/>
      <c r="I2" s="1550"/>
    </row>
    <row r="3" spans="2:10">
      <c r="B3" s="888">
        <v>1</v>
      </c>
      <c r="F3" s="1008" t="s">
        <v>1137</v>
      </c>
      <c r="G3" s="1523">
        <f>'Gear &amp; Buffs'!$C$7</f>
        <v>1555.182530256119</v>
      </c>
      <c r="H3" s="1523"/>
      <c r="I3" s="1524"/>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2.5784731215973284</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570.51064106310048</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0.77888830774793893</v>
      </c>
      <c r="U3" s="93">
        <f>T3/T5</f>
        <v>0.77888830774793893</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575</v>
      </c>
      <c r="O4" s="33">
        <f>P4*(P1/(1-P1))*(1-Qrec)+P4</f>
        <v>35</v>
      </c>
      <c r="P4" s="33">
        <f>35-as4p*10</f>
        <v>35</v>
      </c>
      <c r="Q4" s="33"/>
      <c r="R4" s="33" t="s">
        <v>576</v>
      </c>
      <c r="S4" s="33">
        <f>185+40*dm2p</f>
        <v>185</v>
      </c>
      <c r="T4" s="92">
        <f>fincrit</f>
        <v>0.22111169225206101</v>
      </c>
      <c r="U4" s="93">
        <f>T4/T5</f>
        <v>0.22111169225206101</v>
      </c>
      <c r="V4" s="1177" t="s">
        <v>1544</v>
      </c>
      <c r="W4" s="1178"/>
      <c r="X4" s="1182">
        <f>VLOOKUP($X$2,CHOOSE({1,2},AG56:AG284,D56:D284),2,FALSE)/VLOOKUP($X$2,CHOOSE({1,2},AG56:AG284,Q56:Q284),2,FALSE)</f>
        <v>6.1887651012086285E-2</v>
      </c>
      <c r="Y4" s="1182">
        <f>IF($W$15&gt;1, X4/$W$15, X4)</f>
        <v>6.1887651012086285E-2</v>
      </c>
      <c r="Z4" s="1179"/>
      <c r="AA4" s="1178" t="s">
        <v>1545</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1.2211116922520611</v>
      </c>
      <c r="Q5" s="33"/>
      <c r="R5" s="33" t="s">
        <v>578</v>
      </c>
      <c r="S5" s="90">
        <f>(ohavg+ap/APtoDPS*OHnorm)*(instactualhit+(1+((leth*0.06+2)-1)*(cfact-1))*instactualcrit)*(1+sa*0.1)*(0.5+0.05*dws)+avipdam</f>
        <v>850.31292568652589</v>
      </c>
      <c r="T5" s="92">
        <f>T4+T3</f>
        <v>1</v>
      </c>
      <c r="U5" s="91"/>
      <c r="V5" s="1177" t="s">
        <v>1546</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797.97744112991768</v>
      </c>
      <c r="P6" s="33"/>
      <c r="Q6" s="33"/>
      <c r="R6" s="33" t="s">
        <v>582</v>
      </c>
      <c r="S6" s="90">
        <f>(1.5+talSCallInstBon)*(MHavg+ap/APtoDPS*MHnorm+170)*(instactualhit+(1+((leth*0.06+2)-1)*(cfact-1))*instactualcrit)*(1+sa*0.1+0.04*opp+0.02*agg+Slayer4value-1)</f>
        <v>2096.8643883549157</v>
      </c>
      <c r="T6" s="92">
        <f>insthit</f>
        <v>0.76331054159298017</v>
      </c>
      <c r="U6" s="93">
        <f>T6/T8</f>
        <v>0.77888830774793893</v>
      </c>
      <c r="V6" s="1177" t="s">
        <v>1547</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1288.9417237527728</v>
      </c>
      <c r="P7" s="90">
        <f>O7/O2</f>
        <v>32.092553081242819</v>
      </c>
      <c r="Q7" s="33" t="s">
        <v>584</v>
      </c>
      <c r="R7" s="33" t="s">
        <v>585</v>
      </c>
      <c r="S7" s="90">
        <f>(MHavg+ap/APtoDPS*MHnorm+98)*(instactualhit+(1+((leth*0.06+2)-1)*(cfact-1))*instactualcrit)*(1+sa*0.1+0.02*agg+Slayer4value-1)</f>
        <v>1288.9417237527728</v>
      </c>
      <c r="T7" s="92">
        <f>instcrit</f>
        <v>0.21668945840701978</v>
      </c>
      <c r="U7" s="93">
        <f>T7/T8</f>
        <v>0.22111169225206101</v>
      </c>
      <c r="V7" s="1177" t="s">
        <v>1549</v>
      </c>
      <c r="W7" s="1178"/>
      <c r="X7" s="1179">
        <f>VLOOKUP($X$2,CHOOSE({1,2},AG56:AG284,AA56:AA284),2,FALSE)</f>
        <v>1759.7269451999114</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12.395139788263995</v>
      </c>
      <c r="I8" s="86"/>
      <c r="J8" s="86"/>
      <c r="N8" s="32"/>
      <c r="O8" s="98"/>
      <c r="P8" s="33"/>
      <c r="Q8" s="33"/>
      <c r="R8" s="33" t="s">
        <v>586</v>
      </c>
      <c r="S8" s="90">
        <f>Slayer4value*(MHavg+ap/APtoDPS*MHnorm)*(1.1+talSCallInstBon)*(instactualhit+(1+((leth*0.06+2)-1)*(cfact-1))*instactualcrit)+420*(1+raidcrit)*debuffon</f>
        <v>1606.626536142983</v>
      </c>
      <c r="T8" s="92">
        <f>T6+T7</f>
        <v>0.98</v>
      </c>
      <c r="U8" s="91"/>
      <c r="V8" s="1184" t="s">
        <v>1550</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587</v>
      </c>
      <c r="S9" s="90">
        <f>((MHavg+ap/APtoDPS*MHspd)*1.25)*(instactualhit+(1+((leth*0.06+2)-1)*(cfact-1))*instactualcrit)</f>
        <v>1302.8717781345997</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66" t="s">
        <v>319</v>
      </c>
      <c r="I14" s="1567"/>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4" t="s">
        <v>323</v>
      </c>
      <c r="I15" s="1565"/>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2"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51"/>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52"/>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8" t="s">
        <v>329</v>
      </c>
      <c r="I20" s="1568"/>
      <c r="J20" s="1568"/>
      <c r="K20" s="1568"/>
      <c r="L20" s="1568"/>
      <c r="M20" s="1568"/>
      <c r="N20" s="1568"/>
      <c r="P20" s="1568" t="s">
        <v>330</v>
      </c>
      <c r="Q20" s="1568"/>
      <c r="R20" s="1568"/>
      <c r="S20" s="1568"/>
      <c r="T20" s="1568"/>
      <c r="U20" s="1568"/>
      <c r="V20" s="1568"/>
      <c r="AE20" s="197"/>
    </row>
    <row r="21" spans="2:31" ht="18" customHeight="1">
      <c r="B21" s="207" t="s">
        <v>128</v>
      </c>
      <c r="C21">
        <v>2</v>
      </c>
      <c r="D21" s="402" t="s">
        <v>322</v>
      </c>
      <c r="E21" s="397">
        <f>$O$4-(5*relent*C21)-(35*E3)</f>
        <v>25</v>
      </c>
      <c r="F21" s="397">
        <f>(($S$3+$S$4*C21+ap*0.03*C21)*$O$5+IF(AND(Hemorrhage=1,OR(Talents!O25="No",instatk&lt;&gt;"HEMO")),42*HDebuff,0))*$K$4*$P$5</f>
        <v>652.8395626965472</v>
      </c>
      <c r="H21" s="1569"/>
      <c r="I21" s="1569"/>
      <c r="J21" s="1569"/>
      <c r="K21" s="1569"/>
      <c r="L21" s="1569"/>
      <c r="M21" s="1569"/>
      <c r="N21" s="1569"/>
      <c r="P21" s="1569"/>
      <c r="Q21" s="1569"/>
      <c r="R21" s="1569"/>
      <c r="S21" s="1569"/>
      <c r="T21" s="1569"/>
      <c r="U21" s="1569"/>
      <c r="V21" s="1569"/>
      <c r="AE21" s="197"/>
    </row>
    <row r="22" spans="2:31">
      <c r="B22" s="207" t="s">
        <v>128</v>
      </c>
      <c r="C22">
        <v>3</v>
      </c>
      <c r="D22" s="402" t="s">
        <v>322</v>
      </c>
      <c r="E22" s="397">
        <f>$O$4-(5*relent*C22)-(35*E4)</f>
        <v>20</v>
      </c>
      <c r="F22" s="397">
        <f>(($S$3+$S$4*C22+ap*0.03*C22)*$O$5+IF(AND(Hemorrhage=1,OR(Talents!O25="No",instatk&lt;&gt;"HEMO")),42*HDebuff,0))*$K$4*$P$5</f>
        <v>921.65006995070587</v>
      </c>
      <c r="G22" s="398"/>
      <c r="H22" s="1562" t="s">
        <v>319</v>
      </c>
      <c r="I22" s="1563"/>
      <c r="J22" s="1288">
        <v>1</v>
      </c>
      <c r="K22" s="1289">
        <v>2</v>
      </c>
      <c r="L22" s="1289">
        <v>3</v>
      </c>
      <c r="M22" s="1289">
        <v>4</v>
      </c>
      <c r="N22" s="1290">
        <v>5</v>
      </c>
      <c r="P22" s="1562" t="s">
        <v>319</v>
      </c>
      <c r="Q22" s="1563"/>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70" t="s">
        <v>331</v>
      </c>
      <c r="I23" s="1571"/>
      <c r="J23" s="1193"/>
      <c r="K23" s="1194"/>
      <c r="L23" s="1194"/>
      <c r="M23" s="1194"/>
      <c r="N23" s="1195"/>
      <c r="P23" s="1573" t="s">
        <v>331</v>
      </c>
      <c r="Q23" s="1574"/>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5" t="s">
        <v>323</v>
      </c>
      <c r="Q36" s="1576"/>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2"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51"/>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52"/>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53" t="s">
        <v>323</v>
      </c>
      <c r="I43" s="1554"/>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51"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51"/>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52"/>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1137</v>
      </c>
      <c r="M51" s="1559" t="s">
        <v>3106</v>
      </c>
      <c r="N51" s="1559"/>
    </row>
    <row r="52" spans="2:43" ht="30">
      <c r="B52" s="1367" t="s">
        <v>338</v>
      </c>
      <c r="C52" s="1367"/>
      <c r="D52" s="1367"/>
      <c r="E52" s="1367"/>
      <c r="F52" s="1367"/>
      <c r="G52" s="1367"/>
      <c r="H52" s="1367"/>
      <c r="I52" s="1368" t="s">
        <v>1538</v>
      </c>
      <c r="J52" s="1369">
        <f>'Damage Calc'!$J$16</f>
        <v>1555.182530256119</v>
      </c>
      <c r="K52" s="1368"/>
      <c r="L52" s="1370">
        <f>'Gear &amp; Buffs'!$C$7</f>
        <v>1555.182530256119</v>
      </c>
      <c r="M52" s="1558" t="str">
        <f>ROUNDUP(J52-L52,2)&amp;" ("&amp;ROUNDUP((J52-L52)/J52,2)&amp;"%)"</f>
        <v>0 (0%)</v>
      </c>
      <c r="N52" s="1558"/>
    </row>
    <row r="53" spans="2:43">
      <c r="B53" s="1560" t="s">
        <v>1025</v>
      </c>
      <c r="C53" s="1556" t="s">
        <v>339</v>
      </c>
      <c r="D53" s="1556"/>
      <c r="E53" s="1556"/>
      <c r="F53" s="1556"/>
      <c r="G53" s="1556"/>
      <c r="H53" s="1556"/>
      <c r="I53" s="420" t="s">
        <v>340</v>
      </c>
      <c r="J53" s="1556" t="s">
        <v>341</v>
      </c>
      <c r="K53" s="1556"/>
      <c r="L53" s="1556"/>
      <c r="M53" s="421" t="s">
        <v>923</v>
      </c>
      <c r="N53" s="1556" t="s">
        <v>342</v>
      </c>
      <c r="O53" s="1556"/>
      <c r="P53" s="1556"/>
      <c r="Q53" s="1556"/>
      <c r="R53" s="1556" t="s">
        <v>3028</v>
      </c>
      <c r="S53" s="1556"/>
      <c r="T53" s="1556"/>
      <c r="U53" s="1556" t="s">
        <v>343</v>
      </c>
      <c r="V53" s="1556"/>
      <c r="W53" s="1556"/>
      <c r="X53" s="419" t="s">
        <v>321</v>
      </c>
      <c r="Y53" s="1556" t="s">
        <v>318</v>
      </c>
      <c r="Z53" s="1556"/>
      <c r="AA53" s="1556"/>
      <c r="AB53" s="1556"/>
      <c r="AC53" s="1556"/>
      <c r="AD53" s="1556"/>
      <c r="AE53" s="1556"/>
      <c r="AF53" s="1556"/>
      <c r="AG53" s="1557" t="s">
        <v>1538</v>
      </c>
      <c r="AH53" s="1561" t="s">
        <v>344</v>
      </c>
      <c r="AI53" s="1561"/>
      <c r="AJ53" s="1561"/>
      <c r="AK53" s="1555" t="s">
        <v>345</v>
      </c>
      <c r="AP53">
        <v>1</v>
      </c>
      <c r="AQ53" s="905" t="s">
        <v>3034</v>
      </c>
    </row>
    <row r="54" spans="2:43">
      <c r="B54" s="1560"/>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57"/>
      <c r="AH54" s="422" t="s">
        <v>126</v>
      </c>
      <c r="AI54" s="422" t="s">
        <v>346</v>
      </c>
      <c r="AJ54" s="1375" t="s">
        <v>332</v>
      </c>
      <c r="AK54" s="1555"/>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0.30745805848710167</v>
      </c>
      <c r="D2" s="371">
        <f>10/(20+1/('Damage Calc'!I80*'Damage Calc'!L80))</f>
        <v>0.30745805848710167</v>
      </c>
      <c r="E2" s="120">
        <f>IF(OR(trinket1="Dragonspine Trophy",trinket2="Dragonspine Trophy"),325*(D2-itDSTup)*dpsHaste,0)</f>
        <v>0</v>
      </c>
      <c r="F2" s="6" t="s">
        <v>2307</v>
      </c>
      <c r="G2" s="504" t="s">
        <v>3151</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2308</v>
      </c>
      <c r="G3" s="504" t="s">
        <v>3149</v>
      </c>
    </row>
    <row r="4" spans="1:7">
      <c r="A4" s="6" t="s">
        <v>991</v>
      </c>
      <c r="B4" s="371">
        <v>0.40234326580194024</v>
      </c>
      <c r="C4" s="371">
        <v>0.40461321853618898</v>
      </c>
      <c r="D4" s="371">
        <f>20/(45+1/('Damage Calc'!K47*10%))</f>
        <v>0.40461321853618898</v>
      </c>
      <c r="E4" s="120">
        <f>IF(OR(trinket1="Shard of Contempt",trinket2="Shard of Contempt"),230*(D4-itSoCup)*dpsAP,0)</f>
        <v>0</v>
      </c>
      <c r="F4" s="6" t="s">
        <v>2309</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2311</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2312</v>
      </c>
      <c r="G6" s="504" t="s">
        <v>3154</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2308</v>
      </c>
      <c r="G7" s="504" t="s">
        <v>3152</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2308</v>
      </c>
      <c r="G8" s="504" t="s">
        <v>3153</v>
      </c>
    </row>
    <row r="9" spans="1:7">
      <c r="A9" s="6" t="s">
        <v>1928</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2308</v>
      </c>
      <c r="G9" s="504"/>
    </row>
    <row r="10" spans="1:7">
      <c r="A10" s="6" t="s">
        <v>1929</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2308</v>
      </c>
      <c r="G10" s="504" t="s">
        <v>3148</v>
      </c>
    </row>
    <row r="11" spans="1:7" ht="12" thickBot="1">
      <c r="A11" s="6" t="s">
        <v>1930</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2308</v>
      </c>
      <c r="G11" s="505"/>
    </row>
    <row r="12" spans="1:7">
      <c r="A12" s="6" t="s">
        <v>1720</v>
      </c>
      <c r="B12" s="371">
        <v>0.15286968379242344</v>
      </c>
      <c r="C12" s="371">
        <v>0.14603869002514555</v>
      </c>
      <c r="D12" s="371">
        <f>10/(50+1/('Damage Calc'!K58*10%))</f>
        <v>0.14603869002514555</v>
      </c>
      <c r="E12" s="120">
        <f>IF(OR(trinket1="Hourglass of the Unraveller",trinket2="Hourglass of the Unraveller"),300*(D12-itHGup)*dpsAP,0)</f>
        <v>0</v>
      </c>
      <c r="F12" s="6" t="s">
        <v>2878</v>
      </c>
    </row>
    <row r="13" spans="1:7">
      <c r="A13" s="6" t="s">
        <v>524</v>
      </c>
      <c r="B13" s="371">
        <v>0.20773092034110976</v>
      </c>
      <c r="C13" s="371">
        <v>0.20853630167465081</v>
      </c>
      <c r="D13" s="371">
        <f>10/(45+1/('Damage Calc'!K47*15%))</f>
        <v>0.20853630167465081</v>
      </c>
      <c r="E13" s="120">
        <f>IF(Neck="Shattered Sun Pendant of Might (Aldor)",200*(D13-itSSPMAup)*dpsAP,0)</f>
        <v>0</v>
      </c>
      <c r="F13" s="6" t="s">
        <v>2874</v>
      </c>
    </row>
    <row r="14" spans="1:7">
      <c r="A14" s="6" t="s">
        <v>2313</v>
      </c>
      <c r="B14" s="217">
        <v>48.139198457212096</v>
      </c>
      <c r="C14" s="217">
        <v>47.953281609460788</v>
      </c>
      <c r="D14" s="217">
        <f>(45+1/('Damage Calc'!K47*15%))</f>
        <v>47.953281609460788</v>
      </c>
      <c r="E14" s="120">
        <v>0</v>
      </c>
      <c r="F14" s="6" t="s">
        <v>2874</v>
      </c>
    </row>
    <row r="15" spans="1:7">
      <c r="A15" s="6" t="s">
        <v>526</v>
      </c>
      <c r="B15" s="371">
        <v>0.20773092034110976</v>
      </c>
      <c r="C15" s="371">
        <v>0.20853630167465081</v>
      </c>
      <c r="D15" s="371">
        <f>10/(45+1/('Damage Calc'!K47*15%))</f>
        <v>0.20853630167465081</v>
      </c>
      <c r="E15" s="120">
        <v>0</v>
      </c>
      <c r="F15" s="6" t="s">
        <v>2874</v>
      </c>
    </row>
    <row r="16" spans="1:7">
      <c r="A16" s="6" t="s">
        <v>525</v>
      </c>
      <c r="B16" s="371">
        <v>0.20773092034110976</v>
      </c>
      <c r="C16" s="371">
        <v>0.20853630167465081</v>
      </c>
      <c r="D16" s="371">
        <f>10/(45+1/('Damage Calc'!K47*15%))</f>
        <v>0.20853630167465081</v>
      </c>
      <c r="E16" s="120">
        <f>IF(Neck="Shattered Sun Pendant of Resolve (Scryer)",100*(D16-itSSPRSup)*dpsExp,0)</f>
        <v>0</v>
      </c>
      <c r="F16" s="6" t="s">
        <v>2874</v>
      </c>
    </row>
    <row r="17" spans="1:6">
      <c r="A17" s="6" t="s">
        <v>1134</v>
      </c>
      <c r="B17" s="371">
        <v>0.52329256506102406</v>
      </c>
      <c r="C17" s="371">
        <v>0.56461622930697231</v>
      </c>
      <c r="D17" s="371">
        <f>1-(1-'Damage Calc'!L48)^(15*'Damage Calc'!I48)-IF(time=0,0,(1-'Damage Calc'!L48)^(15*'Damage Calc'!I48)*0.5*15/time)</f>
        <v>0.56461622930697231</v>
      </c>
      <c r="E17" s="120">
        <f>IF('Gear &amp; Buffs'!B11="Crusader",60*(D17-enCrMHup)*dpsStr,0)</f>
        <v>0</v>
      </c>
      <c r="F17" s="6" t="s">
        <v>2308</v>
      </c>
    </row>
    <row r="18" spans="1:6">
      <c r="A18" s="6" t="s">
        <v>1135</v>
      </c>
      <c r="B18" s="371">
        <v>0.29969713673447618</v>
      </c>
      <c r="C18" s="371">
        <v>0.30968688863786553</v>
      </c>
      <c r="D18" s="371">
        <f>1-(1-'Damage Calc'!L49)^(15*'Damage Calc'!I49)-IF(time=0,0,(1-'Damage Calc'!L49)^(15*'Damage Calc'!I49)*0.5*15/time)</f>
        <v>0.30968688863786553</v>
      </c>
      <c r="E18" s="120">
        <f>IF('Gear &amp; Buffs'!B17="Crusader",60*(D18-enCrOHup)*dpsStr,0)</f>
        <v>0</v>
      </c>
      <c r="F18" s="6" t="s">
        <v>2308</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2060</v>
      </c>
      <c r="B22" s="371">
        <v>0.25646610678141257</v>
      </c>
      <c r="C22" s="371">
        <v>0.28289834939915232</v>
      </c>
      <c r="D22" s="371">
        <f>1-(1-'Damage Calc'!L48)^(6*'Damage Calc'!I48)-IF(time=0,0,(1-'Damage Calc'!L48)^(6*'Damage Calc'!I48)*0.5*6/time)</f>
        <v>0.28289834939915232</v>
      </c>
      <c r="E22" s="120">
        <v>0</v>
      </c>
      <c r="F22" s="6" t="s">
        <v>2308</v>
      </c>
    </row>
    <row r="23" spans="1:6">
      <c r="A23" s="6" t="s">
        <v>2061</v>
      </c>
      <c r="B23" s="371">
        <v>0.13280980102516837</v>
      </c>
      <c r="C23" s="371">
        <v>0.13915354962187584</v>
      </c>
      <c r="D23" s="371">
        <f>1-(1-'Damage Calc'!L49)^(6*'Damage Calc'!I49)-IF(time=0,0,(1-'Damage Calc'!L48)^(6*'Damage Calc'!I48)*0.5*6/time)</f>
        <v>0.13915354962187584</v>
      </c>
      <c r="E23" s="120">
        <v>0</v>
      </c>
      <c r="F23" s="6" t="s">
        <v>2308</v>
      </c>
    </row>
    <row r="24" spans="1:6">
      <c r="A24" s="6" t="s">
        <v>2062</v>
      </c>
      <c r="B24" s="371">
        <v>0.35478080629916287</v>
      </c>
      <c r="C24" s="371">
        <v>0.38628062883500175</v>
      </c>
      <c r="D24" s="371">
        <f>1-(1-'Damage Calc'!L47)^(6*'Damage Calc'!I47)-IF(time=0,0,(1-'Damage Calc'!L48)^(6*'Damage Calc'!I48)*0.5*6/time)</f>
        <v>0.38628062883500175</v>
      </c>
      <c r="E24" s="120">
        <v>0</v>
      </c>
      <c r="F24" s="6" t="s">
        <v>2308</v>
      </c>
    </row>
    <row r="25" spans="1:6">
      <c r="A25" s="6" t="s">
        <v>2064</v>
      </c>
      <c r="B25" s="371">
        <v>4.8388681306019823E-2</v>
      </c>
      <c r="C25" s="371">
        <v>5.5859707067937678E-2</v>
      </c>
      <c r="D25" s="371">
        <f>'Damage Calc'!L48*'Damage Calc'!I48</f>
        <v>5.5859707067937678E-2</v>
      </c>
      <c r="E25" s="120">
        <v>0</v>
      </c>
      <c r="F25" s="6" t="s">
        <v>2308</v>
      </c>
    </row>
    <row r="26" spans="1:6">
      <c r="A26" s="6" t="s">
        <v>2065</v>
      </c>
      <c r="B26" s="371">
        <v>2.349719128761122E-2</v>
      </c>
      <c r="C26" s="371">
        <v>2.6051173438538348E-2</v>
      </c>
      <c r="D26" s="371">
        <f>'Damage Calc'!L49*'Damage Calc'!I49</f>
        <v>2.6051173438538348E-2</v>
      </c>
      <c r="E26" s="120">
        <v>0</v>
      </c>
      <c r="F26" s="6" t="s">
        <v>2308</v>
      </c>
    </row>
    <row r="27" spans="1:6">
      <c r="A27" s="6" t="s">
        <v>1674</v>
      </c>
      <c r="B27" s="371">
        <v>0.16890115759854415</v>
      </c>
      <c r="C27" s="371">
        <v>0.17404929717432444</v>
      </c>
      <c r="D27" s="371">
        <f>10/(45+1/('Damage Calc'!I89*'Damage Calc'!L89))</f>
        <v>0.17404929717432444</v>
      </c>
      <c r="E27" s="120">
        <f>IF(SetTB2p, 450*(D27-stTwinUP)*dpsHaste, 0)</f>
        <v>0</v>
      </c>
      <c r="F27" s="6" t="s">
        <v>1675</v>
      </c>
    </row>
    <row r="28" spans="1:6">
      <c r="A28" s="6" t="s">
        <v>2005</v>
      </c>
      <c r="B28" s="371">
        <v>0.40234326580194024</v>
      </c>
      <c r="C28" s="371">
        <v>0.40461321853618898</v>
      </c>
      <c r="D28" s="371">
        <f>20/(45+1/('Damage Calc'!K47*10%))</f>
        <v>0.40461321853618898</v>
      </c>
      <c r="E28" s="120">
        <f>IF(OR(trinket1="Blackened Naaru Sliver",trinket2="Blackened Naaru Sliver"),(D29*D28-C29*C28)*dpsAP,0)</f>
        <v>0</v>
      </c>
      <c r="F28" s="6" t="s">
        <v>2309</v>
      </c>
    </row>
    <row r="29" spans="1:6">
      <c r="A29" s="6" t="s">
        <v>2006</v>
      </c>
      <c r="B29" s="217">
        <v>393.38290291040045</v>
      </c>
      <c r="C29" s="217">
        <v>398.84515385839478</v>
      </c>
      <c r="D29" s="217">
        <f>Trinket!AG43</f>
        <v>398.84515385839478</v>
      </c>
      <c r="E29" s="120"/>
    </row>
    <row r="30" spans="1:6">
      <c r="A30" s="6" t="s">
        <v>1089</v>
      </c>
      <c r="B30" s="371">
        <v>2.1214511306480888E-2</v>
      </c>
      <c r="C30" s="371">
        <v>2.3419834716974508E-2</v>
      </c>
      <c r="D30" s="371">
        <f>1-(1-'Damage Calc'!L47)^(MIN((Cycles!J15*Cycles!O2+25-5*relent-25*dm4p1)/Cycles!C7,20)/'Damage Calc'!J47)</f>
        <v>2.3419834716974508E-2</v>
      </c>
      <c r="E30" s="120"/>
    </row>
    <row r="31" spans="1:6">
      <c r="A31" s="6" t="s">
        <v>1080</v>
      </c>
      <c r="B31" s="371">
        <v>4.1778695251399434E-2</v>
      </c>
      <c r="C31" s="371">
        <v>4.6089513457263864E-2</v>
      </c>
      <c r="D31" s="371">
        <f>1-(1-'Damage Calc'!L47)^(MIN((Cycles!K15*Cycles!O2+25-10*relent-25*dm4p1)/Cycles!C7,20)/'Damage Calc'!J47)</f>
        <v>4.6089513457263864E-2</v>
      </c>
      <c r="E31" s="120"/>
    </row>
    <row r="32" spans="1:6">
      <c r="A32" s="6" t="s">
        <v>1081</v>
      </c>
      <c r="B32" s="371">
        <v>6.1910827775240151E-2</v>
      </c>
      <c r="C32" s="371">
        <v>6.8232953438609245E-2</v>
      </c>
      <c r="D32" s="371">
        <f>1-(1-'Damage Calc'!L47)^(MIN((Cycles!L15*Cycles!O2+25-15*relent-25*dm4p1)/Cycles!C7,20)/'Damage Calc'!J47)</f>
        <v>6.8232953438609245E-2</v>
      </c>
      <c r="E32" s="120"/>
    </row>
    <row r="33" spans="1:6">
      <c r="A33" s="6" t="s">
        <v>1082</v>
      </c>
      <c r="B33" s="371">
        <v>8.1619986234583441E-2</v>
      </c>
      <c r="C33" s="371">
        <v>8.9862370415569104E-2</v>
      </c>
      <c r="D33" s="371">
        <f>1-(1-'Damage Calc'!L47)^(MIN((Cycles!M15*Cycles!O2+25-20*relent-25*dm4p1)/Cycles!C7,20)/'Damage Calc'!J47)</f>
        <v>8.9862370415569104E-2</v>
      </c>
      <c r="E33" s="120"/>
    </row>
    <row r="34" spans="1:6">
      <c r="A34" s="6" t="s">
        <v>1083</v>
      </c>
      <c r="B34" s="371">
        <v>0.10091505727166783</v>
      </c>
      <c r="C34" s="371">
        <v>0.11098969657434687</v>
      </c>
      <c r="D34" s="371">
        <f>1-(1-'Damage Calc'!L47)^(MIN((Cycles!N15*Cycles!O2+25-25*relent-25*dm4p1)/Cycles!C7,20)/'Damage Calc'!J47)</f>
        <v>0.11098969657434687</v>
      </c>
      <c r="E34" s="120"/>
    </row>
    <row r="35" spans="1:6">
      <c r="A35" s="6" t="s">
        <v>1084</v>
      </c>
      <c r="B35" s="371">
        <v>2.1214511306480888E-2</v>
      </c>
      <c r="C35" s="371">
        <v>2.3419834716974508E-2</v>
      </c>
      <c r="D35" s="371">
        <f>1-(1-'Damage Calc'!L47)^(MIN((Cycles!J15*Cycles!O2+Cycles!O3-5*relent-25*dm4p1)/Cycles!C7,20)/'Damage Calc'!J47)</f>
        <v>2.3419834716974508E-2</v>
      </c>
      <c r="E35" s="120"/>
    </row>
    <row r="36" spans="1:6">
      <c r="A36" s="6" t="s">
        <v>1085</v>
      </c>
      <c r="B36" s="371">
        <v>4.1778695251399434E-2</v>
      </c>
      <c r="C36" s="371">
        <v>4.6089513457263864E-2</v>
      </c>
      <c r="D36" s="371">
        <f>1-(1-'Damage Calc'!L47)^(MIN((Cycles!K15*Cycles!O2+Cycles!O3-10*relent-25*dm4p1)/Cycles!C7,20)/'Damage Calc'!J47)</f>
        <v>4.6089513457263864E-2</v>
      </c>
      <c r="E36" s="120"/>
    </row>
    <row r="37" spans="1:6">
      <c r="A37" s="6" t="s">
        <v>1086</v>
      </c>
      <c r="B37" s="371">
        <v>6.1910827775240151E-2</v>
      </c>
      <c r="C37" s="371">
        <v>6.8232953438609245E-2</v>
      </c>
      <c r="D37" s="371">
        <f>1-(1-'Damage Calc'!L47)^(MIN((Cycles!L15*Cycles!O2+Cycles!O3-15*relent-25*dm4p1)/Cycles!C7,20)/'Damage Calc'!J47)</f>
        <v>6.8232953438609245E-2</v>
      </c>
      <c r="E37" s="120"/>
    </row>
    <row r="38" spans="1:6">
      <c r="A38" s="6" t="s">
        <v>1087</v>
      </c>
      <c r="B38" s="371">
        <v>8.1619986234583441E-2</v>
      </c>
      <c r="C38" s="371">
        <v>8.9862370415569104E-2</v>
      </c>
      <c r="D38" s="371">
        <f>1-(1-'Damage Calc'!L47)^(MIN((Cycles!M15*Cycles!O2+Cycles!O3-20*relent-25*dm4p1)/Cycles!C7,20)/'Damage Calc'!J47)</f>
        <v>8.9862370415569104E-2</v>
      </c>
      <c r="E38" s="120"/>
    </row>
    <row r="39" spans="1:6">
      <c r="A39" s="6" t="s">
        <v>1088</v>
      </c>
      <c r="B39" s="371">
        <v>0.10091505727166783</v>
      </c>
      <c r="C39" s="371">
        <v>0.11098969657434687</v>
      </c>
      <c r="D39" s="371">
        <f>1-(1-'Damage Calc'!L47)^(MIN((Cycles!N15*Cycles!O2+Cycles!O3-25*relent-25*dm4p1)/Cycles!C7,20)/'Damage Calc'!J47)</f>
        <v>0.11098969657434687</v>
      </c>
      <c r="E39" s="120"/>
    </row>
    <row r="40" spans="1:6">
      <c r="A40" s="6" t="s">
        <v>1094</v>
      </c>
      <c r="B40" s="371">
        <v>2.7100225771663156E-2</v>
      </c>
      <c r="C40" s="371">
        <v>2.9921082443867153E-2</v>
      </c>
      <c r="D40" s="371">
        <f>1-(1-'Damage Calc'!L47)^(MIN((Cycles!J15*Cycles!O2+Cycles!O4-5*relent-25*dm4p1)/Cycles!C7,20)/'Damage Calc'!J47)</f>
        <v>2.9921082443867153E-2</v>
      </c>
      <c r="E40" s="120"/>
    </row>
    <row r="41" spans="1:6">
      <c r="A41" s="6" t="s">
        <v>1090</v>
      </c>
      <c r="B41" s="371">
        <v>4.7540751452020746E-2</v>
      </c>
      <c r="C41" s="371">
        <v>5.2439845567989973E-2</v>
      </c>
      <c r="D41" s="371">
        <f>1-(1-'Damage Calc'!L47)^(MIN((Cycles!K15*Cycles!O2+Cycles!O4-10*relent-25*dm4p1)/Cycles!C7,20)/'Damage Calc'!J47)</f>
        <v>5.2439845567989973E-2</v>
      </c>
      <c r="E41" s="120"/>
    </row>
    <row r="42" spans="1:6">
      <c r="A42" s="6" t="s">
        <v>1091</v>
      </c>
      <c r="B42" s="371">
        <v>6.7551823758909557E-2</v>
      </c>
      <c r="C42" s="371">
        <v>7.4435873187337798E-2</v>
      </c>
      <c r="D42" s="371">
        <f>1-(1-'Damage Calc'!L47)^(MIN((Cycles!L15*Cycles!O2+Cycles!O4-15*relent-25*dm4p1)/Cycles!C7,20)/'Damage Calc'!J47)</f>
        <v>7.4435873187337798E-2</v>
      </c>
      <c r="E42" s="120"/>
    </row>
    <row r="43" spans="1:6">
      <c r="A43" s="6" t="s">
        <v>1092</v>
      </c>
      <c r="B43" s="371">
        <v>8.7142465464193131E-2</v>
      </c>
      <c r="C43" s="371">
        <v>9.5921299734270105E-2</v>
      </c>
      <c r="D43" s="371">
        <f>1-(1-'Damage Calc'!L47)^(MIN((Cycles!M15*Cycles!O2+Cycles!O4-20*relent-25*dm4p1)/Cycles!C7,20)/'Damage Calc'!J47)</f>
        <v>9.5921299734270105E-2</v>
      </c>
      <c r="E43" s="120"/>
    </row>
    <row r="44" spans="1:6">
      <c r="A44" s="6" t="s">
        <v>1093</v>
      </c>
      <c r="B44" s="371">
        <v>0.10632150977221233</v>
      </c>
      <c r="C44" s="371">
        <v>0.11690797796055041</v>
      </c>
      <c r="D44" s="371">
        <f>1-(1-'Damage Calc'!L47)^(MIN((Cycles!N15*Cycles!O2+Cycles!O4-25*relent-25*dm4p1)/Cycles!C7,20)/'Damage Calc'!J47)</f>
        <v>0.11690797796055041</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12.890701631062541</v>
      </c>
      <c r="D46" s="217">
        <f>10*'Damage Calc'!K48</f>
        <v>12.890701631062541</v>
      </c>
      <c r="E46" s="120"/>
      <c r="F46" s="6" t="s">
        <v>3010</v>
      </c>
    </row>
    <row r="47" spans="1:6">
      <c r="A47" s="6" t="s">
        <v>3011</v>
      </c>
      <c r="B47" s="217">
        <v>10.070224837547666</v>
      </c>
      <c r="C47" s="217">
        <v>11.164788616516436</v>
      </c>
      <c r="D47" s="217">
        <f>10*'Damage Calc'!K49</f>
        <v>11.164788616516436</v>
      </c>
      <c r="E47" s="120"/>
      <c r="F47" s="6" t="s">
        <v>3010</v>
      </c>
    </row>
    <row r="48" spans="1:6">
      <c r="A48" s="6" t="s">
        <v>3014</v>
      </c>
      <c r="B48" s="371">
        <v>0.15209062457841166</v>
      </c>
      <c r="C48" s="371">
        <v>0.15880381578445329</v>
      </c>
      <c r="D48" s="371">
        <f>10/(45+1/('Damage Calc'!I107*'Damage Calc'!L107))</f>
        <v>0.15880381578445329</v>
      </c>
      <c r="E48" s="120">
        <f>IF(mh="The Bladefist", 180*(D48-itTBFup)*dpsHaste, 0)</f>
        <v>0</v>
      </c>
      <c r="F48" s="6" t="s">
        <v>1675</v>
      </c>
    </row>
    <row r="49" spans="1:6">
      <c r="A49" s="6" t="s">
        <v>2238</v>
      </c>
      <c r="B49" s="371">
        <v>0.38975913970519804</v>
      </c>
      <c r="C49" s="371">
        <v>0.42551658077912685</v>
      </c>
      <c r="D49" s="371">
        <f>1-(1-'Damage Calc'!$L$48)^(10*'Damage Calc'!$I$48)-IF(time=0,0,(1-'Damage Calc'!$L$48)^(10*'Damage Calc'!$I$48)*0.5*10/time)</f>
        <v>0.42551658077912685</v>
      </c>
      <c r="E49" s="120">
        <f>IF(mh="Heartrazor",270*(D49-itHRmhUP)*dpsAP,0)</f>
        <v>0</v>
      </c>
      <c r="F49" s="6" t="s">
        <v>2308</v>
      </c>
    </row>
    <row r="50" spans="1:6">
      <c r="A50" s="6" t="s">
        <v>2239</v>
      </c>
      <c r="B50" s="371">
        <v>0.2113991006769228</v>
      </c>
      <c r="C50" s="371">
        <v>0.21886381592910398</v>
      </c>
      <c r="D50" s="371">
        <f>1-(1-'Damage Calc'!$L$49)^(10*'Damage Calc'!$I$49)-IF(time=0,0,(1-'Damage Calc'!$L$49)^(10*'Damage Calc'!$I$49)*0.5*10/time)</f>
        <v>0.21886381592910398</v>
      </c>
      <c r="E50" s="120">
        <f>IF(mh="Heartrazor",270*(D50-itHRohUP)*dpsAP,0)</f>
        <v>0</v>
      </c>
      <c r="F50" s="6" t="s">
        <v>2308</v>
      </c>
    </row>
    <row r="51" spans="1:6">
      <c r="A51" s="6" t="s">
        <v>3017</v>
      </c>
      <c r="B51" s="371">
        <v>0.38975913970519804</v>
      </c>
      <c r="C51" s="371">
        <v>0.42551658077912685</v>
      </c>
      <c r="D51" s="371">
        <f>1-(1-'Damage Calc'!$L$48)^(10*'Damage Calc'!$I$48)-IF(time=0,0,(1-'Damage Calc'!$L$48)^(10*'Damage Calc'!$I$48)*0.5*10/time)</f>
        <v>0.42551658077912685</v>
      </c>
      <c r="E51" s="120"/>
      <c r="F51" s="6" t="s">
        <v>2308</v>
      </c>
    </row>
    <row r="52" spans="1:6">
      <c r="A52" s="6" t="s">
        <v>3016</v>
      </c>
      <c r="B52" s="371">
        <v>0.2113991006769228</v>
      </c>
      <c r="C52" s="371">
        <v>0.21886381592910398</v>
      </c>
      <c r="D52" s="371">
        <f>1-(1-'Damage Calc'!$L$49)^(10*'Damage Calc'!$I$49)-IF(time=0,0,(1-'Damage Calc'!$L$49)^(10*'Damage Calc'!$I$49)*0.5*10/time)</f>
        <v>0.21886381592910398</v>
      </c>
      <c r="E52" s="120"/>
      <c r="F52" s="6" t="s">
        <v>2308</v>
      </c>
    </row>
    <row r="53" spans="1:6">
      <c r="A53" s="6" t="s">
        <v>2412</v>
      </c>
      <c r="B53" s="217">
        <v>0.44805233509221709</v>
      </c>
      <c r="C53" s="217">
        <v>0.33464313459900341</v>
      </c>
      <c r="D53" s="217">
        <f>5*instsec*instcrit</f>
        <v>0.33464313459900341</v>
      </c>
      <c r="E53" s="120"/>
    </row>
    <row r="54" spans="1:6">
      <c r="A54" s="6" t="s">
        <v>2877</v>
      </c>
      <c r="B54" s="371">
        <v>0.31102727206362035</v>
      </c>
      <c r="C54" s="371">
        <v>0.33374978855287174</v>
      </c>
      <c r="D54" s="371">
        <f>'Damage Calc'!L47*(15-IF(CharLevel&gt;60,(CharLevel-60)*0.5,0))</f>
        <v>0.33374978855287174</v>
      </c>
      <c r="E54" s="120"/>
      <c r="F54" s="6" t="s">
        <v>2979</v>
      </c>
    </row>
    <row r="55" spans="1:6">
      <c r="A55" s="6" t="s">
        <v>2860</v>
      </c>
      <c r="B55" s="217">
        <v>63.710530801425953</v>
      </c>
      <c r="C55" s="217">
        <v>67.721276345372416</v>
      </c>
      <c r="D55" s="217">
        <f>30*'Damage Calc'!K47</f>
        <v>67.721276345372416</v>
      </c>
      <c r="E55" s="120"/>
      <c r="F55" s="6" t="s">
        <v>2979</v>
      </c>
    </row>
    <row r="56" spans="1:6">
      <c r="A56" s="6" t="s">
        <v>2873</v>
      </c>
      <c r="B56" s="371">
        <v>0.11108414712726833</v>
      </c>
      <c r="C56" s="371">
        <v>0.11473598614129397</v>
      </c>
      <c r="D56" s="371">
        <f>6/(40+1/('Damage Calc'!I98*'Damage Calc'!L98))</f>
        <v>0.11473598614129397</v>
      </c>
      <c r="E56" s="120"/>
      <c r="F56" s="6" t="s">
        <v>2875</v>
      </c>
    </row>
    <row r="57" spans="1:6">
      <c r="A57" s="6" t="s">
        <v>2880</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2881</v>
      </c>
    </row>
    <row r="58" spans="1:6">
      <c r="A58" s="6" t="s">
        <v>3042</v>
      </c>
      <c r="B58" s="371">
        <v>0.47458276748102635</v>
      </c>
      <c r="C58" s="371">
        <v>0.48283016114481747</v>
      </c>
      <c r="D58" s="371">
        <f>1-(1-0.02)^(15*'Damage Calc'!K47)-IF(time=0,0,(1-0.02)^(15*'Damage Calc'!K47)*0.5*15/time)</f>
        <v>0.48283016114481747</v>
      </c>
      <c r="E58" s="120">
        <f>IF(ww4p, 160*(D58-C58)*dpsAP, 0)</f>
        <v>0</v>
      </c>
      <c r="F58" s="6" t="s">
        <v>3040</v>
      </c>
    </row>
    <row r="59" spans="1:6">
      <c r="A59" s="6" t="s">
        <v>3127</v>
      </c>
      <c r="B59" s="217">
        <v>120</v>
      </c>
      <c r="C59" s="217">
        <v>118.4203190369889</v>
      </c>
      <c r="D59" s="217">
        <f>Trinket!BA48</f>
        <v>118.4203190369889</v>
      </c>
      <c r="E59" s="120"/>
    </row>
    <row r="60" spans="1:6">
      <c r="A60" s="6" t="s">
        <v>3129</v>
      </c>
      <c r="B60" s="371">
        <v>1.2500000000000001E-2</v>
      </c>
      <c r="C60" s="371">
        <v>1.217101076170575E-2</v>
      </c>
      <c r="D60" s="371">
        <f>2%*IF(CharLevel&gt;60,(CharLevel-60)*2/30,0)*(1-2%)^(2*'Damage Calc'!K47)</f>
        <v>1.217101076170575E-2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1579</v>
      </c>
      <c r="Q2" s="68">
        <f>BaseMissPerc</f>
        <v>0.27</v>
      </c>
      <c r="R2" s="203"/>
      <c r="T2" s="27" t="s">
        <v>3098</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3007</v>
      </c>
      <c r="M4" s="68">
        <f>IF(time=0, 1-(Q43/(467.5*CharLevel+Q43-22167.5)), 'Cooldowns Calc'!AA1)</f>
        <v>0.74178816089935429</v>
      </c>
      <c r="O4" s="489" t="s">
        <v>397</v>
      </c>
      <c r="P4" s="68"/>
      <c r="Q4" s="68">
        <f>BaseParPerc</f>
        <v>0.14000000000000001</v>
      </c>
      <c r="T4" s="27" t="s">
        <v>3092</v>
      </c>
      <c r="U4" s="107">
        <f>14*conv</f>
        <v>22.076923076923077</v>
      </c>
    </row>
    <row r="5" spans="1:21">
      <c r="A5" s="523" t="s">
        <v>1439</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1181</v>
      </c>
      <c r="Q5" s="68">
        <f>BaseGlanPerc</f>
        <v>0.24</v>
      </c>
      <c r="T5" s="27" t="s">
        <v>3093</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1183</v>
      </c>
      <c r="O6" s="66" t="s">
        <v>1182</v>
      </c>
      <c r="Q6" s="69">
        <f>OHDamFact</f>
        <v>0.75</v>
      </c>
      <c r="T6" s="27" t="s">
        <v>3094</v>
      </c>
      <c r="U6" s="105">
        <f>12*conv</f>
        <v>18.923076923076923</v>
      </c>
    </row>
    <row r="7" spans="1:21" ht="13.5" thickBot="1">
      <c r="A7" s="541" t="s">
        <v>1200</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1188</v>
      </c>
      <c r="M8" s="72">
        <f>'Gear &amp; Buffs'!E6</f>
        <v>0.22111169225206101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3165.5289383329646</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1191</v>
      </c>
      <c r="Q10" s="66">
        <f>BaseGlanFact</f>
        <v>0.75</v>
      </c>
      <c r="T10" s="160" t="s">
        <v>3097</v>
      </c>
      <c r="U10" s="1336">
        <f>IF(CharLevel*5-BossLevel*5&lt;0, 0.2%, 0.04%)</f>
        <v>2E-3</v>
      </c>
    </row>
    <row r="11" spans="1:21">
      <c r="A11" s="547" t="s">
        <v>1189</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27.290231355562383</v>
      </c>
      <c r="J13" s="567">
        <f>I13</f>
        <v>27.290231355562383</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79.110112401040908</v>
      </c>
      <c r="J14" s="508">
        <f>I14</f>
        <v>79.110112401040908</v>
      </c>
      <c r="L14" s="66" t="s">
        <v>1202</v>
      </c>
      <c r="M14" s="66">
        <f>ohspd</f>
        <v>1.4</v>
      </c>
      <c r="O14" s="76" t="s">
        <v>1203</v>
      </c>
      <c r="Q14" s="77">
        <f>bMHhsec+G3</f>
        <v>0.60118092550473101</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1999.989011355666</v>
      </c>
      <c r="J16" s="1316">
        <f>SUM(J2:J15)</f>
        <v>1555.182530256119</v>
      </c>
      <c r="O16" s="76" t="s">
        <v>1205</v>
      </c>
      <c r="Q16" s="77">
        <f>bOHhsec+G6+G7</f>
        <v>1.1164788616516437</v>
      </c>
      <c r="T16" s="15" t="s">
        <v>3113</v>
      </c>
      <c r="U16" s="651">
        <f>IF(numPhysDps=0,0,10/35*10/(2*numPhysDps))</f>
        <v>0.14285714285714285</v>
      </c>
    </row>
    <row r="17" spans="1:21">
      <c r="O17" s="76" t="s">
        <v>2251</v>
      </c>
      <c r="Q17" s="80">
        <f>instsec</f>
        <v>0.30886886428081306</v>
      </c>
      <c r="R17" s="651">
        <f>1/Q17</f>
        <v>3.2376199599414268</v>
      </c>
    </row>
    <row r="18" spans="1:21">
      <c r="A18" s="79" t="s">
        <v>1206</v>
      </c>
      <c r="B18" s="79"/>
      <c r="C18" s="79" t="s">
        <v>419</v>
      </c>
      <c r="D18" s="79"/>
      <c r="E18" s="79" t="str">
        <f>"Hit Table - "&amp;instatklng</f>
        <v>Hit Table - Sinister Strike</v>
      </c>
      <c r="F18" s="79"/>
      <c r="G18" s="67"/>
      <c r="J18" s="339" t="s">
        <v>108</v>
      </c>
      <c r="O18" s="66" t="s">
        <v>2252</v>
      </c>
      <c r="Q18" s="78">
        <f>evisec+rupsec+envsec</f>
        <v>6.4249278896646056E-2</v>
      </c>
      <c r="R18" s="651">
        <f>Q17+Q18</f>
        <v>0.37311814317745912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0.16659794784524692</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2.2573758781790807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3.2376199599414268</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0.22111169225206101</v>
      </c>
      <c r="C23" s="66" t="s">
        <v>1188</v>
      </c>
      <c r="D23" s="68">
        <f>MIN((1-D19-D20-D21-D22),(M8)-IF(mhtype="dagger",Talents!$F$24/100,0)-IF(mhtype="fist",Talents!$F$29/100,0)+IF(ohtype="dagger",Talents!$F$24/100,0)+IF(ohtype="fist",Talents!$F$29/100,0))</f>
        <v>0.22111169225206101</v>
      </c>
      <c r="E23" s="66" t="s">
        <v>1188</v>
      </c>
      <c r="F23" s="72">
        <f>MIN(1,(M8+IF(instatk="bs",impBS,0)+IF(instatk="mut",impBS/2,0)))*(1-F19-F20-F21)+Q30</f>
        <v>0.21668945840701978</v>
      </c>
      <c r="H23" s="68"/>
      <c r="J23" s="66" t="s">
        <v>1188</v>
      </c>
      <c r="K23" s="68">
        <f>MIN(1,(M8))*(1-K19-K20-K21)+Q29</f>
        <v>0.22111169225206101</v>
      </c>
      <c r="L23" s="73"/>
      <c r="O23" s="66" t="s">
        <v>1751</v>
      </c>
      <c r="P23" s="70"/>
      <c r="Q23" s="70">
        <f>2*IF(AND('Gear &amp; Buffs'!B28="Relentless Earthstorm Diamond (12agi/3%crit dam)",MID('Gear &amp; Buffs'!R26,7,1)="1",Socket!S110),1.03,1)*IF(mhtype="mace",Talents!F26/100+1,1)</f>
        <v>2.06</v>
      </c>
      <c r="R23" s="71"/>
    </row>
    <row r="24" spans="1:21">
      <c r="A24" s="66" t="s">
        <v>1186</v>
      </c>
      <c r="B24" s="68">
        <f>(1-B19-B20-B21-B22-B23)</f>
        <v>0.51844928335769502</v>
      </c>
      <c r="C24" s="66" t="s">
        <v>1186</v>
      </c>
      <c r="D24" s="68">
        <f>(1-D19-D20-D21-D22-D23)</f>
        <v>0.51844928335769502</v>
      </c>
      <c r="E24" s="66" t="s">
        <v>1186</v>
      </c>
      <c r="F24" s="72">
        <f>(1-F19-F20-F21-F23)</f>
        <v>0.76331054159298017</v>
      </c>
      <c r="H24" s="68"/>
      <c r="J24" s="66" t="s">
        <v>1186</v>
      </c>
      <c r="K24" s="72">
        <f>(1-K19-K20-K21-K23)</f>
        <v>0.77888830774793893</v>
      </c>
      <c r="O24" s="66" t="s">
        <v>589</v>
      </c>
      <c r="Q24" s="66">
        <f>2*IF(AND('Gear &amp; Buffs'!B28="Relentless Earthstorm Diamond (12agi/3%crit dam)",MID('Gear &amp; Buffs'!R26,7,1)="1",Socket!S110),1.03,1)*IF(ohtype="mace",Talents!F26/100+1,1)</f>
        <v>2.06</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0.49458936445297341</v>
      </c>
    </row>
    <row r="32" spans="1:21">
      <c r="J32"/>
      <c r="K32" s="897"/>
      <c r="Q32" s="68"/>
      <c r="R32" s="85"/>
    </row>
    <row r="33" spans="1:18">
      <c r="A33" s="355" t="s">
        <v>432</v>
      </c>
      <c r="B33" s="355"/>
      <c r="J33"/>
      <c r="K33" s="897"/>
      <c r="O33" s="66" t="s">
        <v>2253</v>
      </c>
      <c r="Q33" s="73">
        <f>'Weap Enchants'!W22</f>
        <v>27.290231355562383</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1.2283946448524035</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0.59568464366327234</v>
      </c>
    </row>
    <row r="42" spans="1:18">
      <c r="A42" s="376" t="s">
        <v>2033</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1440</v>
      </c>
      <c r="Q42" s="26">
        <f>serrb*8*70/3+435*Weapons!$H$330+'Gear &amp; Buffs'!Q143</f>
        <v>4010</v>
      </c>
    </row>
    <row r="43" spans="1:18">
      <c r="A43" s="376" t="s">
        <v>2032</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527</v>
      </c>
      <c r="Q43" s="26">
        <f>MAX(basearmor-Q42,0)</f>
        <v>3675</v>
      </c>
    </row>
    <row r="44" spans="1:18">
      <c r="A44" s="376" t="s">
        <v>2034</v>
      </c>
      <c r="B44" s="893">
        <f>IF(itBsMH,itBsEa,0)</f>
        <v>4.3333333333333335E-2</v>
      </c>
      <c r="C44" s="380">
        <f>B44*bMHthit*(bMHasec+F3+instsec+Q18+D43+D46)</f>
        <v>4.4258753673407057E-2</v>
      </c>
      <c r="D44" s="381">
        <f>$B$61</f>
        <v>5.3602667810854189E-2</v>
      </c>
      <c r="G44" s="362" t="s">
        <v>2232</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0.13117277633061775</v>
      </c>
      <c r="D47" s="381">
        <f>$C$61</f>
        <v>0.15313810351325544</v>
      </c>
      <c r="G47" s="365" t="s">
        <v>2301</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1335</v>
      </c>
      <c r="Q47" s="651">
        <f>IF(Talents!O36="No",IF('Gear &amp; Buffs'!$B138=1,(60-IF(CharLevel&gt;60,(CharLevel-60)*2,0))*IF(time=0,1/300,totalTeaIter/time), 0),0)</f>
        <v>0.13333333333333333</v>
      </c>
      <c r="R47" s="66" t="s">
        <v>814</v>
      </c>
    </row>
    <row r="48" spans="1:18">
      <c r="A48" s="382" t="s">
        <v>1895</v>
      </c>
      <c r="B48" s="377"/>
      <c r="C48" s="377"/>
      <c r="D48" s="383">
        <f>SUM($D$42:$D$47)</f>
        <v>0.32133894904104937</v>
      </c>
      <c r="G48" s="365" t="s">
        <v>2302</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4.8333644892667185E-2</v>
      </c>
      <c r="B51" s="386">
        <f>$C$44</f>
        <v>4.4258753673407057E-2</v>
      </c>
      <c r="C51" s="386">
        <f>$C$47</f>
        <v>0.13117277633061775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2232</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2233</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2300</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2302</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2232</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2301</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2302</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2303</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2232</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2301</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2232</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2301</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2232</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2301</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2232</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2302</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607.49804426656829</v>
      </c>
      <c r="AD3" s="29">
        <f t="shared" ref="AD3:AD66" si="12">IF($A3&lt;0,0,(1+$AC3/(hasterate*100))*(1+$AS$26/100*AND($J3&gt;0,$J3&lt;=$AT$26))*(1+$AS$35/100*AND($M3&gt;0,$M3&lt;=$AT$35))*(1+0.3*($X3&gt;0)))</f>
        <v>2.1609785530598051</v>
      </c>
      <c r="AE3" s="25">
        <f t="shared" ref="AE3" si="13">IF($A3&lt;0,0,$AN$45+IF($P3&gt;0,$AN$37*$AL$37,0)+$S3*(60-IF(CharLevel&gt;60,(CharLevel-60)*2,0))*$AL$38+IF($J3=1,$AL$26*-25+IF($AL$39, 30, 0),0)+IF($M3=1,$AL$35*-10,0)+100+IF(vigor&gt;0, 10, 0))</f>
        <v>136.59054220555134</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607.49804426656829</v>
      </c>
      <c r="AD4" s="29">
        <f t="shared" si="12"/>
        <v>2.1609785530598051</v>
      </c>
      <c r="AE4" s="25">
        <f t="shared" ref="AE4:AE67" si="22">IF($A4&lt;0,0,$AN$45+IF($P4&gt;0,$AN$37*$AL$37,0)+$S4*(60-IF(CharLevel&gt;60,(CharLevel-60)*2,0))*$AL$38+IF($J4=1,$AL$26*-25+IF($AL$39, 30, 0),0)+IF($M4=1,$AL$35*-10,0)+IF(AE3&gt;instcost,AE3-instcost,0))</f>
        <v>118.01781910498025</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607.49804426656829</v>
      </c>
      <c r="AD5" s="29">
        <f t="shared" si="12"/>
        <v>2.1609785530598051</v>
      </c>
      <c r="AE5" s="25">
        <f t="shared" si="22"/>
        <v>99.445096004409152</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607.49804426656829</v>
      </c>
      <c r="AD6" s="29">
        <f t="shared" si="12"/>
        <v>2.1609785530598051</v>
      </c>
      <c r="AE6" s="25">
        <f t="shared" si="22"/>
        <v>80.872372903838055</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607.49804426656829</v>
      </c>
      <c r="AD7" s="29">
        <f t="shared" si="12"/>
        <v>2.1609785530598051</v>
      </c>
      <c r="AE7" s="25">
        <f t="shared" si="22"/>
        <v>62.299649803266959</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607.49804426656829</v>
      </c>
      <c r="AD8" s="29">
        <f t="shared" si="12"/>
        <v>2.1609785530598051</v>
      </c>
      <c r="AE8" s="25">
        <f t="shared" si="22"/>
        <v>43.726926702695863</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607.49804426656829</v>
      </c>
      <c r="AD9" s="29">
        <f t="shared" si="12"/>
        <v>2.1609785530598051</v>
      </c>
      <c r="AE9" s="25">
        <f t="shared" si="22"/>
        <v>25.154203602124767</v>
      </c>
      <c r="AF9" s="25">
        <f t="shared" si="14"/>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607.49804426656829</v>
      </c>
      <c r="AD10" s="29">
        <f t="shared" si="12"/>
        <v>2.1609785530598051</v>
      </c>
      <c r="AE10" s="25">
        <f t="shared" si="22"/>
        <v>21.590542205551351</v>
      </c>
      <c r="AF10" s="25">
        <f t="shared" si="14"/>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607.49804426656829</v>
      </c>
      <c r="AD11" s="29">
        <f t="shared" si="12"/>
        <v>2.1609785530598051</v>
      </c>
      <c r="AE11" s="25">
        <f t="shared" si="22"/>
        <v>21.590542205551351</v>
      </c>
      <c r="AF11" s="25">
        <f t="shared" si="14"/>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607.49804426656829</v>
      </c>
      <c r="AD12" s="29">
        <f t="shared" si="12"/>
        <v>2.1609785530598051</v>
      </c>
      <c r="AE12" s="25">
        <f t="shared" si="22"/>
        <v>21.590542205551351</v>
      </c>
      <c r="AF12" s="25">
        <f t="shared" si="14"/>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607.49804426656829</v>
      </c>
      <c r="AD13" s="29">
        <f t="shared" si="12"/>
        <v>2.1609785530598051</v>
      </c>
      <c r="AE13" s="25">
        <f t="shared" si="22"/>
        <v>21.590542205551351</v>
      </c>
      <c r="AF13" s="25">
        <f t="shared" si="14"/>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607.49804426656829</v>
      </c>
      <c r="AD14" s="29">
        <f t="shared" si="12"/>
        <v>2.1609785530598051</v>
      </c>
      <c r="AE14" s="25">
        <f t="shared" si="22"/>
        <v>21.590542205551351</v>
      </c>
      <c r="AF14" s="25">
        <f t="shared" si="14"/>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607.49804426656829</v>
      </c>
      <c r="AD15" s="29">
        <f t="shared" si="12"/>
        <v>2.1609785530598051</v>
      </c>
      <c r="AE15" s="25">
        <f t="shared" si="22"/>
        <v>21.590542205551351</v>
      </c>
      <c r="AF15" s="25">
        <f t="shared" si="14"/>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607.49804426656829</v>
      </c>
      <c r="AD16" s="29">
        <f t="shared" si="12"/>
        <v>2.1609785530598051</v>
      </c>
      <c r="AE16" s="25">
        <f t="shared" si="22"/>
        <v>21.590542205551351</v>
      </c>
      <c r="AF16" s="25">
        <f t="shared" si="14"/>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607.49804426656829</v>
      </c>
      <c r="AD17" s="29">
        <f t="shared" si="12"/>
        <v>2.1609785530598051</v>
      </c>
      <c r="AE17" s="25">
        <f t="shared" si="22"/>
        <v>21.590542205551351</v>
      </c>
      <c r="AF17" s="25">
        <f t="shared" si="14"/>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207.49804426656831</v>
      </c>
      <c r="AD18" s="29">
        <f t="shared" si="12"/>
        <v>1.4710593633221953</v>
      </c>
      <c r="AE18" s="25">
        <f t="shared" si="22"/>
        <v>13.243681724743192</v>
      </c>
      <c r="AF18" s="25">
        <f t="shared" si="14"/>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207.49804426656831</v>
      </c>
      <c r="AD19" s="29">
        <f t="shared" si="12"/>
        <v>1.4710593633221953</v>
      </c>
      <c r="AE19" s="25">
        <f t="shared" si="22"/>
        <v>13.243681724743192</v>
      </c>
      <c r="AF19" s="25">
        <f t="shared" si="14"/>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207.49804426656831</v>
      </c>
      <c r="AD20" s="29">
        <f t="shared" si="12"/>
        <v>1.4710593633221953</v>
      </c>
      <c r="AE20" s="25">
        <f t="shared" si="22"/>
        <v>13.243681724743192</v>
      </c>
      <c r="AF20" s="25">
        <f t="shared" si="14"/>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207.49804426656831</v>
      </c>
      <c r="AD21" s="29">
        <f t="shared" si="12"/>
        <v>1.4710593633221953</v>
      </c>
      <c r="AE21" s="25">
        <f t="shared" si="22"/>
        <v>13.243681724743192</v>
      </c>
      <c r="AF21" s="25">
        <f t="shared" si="14"/>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207.49804426656831</v>
      </c>
      <c r="AD22" s="29">
        <f t="shared" si="12"/>
        <v>1.4710593633221953</v>
      </c>
      <c r="AE22" s="25">
        <f t="shared" si="22"/>
        <v>13.243681724743192</v>
      </c>
      <c r="AF22" s="25">
        <f t="shared" si="14"/>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207.49804426656831</v>
      </c>
      <c r="AD23" s="29">
        <f t="shared" si="12"/>
        <v>1.4710593633221953</v>
      </c>
      <c r="AE23" s="25">
        <f t="shared" si="22"/>
        <v>13.243681724743192</v>
      </c>
      <c r="AF23" s="25">
        <f t="shared" si="14"/>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207.49804426656831</v>
      </c>
      <c r="AD24" s="29">
        <f t="shared" si="12"/>
        <v>1.4710593633221953</v>
      </c>
      <c r="AE24" s="25">
        <f t="shared" si="22"/>
        <v>13.243681724743192</v>
      </c>
      <c r="AF24" s="25">
        <f t="shared" si="14"/>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207.49804426656831</v>
      </c>
      <c r="AD25" s="29">
        <f t="shared" si="12"/>
        <v>1.4710593633221953</v>
      </c>
      <c r="AE25" s="25">
        <f t="shared" si="22"/>
        <v>13.243681724743192</v>
      </c>
      <c r="AF25" s="25">
        <f t="shared" si="14"/>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207.49804426656831</v>
      </c>
      <c r="AD26" s="29">
        <f t="shared" si="12"/>
        <v>1.4710593633221953</v>
      </c>
      <c r="AE26" s="25">
        <f t="shared" si="22"/>
        <v>13.243681724743192</v>
      </c>
      <c r="AF26" s="25">
        <f t="shared" si="14"/>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207.49804426656831</v>
      </c>
      <c r="AD27" s="29">
        <f t="shared" si="12"/>
        <v>1.4710593633221953</v>
      </c>
      <c r="AE27" s="25">
        <f t="shared" si="22"/>
        <v>13.243681724743192</v>
      </c>
      <c r="AF27" s="25">
        <f t="shared" si="14"/>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207.49804426656831</v>
      </c>
      <c r="AD28" s="29">
        <f t="shared" si="12"/>
        <v>1.4710593633221953</v>
      </c>
      <c r="AE28" s="25">
        <f t="shared" si="22"/>
        <v>13.243681724743192</v>
      </c>
      <c r="AF28" s="25">
        <f t="shared" si="14"/>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207.49804426656831</v>
      </c>
      <c r="AD29" s="29">
        <f t="shared" si="12"/>
        <v>1.4710593633221953</v>
      </c>
      <c r="AE29" s="25">
        <f t="shared" si="22"/>
        <v>13.243681724743192</v>
      </c>
      <c r="AF29" s="25">
        <f t="shared" si="14"/>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207.49804426656831</v>
      </c>
      <c r="AD30" s="29">
        <f t="shared" si="12"/>
        <v>1.4710593633221953</v>
      </c>
      <c r="AE30" s="25">
        <f t="shared" si="22"/>
        <v>13.243681724743192</v>
      </c>
      <c r="AF30" s="25">
        <f t="shared" si="14"/>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207.49804426656831</v>
      </c>
      <c r="AD31" s="29">
        <f t="shared" si="12"/>
        <v>1.4710593633221953</v>
      </c>
      <c r="AE31" s="25">
        <f t="shared" si="22"/>
        <v>13.243681724743192</v>
      </c>
      <c r="AF31" s="25">
        <f t="shared" si="14"/>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207.49804426656831</v>
      </c>
      <c r="AD32" s="29">
        <f t="shared" si="12"/>
        <v>1.4710593633221953</v>
      </c>
      <c r="AE32" s="25">
        <f t="shared" si="22"/>
        <v>13.243681724743192</v>
      </c>
      <c r="AF32" s="25">
        <f t="shared" si="14"/>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127.49804426656831</v>
      </c>
      <c r="AD33" s="29">
        <f t="shared" si="12"/>
        <v>1.4051081438100002</v>
      </c>
      <c r="AE33" s="25">
        <f t="shared" si="22"/>
        <v>13.243681724743192</v>
      </c>
      <c r="AF33" s="25">
        <f t="shared" si="14"/>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127.49804426656831</v>
      </c>
      <c r="AD34" s="29">
        <f t="shared" si="12"/>
        <v>1.4051081438100002</v>
      </c>
      <c r="AE34" s="25">
        <f t="shared" si="22"/>
        <v>13.243681724743192</v>
      </c>
      <c r="AF34" s="25">
        <f t="shared" si="14"/>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127.49804426656831</v>
      </c>
      <c r="AD35" s="29">
        <f t="shared" si="12"/>
        <v>1.4051081438100002</v>
      </c>
      <c r="AE35" s="25">
        <f t="shared" si="22"/>
        <v>13.243681724743192</v>
      </c>
      <c r="AF35" s="25">
        <f t="shared" si="14"/>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127.49804426656831</v>
      </c>
      <c r="AD36" s="29">
        <f t="shared" si="12"/>
        <v>1.4051081438100002</v>
      </c>
      <c r="AE36" s="25">
        <f t="shared" si="22"/>
        <v>13.243681724743192</v>
      </c>
      <c r="AF36" s="25">
        <f t="shared" si="14"/>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127.49804426656831</v>
      </c>
      <c r="AD37" s="29">
        <f t="shared" si="12"/>
        <v>1.4051081438100002</v>
      </c>
      <c r="AE37" s="25">
        <f t="shared" si="22"/>
        <v>13.243681724743192</v>
      </c>
      <c r="AF37" s="25">
        <f t="shared" si="14"/>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127.49804426656831</v>
      </c>
      <c r="AD38" s="29">
        <f t="shared" si="12"/>
        <v>1.4051081438100002</v>
      </c>
      <c r="AE38" s="25">
        <f t="shared" si="22"/>
        <v>13.243681724743192</v>
      </c>
      <c r="AF38" s="25">
        <f t="shared" si="14"/>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127.49804426656831</v>
      </c>
      <c r="AD39" s="29">
        <f t="shared" si="12"/>
        <v>1.4051081438100002</v>
      </c>
      <c r="AE39" s="25">
        <f t="shared" si="22"/>
        <v>13.243681724743192</v>
      </c>
      <c r="AF39" s="25">
        <f t="shared" si="14"/>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127.49804426656831</v>
      </c>
      <c r="AD40" s="29">
        <f t="shared" si="12"/>
        <v>1.4051081438100002</v>
      </c>
      <c r="AE40" s="25">
        <f t="shared" si="22"/>
        <v>13.243681724743192</v>
      </c>
      <c r="AF40" s="25">
        <f t="shared" si="14"/>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127.49804426656831</v>
      </c>
      <c r="AD41" s="29">
        <f t="shared" si="12"/>
        <v>1.4051081438100002</v>
      </c>
      <c r="AE41" s="25">
        <f t="shared" si="22"/>
        <v>13.243681724743192</v>
      </c>
      <c r="AF41" s="25">
        <f t="shared" si="14"/>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127.49804426656831</v>
      </c>
      <c r="AD42" s="29">
        <f t="shared" si="12"/>
        <v>1.4051081438100002</v>
      </c>
      <c r="AE42" s="25">
        <f t="shared" si="22"/>
        <v>13.243681724743192</v>
      </c>
      <c r="AF42" s="25">
        <f t="shared" si="14"/>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127.49804426656831</v>
      </c>
      <c r="AD43" s="29">
        <f t="shared" si="12"/>
        <v>1.0808524183153847</v>
      </c>
      <c r="AE43" s="25">
        <f t="shared" si="22"/>
        <v>13.243681724743192</v>
      </c>
      <c r="AF43" s="25">
        <f t="shared" si="14"/>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2923</v>
      </c>
      <c r="AN43" s="892">
        <f>'Gear &amp; Buffs'!P143</f>
        <v>127.49804426656831</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127.49804426656831</v>
      </c>
      <c r="AD44" s="29">
        <f t="shared" si="12"/>
        <v>1.0808524183153847</v>
      </c>
      <c r="AE44" s="25">
        <f t="shared" si="22"/>
        <v>13.243681724743192</v>
      </c>
      <c r="AF44" s="25">
        <f t="shared" si="14"/>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127.49804426656831</v>
      </c>
      <c r="AD45" s="29">
        <f t="shared" si="12"/>
        <v>1.0808524183153847</v>
      </c>
      <c r="AE45" s="25">
        <f t="shared" si="22"/>
        <v>13.243681724743192</v>
      </c>
      <c r="AF45" s="25">
        <f t="shared" si="14"/>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127.49804426656831</v>
      </c>
      <c r="AD46" s="29">
        <f t="shared" si="12"/>
        <v>1.0808524183153847</v>
      </c>
      <c r="AE46" s="25">
        <f t="shared" si="22"/>
        <v>13.243681724743192</v>
      </c>
      <c r="AF46" s="25">
        <f t="shared" si="14"/>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2998</v>
      </c>
      <c r="AN46" s="25">
        <f>avginst*fwfactor*bGlobDam*(1+DDmult)*armor</f>
        <v>1014.2539107837594</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127.49804426656831</v>
      </c>
      <c r="AD47" s="29">
        <f t="shared" si="12"/>
        <v>1.0808524183153847</v>
      </c>
      <c r="AE47" s="25">
        <f t="shared" si="22"/>
        <v>13.243681724743192</v>
      </c>
      <c r="AF47" s="25">
        <f t="shared" si="14"/>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127.49804426656831</v>
      </c>
      <c r="AD48" s="29">
        <f t="shared" si="12"/>
        <v>1.0808524183153847</v>
      </c>
      <c r="AE48" s="25">
        <f t="shared" si="22"/>
        <v>13.243681724743192</v>
      </c>
      <c r="AF48" s="25">
        <f t="shared" si="14"/>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127.49804426656831</v>
      </c>
      <c r="AD49" s="29">
        <f t="shared" si="12"/>
        <v>1.0808524183153847</v>
      </c>
      <c r="AE49" s="25">
        <f t="shared" si="22"/>
        <v>13.243681724743192</v>
      </c>
      <c r="AF49" s="25">
        <f t="shared" si="14"/>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127.49804426656831</v>
      </c>
      <c r="AD50" s="29">
        <f t="shared" si="12"/>
        <v>1.0808524183153847</v>
      </c>
      <c r="AE50" s="25">
        <f t="shared" si="22"/>
        <v>13.243681724743192</v>
      </c>
      <c r="AF50" s="25">
        <f t="shared" si="14"/>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127.49804426656831</v>
      </c>
      <c r="AD51" s="29">
        <f t="shared" si="12"/>
        <v>1.0808524183153847</v>
      </c>
      <c r="AE51" s="25">
        <f t="shared" si="22"/>
        <v>13.243681724743192</v>
      </c>
      <c r="AF51" s="25">
        <f t="shared" si="14"/>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127.49804426656831</v>
      </c>
      <c r="AD52" s="29">
        <f t="shared" si="12"/>
        <v>1.0808524183153847</v>
      </c>
      <c r="AE52" s="25">
        <f t="shared" si="22"/>
        <v>13.243681724743192</v>
      </c>
      <c r="AF52" s="25">
        <f t="shared" si="14"/>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127.49804426656831</v>
      </c>
      <c r="AD53" s="29">
        <f t="shared" si="12"/>
        <v>1.0808524183153847</v>
      </c>
      <c r="AE53" s="25">
        <f t="shared" si="22"/>
        <v>13.243681724743192</v>
      </c>
      <c r="AF53" s="25">
        <f t="shared" si="14"/>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127.49804426656831</v>
      </c>
      <c r="AD54" s="29">
        <f t="shared" si="12"/>
        <v>1.0808524183153847</v>
      </c>
      <c r="AE54" s="25">
        <f t="shared" si="22"/>
        <v>13.243681724743192</v>
      </c>
      <c r="AF54" s="25">
        <f t="shared" si="14"/>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127.49804426656831</v>
      </c>
      <c r="AD55" s="29">
        <f t="shared" si="12"/>
        <v>1.0808524183153847</v>
      </c>
      <c r="AE55" s="25">
        <f t="shared" si="22"/>
        <v>13.243681724743192</v>
      </c>
      <c r="AF55" s="25">
        <f t="shared" si="14"/>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127.49804426656831</v>
      </c>
      <c r="AD56" s="29">
        <f t="shared" si="12"/>
        <v>1.0808524183153847</v>
      </c>
      <c r="AE56" s="25">
        <f t="shared" si="22"/>
        <v>13.243681724743192</v>
      </c>
      <c r="AF56" s="25">
        <f t="shared" si="14"/>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127.49804426656831</v>
      </c>
      <c r="AD57" s="29">
        <f t="shared" si="12"/>
        <v>1.0808524183153847</v>
      </c>
      <c r="AE57" s="25">
        <f t="shared" si="22"/>
        <v>13.243681724743192</v>
      </c>
      <c r="AF57" s="25">
        <f t="shared" si="14"/>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127.49804426656831</v>
      </c>
      <c r="AD58" s="29">
        <f t="shared" si="12"/>
        <v>1.0808524183153847</v>
      </c>
      <c r="AE58" s="25">
        <f t="shared" si="22"/>
        <v>13.243681724743192</v>
      </c>
      <c r="AF58" s="25">
        <f t="shared" si="14"/>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127.49804426656831</v>
      </c>
      <c r="AD59" s="29">
        <f t="shared" si="12"/>
        <v>1.0808524183153847</v>
      </c>
      <c r="AE59" s="25">
        <f t="shared" si="22"/>
        <v>13.243681724743192</v>
      </c>
      <c r="AF59" s="25">
        <f t="shared" si="14"/>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127.49804426656831</v>
      </c>
      <c r="AD60" s="29">
        <f t="shared" si="12"/>
        <v>1.0808524183153847</v>
      </c>
      <c r="AE60" s="25">
        <f t="shared" si="22"/>
        <v>13.243681724743192</v>
      </c>
      <c r="AF60" s="25">
        <f t="shared" si="14"/>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127.49804426656831</v>
      </c>
      <c r="AD61" s="29">
        <f t="shared" si="12"/>
        <v>1.0808524183153847</v>
      </c>
      <c r="AE61" s="25">
        <f t="shared" si="22"/>
        <v>13.243681724743192</v>
      </c>
      <c r="AF61" s="25">
        <f t="shared" si="14"/>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127.49804426656831</v>
      </c>
      <c r="AD62" s="29">
        <f t="shared" si="12"/>
        <v>1.0808524183153847</v>
      </c>
      <c r="AE62" s="25">
        <f t="shared" si="22"/>
        <v>13.243681724743192</v>
      </c>
      <c r="AF62" s="25">
        <f t="shared" si="14"/>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127.49804426656831</v>
      </c>
      <c r="AD63" s="29">
        <f t="shared" si="12"/>
        <v>1.0808524183153847</v>
      </c>
      <c r="AE63" s="25">
        <f t="shared" si="22"/>
        <v>13.243681724743192</v>
      </c>
      <c r="AF63" s="25">
        <f t="shared" si="14"/>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127.49804426656831</v>
      </c>
      <c r="AD64" s="29">
        <f t="shared" si="12"/>
        <v>1.0808524183153847</v>
      </c>
      <c r="AE64" s="25">
        <f t="shared" si="22"/>
        <v>13.243681724743192</v>
      </c>
      <c r="AF64" s="25">
        <f t="shared" si="14"/>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127.49804426656831</v>
      </c>
      <c r="AD65" s="29">
        <f t="shared" si="12"/>
        <v>1.0808524183153847</v>
      </c>
      <c r="AE65" s="25">
        <f t="shared" si="22"/>
        <v>13.243681724743192</v>
      </c>
      <c r="AF65" s="25">
        <f t="shared" si="14"/>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127.49804426656831</v>
      </c>
      <c r="AD66" s="29">
        <f t="shared" si="12"/>
        <v>1.0808524183153847</v>
      </c>
      <c r="AE66" s="25">
        <f t="shared" si="22"/>
        <v>13.243681724743192</v>
      </c>
      <c r="AF66" s="25">
        <f t="shared" si="14"/>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127.49804426656831</v>
      </c>
      <c r="AD67" s="29">
        <f t="shared" ref="AD67:AD130" si="51">IF($A67&lt;0,0,(1+$AC67/(hasterate*100))*(1+$AS$26/100*AND($J67&gt;0,$J67&lt;=$AT$26))*(1+$AS$35/100*AND($M67&gt;0,$M67&lt;=$AT$35))*(1+0.3*($X67&gt;0)))</f>
        <v>1.0808524183153847</v>
      </c>
      <c r="AE67" s="25">
        <f t="shared" si="22"/>
        <v>13.243681724743192</v>
      </c>
      <c r="AF67" s="25">
        <f t="shared" ref="AF67:AF130" si="52">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127.49804426656831</v>
      </c>
      <c r="AD68" s="29">
        <f t="shared" si="51"/>
        <v>1.0808524183153847</v>
      </c>
      <c r="AE68" s="25">
        <f t="shared" ref="AE68:AE131" si="60">IF($A68&lt;0,0,$AN$45+IF($P68&gt;0,$AN$37*$AL$37,0)+$S68*(60-IF(CharLevel&gt;60,(CharLevel-60)*2,0))*$AL$38+IF($J68=1,$AL$26*-25+IF($AL$39, 30, 0),0)+IF($M68=1,$AL$35*-10,0)+IF(AE67&gt;instcost,AE67-instcost,0))</f>
        <v>13.243681724743192</v>
      </c>
      <c r="AF68" s="25">
        <f t="shared" si="52"/>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127.49804426656831</v>
      </c>
      <c r="AD69" s="29">
        <f t="shared" si="51"/>
        <v>1.0808524183153847</v>
      </c>
      <c r="AE69" s="25">
        <f t="shared" si="60"/>
        <v>13.243681724743192</v>
      </c>
      <c r="AF69" s="25">
        <f t="shared" si="52"/>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127.49804426656831</v>
      </c>
      <c r="AD70" s="29">
        <f t="shared" si="51"/>
        <v>1.0808524183153847</v>
      </c>
      <c r="AE70" s="25">
        <f t="shared" si="60"/>
        <v>13.243681724743192</v>
      </c>
      <c r="AF70" s="25">
        <f t="shared" si="52"/>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127.49804426656831</v>
      </c>
      <c r="AD71" s="29">
        <f t="shared" si="51"/>
        <v>1.0808524183153847</v>
      </c>
      <c r="AE71" s="25">
        <f t="shared" si="60"/>
        <v>13.243681724743192</v>
      </c>
      <c r="AF71" s="25">
        <f t="shared" si="52"/>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127.49804426656831</v>
      </c>
      <c r="AD72" s="29">
        <f t="shared" si="51"/>
        <v>1.0808524183153847</v>
      </c>
      <c r="AE72" s="25">
        <f t="shared" si="60"/>
        <v>13.243681724743192</v>
      </c>
      <c r="AF72" s="25">
        <f t="shared" si="52"/>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127.49804426656831</v>
      </c>
      <c r="AD73" s="29">
        <f t="shared" si="51"/>
        <v>1.0808524183153847</v>
      </c>
      <c r="AE73" s="25">
        <f t="shared" si="60"/>
        <v>13.243681724743192</v>
      </c>
      <c r="AF73" s="25">
        <f t="shared" si="52"/>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127.49804426656831</v>
      </c>
      <c r="AD74" s="29">
        <f t="shared" si="51"/>
        <v>1.0808524183153847</v>
      </c>
      <c r="AE74" s="25">
        <f t="shared" si="60"/>
        <v>13.243681724743192</v>
      </c>
      <c r="AF74" s="25">
        <f t="shared" si="52"/>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127.49804426656831</v>
      </c>
      <c r="AD75" s="29">
        <f t="shared" si="51"/>
        <v>1.0808524183153847</v>
      </c>
      <c r="AE75" s="25">
        <f t="shared" si="60"/>
        <v>13.243681724743192</v>
      </c>
      <c r="AF75" s="25">
        <f t="shared" si="52"/>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127.49804426656831</v>
      </c>
      <c r="AD76" s="29">
        <f t="shared" si="51"/>
        <v>1.0808524183153847</v>
      </c>
      <c r="AE76" s="25">
        <f t="shared" si="60"/>
        <v>13.243681724743192</v>
      </c>
      <c r="AF76" s="25">
        <f t="shared" si="52"/>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127.49804426656831</v>
      </c>
      <c r="AD77" s="29">
        <f t="shared" si="51"/>
        <v>1.0808524183153847</v>
      </c>
      <c r="AE77" s="25">
        <f t="shared" si="60"/>
        <v>13.243681724743192</v>
      </c>
      <c r="AF77" s="25">
        <f t="shared" si="52"/>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127.49804426656831</v>
      </c>
      <c r="AD78" s="29">
        <f t="shared" si="51"/>
        <v>1.0808524183153847</v>
      </c>
      <c r="AE78" s="25">
        <f t="shared" si="60"/>
        <v>13.243681724743192</v>
      </c>
      <c r="AF78" s="25">
        <f t="shared" si="52"/>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127.49804426656831</v>
      </c>
      <c r="AD79" s="29">
        <f t="shared" si="51"/>
        <v>1.0808524183153847</v>
      </c>
      <c r="AE79" s="25">
        <f t="shared" si="60"/>
        <v>13.243681724743192</v>
      </c>
      <c r="AF79" s="25">
        <f t="shared" si="52"/>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127.49804426656831</v>
      </c>
      <c r="AD80" s="29">
        <f t="shared" si="51"/>
        <v>1.0808524183153847</v>
      </c>
      <c r="AE80" s="25">
        <f t="shared" si="60"/>
        <v>13.243681724743192</v>
      </c>
      <c r="AF80" s="25">
        <f t="shared" si="52"/>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127.49804426656831</v>
      </c>
      <c r="AD81" s="29">
        <f t="shared" si="51"/>
        <v>1.0808524183153847</v>
      </c>
      <c r="AE81" s="25">
        <f t="shared" si="60"/>
        <v>13.243681724743192</v>
      </c>
      <c r="AF81" s="25">
        <f t="shared" si="52"/>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127.49804426656831</v>
      </c>
      <c r="AD82" s="29">
        <f t="shared" si="51"/>
        <v>1.0808524183153847</v>
      </c>
      <c r="AE82" s="25">
        <f t="shared" si="60"/>
        <v>13.243681724743192</v>
      </c>
      <c r="AF82" s="25">
        <f t="shared" si="52"/>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127.49804426656831</v>
      </c>
      <c r="AD83" s="29">
        <f t="shared" si="51"/>
        <v>1.0808524183153847</v>
      </c>
      <c r="AE83" s="25">
        <f t="shared" si="60"/>
        <v>13.243681724743192</v>
      </c>
      <c r="AF83" s="25">
        <f t="shared" si="52"/>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127.49804426656831</v>
      </c>
      <c r="AD84" s="29">
        <f t="shared" si="51"/>
        <v>1.0808524183153847</v>
      </c>
      <c r="AE84" s="25">
        <f t="shared" si="60"/>
        <v>13.243681724743192</v>
      </c>
      <c r="AF84" s="25">
        <f t="shared" si="52"/>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127.49804426656831</v>
      </c>
      <c r="AD85" s="29">
        <f t="shared" si="51"/>
        <v>1.0808524183153847</v>
      </c>
      <c r="AE85" s="25">
        <f t="shared" si="60"/>
        <v>13.243681724743192</v>
      </c>
      <c r="AF85" s="25">
        <f t="shared" si="52"/>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127.49804426656831</v>
      </c>
      <c r="AD86" s="29">
        <f t="shared" si="51"/>
        <v>1.0808524183153847</v>
      </c>
      <c r="AE86" s="25">
        <f t="shared" si="60"/>
        <v>13.243681724743192</v>
      </c>
      <c r="AF86" s="25">
        <f t="shared" si="52"/>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127.49804426656831</v>
      </c>
      <c r="AD87" s="29">
        <f t="shared" si="51"/>
        <v>1.0808524183153847</v>
      </c>
      <c r="AE87" s="25">
        <f t="shared" si="60"/>
        <v>13.243681724743192</v>
      </c>
      <c r="AF87" s="25">
        <f t="shared" si="52"/>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127.49804426656831</v>
      </c>
      <c r="AD88" s="29">
        <f t="shared" si="51"/>
        <v>1.0808524183153847</v>
      </c>
      <c r="AE88" s="25">
        <f t="shared" si="60"/>
        <v>13.243681724743192</v>
      </c>
      <c r="AF88" s="25">
        <f t="shared" si="52"/>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127.49804426656831</v>
      </c>
      <c r="AD89" s="29">
        <f t="shared" si="51"/>
        <v>1.0808524183153847</v>
      </c>
      <c r="AE89" s="25">
        <f t="shared" si="60"/>
        <v>13.243681724743192</v>
      </c>
      <c r="AF89" s="25">
        <f t="shared" si="52"/>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127.49804426656831</v>
      </c>
      <c r="AD90" s="29">
        <f t="shared" si="51"/>
        <v>1.0808524183153847</v>
      </c>
      <c r="AE90" s="25">
        <f t="shared" si="60"/>
        <v>13.243681724743192</v>
      </c>
      <c r="AF90" s="25">
        <f t="shared" si="52"/>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127.49804426656831</v>
      </c>
      <c r="AD91" s="29">
        <f t="shared" si="51"/>
        <v>1.0808524183153847</v>
      </c>
      <c r="AE91" s="25">
        <f t="shared" si="60"/>
        <v>13.243681724743192</v>
      </c>
      <c r="AF91" s="25">
        <f t="shared" si="52"/>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127.49804426656831</v>
      </c>
      <c r="AD92" s="29">
        <f t="shared" si="51"/>
        <v>1.0808524183153847</v>
      </c>
      <c r="AE92" s="25">
        <f t="shared" si="60"/>
        <v>13.243681724743192</v>
      </c>
      <c r="AF92" s="25">
        <f t="shared" si="52"/>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127.49804426656831</v>
      </c>
      <c r="AD93" s="29">
        <f t="shared" si="51"/>
        <v>1.0808524183153847</v>
      </c>
      <c r="AE93" s="25">
        <f t="shared" si="60"/>
        <v>13.243681724743192</v>
      </c>
      <c r="AF93" s="25">
        <f t="shared" si="52"/>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127.49804426656831</v>
      </c>
      <c r="AD94" s="29">
        <f t="shared" si="51"/>
        <v>1.0808524183153847</v>
      </c>
      <c r="AE94" s="25">
        <f t="shared" si="60"/>
        <v>13.243681724743192</v>
      </c>
      <c r="AF94" s="25">
        <f t="shared" si="52"/>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127.49804426656831</v>
      </c>
      <c r="AD95" s="29">
        <f t="shared" si="51"/>
        <v>1.0808524183153847</v>
      </c>
      <c r="AE95" s="25">
        <f t="shared" si="60"/>
        <v>13.243681724743192</v>
      </c>
      <c r="AF95" s="25">
        <f t="shared" si="52"/>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127.49804426656831</v>
      </c>
      <c r="AD96" s="29">
        <f t="shared" si="51"/>
        <v>1.0808524183153847</v>
      </c>
      <c r="AE96" s="25">
        <f t="shared" si="60"/>
        <v>13.243681724743192</v>
      </c>
      <c r="AF96" s="25">
        <f t="shared" si="52"/>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127.49804426656831</v>
      </c>
      <c r="AD97" s="29">
        <f t="shared" si="51"/>
        <v>1.0808524183153847</v>
      </c>
      <c r="AE97" s="25">
        <f t="shared" si="60"/>
        <v>13.243681724743192</v>
      </c>
      <c r="AF97" s="25">
        <f t="shared" si="52"/>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127.49804426656831</v>
      </c>
      <c r="AD98" s="29">
        <f t="shared" si="51"/>
        <v>1.0808524183153847</v>
      </c>
      <c r="AE98" s="25">
        <f t="shared" si="60"/>
        <v>13.243681724743192</v>
      </c>
      <c r="AF98" s="25">
        <f t="shared" si="52"/>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127.49804426656831</v>
      </c>
      <c r="AD99" s="29">
        <f t="shared" si="51"/>
        <v>1.0808524183153847</v>
      </c>
      <c r="AE99" s="25">
        <f t="shared" si="60"/>
        <v>13.243681724743192</v>
      </c>
      <c r="AF99" s="25">
        <f t="shared" si="52"/>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127.49804426656831</v>
      </c>
      <c r="AD100" s="29">
        <f t="shared" si="51"/>
        <v>1.0808524183153847</v>
      </c>
      <c r="AE100" s="25">
        <f t="shared" si="60"/>
        <v>13.243681724743192</v>
      </c>
      <c r="AF100" s="25">
        <f t="shared" si="52"/>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127.49804426656831</v>
      </c>
      <c r="AD101" s="29">
        <f t="shared" si="51"/>
        <v>1.0808524183153847</v>
      </c>
      <c r="AE101" s="25">
        <f t="shared" si="60"/>
        <v>13.243681724743192</v>
      </c>
      <c r="AF101" s="25">
        <f t="shared" si="52"/>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127.49804426656831</v>
      </c>
      <c r="AD102" s="29">
        <f t="shared" si="51"/>
        <v>1.0808524183153847</v>
      </c>
      <c r="AE102" s="25">
        <f t="shared" si="60"/>
        <v>13.243681724743192</v>
      </c>
      <c r="AF102" s="25">
        <f t="shared" si="52"/>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127.49804426656831</v>
      </c>
      <c r="AD103" s="29">
        <f t="shared" si="51"/>
        <v>1.0808524183153847</v>
      </c>
      <c r="AE103" s="25">
        <f t="shared" si="60"/>
        <v>13.243681724743192</v>
      </c>
      <c r="AF103" s="25">
        <f t="shared" si="52"/>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127.49804426656831</v>
      </c>
      <c r="AD104" s="29">
        <f t="shared" si="51"/>
        <v>1.0808524183153847</v>
      </c>
      <c r="AE104" s="25">
        <f t="shared" si="60"/>
        <v>13.243681724743192</v>
      </c>
      <c r="AF104" s="25">
        <f t="shared" si="52"/>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127.49804426656831</v>
      </c>
      <c r="AD105" s="29">
        <f t="shared" si="51"/>
        <v>1.0808524183153847</v>
      </c>
      <c r="AE105" s="25">
        <f t="shared" si="60"/>
        <v>13.243681724743192</v>
      </c>
      <c r="AF105" s="25">
        <f t="shared" si="52"/>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127.49804426656831</v>
      </c>
      <c r="AD106" s="29">
        <f t="shared" si="51"/>
        <v>1.0808524183153847</v>
      </c>
      <c r="AE106" s="25">
        <f t="shared" si="60"/>
        <v>13.243681724743192</v>
      </c>
      <c r="AF106" s="25">
        <f t="shared" si="52"/>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127.49804426656831</v>
      </c>
      <c r="AD107" s="29">
        <f t="shared" si="51"/>
        <v>1.0808524183153847</v>
      </c>
      <c r="AE107" s="25">
        <f t="shared" si="60"/>
        <v>13.243681724743192</v>
      </c>
      <c r="AF107" s="25">
        <f t="shared" si="52"/>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127.49804426656831</v>
      </c>
      <c r="AD108" s="29">
        <f t="shared" si="51"/>
        <v>1.0808524183153847</v>
      </c>
      <c r="AE108" s="25">
        <f t="shared" si="60"/>
        <v>13.243681724743192</v>
      </c>
      <c r="AF108" s="25">
        <f t="shared" si="52"/>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127.49804426656831</v>
      </c>
      <c r="AD109" s="29">
        <f t="shared" si="51"/>
        <v>1.0808524183153847</v>
      </c>
      <c r="AE109" s="25">
        <f t="shared" si="60"/>
        <v>13.243681724743192</v>
      </c>
      <c r="AF109" s="25">
        <f t="shared" si="52"/>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127.49804426656831</v>
      </c>
      <c r="AD110" s="29">
        <f t="shared" si="51"/>
        <v>1.0808524183153847</v>
      </c>
      <c r="AE110" s="25">
        <f t="shared" si="60"/>
        <v>13.243681724743192</v>
      </c>
      <c r="AF110" s="25">
        <f t="shared" si="52"/>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127.49804426656831</v>
      </c>
      <c r="AD111" s="29">
        <f t="shared" si="51"/>
        <v>1.0808524183153847</v>
      </c>
      <c r="AE111" s="25">
        <f t="shared" si="60"/>
        <v>13.243681724743192</v>
      </c>
      <c r="AF111" s="25">
        <f t="shared" si="52"/>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127.49804426656831</v>
      </c>
      <c r="AD112" s="29">
        <f t="shared" si="51"/>
        <v>1.0808524183153847</v>
      </c>
      <c r="AE112" s="25">
        <f t="shared" si="60"/>
        <v>13.243681724743192</v>
      </c>
      <c r="AF112" s="25">
        <f t="shared" si="52"/>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127.49804426656831</v>
      </c>
      <c r="AD113" s="29">
        <f t="shared" si="51"/>
        <v>1.0808524183153847</v>
      </c>
      <c r="AE113" s="25">
        <f t="shared" si="60"/>
        <v>13.243681724743192</v>
      </c>
      <c r="AF113" s="25">
        <f t="shared" si="52"/>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127.49804426656831</v>
      </c>
      <c r="AD114" s="29">
        <f t="shared" si="51"/>
        <v>1.0808524183153847</v>
      </c>
      <c r="AE114" s="25">
        <f t="shared" si="60"/>
        <v>13.243681724743192</v>
      </c>
      <c r="AF114" s="25">
        <f t="shared" si="52"/>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127.49804426656831</v>
      </c>
      <c r="AD115" s="29">
        <f t="shared" si="51"/>
        <v>1.0808524183153847</v>
      </c>
      <c r="AE115" s="25">
        <f t="shared" si="60"/>
        <v>13.243681724743192</v>
      </c>
      <c r="AF115" s="25">
        <f t="shared" si="52"/>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127.49804426656831</v>
      </c>
      <c r="AD116" s="29">
        <f t="shared" si="51"/>
        <v>1.0808524183153847</v>
      </c>
      <c r="AE116" s="25">
        <f t="shared" si="60"/>
        <v>13.243681724743192</v>
      </c>
      <c r="AF116" s="25">
        <f t="shared" si="52"/>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127.49804426656831</v>
      </c>
      <c r="AD117" s="29">
        <f t="shared" si="51"/>
        <v>1.0808524183153847</v>
      </c>
      <c r="AE117" s="25">
        <f t="shared" si="60"/>
        <v>13.243681724743192</v>
      </c>
      <c r="AF117" s="25">
        <f t="shared" si="52"/>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127.49804426656831</v>
      </c>
      <c r="AD118" s="29">
        <f t="shared" si="51"/>
        <v>1.0808524183153847</v>
      </c>
      <c r="AE118" s="25">
        <f t="shared" si="60"/>
        <v>13.243681724743192</v>
      </c>
      <c r="AF118" s="25">
        <f t="shared" si="52"/>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127.49804426656831</v>
      </c>
      <c r="AD119" s="29">
        <f t="shared" si="51"/>
        <v>1.0808524183153847</v>
      </c>
      <c r="AE119" s="25">
        <f t="shared" si="60"/>
        <v>13.243681724743192</v>
      </c>
      <c r="AF119" s="25">
        <f t="shared" si="52"/>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127.49804426656831</v>
      </c>
      <c r="AD120" s="29">
        <f t="shared" si="51"/>
        <v>1.0808524183153847</v>
      </c>
      <c r="AE120" s="25">
        <f t="shared" si="60"/>
        <v>13.243681724743192</v>
      </c>
      <c r="AF120" s="25">
        <f t="shared" si="52"/>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127.49804426656831</v>
      </c>
      <c r="AD121" s="29">
        <f t="shared" si="51"/>
        <v>1.0808524183153847</v>
      </c>
      <c r="AE121" s="25">
        <f t="shared" si="60"/>
        <v>13.243681724743192</v>
      </c>
      <c r="AF121" s="25">
        <f t="shared" si="52"/>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127.49804426656831</v>
      </c>
      <c r="AD122" s="29">
        <f t="shared" si="51"/>
        <v>1.0808524183153847</v>
      </c>
      <c r="AE122" s="25">
        <f t="shared" si="60"/>
        <v>13.243681724743192</v>
      </c>
      <c r="AF122" s="25">
        <f t="shared" si="52"/>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607.49804426656829</v>
      </c>
      <c r="AD123" s="29">
        <f t="shared" si="51"/>
        <v>1.6622911946613885</v>
      </c>
      <c r="AE123" s="25">
        <f t="shared" si="60"/>
        <v>-11.756318275256808</v>
      </c>
      <c r="AF123" s="25">
        <f t="shared" si="52"/>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607.49804426656829</v>
      </c>
      <c r="AD124" s="29">
        <f t="shared" si="51"/>
        <v>1.6622911946613885</v>
      </c>
      <c r="AE124" s="25">
        <f t="shared" si="60"/>
        <v>13.243681724743192</v>
      </c>
      <c r="AF124" s="25">
        <f t="shared" si="52"/>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607.49804426656829</v>
      </c>
      <c r="AD125" s="29">
        <f t="shared" si="51"/>
        <v>1.6622911946613885</v>
      </c>
      <c r="AE125" s="25">
        <f t="shared" si="60"/>
        <v>13.243681724743192</v>
      </c>
      <c r="AF125" s="25">
        <f t="shared" si="52"/>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607.49804426656829</v>
      </c>
      <c r="AD126" s="29">
        <f t="shared" si="51"/>
        <v>1.6622911946613885</v>
      </c>
      <c r="AE126" s="25">
        <f t="shared" si="60"/>
        <v>13.243681724743192</v>
      </c>
      <c r="AF126" s="25">
        <f t="shared" si="52"/>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607.49804426656829</v>
      </c>
      <c r="AD127" s="29">
        <f t="shared" si="51"/>
        <v>1.6622911946613885</v>
      </c>
      <c r="AE127" s="25">
        <f t="shared" si="60"/>
        <v>13.243681724743192</v>
      </c>
      <c r="AF127" s="25">
        <f t="shared" si="52"/>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607.49804426656829</v>
      </c>
      <c r="AD128" s="29">
        <f t="shared" si="51"/>
        <v>1.6622911946613885</v>
      </c>
      <c r="AE128" s="25">
        <f t="shared" si="60"/>
        <v>13.243681724743192</v>
      </c>
      <c r="AF128" s="25">
        <f t="shared" si="52"/>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607.49804426656829</v>
      </c>
      <c r="AD129" s="29">
        <f t="shared" si="51"/>
        <v>1.6622911946613885</v>
      </c>
      <c r="AE129" s="25">
        <f t="shared" si="60"/>
        <v>13.243681724743192</v>
      </c>
      <c r="AF129" s="25">
        <f t="shared" si="52"/>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607.49804426656829</v>
      </c>
      <c r="AD130" s="29">
        <f t="shared" si="51"/>
        <v>1.6622911946613885</v>
      </c>
      <c r="AE130" s="25">
        <f t="shared" si="60"/>
        <v>13.243681724743192</v>
      </c>
      <c r="AF130" s="25">
        <f t="shared" si="52"/>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607.49804426656829</v>
      </c>
      <c r="AD131" s="29">
        <f t="shared" ref="AD131:AD194" si="86">IF($A131&lt;0,0,(1+$AC131/(hasterate*100))*(1+$AS$26/100*AND($J131&gt;0,$J131&lt;=$AT$26))*(1+$AS$35/100*AND($M131&gt;0,$M131&lt;=$AT$35))*(1+0.3*($X131&gt;0)))</f>
        <v>1.6622911946613885</v>
      </c>
      <c r="AE131" s="25">
        <f t="shared" si="60"/>
        <v>13.243681724743192</v>
      </c>
      <c r="AF131" s="25">
        <f t="shared" ref="AF131:AF194" si="87">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607.49804426656829</v>
      </c>
      <c r="AD132" s="29">
        <f t="shared" si="86"/>
        <v>1.6622911946613885</v>
      </c>
      <c r="AE132" s="25">
        <f t="shared" ref="AE132:AE195" si="95">IF($A132&lt;0,0,$AN$45+IF($P132&gt;0,$AN$37*$AL$37,0)+$S132*(60-IF(CharLevel&gt;60,(CharLevel-60)*2,0))*$AL$38+IF($J132=1,$AL$26*-25+IF($AL$39, 30, 0),0)+IF($M132=1,$AL$35*-10,0)+IF(AE131&gt;instcost,AE131-instcost,0))</f>
        <v>13.243681724743192</v>
      </c>
      <c r="AF132" s="25">
        <f t="shared" si="87"/>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607.49804426656829</v>
      </c>
      <c r="AD133" s="29">
        <f t="shared" si="86"/>
        <v>1.6622911946613885</v>
      </c>
      <c r="AE133" s="25">
        <f t="shared" si="95"/>
        <v>13.243681724743192</v>
      </c>
      <c r="AF133" s="25">
        <f t="shared" si="87"/>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607.49804426656829</v>
      </c>
      <c r="AD134" s="29">
        <f t="shared" si="86"/>
        <v>1.6622911946613885</v>
      </c>
      <c r="AE134" s="25">
        <f t="shared" si="95"/>
        <v>13.243681724743192</v>
      </c>
      <c r="AF134" s="25">
        <f t="shared" si="87"/>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607.49804426656829</v>
      </c>
      <c r="AD135" s="29">
        <f t="shared" si="86"/>
        <v>1.6622911946613885</v>
      </c>
      <c r="AE135" s="25">
        <f t="shared" si="95"/>
        <v>13.243681724743192</v>
      </c>
      <c r="AF135" s="25">
        <f t="shared" si="87"/>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607.49804426656829</v>
      </c>
      <c r="AD136" s="29">
        <f t="shared" si="86"/>
        <v>1.6622911946613885</v>
      </c>
      <c r="AE136" s="25">
        <f t="shared" si="95"/>
        <v>13.243681724743192</v>
      </c>
      <c r="AF136" s="25">
        <f t="shared" si="87"/>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607.49804426656829</v>
      </c>
      <c r="AD137" s="29">
        <f t="shared" si="86"/>
        <v>1.6622911946613885</v>
      </c>
      <c r="AE137" s="25">
        <f t="shared" si="95"/>
        <v>13.243681724743192</v>
      </c>
      <c r="AF137" s="25">
        <f t="shared" si="87"/>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207.49804426656831</v>
      </c>
      <c r="AD138" s="29">
        <f t="shared" si="86"/>
        <v>1.1315841256324579</v>
      </c>
      <c r="AE138" s="25">
        <f t="shared" si="95"/>
        <v>13.243681724743192</v>
      </c>
      <c r="AF138" s="25">
        <f t="shared" si="87"/>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207.49804426656831</v>
      </c>
      <c r="AD139" s="29">
        <f t="shared" si="86"/>
        <v>1.1315841256324579</v>
      </c>
      <c r="AE139" s="25">
        <f t="shared" si="95"/>
        <v>13.243681724743192</v>
      </c>
      <c r="AF139" s="25">
        <f t="shared" si="87"/>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207.49804426656831</v>
      </c>
      <c r="AD140" s="29">
        <f t="shared" si="86"/>
        <v>1.1315841256324579</v>
      </c>
      <c r="AE140" s="25">
        <f t="shared" si="95"/>
        <v>13.243681724743192</v>
      </c>
      <c r="AF140" s="25">
        <f t="shared" si="87"/>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207.49804426656831</v>
      </c>
      <c r="AD141" s="29">
        <f t="shared" si="86"/>
        <v>1.1315841256324579</v>
      </c>
      <c r="AE141" s="25">
        <f t="shared" si="95"/>
        <v>13.243681724743192</v>
      </c>
      <c r="AF141" s="25">
        <f t="shared" si="87"/>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207.49804426656831</v>
      </c>
      <c r="AD142" s="29">
        <f t="shared" si="86"/>
        <v>1.1315841256324579</v>
      </c>
      <c r="AE142" s="25">
        <f t="shared" si="95"/>
        <v>13.243681724743192</v>
      </c>
      <c r="AF142" s="25">
        <f t="shared" si="87"/>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207.49804426656831</v>
      </c>
      <c r="AD143" s="29">
        <f t="shared" si="86"/>
        <v>1.1315841256324579</v>
      </c>
      <c r="AE143" s="25">
        <f t="shared" si="95"/>
        <v>13.243681724743192</v>
      </c>
      <c r="AF143" s="25">
        <f t="shared" si="87"/>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207.49804426656831</v>
      </c>
      <c r="AD144" s="29">
        <f t="shared" si="86"/>
        <v>1.1315841256324579</v>
      </c>
      <c r="AE144" s="25">
        <f t="shared" si="95"/>
        <v>13.243681724743192</v>
      </c>
      <c r="AF144" s="25">
        <f t="shared" si="87"/>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207.49804426656831</v>
      </c>
      <c r="AD145" s="29">
        <f t="shared" si="86"/>
        <v>1.1315841256324579</v>
      </c>
      <c r="AE145" s="25">
        <f t="shared" si="95"/>
        <v>13.243681724743192</v>
      </c>
      <c r="AF145" s="25">
        <f t="shared" si="87"/>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207.49804426656831</v>
      </c>
      <c r="AD146" s="29">
        <f t="shared" si="86"/>
        <v>1.1315841256324579</v>
      </c>
      <c r="AE146" s="25">
        <f t="shared" si="95"/>
        <v>13.243681724743192</v>
      </c>
      <c r="AF146" s="25">
        <f t="shared" si="87"/>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207.49804426656831</v>
      </c>
      <c r="AD147" s="29">
        <f t="shared" si="86"/>
        <v>1.1315841256324579</v>
      </c>
      <c r="AE147" s="25">
        <f t="shared" si="95"/>
        <v>13.243681724743192</v>
      </c>
      <c r="AF147" s="25">
        <f t="shared" si="87"/>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207.49804426656831</v>
      </c>
      <c r="AD148" s="29">
        <f t="shared" si="86"/>
        <v>1.1315841256324579</v>
      </c>
      <c r="AE148" s="25">
        <f t="shared" si="95"/>
        <v>13.243681724743192</v>
      </c>
      <c r="AF148" s="25">
        <f t="shared" si="87"/>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207.49804426656831</v>
      </c>
      <c r="AD149" s="29">
        <f t="shared" si="86"/>
        <v>1.1315841256324579</v>
      </c>
      <c r="AE149" s="25">
        <f t="shared" si="95"/>
        <v>13.243681724743192</v>
      </c>
      <c r="AF149" s="25">
        <f t="shared" si="87"/>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207.49804426656831</v>
      </c>
      <c r="AD150" s="29">
        <f t="shared" si="86"/>
        <v>1.1315841256324579</v>
      </c>
      <c r="AE150" s="25">
        <f t="shared" si="95"/>
        <v>13.243681724743192</v>
      </c>
      <c r="AF150" s="25">
        <f t="shared" si="87"/>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207.49804426656831</v>
      </c>
      <c r="AD151" s="29">
        <f t="shared" si="86"/>
        <v>1.1315841256324579</v>
      </c>
      <c r="AE151" s="25">
        <f t="shared" si="95"/>
        <v>13.243681724743192</v>
      </c>
      <c r="AF151" s="25">
        <f t="shared" si="87"/>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207.49804426656831</v>
      </c>
      <c r="AD152" s="29">
        <f t="shared" si="86"/>
        <v>1.1315841256324579</v>
      </c>
      <c r="AE152" s="25">
        <f t="shared" si="95"/>
        <v>13.243681724743192</v>
      </c>
      <c r="AF152" s="25">
        <f t="shared" si="87"/>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127.49804426656831</v>
      </c>
      <c r="AD153" s="29">
        <f t="shared" si="86"/>
        <v>1.0808524183153847</v>
      </c>
      <c r="AE153" s="25">
        <f t="shared" si="95"/>
        <v>13.243681724743192</v>
      </c>
      <c r="AF153" s="25">
        <f t="shared" si="87"/>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127.49804426656831</v>
      </c>
      <c r="AD154" s="29">
        <f t="shared" si="86"/>
        <v>1.0808524183153847</v>
      </c>
      <c r="AE154" s="25">
        <f t="shared" si="95"/>
        <v>13.243681724743192</v>
      </c>
      <c r="AF154" s="25">
        <f t="shared" si="87"/>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127.49804426656831</v>
      </c>
      <c r="AD155" s="29">
        <f t="shared" si="86"/>
        <v>1.0808524183153847</v>
      </c>
      <c r="AE155" s="25">
        <f t="shared" si="95"/>
        <v>13.243681724743192</v>
      </c>
      <c r="AF155" s="25">
        <f t="shared" si="87"/>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127.49804426656831</v>
      </c>
      <c r="AD156" s="29">
        <f t="shared" si="86"/>
        <v>1.0808524183153847</v>
      </c>
      <c r="AE156" s="25">
        <f t="shared" si="95"/>
        <v>13.243681724743192</v>
      </c>
      <c r="AF156" s="25">
        <f t="shared" si="87"/>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127.49804426656831</v>
      </c>
      <c r="AD157" s="29">
        <f t="shared" si="86"/>
        <v>1.0808524183153847</v>
      </c>
      <c r="AE157" s="25">
        <f t="shared" si="95"/>
        <v>13.243681724743192</v>
      </c>
      <c r="AF157" s="25">
        <f t="shared" si="87"/>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127.49804426656831</v>
      </c>
      <c r="AD158" s="29">
        <f t="shared" si="86"/>
        <v>1.0808524183153847</v>
      </c>
      <c r="AE158" s="25">
        <f t="shared" si="95"/>
        <v>13.243681724743192</v>
      </c>
      <c r="AF158" s="25">
        <f t="shared" si="87"/>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127.49804426656831</v>
      </c>
      <c r="AD159" s="29">
        <f t="shared" si="86"/>
        <v>1.0808524183153847</v>
      </c>
      <c r="AE159" s="25">
        <f t="shared" si="95"/>
        <v>13.243681724743192</v>
      </c>
      <c r="AF159" s="25">
        <f t="shared" si="87"/>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127.49804426656831</v>
      </c>
      <c r="AD160" s="29">
        <f t="shared" si="86"/>
        <v>1.0808524183153847</v>
      </c>
      <c r="AE160" s="25">
        <f t="shared" si="95"/>
        <v>13.243681724743192</v>
      </c>
      <c r="AF160" s="25">
        <f t="shared" si="87"/>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127.49804426656831</v>
      </c>
      <c r="AD161" s="29">
        <f t="shared" si="86"/>
        <v>1.0808524183153847</v>
      </c>
      <c r="AE161" s="25">
        <f t="shared" si="95"/>
        <v>13.243681724743192</v>
      </c>
      <c r="AF161" s="25">
        <f t="shared" si="87"/>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127.49804426656831</v>
      </c>
      <c r="AD162" s="29">
        <f t="shared" si="86"/>
        <v>1.0808524183153847</v>
      </c>
      <c r="AE162" s="25">
        <f t="shared" si="95"/>
        <v>13.243681724743192</v>
      </c>
      <c r="AF162" s="25">
        <f t="shared" si="87"/>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127.49804426656831</v>
      </c>
      <c r="AD163" s="29">
        <f t="shared" si="86"/>
        <v>1.0808524183153847</v>
      </c>
      <c r="AE163" s="25">
        <f t="shared" si="95"/>
        <v>13.243681724743192</v>
      </c>
      <c r="AF163" s="25">
        <f t="shared" si="87"/>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127.49804426656831</v>
      </c>
      <c r="AD164" s="29">
        <f t="shared" si="86"/>
        <v>1.0808524183153847</v>
      </c>
      <c r="AE164" s="25">
        <f t="shared" si="95"/>
        <v>13.243681724743192</v>
      </c>
      <c r="AF164" s="25">
        <f t="shared" si="87"/>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127.49804426656831</v>
      </c>
      <c r="AD165" s="29">
        <f t="shared" si="86"/>
        <v>1.0808524183153847</v>
      </c>
      <c r="AE165" s="25">
        <f t="shared" si="95"/>
        <v>13.243681724743192</v>
      </c>
      <c r="AF165" s="25">
        <f t="shared" si="87"/>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127.49804426656831</v>
      </c>
      <c r="AD166" s="29">
        <f t="shared" si="86"/>
        <v>1.0808524183153847</v>
      </c>
      <c r="AE166" s="25">
        <f t="shared" si="95"/>
        <v>13.243681724743192</v>
      </c>
      <c r="AF166" s="25">
        <f t="shared" si="87"/>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127.49804426656831</v>
      </c>
      <c r="AD167" s="29">
        <f t="shared" si="86"/>
        <v>1.0808524183153847</v>
      </c>
      <c r="AE167" s="25">
        <f t="shared" si="95"/>
        <v>13.243681724743192</v>
      </c>
      <c r="AF167" s="25">
        <f t="shared" si="87"/>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127.49804426656831</v>
      </c>
      <c r="AD168" s="29">
        <f t="shared" si="86"/>
        <v>1.0808524183153847</v>
      </c>
      <c r="AE168" s="25">
        <f t="shared" si="95"/>
        <v>13.243681724743192</v>
      </c>
      <c r="AF168" s="25">
        <f t="shared" si="87"/>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127.49804426656831</v>
      </c>
      <c r="AD169" s="29">
        <f t="shared" si="86"/>
        <v>1.0808524183153847</v>
      </c>
      <c r="AE169" s="25">
        <f t="shared" si="95"/>
        <v>13.243681724743192</v>
      </c>
      <c r="AF169" s="25">
        <f t="shared" si="87"/>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127.49804426656831</v>
      </c>
      <c r="AD170" s="29">
        <f t="shared" si="86"/>
        <v>1.0808524183153847</v>
      </c>
      <c r="AE170" s="25">
        <f t="shared" si="95"/>
        <v>13.243681724743192</v>
      </c>
      <c r="AF170" s="25">
        <f t="shared" si="87"/>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127.49804426656831</v>
      </c>
      <c r="AD171" s="29">
        <f t="shared" si="86"/>
        <v>1.0808524183153847</v>
      </c>
      <c r="AE171" s="25">
        <f t="shared" si="95"/>
        <v>13.243681724743192</v>
      </c>
      <c r="AF171" s="25">
        <f t="shared" si="87"/>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127.49804426656831</v>
      </c>
      <c r="AD172" s="29">
        <f t="shared" si="86"/>
        <v>1.0808524183153847</v>
      </c>
      <c r="AE172" s="25">
        <f t="shared" si="95"/>
        <v>13.243681724743192</v>
      </c>
      <c r="AF172" s="25">
        <f t="shared" si="87"/>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127.49804426656831</v>
      </c>
      <c r="AD173" s="29">
        <f t="shared" si="86"/>
        <v>1.0808524183153847</v>
      </c>
      <c r="AE173" s="25">
        <f t="shared" si="95"/>
        <v>13.243681724743192</v>
      </c>
      <c r="AF173" s="25">
        <f t="shared" si="87"/>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127.49804426656831</v>
      </c>
      <c r="AD174" s="29">
        <f t="shared" si="86"/>
        <v>1.0808524183153847</v>
      </c>
      <c r="AE174" s="25">
        <f t="shared" si="95"/>
        <v>13.243681724743192</v>
      </c>
      <c r="AF174" s="25">
        <f t="shared" si="87"/>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127.49804426656831</v>
      </c>
      <c r="AD175" s="29">
        <f t="shared" si="86"/>
        <v>1.0808524183153847</v>
      </c>
      <c r="AE175" s="25">
        <f t="shared" si="95"/>
        <v>13.243681724743192</v>
      </c>
      <c r="AF175" s="25">
        <f t="shared" si="87"/>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127.49804426656831</v>
      </c>
      <c r="AD176" s="29">
        <f t="shared" si="86"/>
        <v>1.0808524183153847</v>
      </c>
      <c r="AE176" s="25">
        <f t="shared" si="95"/>
        <v>13.243681724743192</v>
      </c>
      <c r="AF176" s="25">
        <f t="shared" si="87"/>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127.49804426656831</v>
      </c>
      <c r="AD177" s="29">
        <f t="shared" si="86"/>
        <v>1.0808524183153847</v>
      </c>
      <c r="AE177" s="25">
        <f t="shared" si="95"/>
        <v>13.243681724743192</v>
      </c>
      <c r="AF177" s="25">
        <f t="shared" si="87"/>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127.49804426656831</v>
      </c>
      <c r="AD178" s="29">
        <f t="shared" si="86"/>
        <v>1.0808524183153847</v>
      </c>
      <c r="AE178" s="25">
        <f t="shared" si="95"/>
        <v>13.243681724743192</v>
      </c>
      <c r="AF178" s="25">
        <f t="shared" si="87"/>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127.49804426656831</v>
      </c>
      <c r="AD179" s="29">
        <f t="shared" si="86"/>
        <v>1.0808524183153847</v>
      </c>
      <c r="AE179" s="25">
        <f t="shared" si="95"/>
        <v>13.243681724743192</v>
      </c>
      <c r="AF179" s="25">
        <f t="shared" si="87"/>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127.49804426656831</v>
      </c>
      <c r="AD180" s="29">
        <f t="shared" si="86"/>
        <v>1.0808524183153847</v>
      </c>
      <c r="AE180" s="25">
        <f t="shared" si="95"/>
        <v>13.243681724743192</v>
      </c>
      <c r="AF180" s="25">
        <f t="shared" si="87"/>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127.49804426656831</v>
      </c>
      <c r="AD181" s="29">
        <f t="shared" si="86"/>
        <v>1.0808524183153847</v>
      </c>
      <c r="AE181" s="25">
        <f t="shared" si="95"/>
        <v>13.243681724743192</v>
      </c>
      <c r="AF181" s="25">
        <f t="shared" si="87"/>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127.49804426656831</v>
      </c>
      <c r="AD182" s="29">
        <f t="shared" si="86"/>
        <v>1.0808524183153847</v>
      </c>
      <c r="AE182" s="25">
        <f t="shared" si="95"/>
        <v>13.243681724743192</v>
      </c>
      <c r="AF182" s="25">
        <f t="shared" si="87"/>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127.49804426656831</v>
      </c>
      <c r="AD183" s="29">
        <f t="shared" si="86"/>
        <v>1.0808524183153847</v>
      </c>
      <c r="AE183" s="25">
        <f t="shared" si="95"/>
        <v>13.243681724743192</v>
      </c>
      <c r="AF183" s="25">
        <f t="shared" si="87"/>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127.49804426656831</v>
      </c>
      <c r="AD184" s="29">
        <f t="shared" si="86"/>
        <v>1.0808524183153847</v>
      </c>
      <c r="AE184" s="25">
        <f t="shared" si="95"/>
        <v>13.243681724743192</v>
      </c>
      <c r="AF184" s="25">
        <f t="shared" si="87"/>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127.49804426656831</v>
      </c>
      <c r="AD185" s="29">
        <f t="shared" si="86"/>
        <v>1.0808524183153847</v>
      </c>
      <c r="AE185" s="25">
        <f t="shared" si="95"/>
        <v>13.243681724743192</v>
      </c>
      <c r="AF185" s="25">
        <f t="shared" si="87"/>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127.49804426656831</v>
      </c>
      <c r="AD186" s="29">
        <f t="shared" si="86"/>
        <v>1.0808524183153847</v>
      </c>
      <c r="AE186" s="25">
        <f t="shared" si="95"/>
        <v>13.243681724743192</v>
      </c>
      <c r="AF186" s="25">
        <f t="shared" si="87"/>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127.49804426656831</v>
      </c>
      <c r="AD187" s="29">
        <f t="shared" si="86"/>
        <v>1.0808524183153847</v>
      </c>
      <c r="AE187" s="25">
        <f t="shared" si="95"/>
        <v>13.243681724743192</v>
      </c>
      <c r="AF187" s="25">
        <f t="shared" si="87"/>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127.49804426656831</v>
      </c>
      <c r="AD188" s="29">
        <f t="shared" si="86"/>
        <v>1.0808524183153847</v>
      </c>
      <c r="AE188" s="25">
        <f t="shared" si="95"/>
        <v>13.243681724743192</v>
      </c>
      <c r="AF188" s="25">
        <f t="shared" si="87"/>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127.49804426656831</v>
      </c>
      <c r="AD189" s="29">
        <f t="shared" si="86"/>
        <v>1.0808524183153847</v>
      </c>
      <c r="AE189" s="25">
        <f t="shared" si="95"/>
        <v>13.243681724743192</v>
      </c>
      <c r="AF189" s="25">
        <f t="shared" si="87"/>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127.49804426656831</v>
      </c>
      <c r="AD190" s="29">
        <f t="shared" si="86"/>
        <v>1.0808524183153847</v>
      </c>
      <c r="AE190" s="25">
        <f t="shared" si="95"/>
        <v>13.243681724743192</v>
      </c>
      <c r="AF190" s="25">
        <f t="shared" si="87"/>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127.49804426656831</v>
      </c>
      <c r="AD191" s="29">
        <f t="shared" si="86"/>
        <v>1.0808524183153847</v>
      </c>
      <c r="AE191" s="25">
        <f t="shared" si="95"/>
        <v>13.243681724743192</v>
      </c>
      <c r="AF191" s="25">
        <f t="shared" si="87"/>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127.49804426656831</v>
      </c>
      <c r="AD192" s="29">
        <f t="shared" si="86"/>
        <v>1.0808524183153847</v>
      </c>
      <c r="AE192" s="25">
        <f t="shared" si="95"/>
        <v>13.243681724743192</v>
      </c>
      <c r="AF192" s="25">
        <f t="shared" si="87"/>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127.49804426656831</v>
      </c>
      <c r="AD193" s="29">
        <f t="shared" si="86"/>
        <v>1.0808524183153847</v>
      </c>
      <c r="AE193" s="25">
        <f t="shared" si="95"/>
        <v>13.243681724743192</v>
      </c>
      <c r="AF193" s="25">
        <f t="shared" si="87"/>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127.49804426656831</v>
      </c>
      <c r="AD194" s="29">
        <f t="shared" si="86"/>
        <v>1.0808524183153847</v>
      </c>
      <c r="AE194" s="25">
        <f t="shared" si="95"/>
        <v>13.243681724743192</v>
      </c>
      <c r="AF194" s="25">
        <f t="shared" si="87"/>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127.49804426656831</v>
      </c>
      <c r="AD195" s="29">
        <f t="shared" ref="AD195:AD258" si="121">IF($A195&lt;0,0,(1+$AC195/(hasterate*100))*(1+$AS$26/100*AND($J195&gt;0,$J195&lt;=$AT$26))*(1+$AS$35/100*AND($M195&gt;0,$M195&lt;=$AT$35))*(1+0.3*($X195&gt;0)))</f>
        <v>1.0808524183153847</v>
      </c>
      <c r="AE195" s="25">
        <f t="shared" si="95"/>
        <v>13.243681724743192</v>
      </c>
      <c r="AF195" s="25">
        <f t="shared" ref="AF195:AF258" si="122">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127.49804426656831</v>
      </c>
      <c r="AD196" s="29">
        <f t="shared" si="121"/>
        <v>1.0808524183153847</v>
      </c>
      <c r="AE196" s="25">
        <f t="shared" ref="AE196:AE259" si="130">IF($A196&lt;0,0,$AN$45+IF($P196&gt;0,$AN$37*$AL$37,0)+$S196*(60-IF(CharLevel&gt;60,(CharLevel-60)*2,0))*$AL$38+IF($J196=1,$AL$26*-25+IF($AL$39, 30, 0),0)+IF($M196=1,$AL$35*-10,0)+IF(AE195&gt;instcost,AE195-instcost,0))</f>
        <v>13.243681724743192</v>
      </c>
      <c r="AF196" s="25">
        <f t="shared" si="122"/>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127.49804426656831</v>
      </c>
      <c r="AD197" s="29">
        <f t="shared" si="121"/>
        <v>1.0808524183153847</v>
      </c>
      <c r="AE197" s="25">
        <f t="shared" si="130"/>
        <v>13.243681724743192</v>
      </c>
      <c r="AF197" s="25">
        <f t="shared" si="122"/>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127.49804426656831</v>
      </c>
      <c r="AD198" s="29">
        <f t="shared" si="121"/>
        <v>1.0808524183153847</v>
      </c>
      <c r="AE198" s="25">
        <f t="shared" si="130"/>
        <v>13.243681724743192</v>
      </c>
      <c r="AF198" s="25">
        <f t="shared" si="122"/>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127.49804426656831</v>
      </c>
      <c r="AD199" s="29">
        <f t="shared" si="121"/>
        <v>1.0808524183153847</v>
      </c>
      <c r="AE199" s="25">
        <f t="shared" si="130"/>
        <v>13.243681724743192</v>
      </c>
      <c r="AF199" s="25">
        <f t="shared" si="122"/>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127.49804426656831</v>
      </c>
      <c r="AD200" s="29">
        <f t="shared" si="121"/>
        <v>1.0808524183153847</v>
      </c>
      <c r="AE200" s="25">
        <f t="shared" si="130"/>
        <v>13.243681724743192</v>
      </c>
      <c r="AF200" s="25">
        <f t="shared" si="122"/>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127.49804426656831</v>
      </c>
      <c r="AD201" s="29">
        <f t="shared" si="121"/>
        <v>1.0808524183153847</v>
      </c>
      <c r="AE201" s="25">
        <f t="shared" si="130"/>
        <v>13.243681724743192</v>
      </c>
      <c r="AF201" s="25">
        <f t="shared" si="122"/>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127.49804426656831</v>
      </c>
      <c r="AD202" s="29">
        <f t="shared" si="121"/>
        <v>1.0808524183153847</v>
      </c>
      <c r="AE202" s="25">
        <f t="shared" si="130"/>
        <v>13.243681724743192</v>
      </c>
      <c r="AF202" s="25">
        <f t="shared" si="122"/>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127.49804426656831</v>
      </c>
      <c r="AD203" s="29">
        <f t="shared" si="121"/>
        <v>1.0808524183153847</v>
      </c>
      <c r="AE203" s="25">
        <f t="shared" si="130"/>
        <v>13.243681724743192</v>
      </c>
      <c r="AF203" s="25">
        <f t="shared" si="122"/>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127.49804426656831</v>
      </c>
      <c r="AD204" s="29">
        <f t="shared" si="121"/>
        <v>1.0808524183153847</v>
      </c>
      <c r="AE204" s="25">
        <f t="shared" si="130"/>
        <v>13.243681724743192</v>
      </c>
      <c r="AF204" s="25">
        <f t="shared" si="122"/>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127.49804426656831</v>
      </c>
      <c r="AD205" s="29">
        <f t="shared" si="121"/>
        <v>1.0808524183153847</v>
      </c>
      <c r="AE205" s="25">
        <f t="shared" si="130"/>
        <v>13.243681724743192</v>
      </c>
      <c r="AF205" s="25">
        <f t="shared" si="122"/>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127.49804426656831</v>
      </c>
      <c r="AD206" s="29">
        <f t="shared" si="121"/>
        <v>1.0808524183153847</v>
      </c>
      <c r="AE206" s="25">
        <f t="shared" si="130"/>
        <v>13.243681724743192</v>
      </c>
      <c r="AF206" s="25">
        <f t="shared" si="122"/>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127.49804426656831</v>
      </c>
      <c r="AD207" s="29">
        <f t="shared" si="121"/>
        <v>1.0808524183153847</v>
      </c>
      <c r="AE207" s="25">
        <f t="shared" si="130"/>
        <v>13.243681724743192</v>
      </c>
      <c r="AF207" s="25">
        <f t="shared" si="122"/>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127.49804426656831</v>
      </c>
      <c r="AD208" s="29">
        <f t="shared" si="121"/>
        <v>1.0808524183153847</v>
      </c>
      <c r="AE208" s="25">
        <f t="shared" si="130"/>
        <v>13.243681724743192</v>
      </c>
      <c r="AF208" s="25">
        <f t="shared" si="122"/>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127.49804426656831</v>
      </c>
      <c r="AD209" s="29">
        <f t="shared" si="121"/>
        <v>1.0808524183153847</v>
      </c>
      <c r="AE209" s="25">
        <f t="shared" si="130"/>
        <v>13.243681724743192</v>
      </c>
      <c r="AF209" s="25">
        <f t="shared" si="122"/>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127.49804426656831</v>
      </c>
      <c r="AD210" s="29">
        <f t="shared" si="121"/>
        <v>1.0808524183153847</v>
      </c>
      <c r="AE210" s="25">
        <f t="shared" si="130"/>
        <v>13.243681724743192</v>
      </c>
      <c r="AF210" s="25">
        <f t="shared" si="122"/>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127.49804426656831</v>
      </c>
      <c r="AD211" s="29">
        <f t="shared" si="121"/>
        <v>1.0808524183153847</v>
      </c>
      <c r="AE211" s="25">
        <f t="shared" si="130"/>
        <v>13.243681724743192</v>
      </c>
      <c r="AF211" s="25">
        <f t="shared" si="122"/>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127.49804426656831</v>
      </c>
      <c r="AD212" s="29">
        <f t="shared" si="121"/>
        <v>1.0808524183153847</v>
      </c>
      <c r="AE212" s="25">
        <f t="shared" si="130"/>
        <v>13.243681724743192</v>
      </c>
      <c r="AF212" s="25">
        <f t="shared" si="122"/>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127.49804426656831</v>
      </c>
      <c r="AD213" s="29">
        <f t="shared" si="121"/>
        <v>1.0808524183153847</v>
      </c>
      <c r="AE213" s="25">
        <f t="shared" si="130"/>
        <v>13.243681724743192</v>
      </c>
      <c r="AF213" s="25">
        <f t="shared" si="122"/>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127.49804426656831</v>
      </c>
      <c r="AD214" s="29">
        <f t="shared" si="121"/>
        <v>1.0808524183153847</v>
      </c>
      <c r="AE214" s="25">
        <f t="shared" si="130"/>
        <v>13.243681724743192</v>
      </c>
      <c r="AF214" s="25">
        <f t="shared" si="122"/>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127.49804426656831</v>
      </c>
      <c r="AD215" s="29">
        <f t="shared" si="121"/>
        <v>1.0808524183153847</v>
      </c>
      <c r="AE215" s="25">
        <f t="shared" si="130"/>
        <v>13.243681724743192</v>
      </c>
      <c r="AF215" s="25">
        <f t="shared" si="122"/>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127.49804426656831</v>
      </c>
      <c r="AD216" s="29">
        <f t="shared" si="121"/>
        <v>1.0808524183153847</v>
      </c>
      <c r="AE216" s="25">
        <f t="shared" si="130"/>
        <v>13.243681724743192</v>
      </c>
      <c r="AF216" s="25">
        <f t="shared" si="122"/>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127.49804426656831</v>
      </c>
      <c r="AD217" s="29">
        <f t="shared" si="121"/>
        <v>1.0808524183153847</v>
      </c>
      <c r="AE217" s="25">
        <f t="shared" si="130"/>
        <v>13.243681724743192</v>
      </c>
      <c r="AF217" s="25">
        <f t="shared" si="122"/>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127.49804426656831</v>
      </c>
      <c r="AD218" s="29">
        <f t="shared" si="121"/>
        <v>1.0808524183153847</v>
      </c>
      <c r="AE218" s="25">
        <f t="shared" si="130"/>
        <v>13.243681724743192</v>
      </c>
      <c r="AF218" s="25">
        <f t="shared" si="122"/>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127.49804426656831</v>
      </c>
      <c r="AD219" s="29">
        <f t="shared" si="121"/>
        <v>1.0808524183153847</v>
      </c>
      <c r="AE219" s="25">
        <f t="shared" si="130"/>
        <v>13.243681724743192</v>
      </c>
      <c r="AF219" s="25">
        <f t="shared" si="122"/>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127.49804426656831</v>
      </c>
      <c r="AD220" s="29">
        <f t="shared" si="121"/>
        <v>1.0808524183153847</v>
      </c>
      <c r="AE220" s="25">
        <f t="shared" si="130"/>
        <v>13.243681724743192</v>
      </c>
      <c r="AF220" s="25">
        <f t="shared" si="122"/>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127.49804426656831</v>
      </c>
      <c r="AD221" s="29">
        <f t="shared" si="121"/>
        <v>1.0808524183153847</v>
      </c>
      <c r="AE221" s="25">
        <f t="shared" si="130"/>
        <v>13.243681724743192</v>
      </c>
      <c r="AF221" s="25">
        <f t="shared" si="122"/>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127.49804426656831</v>
      </c>
      <c r="AD222" s="29">
        <f t="shared" si="121"/>
        <v>1.0808524183153847</v>
      </c>
      <c r="AE222" s="25">
        <f t="shared" si="130"/>
        <v>13.243681724743192</v>
      </c>
      <c r="AF222" s="25">
        <f t="shared" si="122"/>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127.49804426656831</v>
      </c>
      <c r="AD223" s="29">
        <f t="shared" si="121"/>
        <v>1.0808524183153847</v>
      </c>
      <c r="AE223" s="25">
        <f t="shared" si="130"/>
        <v>13.243681724743192</v>
      </c>
      <c r="AF223" s="25">
        <f t="shared" si="122"/>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127.49804426656831</v>
      </c>
      <c r="AD224" s="29">
        <f t="shared" si="121"/>
        <v>1.0808524183153847</v>
      </c>
      <c r="AE224" s="25">
        <f t="shared" si="130"/>
        <v>13.243681724743192</v>
      </c>
      <c r="AF224" s="25">
        <f t="shared" si="122"/>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127.49804426656831</v>
      </c>
      <c r="AD225" s="29">
        <f t="shared" si="121"/>
        <v>1.0808524183153847</v>
      </c>
      <c r="AE225" s="25">
        <f t="shared" si="130"/>
        <v>13.243681724743192</v>
      </c>
      <c r="AF225" s="25">
        <f t="shared" si="122"/>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127.49804426656831</v>
      </c>
      <c r="AD226" s="29">
        <f t="shared" si="121"/>
        <v>1.0808524183153847</v>
      </c>
      <c r="AE226" s="25">
        <f t="shared" si="130"/>
        <v>13.243681724743192</v>
      </c>
      <c r="AF226" s="25">
        <f t="shared" si="122"/>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127.49804426656831</v>
      </c>
      <c r="AD227" s="29">
        <f t="shared" si="121"/>
        <v>1.0808524183153847</v>
      </c>
      <c r="AE227" s="25">
        <f t="shared" si="130"/>
        <v>13.243681724743192</v>
      </c>
      <c r="AF227" s="25">
        <f t="shared" si="122"/>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127.49804426656831</v>
      </c>
      <c r="AD228" s="29">
        <f t="shared" si="121"/>
        <v>1.0808524183153847</v>
      </c>
      <c r="AE228" s="25">
        <f t="shared" si="130"/>
        <v>13.243681724743192</v>
      </c>
      <c r="AF228" s="25">
        <f t="shared" si="122"/>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127.49804426656831</v>
      </c>
      <c r="AD229" s="29">
        <f t="shared" si="121"/>
        <v>1.0808524183153847</v>
      </c>
      <c r="AE229" s="25">
        <f t="shared" si="130"/>
        <v>13.243681724743192</v>
      </c>
      <c r="AF229" s="25">
        <f t="shared" si="122"/>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127.49804426656831</v>
      </c>
      <c r="AD230" s="29">
        <f t="shared" si="121"/>
        <v>1.0808524183153847</v>
      </c>
      <c r="AE230" s="25">
        <f t="shared" si="130"/>
        <v>13.243681724743192</v>
      </c>
      <c r="AF230" s="25">
        <f t="shared" si="122"/>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127.49804426656831</v>
      </c>
      <c r="AD231" s="29">
        <f t="shared" si="121"/>
        <v>1.0808524183153847</v>
      </c>
      <c r="AE231" s="25">
        <f t="shared" si="130"/>
        <v>13.243681724743192</v>
      </c>
      <c r="AF231" s="25">
        <f t="shared" si="122"/>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127.49804426656831</v>
      </c>
      <c r="AD232" s="29">
        <f t="shared" si="121"/>
        <v>1.0808524183153847</v>
      </c>
      <c r="AE232" s="25">
        <f t="shared" si="130"/>
        <v>13.243681724743192</v>
      </c>
      <c r="AF232" s="25">
        <f t="shared" si="122"/>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127.49804426656831</v>
      </c>
      <c r="AD233" s="29">
        <f t="shared" si="121"/>
        <v>1.0808524183153847</v>
      </c>
      <c r="AE233" s="25">
        <f t="shared" si="130"/>
        <v>13.243681724743192</v>
      </c>
      <c r="AF233" s="25">
        <f t="shared" si="122"/>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127.49804426656831</v>
      </c>
      <c r="AD234" s="29">
        <f t="shared" si="121"/>
        <v>1.0808524183153847</v>
      </c>
      <c r="AE234" s="25">
        <f t="shared" si="130"/>
        <v>13.243681724743192</v>
      </c>
      <c r="AF234" s="25">
        <f t="shared" si="122"/>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127.49804426656831</v>
      </c>
      <c r="AD235" s="29">
        <f t="shared" si="121"/>
        <v>1.0808524183153847</v>
      </c>
      <c r="AE235" s="25">
        <f t="shared" si="130"/>
        <v>13.243681724743192</v>
      </c>
      <c r="AF235" s="25">
        <f t="shared" si="122"/>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127.49804426656831</v>
      </c>
      <c r="AD236" s="29">
        <f t="shared" si="121"/>
        <v>1.0808524183153847</v>
      </c>
      <c r="AE236" s="25">
        <f t="shared" si="130"/>
        <v>13.243681724743192</v>
      </c>
      <c r="AF236" s="25">
        <f t="shared" si="122"/>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127.49804426656831</v>
      </c>
      <c r="AD237" s="29">
        <f t="shared" si="121"/>
        <v>1.0808524183153847</v>
      </c>
      <c r="AE237" s="25">
        <f t="shared" si="130"/>
        <v>13.243681724743192</v>
      </c>
      <c r="AF237" s="25">
        <f t="shared" si="122"/>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127.49804426656831</v>
      </c>
      <c r="AD238" s="29">
        <f t="shared" si="121"/>
        <v>1.0808524183153847</v>
      </c>
      <c r="AE238" s="25">
        <f t="shared" si="130"/>
        <v>13.243681724743192</v>
      </c>
      <c r="AF238" s="25">
        <f t="shared" si="122"/>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127.49804426656831</v>
      </c>
      <c r="AD239" s="29">
        <f t="shared" si="121"/>
        <v>1.0808524183153847</v>
      </c>
      <c r="AE239" s="25">
        <f t="shared" si="130"/>
        <v>13.243681724743192</v>
      </c>
      <c r="AF239" s="25">
        <f t="shared" si="122"/>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127.49804426656831</v>
      </c>
      <c r="AD240" s="29">
        <f t="shared" si="121"/>
        <v>1.0808524183153847</v>
      </c>
      <c r="AE240" s="25">
        <f t="shared" si="130"/>
        <v>13.243681724743192</v>
      </c>
      <c r="AF240" s="25">
        <f t="shared" si="122"/>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127.49804426656831</v>
      </c>
      <c r="AD241" s="29">
        <f t="shared" si="121"/>
        <v>1.0808524183153847</v>
      </c>
      <c r="AE241" s="25">
        <f t="shared" si="130"/>
        <v>13.243681724743192</v>
      </c>
      <c r="AF241" s="25">
        <f t="shared" si="122"/>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127.49804426656831</v>
      </c>
      <c r="AD242" s="29">
        <f t="shared" si="121"/>
        <v>1.0808524183153847</v>
      </c>
      <c r="AE242" s="25">
        <f t="shared" si="130"/>
        <v>13.243681724743192</v>
      </c>
      <c r="AF242" s="25">
        <f t="shared" si="122"/>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607.49804426656829</v>
      </c>
      <c r="AD243" s="29">
        <f t="shared" si="121"/>
        <v>1.6622911946613885</v>
      </c>
      <c r="AE243" s="25">
        <f t="shared" si="130"/>
        <v>-11.756318275256808</v>
      </c>
      <c r="AF243" s="25">
        <f t="shared" si="122"/>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607.49804426656829</v>
      </c>
      <c r="AD244" s="29">
        <f t="shared" si="121"/>
        <v>1.6622911946613885</v>
      </c>
      <c r="AE244" s="25">
        <f t="shared" si="130"/>
        <v>13.243681724743192</v>
      </c>
      <c r="AF244" s="25">
        <f t="shared" si="122"/>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607.49804426656829</v>
      </c>
      <c r="AD245" s="29">
        <f t="shared" si="121"/>
        <v>1.6622911946613885</v>
      </c>
      <c r="AE245" s="25">
        <f t="shared" si="130"/>
        <v>13.243681724743192</v>
      </c>
      <c r="AF245" s="25">
        <f t="shared" si="122"/>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607.49804426656829</v>
      </c>
      <c r="AD246" s="29">
        <f t="shared" si="121"/>
        <v>1.6622911946613885</v>
      </c>
      <c r="AE246" s="25">
        <f t="shared" si="130"/>
        <v>13.243681724743192</v>
      </c>
      <c r="AF246" s="25">
        <f t="shared" si="122"/>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607.49804426656829</v>
      </c>
      <c r="AD247" s="29">
        <f t="shared" si="121"/>
        <v>1.6622911946613885</v>
      </c>
      <c r="AE247" s="25">
        <f t="shared" si="130"/>
        <v>13.243681724743192</v>
      </c>
      <c r="AF247" s="25">
        <f t="shared" si="122"/>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607.49804426656829</v>
      </c>
      <c r="AD248" s="29">
        <f t="shared" si="121"/>
        <v>1.6622911946613885</v>
      </c>
      <c r="AE248" s="25">
        <f t="shared" si="130"/>
        <v>13.243681724743192</v>
      </c>
      <c r="AF248" s="25">
        <f t="shared" si="122"/>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607.49804426656829</v>
      </c>
      <c r="AD249" s="29">
        <f t="shared" si="121"/>
        <v>1.6622911946613885</v>
      </c>
      <c r="AE249" s="25">
        <f t="shared" si="130"/>
        <v>13.243681724743192</v>
      </c>
      <c r="AF249" s="25">
        <f t="shared" si="122"/>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607.49804426656829</v>
      </c>
      <c r="AD250" s="29">
        <f t="shared" si="121"/>
        <v>1.6622911946613885</v>
      </c>
      <c r="AE250" s="25">
        <f t="shared" si="130"/>
        <v>13.243681724743192</v>
      </c>
      <c r="AF250" s="25">
        <f t="shared" si="122"/>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607.49804426656829</v>
      </c>
      <c r="AD251" s="29">
        <f t="shared" si="121"/>
        <v>1.6622911946613885</v>
      </c>
      <c r="AE251" s="25">
        <f t="shared" si="130"/>
        <v>13.243681724743192</v>
      </c>
      <c r="AF251" s="25">
        <f t="shared" si="122"/>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607.49804426656829</v>
      </c>
      <c r="AD252" s="29">
        <f t="shared" si="121"/>
        <v>1.6622911946613885</v>
      </c>
      <c r="AE252" s="25">
        <f t="shared" si="130"/>
        <v>13.243681724743192</v>
      </c>
      <c r="AF252" s="25">
        <f t="shared" si="122"/>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607.49804426656829</v>
      </c>
      <c r="AD253" s="29">
        <f t="shared" si="121"/>
        <v>1.6622911946613885</v>
      </c>
      <c r="AE253" s="25">
        <f t="shared" si="130"/>
        <v>13.243681724743192</v>
      </c>
      <c r="AF253" s="25">
        <f t="shared" si="122"/>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607.49804426656829</v>
      </c>
      <c r="AD254" s="29">
        <f t="shared" si="121"/>
        <v>1.6622911946613885</v>
      </c>
      <c r="AE254" s="25">
        <f t="shared" si="130"/>
        <v>13.243681724743192</v>
      </c>
      <c r="AF254" s="25">
        <f t="shared" si="122"/>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607.49804426656829</v>
      </c>
      <c r="AD255" s="29">
        <f t="shared" si="121"/>
        <v>1.6622911946613885</v>
      </c>
      <c r="AE255" s="25">
        <f t="shared" si="130"/>
        <v>13.243681724743192</v>
      </c>
      <c r="AF255" s="25">
        <f t="shared" si="122"/>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607.49804426656829</v>
      </c>
      <c r="AD256" s="29">
        <f t="shared" si="121"/>
        <v>1.6622911946613885</v>
      </c>
      <c r="AE256" s="25">
        <f t="shared" si="130"/>
        <v>13.243681724743192</v>
      </c>
      <c r="AF256" s="25">
        <f t="shared" si="122"/>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607.49804426656829</v>
      </c>
      <c r="AD257" s="29">
        <f t="shared" si="121"/>
        <v>1.6622911946613885</v>
      </c>
      <c r="AE257" s="25">
        <f t="shared" si="130"/>
        <v>13.243681724743192</v>
      </c>
      <c r="AF257" s="25">
        <f t="shared" si="122"/>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207.49804426656831</v>
      </c>
      <c r="AD258" s="29">
        <f t="shared" si="121"/>
        <v>1.1315841256324579</v>
      </c>
      <c r="AE258" s="25">
        <f t="shared" si="130"/>
        <v>13.243681724743192</v>
      </c>
      <c r="AF258" s="25">
        <f t="shared" si="122"/>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207.49804426656831</v>
      </c>
      <c r="AD259" s="29">
        <f t="shared" ref="AD259:AD322" si="156">IF($A259&lt;0,0,(1+$AC259/(hasterate*100))*(1+$AS$26/100*AND($J259&gt;0,$J259&lt;=$AT$26))*(1+$AS$35/100*AND($M259&gt;0,$M259&lt;=$AT$35))*(1+0.3*($X259&gt;0)))</f>
        <v>1.1315841256324579</v>
      </c>
      <c r="AE259" s="25">
        <f t="shared" si="130"/>
        <v>13.243681724743192</v>
      </c>
      <c r="AF259" s="25">
        <f t="shared" ref="AF259:AF322" si="157">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207.49804426656831</v>
      </c>
      <c r="AD260" s="29">
        <f t="shared" si="156"/>
        <v>1.1315841256324579</v>
      </c>
      <c r="AE260" s="25">
        <f t="shared" ref="AE260:AE323" si="165">IF($A260&lt;0,0,$AN$45+IF($P260&gt;0,$AN$37*$AL$37,0)+$S260*(60-IF(CharLevel&gt;60,(CharLevel-60)*2,0))*$AL$38+IF($J260=1,$AL$26*-25+IF($AL$39, 30, 0),0)+IF($M260=1,$AL$35*-10,0)+IF(AE259&gt;instcost,AE259-instcost,0))</f>
        <v>13.243681724743192</v>
      </c>
      <c r="AF260" s="25">
        <f t="shared" si="157"/>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207.49804426656831</v>
      </c>
      <c r="AD261" s="29">
        <f t="shared" si="156"/>
        <v>1.1315841256324579</v>
      </c>
      <c r="AE261" s="25">
        <f t="shared" si="165"/>
        <v>13.243681724743192</v>
      </c>
      <c r="AF261" s="25">
        <f t="shared" si="157"/>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207.49804426656831</v>
      </c>
      <c r="AD262" s="29">
        <f t="shared" si="156"/>
        <v>1.1315841256324579</v>
      </c>
      <c r="AE262" s="25">
        <f t="shared" si="165"/>
        <v>13.243681724743192</v>
      </c>
      <c r="AF262" s="25">
        <f t="shared" si="157"/>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207.49804426656831</v>
      </c>
      <c r="AD263" s="29">
        <f t="shared" si="156"/>
        <v>1.1315841256324579</v>
      </c>
      <c r="AE263" s="25">
        <f t="shared" si="165"/>
        <v>13.243681724743192</v>
      </c>
      <c r="AF263" s="25">
        <f t="shared" si="157"/>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207.49804426656831</v>
      </c>
      <c r="AD264" s="29">
        <f t="shared" si="156"/>
        <v>1.1315841256324579</v>
      </c>
      <c r="AE264" s="25">
        <f t="shared" si="165"/>
        <v>13.243681724743192</v>
      </c>
      <c r="AF264" s="25">
        <f t="shared" si="157"/>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207.49804426656831</v>
      </c>
      <c r="AD265" s="29">
        <f t="shared" si="156"/>
        <v>1.1315841256324579</v>
      </c>
      <c r="AE265" s="25">
        <f t="shared" si="165"/>
        <v>13.243681724743192</v>
      </c>
      <c r="AF265" s="25">
        <f t="shared" si="157"/>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207.49804426656831</v>
      </c>
      <c r="AD266" s="29">
        <f t="shared" si="156"/>
        <v>1.1315841256324579</v>
      </c>
      <c r="AE266" s="25">
        <f t="shared" si="165"/>
        <v>13.243681724743192</v>
      </c>
      <c r="AF266" s="25">
        <f t="shared" si="157"/>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207.49804426656831</v>
      </c>
      <c r="AD267" s="29">
        <f t="shared" si="156"/>
        <v>1.1315841256324579</v>
      </c>
      <c r="AE267" s="25">
        <f t="shared" si="165"/>
        <v>13.243681724743192</v>
      </c>
      <c r="AF267" s="25">
        <f t="shared" si="157"/>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207.49804426656831</v>
      </c>
      <c r="AD268" s="29">
        <f t="shared" si="156"/>
        <v>1.1315841256324579</v>
      </c>
      <c r="AE268" s="25">
        <f t="shared" si="165"/>
        <v>13.243681724743192</v>
      </c>
      <c r="AF268" s="25">
        <f t="shared" si="157"/>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207.49804426656831</v>
      </c>
      <c r="AD269" s="29">
        <f t="shared" si="156"/>
        <v>1.1315841256324579</v>
      </c>
      <c r="AE269" s="25">
        <f t="shared" si="165"/>
        <v>13.243681724743192</v>
      </c>
      <c r="AF269" s="25">
        <f t="shared" si="157"/>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207.49804426656831</v>
      </c>
      <c r="AD270" s="29">
        <f t="shared" si="156"/>
        <v>1.1315841256324579</v>
      </c>
      <c r="AE270" s="25">
        <f t="shared" si="165"/>
        <v>13.243681724743192</v>
      </c>
      <c r="AF270" s="25">
        <f t="shared" si="157"/>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207.49804426656831</v>
      </c>
      <c r="AD271" s="29">
        <f t="shared" si="156"/>
        <v>1.1315841256324579</v>
      </c>
      <c r="AE271" s="25">
        <f t="shared" si="165"/>
        <v>13.243681724743192</v>
      </c>
      <c r="AF271" s="25">
        <f t="shared" si="157"/>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207.49804426656831</v>
      </c>
      <c r="AD272" s="29">
        <f t="shared" si="156"/>
        <v>1.1315841256324579</v>
      </c>
      <c r="AE272" s="25">
        <f t="shared" si="165"/>
        <v>13.243681724743192</v>
      </c>
      <c r="AF272" s="25">
        <f t="shared" si="157"/>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127.49804426656831</v>
      </c>
      <c r="AD273" s="29">
        <f t="shared" si="156"/>
        <v>1.0808524183153847</v>
      </c>
      <c r="AE273" s="25">
        <f t="shared" si="165"/>
        <v>13.243681724743192</v>
      </c>
      <c r="AF273" s="25">
        <f t="shared" si="157"/>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127.49804426656831</v>
      </c>
      <c r="AD274" s="29">
        <f t="shared" si="156"/>
        <v>1.0808524183153847</v>
      </c>
      <c r="AE274" s="25">
        <f t="shared" si="165"/>
        <v>13.243681724743192</v>
      </c>
      <c r="AF274" s="25">
        <f t="shared" si="157"/>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127.49804426656831</v>
      </c>
      <c r="AD275" s="29">
        <f t="shared" si="156"/>
        <v>1.0808524183153847</v>
      </c>
      <c r="AE275" s="25">
        <f t="shared" si="165"/>
        <v>13.243681724743192</v>
      </c>
      <c r="AF275" s="25">
        <f t="shared" si="157"/>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127.49804426656831</v>
      </c>
      <c r="AD276" s="29">
        <f t="shared" si="156"/>
        <v>1.0808524183153847</v>
      </c>
      <c r="AE276" s="25">
        <f t="shared" si="165"/>
        <v>13.243681724743192</v>
      </c>
      <c r="AF276" s="25">
        <f t="shared" si="157"/>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127.49804426656831</v>
      </c>
      <c r="AD277" s="29">
        <f t="shared" si="156"/>
        <v>1.0808524183153847</v>
      </c>
      <c r="AE277" s="25">
        <f t="shared" si="165"/>
        <v>13.243681724743192</v>
      </c>
      <c r="AF277" s="25">
        <f t="shared" si="157"/>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127.49804426656831</v>
      </c>
      <c r="AD278" s="29">
        <f t="shared" si="156"/>
        <v>1.0808524183153847</v>
      </c>
      <c r="AE278" s="25">
        <f t="shared" si="165"/>
        <v>13.243681724743192</v>
      </c>
      <c r="AF278" s="25">
        <f t="shared" si="157"/>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127.49804426656831</v>
      </c>
      <c r="AD279" s="29">
        <f t="shared" si="156"/>
        <v>1.0808524183153847</v>
      </c>
      <c r="AE279" s="25">
        <f t="shared" si="165"/>
        <v>13.243681724743192</v>
      </c>
      <c r="AF279" s="25">
        <f t="shared" si="157"/>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127.49804426656831</v>
      </c>
      <c r="AD280" s="29">
        <f t="shared" si="156"/>
        <v>1.0808524183153847</v>
      </c>
      <c r="AE280" s="25">
        <f t="shared" si="165"/>
        <v>13.243681724743192</v>
      </c>
      <c r="AF280" s="25">
        <f t="shared" si="157"/>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127.49804426656831</v>
      </c>
      <c r="AD281" s="29">
        <f t="shared" si="156"/>
        <v>1.0808524183153847</v>
      </c>
      <c r="AE281" s="25">
        <f t="shared" si="165"/>
        <v>13.243681724743192</v>
      </c>
      <c r="AF281" s="25">
        <f t="shared" si="157"/>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127.49804426656831</v>
      </c>
      <c r="AD282" s="29">
        <f t="shared" si="156"/>
        <v>1.0808524183153847</v>
      </c>
      <c r="AE282" s="25">
        <f t="shared" si="165"/>
        <v>13.243681724743192</v>
      </c>
      <c r="AF282" s="25">
        <f t="shared" si="157"/>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127.49804426656831</v>
      </c>
      <c r="AD283" s="29">
        <f t="shared" si="156"/>
        <v>1.0808524183153847</v>
      </c>
      <c r="AE283" s="25">
        <f t="shared" si="165"/>
        <v>13.243681724743192</v>
      </c>
      <c r="AF283" s="25">
        <f t="shared" si="157"/>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127.49804426656831</v>
      </c>
      <c r="AD284" s="29">
        <f t="shared" si="156"/>
        <v>1.0808524183153847</v>
      </c>
      <c r="AE284" s="25">
        <f t="shared" si="165"/>
        <v>13.243681724743192</v>
      </c>
      <c r="AF284" s="25">
        <f t="shared" si="157"/>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127.49804426656831</v>
      </c>
      <c r="AD285" s="29">
        <f t="shared" si="156"/>
        <v>1.0808524183153847</v>
      </c>
      <c r="AE285" s="25">
        <f t="shared" si="165"/>
        <v>13.243681724743192</v>
      </c>
      <c r="AF285" s="25">
        <f t="shared" si="157"/>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127.49804426656831</v>
      </c>
      <c r="AD286" s="29">
        <f t="shared" si="156"/>
        <v>1.0808524183153847</v>
      </c>
      <c r="AE286" s="25">
        <f t="shared" si="165"/>
        <v>13.243681724743192</v>
      </c>
      <c r="AF286" s="25">
        <f t="shared" si="157"/>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127.49804426656831</v>
      </c>
      <c r="AD287" s="29">
        <f t="shared" si="156"/>
        <v>1.0808524183153847</v>
      </c>
      <c r="AE287" s="25">
        <f t="shared" si="165"/>
        <v>13.243681724743192</v>
      </c>
      <c r="AF287" s="25">
        <f t="shared" si="157"/>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127.49804426656831</v>
      </c>
      <c r="AD288" s="29">
        <f t="shared" si="156"/>
        <v>1.0808524183153847</v>
      </c>
      <c r="AE288" s="25">
        <f t="shared" si="165"/>
        <v>13.243681724743192</v>
      </c>
      <c r="AF288" s="25">
        <f t="shared" si="157"/>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127.49804426656831</v>
      </c>
      <c r="AD289" s="29">
        <f t="shared" si="156"/>
        <v>1.0808524183153847</v>
      </c>
      <c r="AE289" s="25">
        <f t="shared" si="165"/>
        <v>13.243681724743192</v>
      </c>
      <c r="AF289" s="25">
        <f t="shared" si="157"/>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127.49804426656831</v>
      </c>
      <c r="AD290" s="29">
        <f t="shared" si="156"/>
        <v>1.0808524183153847</v>
      </c>
      <c r="AE290" s="25">
        <f t="shared" si="165"/>
        <v>13.243681724743192</v>
      </c>
      <c r="AF290" s="25">
        <f t="shared" si="157"/>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127.49804426656831</v>
      </c>
      <c r="AD291" s="29">
        <f t="shared" si="156"/>
        <v>1.0808524183153847</v>
      </c>
      <c r="AE291" s="25">
        <f t="shared" si="165"/>
        <v>13.243681724743192</v>
      </c>
      <c r="AF291" s="25">
        <f t="shared" si="157"/>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127.49804426656831</v>
      </c>
      <c r="AD292" s="29">
        <f t="shared" si="156"/>
        <v>1.0808524183153847</v>
      </c>
      <c r="AE292" s="25">
        <f t="shared" si="165"/>
        <v>13.243681724743192</v>
      </c>
      <c r="AF292" s="25">
        <f t="shared" si="157"/>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127.49804426656831</v>
      </c>
      <c r="AD293" s="29">
        <f t="shared" si="156"/>
        <v>1.0808524183153847</v>
      </c>
      <c r="AE293" s="25">
        <f t="shared" si="165"/>
        <v>13.243681724743192</v>
      </c>
      <c r="AF293" s="25">
        <f t="shared" si="157"/>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127.49804426656831</v>
      </c>
      <c r="AD294" s="29">
        <f t="shared" si="156"/>
        <v>1.0808524183153847</v>
      </c>
      <c r="AE294" s="25">
        <f t="shared" si="165"/>
        <v>13.243681724743192</v>
      </c>
      <c r="AF294" s="25">
        <f t="shared" si="157"/>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127.49804426656831</v>
      </c>
      <c r="AD295" s="29">
        <f t="shared" si="156"/>
        <v>1.0808524183153847</v>
      </c>
      <c r="AE295" s="25">
        <f t="shared" si="165"/>
        <v>13.243681724743192</v>
      </c>
      <c r="AF295" s="25">
        <f t="shared" si="157"/>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127.49804426656831</v>
      </c>
      <c r="AD296" s="29">
        <f t="shared" si="156"/>
        <v>1.0808524183153847</v>
      </c>
      <c r="AE296" s="25">
        <f t="shared" si="165"/>
        <v>13.243681724743192</v>
      </c>
      <c r="AF296" s="25">
        <f t="shared" si="157"/>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127.49804426656831</v>
      </c>
      <c r="AD297" s="29">
        <f t="shared" si="156"/>
        <v>1.0808524183153847</v>
      </c>
      <c r="AE297" s="25">
        <f t="shared" si="165"/>
        <v>13.243681724743192</v>
      </c>
      <c r="AF297" s="25">
        <f t="shared" si="157"/>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127.49804426656831</v>
      </c>
      <c r="AD298" s="29">
        <f t="shared" si="156"/>
        <v>1.0808524183153847</v>
      </c>
      <c r="AE298" s="25">
        <f t="shared" si="165"/>
        <v>13.243681724743192</v>
      </c>
      <c r="AF298" s="25">
        <f t="shared" si="157"/>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127.49804426656831</v>
      </c>
      <c r="AD299" s="29">
        <f t="shared" si="156"/>
        <v>1.0808524183153847</v>
      </c>
      <c r="AE299" s="25">
        <f t="shared" si="165"/>
        <v>13.243681724743192</v>
      </c>
      <c r="AF299" s="25">
        <f t="shared" si="157"/>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127.49804426656831</v>
      </c>
      <c r="AD300" s="29">
        <f t="shared" si="156"/>
        <v>1.0808524183153847</v>
      </c>
      <c r="AE300" s="25">
        <f t="shared" si="165"/>
        <v>13.243681724743192</v>
      </c>
      <c r="AF300" s="25">
        <f t="shared" si="157"/>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127.49804426656831</v>
      </c>
      <c r="AD301" s="29">
        <f t="shared" si="156"/>
        <v>1.0808524183153847</v>
      </c>
      <c r="AE301" s="25">
        <f t="shared" si="165"/>
        <v>13.243681724743192</v>
      </c>
      <c r="AF301" s="25">
        <f t="shared" si="157"/>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127.49804426656831</v>
      </c>
      <c r="AD302" s="29">
        <f t="shared" si="156"/>
        <v>1.0808524183153847</v>
      </c>
      <c r="AE302" s="25">
        <f t="shared" si="165"/>
        <v>13.243681724743192</v>
      </c>
      <c r="AF302" s="25">
        <f t="shared" si="157"/>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workbookViewId="0">
      <selection activeCell="AD2" sqref="AD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577"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577"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577"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577"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577"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577"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577"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577"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577"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577"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577"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577"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577"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577"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577"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577"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577"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577"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577"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577"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577"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577"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577"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577"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577"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577"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577"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577"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577"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577"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577"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577"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577"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577"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577"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577"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577"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577"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577"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577"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577"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577"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577"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577"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577"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577"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577"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577"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577"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577"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577"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577"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577"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577"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577"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577"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577"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577"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577"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577"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577"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577"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577"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577"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577"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577"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577"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577"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577"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577"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577"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577"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577"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577"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577"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577"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577"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577"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577"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577"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577"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577"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577"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577"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577"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577"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577"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577"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577"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577"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577"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577"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577"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577"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577"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577"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577"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577"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577"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577"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577"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577"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577"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577"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577"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577">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577"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577"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577"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577"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577"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577"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577"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577"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D2" sqref="AD2"/>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578"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578"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578"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578"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578"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578"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578"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578"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578"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578"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578"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578"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578"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578"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578"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578"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578"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578"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578"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578"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578"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578"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578"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578"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578"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578"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578"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AD2" sqref="AD2"/>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578"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578" t="str">
        <f t="shared" ref="Y3:Y36"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8" si="1">IF(ISNA(INDEX($A$2:$A$36,MATCH(W4,V$2:V$36,0))), "", INDEX($A$2:$A$36,MATCH(W4,V$2:V$36,0)))</f>
        <v>Adamantine Chain of the Unbroken</v>
      </c>
      <c r="Y4" s="1578"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578"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si="1"/>
        <v>Bone Chain Necklace</v>
      </c>
      <c r="Y6" s="1578" t="str">
        <f t="shared" si="0"/>
        <v>Braided Eternium Chain (w/ +28crit)</v>
      </c>
    </row>
    <row r="7" spans="1:25">
      <c r="A7" s="721"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0">
        <f>($D7*dpsStr+$E7*dpsAgi+$G7*dpsCrit+$H7*dpsHit+$F7*dpsAP+$I7*dpsHaste+$J7*dpsArmor+$K7*dpsExp+IF(MID($Q7,1,1)+MID($Q7,3,1)+MID($Q7,5,1)&gt;0,VLOOKUP('Gear &amp; Buffs'!$B$33,GenSocketStats,18,FALSE)+IF(MID($Q7,1,1)+MID($Q7,3,1)+MID($Q7,5,1)&gt;1,VLOOKUP('Gear &amp; Buffs'!$B$34,GenSocketStats,18,FALSE),0),0))-'Gear &amp; Buffs'!$AF$32</f>
        <v>15.398820468810754</v>
      </c>
      <c r="V7" s="220"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Braided Eternium Chain (w/ +28crit)</v>
      </c>
      <c r="Y7" s="1578" t="str">
        <f t="shared" si="0"/>
        <v>Brooch of Deftness</v>
      </c>
    </row>
    <row r="8" spans="1:25">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0">
        <f>($D8*dpsStr+$E8*dpsAgi+$G8*dpsCrit+$H8*dpsHit+$F8*dpsAP+$I8*dpsHaste+$J8*dpsArmor+$K8*dpsExp+IF(MID($Q8,1,1)+MID($Q8,3,1)+MID($Q8,5,1)&gt;0,VLOOKUP('Gear &amp; Buffs'!$B$33,GenSocketStats,18,FALSE)+IF(MID($Q8,1,1)+MID($Q8,3,1)+MID($Q8,5,1)&gt;1,VLOOKUP('Gear &amp; Buffs'!$B$34,GenSocketStats,18,FALSE),0),0))-'Gear &amp; Buffs'!$AF$32</f>
        <v>-92.81024819945651</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Choker of Vile Intent</v>
      </c>
      <c r="Y8" s="1578" t="str">
        <f t="shared" si="0"/>
        <v>Choker of Animalistic Fury</v>
      </c>
    </row>
    <row r="9" spans="1:25">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0">
        <f>($D9*dpsStr+$E9*dpsAgi+$G9*dpsCrit+$H9*dpsHit+$F9*dpsAP+$I9*dpsHaste+$J9*dpsArmor+$K9*dpsExp+IF(MID($Q9,1,1)+MID($Q9,3,1)+MID($Q9,5,1)&gt;0,VLOOKUP('Gear &amp; Buffs'!$B$33,GenSocketStats,18,FALSE)+IF(MID($Q9,1,1)+MID($Q9,3,1)+MID($Q9,5,1)&gt;1,VLOOKUP('Gear &amp; Buffs'!$B$34,GenSocketStats,18,FALSE),0),0))-'Gear &amp; Buffs'!$AF$32</f>
        <v>29.34223803909299</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Earthen Mark of Razing</v>
      </c>
      <c r="Y9" s="1578" t="str">
        <f t="shared" si="0"/>
        <v>Choker of Endless Nightmares</v>
      </c>
    </row>
    <row r="10" spans="1:25">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Haramad's Bargain</v>
      </c>
      <c r="Y10" s="1578" t="str">
        <f t="shared" si="0"/>
        <v>Choker of Serrated Blades</v>
      </c>
    </row>
    <row r="11" spans="1:25">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0">
        <f>($D11*dpsStr+$E11*dpsAgi+$G11*dpsCrit+$H11*dpsHit+$F11*dpsAP+$I11*dpsHaste+$J11*dpsArmor+$K11*dpsExp+IF(MID($Q11,1,1)+MID($Q11,3,1)+MID($Q11,5,1)&gt;0,VLOOKUP('Gear &amp; Buffs'!$B$33,GenSocketStats,18,FALSE)+IF(MID($Q11,1,1)+MID($Q11,3,1)+MID($Q11,5,1)&gt;1,VLOOKUP('Gear &amp; Buffs'!$B$34,GenSocketStats,18,FALSE),0),0))-'Gear &amp; Buffs'!$AF$32</f>
        <v>0</v>
      </c>
      <c r="V11" s="220">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Insignia of the Mag'hari Hero</v>
      </c>
      <c r="Y11" s="1578" t="str">
        <f t="shared" si="0"/>
        <v>Choker of Vile Intent</v>
      </c>
    </row>
    <row r="12" spans="1:25">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0">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Jagged Bark Pendant</v>
      </c>
      <c r="Y12" s="1578" t="str">
        <f t="shared" si="0"/>
        <v>Clutch of Demise</v>
      </c>
    </row>
    <row r="13" spans="1:25">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0">
        <f>($D13*dpsStr+$E13*dpsAgi+$G13*dpsCrit+$H13*dpsHit+$F13*dpsAP+$I13*dpsHaste+$J13*dpsArmor+$K13*dpsExp+IF(MID($Q13,1,1)+MID($Q13,3,1)+MID($Q13,5,1)&gt;0,VLOOKUP('Gear &amp; Buffs'!$B$33,GenSocketStats,18,FALSE)+IF(MID($Q13,1,1)+MID($Q13,3,1)+MID($Q13,5,1)&gt;1,VLOOKUP('Gear &amp; Buffs'!$B$34,GenSocketStats,18,FALSE),0),0))-'Gear &amp; Buffs'!$AF$32</f>
        <v>-33.12977929644444</v>
      </c>
      <c r="V13" s="220">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Natasha's Choker</v>
      </c>
      <c r="Y13" s="1578" t="str">
        <f t="shared" si="0"/>
        <v>Earthen Mark of Razing</v>
      </c>
    </row>
    <row r="14" spans="1:25">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0">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0"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Necklace of Trophies</v>
      </c>
      <c r="Y14" s="1578" t="str">
        <f t="shared" si="0"/>
        <v>Guardian's Pendant of Triumph</v>
      </c>
    </row>
    <row r="15" spans="1:25">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0">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Pendant of Triumph</v>
      </c>
      <c r="Y15" s="1578" t="str">
        <f t="shared" si="0"/>
        <v>Haramad's Bargain</v>
      </c>
    </row>
    <row r="16" spans="1:25">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0">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0"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Prestor's Talisman of Connivery</v>
      </c>
      <c r="Y16" s="1578" t="str">
        <f t="shared" si="0"/>
        <v>Hard Khorium Choker</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0">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0">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Saberclaw Talisman</v>
      </c>
      <c r="Y17" s="1578" t="str">
        <f t="shared" si="0"/>
        <v>Insignia of the Mag'hari Hero</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0">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Talon Lord's Collar</v>
      </c>
      <c r="Y18" s="1578" t="str">
        <f t="shared" si="0"/>
        <v>Jagged Bark Pendant</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0">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Traitor's Noose</v>
      </c>
      <c r="Y19" s="1578" t="str">
        <f t="shared" si="0"/>
        <v>Natasha's Choker</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Worgen Claw Necklace</v>
      </c>
      <c r="Y20" s="1578" t="str">
        <f t="shared" si="0"/>
        <v>Necklace of Trophies</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0">
        <f>($D21*dpsStr+$E21*dpsAgi+$G21*dpsCrit+$H21*dpsHit+$F21*dpsAP+$I21*dpsHaste+$J21*dpsArmor+$K21*dpsExp+IF(MID($Q21,1,1)+MID($Q21,3,1)+MID($Q21,5,1)&gt;0,VLOOKUP('Gear &amp; Buffs'!$B$33,GenSocketStats,18,FALSE)+IF(MID($Q21,1,1)+MID($Q21,3,1)+MID($Q21,5,1)&gt;1,VLOOKUP('Gear &amp; Buffs'!$B$34,GenSocketStats,18,FALSE),0),0))-'Gear &amp; Buffs'!$AF$32</f>
        <v>-86.22186354917585</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(Unmodeled)</v>
      </c>
      <c r="Y21" s="1578" t="str">
        <f t="shared" si="0"/>
        <v>Pendant of Triumph</v>
      </c>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0">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578" t="str">
        <f t="shared" si="0"/>
        <v>Prestor's Talisman of Connivery</v>
      </c>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0">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578" t="str">
        <f t="shared" si="0"/>
        <v>Saberclaw Talisman</v>
      </c>
    </row>
    <row r="24" spans="1:25" s="47" customFormat="1">
      <c r="A24" s="10" t="s">
        <v>2029</v>
      </c>
      <c r="B24" s="116">
        <v>34679</v>
      </c>
      <c r="C24" s="116">
        <v>5</v>
      </c>
      <c r="D24" s="114"/>
      <c r="E24" s="114">
        <v>18</v>
      </c>
      <c r="F24" s="124">
        <f>64+200*itSSPMAup</f>
        <v>105.70726033493017</v>
      </c>
      <c r="G24" s="116"/>
      <c r="H24" s="116"/>
      <c r="I24" s="116"/>
      <c r="J24" s="114"/>
      <c r="K24" s="116"/>
      <c r="L24" s="114">
        <v>19</v>
      </c>
      <c r="M24" s="116"/>
      <c r="N24" s="114"/>
      <c r="O24" s="116"/>
      <c r="P24" s="114"/>
      <c r="Q24" s="114" t="s">
        <v>1033</v>
      </c>
      <c r="R24" s="114"/>
      <c r="S24" s="114" t="s">
        <v>676</v>
      </c>
      <c r="T24" s="116" t="s">
        <v>977</v>
      </c>
      <c r="U24" s="890">
        <f>($D24*dpsStr+$E24*dpsAgi+$G24*dpsCrit+$H24*dpsHit+$F24*dpsAP+$I24*dpsHaste+$J24*dpsArmor+$K24*dpsExp+IF(MID($Q24,1,1)+MID($Q24,3,1)+MID($Q24,5,1)&gt;0,VLOOKUP('Gear &amp; Buffs'!$B$33,GenSocketStats,18,FALSE)+IF(MID($Q24,1,1)+MID($Q24,3,1)+MID($Q24,5,1)&gt;1,VLOOKUP('Gear &amp; Buffs'!$B$34,GenSocketStats,18,FALSE),0),0))-'Gear &amp; Buffs'!$AF$32</f>
        <v>-78.790475164316575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578" t="str">
        <f t="shared" si="0"/>
        <v>Shattered Sun Pendant of Might (Aldor)</v>
      </c>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578" t="str">
        <f t="shared" si="0"/>
        <v>Shattered Sun Pendant of Might (Scryer)</v>
      </c>
    </row>
    <row r="26" spans="1:25">
      <c r="A26" s="10" t="s">
        <v>2486</v>
      </c>
      <c r="B26" s="116">
        <v>34680</v>
      </c>
      <c r="C26" s="116">
        <v>5</v>
      </c>
      <c r="D26" s="114"/>
      <c r="E26" s="114"/>
      <c r="F26" s="114"/>
      <c r="G26" s="116"/>
      <c r="H26" s="116">
        <v>13</v>
      </c>
      <c r="I26" s="116"/>
      <c r="J26" s="114"/>
      <c r="K26" s="116">
        <v>18</v>
      </c>
      <c r="L26" s="114">
        <v>48</v>
      </c>
      <c r="M26" s="124">
        <f>100*itSSPRAup</f>
        <v>20.853630167465081</v>
      </c>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578" t="str">
        <f t="shared" si="0"/>
        <v>Shattered Sun Pendant of Resolve (Aldor)</v>
      </c>
    </row>
    <row r="27" spans="1:25">
      <c r="A27" s="10" t="s">
        <v>2031</v>
      </c>
      <c r="B27" s="116">
        <v>34680</v>
      </c>
      <c r="C27" s="116">
        <v>5</v>
      </c>
      <c r="D27" s="114"/>
      <c r="E27" s="114"/>
      <c r="F27" s="114"/>
      <c r="G27" s="116"/>
      <c r="H27" s="116">
        <v>13</v>
      </c>
      <c r="I27" s="116"/>
      <c r="J27" s="114"/>
      <c r="K27" s="124">
        <f>18+100*itSSPRSup</f>
        <v>38.853630167465084</v>
      </c>
      <c r="L27" s="114">
        <v>48</v>
      </c>
      <c r="M27" s="116"/>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-13.508993071145795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578" t="str">
        <f t="shared" si="0"/>
        <v>Shattered Sun Pendant of Resolve (Scryer)</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0">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578" t="str">
        <f t="shared" si="0"/>
        <v>Sin'dorei Pendant of Triumph</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0">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0">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578" t="str">
        <f t="shared" si="0"/>
        <v>Talon Lord's Collar</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0">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Telonicus's Pendant of Mayhem</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0">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578" t="str">
        <f t="shared" si="0"/>
        <v>The Savage's Choker</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0">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0">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578" t="str">
        <f t="shared" si="0"/>
        <v>Traitor's Noose</v>
      </c>
    </row>
    <row r="33" spans="1:25">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0">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578" t="str">
        <f t="shared" si="0"/>
        <v>Veteran's Pendant of Triumph</v>
      </c>
    </row>
    <row r="34" spans="1:25">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578" t="str">
        <f t="shared" si="0"/>
        <v>Vindicator's Pendant of Triumph</v>
      </c>
    </row>
    <row r="35" spans="1:25">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0">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0">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7">
        <v>32</v>
      </c>
      <c r="X35" s="713" t="str">
        <f t="shared" si="1"/>
        <v/>
      </c>
      <c r="Y35" s="1578" t="str">
        <f t="shared" si="0"/>
        <v>Worgen Claw Necklace</v>
      </c>
    </row>
    <row r="36" spans="1:25">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19">
        <f>'Gear &amp; Buffs'!$S$157</f>
        <v>0</v>
      </c>
      <c r="S36" s="116"/>
      <c r="T36" s="114"/>
      <c r="U36" s="890">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0">
        <f>MAX($V$1:V35)+1</f>
        <v>18</v>
      </c>
      <c r="W36" s="737">
        <v>33</v>
      </c>
      <c r="X36" s="713" t="str">
        <f t="shared" si="1"/>
        <v/>
      </c>
      <c r="Y36" s="1578"/>
    </row>
    <row r="37" spans="1:25">
      <c r="A37" s="126" t="s">
        <v>2207</v>
      </c>
      <c r="B37" s="113"/>
      <c r="C37" s="113"/>
      <c r="D37" s="112"/>
      <c r="E37" s="112"/>
      <c r="F37" s="112"/>
      <c r="G37" s="113"/>
      <c r="H37" s="113"/>
      <c r="I37" s="113"/>
      <c r="J37" s="114"/>
      <c r="K37" s="113"/>
      <c r="L37" s="112"/>
      <c r="M37" s="113"/>
      <c r="N37" s="112"/>
      <c r="O37" s="113"/>
      <c r="P37" s="113"/>
      <c r="Q37" s="114" t="s">
        <v>1033</v>
      </c>
      <c r="R37" s="114"/>
      <c r="S37" s="114"/>
      <c r="T37" s="113"/>
      <c r="U37" s="720"/>
      <c r="V37" s="680"/>
      <c r="W37" s="737">
        <v>34</v>
      </c>
      <c r="X37" s="713" t="str">
        <f t="shared" si="1"/>
        <v/>
      </c>
    </row>
    <row r="38" spans="1:25">
      <c r="R38" s="114"/>
      <c r="S38" s="114"/>
      <c r="T38" s="114"/>
      <c r="V38" s="680"/>
      <c r="W38" s="737">
        <v>35</v>
      </c>
      <c r="X38" s="713" t="str">
        <f t="shared" si="1"/>
        <v/>
      </c>
    </row>
    <row r="39" spans="1:25">
      <c r="R39" s="114"/>
      <c r="S39" s="114"/>
      <c r="T39" s="114"/>
      <c r="W39" s="677"/>
      <c r="X39" s="676"/>
    </row>
    <row r="40" spans="1:25">
      <c r="A40" s="126"/>
      <c r="B40" s="114"/>
      <c r="C40" s="114"/>
      <c r="D40" s="114"/>
      <c r="E40" s="114"/>
      <c r="F40" s="127"/>
      <c r="G40" s="114"/>
      <c r="H40" s="114"/>
      <c r="I40" s="114"/>
      <c r="J40" s="116"/>
      <c r="K40" s="116"/>
      <c r="L40" s="116"/>
      <c r="M40" s="116"/>
      <c r="N40" s="114"/>
      <c r="O40" s="114"/>
      <c r="P40" s="114"/>
      <c r="Q40" s="114"/>
      <c r="R40" s="114"/>
      <c r="S40" s="114"/>
      <c r="T40" s="114"/>
      <c r="V40" s="114"/>
      <c r="W40" s="677"/>
      <c r="X40" s="676"/>
    </row>
    <row r="41" spans="1:25">
      <c r="A41" s="169"/>
      <c r="B41" s="170"/>
      <c r="C41" s="170"/>
      <c r="D41" s="170"/>
      <c r="E41" s="170"/>
      <c r="F41" s="171"/>
      <c r="G41" s="171"/>
      <c r="H41" s="170"/>
      <c r="I41" s="171"/>
      <c r="J41" s="170"/>
      <c r="K41" s="171"/>
      <c r="L41" s="171"/>
      <c r="M41" s="171"/>
      <c r="N41" s="171"/>
      <c r="O41" s="171"/>
      <c r="P41" s="171"/>
      <c r="Q41" s="170"/>
      <c r="R41" s="114"/>
      <c r="S41" s="114"/>
      <c r="T41" s="114"/>
    </row>
    <row r="42" spans="1:25">
      <c r="A42" s="10"/>
      <c r="B42" s="114"/>
      <c r="C42" s="114"/>
      <c r="D42" s="114"/>
      <c r="E42" s="114"/>
      <c r="F42" s="116"/>
      <c r="G42" s="116"/>
      <c r="H42" s="114"/>
      <c r="I42" s="116"/>
      <c r="J42" s="114"/>
      <c r="K42" s="116"/>
      <c r="L42" s="116"/>
      <c r="M42" s="116"/>
      <c r="N42" s="116"/>
      <c r="O42" s="116"/>
      <c r="P42" s="114"/>
      <c r="Q42" s="114"/>
      <c r="R42" s="114"/>
      <c r="S42" s="114"/>
      <c r="T42" s="114"/>
    </row>
    <row r="43" spans="1:25">
      <c r="F43" s="171"/>
      <c r="G43" s="171"/>
      <c r="H43" s="170"/>
      <c r="I43" s="171"/>
      <c r="J43" s="170"/>
      <c r="K43" s="171"/>
      <c r="L43" s="171"/>
      <c r="M43" s="171"/>
      <c r="N43" s="171"/>
      <c r="O43" s="171"/>
      <c r="P43" s="170"/>
      <c r="Q43" s="170"/>
    </row>
    <row r="44" spans="1:25">
      <c r="F44" s="171"/>
      <c r="G44" s="171"/>
      <c r="H44" s="170"/>
      <c r="I44" s="171"/>
      <c r="J44" s="170"/>
      <c r="K44" s="171"/>
      <c r="L44" s="171"/>
      <c r="M44" s="171"/>
      <c r="N44" s="171"/>
      <c r="O44" s="171"/>
      <c r="P44" s="170"/>
      <c r="Q44" s="170"/>
    </row>
    <row r="45" spans="1:25">
      <c r="A45" s="6"/>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1"/>
      <c r="Q47" s="170"/>
    </row>
    <row r="48" spans="1:25">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AD2" sqref="AD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578"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578" t="str">
        <f t="shared" ref="Y3:Y30"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578"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578"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578"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578"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578"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578"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578"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578"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578"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578"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578"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578"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578"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578"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578"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578"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578"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578"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578"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578"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578"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578"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578"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578"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578"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578"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578"/>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AD2" sqref="AD2"/>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578"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578"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578"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578"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578"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578"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578"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578"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578"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578"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578"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578"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578"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578"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578"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578"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578"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578"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578"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578"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578"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578"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578" t="str">
        <f t="shared" si="0"/>
        <v>Farstrider Wildercloak</v>
      </c>
    </row>
    <row r="25" spans="1:25">
      <c r="A25" s="676" t="s">
        <v>1616</v>
      </c>
      <c r="B25" s="677">
        <v>28371</v>
      </c>
      <c r="C25" s="677">
        <v>1</v>
      </c>
      <c r="D25" s="677">
        <v>19</v>
      </c>
      <c r="E25" s="677">
        <v>19</v>
      </c>
      <c r="F25" s="677"/>
      <c r="G25" s="677">
        <v>21</v>
      </c>
      <c r="H25" s="677"/>
      <c r="I25" s="677"/>
      <c r="J25" s="677"/>
      <c r="K25" s="677"/>
      <c r="L25" s="677"/>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578"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578"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578"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578"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578"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578"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578"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578"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578"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578"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AD2" sqref="AD2"/>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578"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578"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578"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578"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578"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578"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578"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673</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578"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578"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578"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578"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578"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Protectorate Assassin's Tunic</v>
      </c>
      <c r="Y14" s="1578"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Terrorweave Tunic</v>
      </c>
      <c r="Y15" s="1578"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Tunic of Assassination</v>
      </c>
      <c r="Y16" s="1578"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Vest of Vengeance</v>
      </c>
      <c r="Y17" s="1578"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Tunic</v>
      </c>
      <c r="Y18" s="1578"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(Unmodeled)</v>
      </c>
      <c r="Y19" s="1578"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
      </c>
      <c r="Y20" s="1578"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
      </c>
      <c r="Y21" s="1578"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578"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578"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11</v>
      </c>
      <c r="W24" s="737">
        <v>21</v>
      </c>
      <c r="X24" s="713" t="str">
        <f t="shared" si="1"/>
        <v/>
      </c>
      <c r="Y24" s="1578"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578"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578"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578"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12</v>
      </c>
      <c r="W28" s="737">
        <v>25</v>
      </c>
      <c r="X28" s="713" t="str">
        <f t="shared" si="1"/>
        <v/>
      </c>
      <c r="Y28" s="1578"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7">
        <v>26</v>
      </c>
      <c r="X29" s="713" t="str">
        <f t="shared" si="1"/>
        <v/>
      </c>
      <c r="Y29" s="1578"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578"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14</v>
      </c>
      <c r="W32" s="737">
        <v>29</v>
      </c>
      <c r="X32" s="713" t="str">
        <f t="shared" si="1"/>
        <v/>
      </c>
      <c r="Y32" s="1578"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578"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15</v>
      </c>
      <c r="W34" s="737">
        <v>31</v>
      </c>
      <c r="X34" s="713" t="str">
        <f t="shared" si="1"/>
        <v/>
      </c>
      <c r="Y34" s="1578"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16</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2" sqref="AD2"/>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578"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578"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578"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578"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578"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578"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578"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578"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578"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578"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Ravager's Wrist-Wraps of the Bandit</v>
      </c>
      <c r="AE12" s="1578"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Shackles of Quagmirran</v>
      </c>
      <c r="AE13" s="1578"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Spymistress's Wristguards</v>
      </c>
      <c r="AE14" s="1578"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Windrager's Coils</v>
      </c>
      <c r="AE15" s="1578"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7">
        <v>13</v>
      </c>
      <c r="AD16" s="713" t="str">
        <f t="shared" si="1"/>
        <v>(Unmodeled)</v>
      </c>
      <c r="AE16" s="1578"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7">
        <v>14</v>
      </c>
      <c r="AD17" s="713" t="str">
        <f t="shared" si="1"/>
        <v/>
      </c>
      <c r="AE17" s="1578"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7">
        <v>15</v>
      </c>
      <c r="AD18" s="713" t="str">
        <f t="shared" si="1"/>
        <v/>
      </c>
      <c r="AE18" s="1578"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578"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578"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7">
        <v>18</v>
      </c>
      <c r="AD21" s="713" t="str">
        <f t="shared" si="1"/>
        <v/>
      </c>
      <c r="AE21" s="1578"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578"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578"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578"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578"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578"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12</v>
      </c>
      <c r="AC27" s="737">
        <v>24</v>
      </c>
      <c r="AD27" s="713" t="str">
        <f t="shared" si="1"/>
        <v/>
      </c>
      <c r="AE27" s="1578"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13</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D2" sqref="AD2"/>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578"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578"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578"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578"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578"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578"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578"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578"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578"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578"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578"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578"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578"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578"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578"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578"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578"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578"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578"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578"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578"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578"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578"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578"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578"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578"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578"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578"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578"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578"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578"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578"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578"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AD2" sqref="AD2"/>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579"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579"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579"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579"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579"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579"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579"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579"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579"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579"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579"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579"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579"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579"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579"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579"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579"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579"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579"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Sash of Silent Blades</v>
      </c>
      <c r="Y21" s="1579"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Shifting Sash of Midnight</v>
      </c>
      <c r="Y22" s="1579"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Socrethar's Girdle</v>
      </c>
      <c r="Y23" s="1579"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Tree Warden's Belt</v>
      </c>
      <c r="Y24" s="1579"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(Unmodeled)</v>
      </c>
      <c r="Y25" s="1579"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21</v>
      </c>
      <c r="X26" s="713" t="str">
        <f t="shared" si="1"/>
        <v/>
      </c>
      <c r="Y26" s="1579"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22</v>
      </c>
      <c r="X27" s="713" t="str">
        <f t="shared" si="1"/>
        <v/>
      </c>
      <c r="Y27" s="1579"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579"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24</v>
      </c>
      <c r="X29" s="713" t="str">
        <f t="shared" si="1"/>
        <v/>
      </c>
      <c r="Y29" s="1579"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579"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26</v>
      </c>
      <c r="X31" s="713" t="str">
        <f t="shared" si="1"/>
        <v/>
      </c>
      <c r="Y31" s="1579"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19</v>
      </c>
      <c r="W32" s="737">
        <v>27</v>
      </c>
      <c r="X32" s="713" t="str">
        <f t="shared" si="1"/>
        <v/>
      </c>
      <c r="Y32" s="1579"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579"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579"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579"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579"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20</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10" workbookViewId="0">
      <selection activeCell="AD2" sqref="AD2"/>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578"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578"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578"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578"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578"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578"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578"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578"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578"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578"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578"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578"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578"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578"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578"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578"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578"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578"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578"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578"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578"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578"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578"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578"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578"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578"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578"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578"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578"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578"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578"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578"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578"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D2" sqref="AD2"/>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578"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578"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578"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578"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578"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578"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578"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578"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578"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578"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578"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578"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578"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578"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578"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578"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578"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578"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578"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578"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578"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578"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578"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578"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578"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578"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578"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578"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578"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578"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25" workbookViewId="0">
      <selection activeCell="AD2" sqref="AD2"/>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579"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579"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579"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579"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579"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579"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579"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579"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579"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579"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579"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579" t="str">
        <f t="shared" si="0"/>
        <v>Band of Ruinous Delight</v>
      </c>
      <c r="AA13" s="47"/>
    </row>
    <row r="14" spans="1:27">
      <c r="A14" s="10" t="s">
        <v>1921</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579"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579"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579"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579"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579"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579"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579"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579"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579"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579"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579"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Overseer</v>
      </c>
      <c r="Z25" s="1579"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Recalcitrant</v>
      </c>
      <c r="Z26" s="1579"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the Shadow Deeps</v>
      </c>
      <c r="Z27" s="1579"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Ring of Umbral Doom</v>
      </c>
      <c r="Z28" s="1579"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Shaffar's Band of Brutality</v>
      </c>
      <c r="Z29" s="1579"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Shapeshifter's Signet</v>
      </c>
      <c r="Z30" s="1579"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Signet Ring of the Bronze Dragonflight</v>
      </c>
      <c r="Z31" s="1579"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Slayer's Mark of the Redemption</v>
      </c>
      <c r="Z32" s="1579"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Truestrike Ring</v>
      </c>
      <c r="Z33" s="1579"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(Friendly)</v>
      </c>
      <c r="Z34" s="1579"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(Honored)</v>
      </c>
      <c r="Z35" s="1579"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(Revered)</v>
      </c>
      <c r="Z36" s="1579" t="str">
        <f t="shared" si="0"/>
        <v>Ring of Reciprocity</v>
      </c>
      <c r="AA36" s="47"/>
    </row>
    <row r="37" spans="1:27">
      <c r="A37" s="130" t="s">
        <v>2285</v>
      </c>
      <c r="B37" s="116">
        <v>32942</v>
      </c>
      <c r="C37" s="116">
        <v>1</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22</v>
      </c>
      <c r="X37" s="737">
        <v>34</v>
      </c>
      <c r="Y37" s="713" t="str">
        <f t="shared" si="1"/>
        <v>Violet Signet of the Master Assassin</v>
      </c>
      <c r="Z37" s="1579"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675</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23</v>
      </c>
      <c r="X38" s="737">
        <v>35</v>
      </c>
      <c r="Y38" s="713" t="str">
        <f t="shared" si="1"/>
        <v>(Unmodeled)</v>
      </c>
      <c r="Z38" s="1579"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24</v>
      </c>
      <c r="X39" s="737">
        <v>36</v>
      </c>
      <c r="Y39" s="713" t="str">
        <f t="shared" si="1"/>
        <v>(Unmodeled 2)</v>
      </c>
      <c r="Z39" s="1579"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25</v>
      </c>
      <c r="X40" s="737">
        <v>37</v>
      </c>
      <c r="Y40" s="713" t="str">
        <f t="shared" si="1"/>
        <v/>
      </c>
      <c r="Z40" s="1579"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26</v>
      </c>
      <c r="X41" s="737">
        <v>38</v>
      </c>
      <c r="Y41" s="713" t="str">
        <f t="shared" si="1"/>
        <v/>
      </c>
      <c r="Z41" s="1579"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27</v>
      </c>
      <c r="X42" s="737">
        <v>39</v>
      </c>
      <c r="Y42" s="713" t="str">
        <f t="shared" si="1"/>
        <v/>
      </c>
      <c r="Z42" s="1579"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579"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28</v>
      </c>
      <c r="X44" s="737">
        <v>41</v>
      </c>
      <c r="Y44" s="713" t="str">
        <f t="shared" si="1"/>
        <v/>
      </c>
      <c r="Z44" s="1579"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579"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29</v>
      </c>
      <c r="X46" s="737">
        <v>43</v>
      </c>
      <c r="Y46" s="713" t="str">
        <f t="shared" si="1"/>
        <v/>
      </c>
      <c r="Z46" s="1579"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579"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30</v>
      </c>
      <c r="X48" s="737">
        <v>45</v>
      </c>
      <c r="Y48" s="713" t="str">
        <f t="shared" si="1"/>
        <v/>
      </c>
      <c r="Z48" s="1579"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579"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579"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579"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31</v>
      </c>
      <c r="X52" s="737">
        <v>49</v>
      </c>
      <c r="Y52" s="713" t="str">
        <f t="shared" si="1"/>
        <v/>
      </c>
      <c r="Z52" s="1579"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32</v>
      </c>
      <c r="X53" s="737">
        <v>50</v>
      </c>
      <c r="Y53" s="713" t="str">
        <f t="shared" si="1"/>
        <v/>
      </c>
      <c r="Z53" s="1579"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33</v>
      </c>
      <c r="X54" s="737">
        <v>51</v>
      </c>
      <c r="Y54" s="713" t="str">
        <f t="shared" si="1"/>
        <v/>
      </c>
      <c r="Z54" s="1579"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34</v>
      </c>
      <c r="X55" s="737">
        <v>52</v>
      </c>
      <c r="Y55" s="713" t="str">
        <f t="shared" si="1"/>
        <v/>
      </c>
      <c r="Z55" s="1579"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35</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36</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7">
        <v>1</v>
      </c>
      <c r="Y62" s="751" t="str">
        <f>IF(ISNA(INDEX($A$61:$A$62,MATCH(X62,W$61:W$62,0))), "", INDEX($A$61:$A$62,MATCH(X62,W$61:W$62,0)))</f>
        <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578"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578"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578"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578" t="str">
        <f t="shared" si="0"/>
        <v>Assassin's Alchemist Stone</v>
      </c>
      <c r="AE5" s="851"/>
      <c r="AF5" s="852" t="s">
        <v>2851</v>
      </c>
      <c r="AG5" s="853">
        <f>Optimize!C54</f>
        <v>0.33374978855287174</v>
      </c>
      <c r="AH5" s="853">
        <f>IF(AI5*AG5&gt;0, AI5*AG5, 1)</f>
        <v>22.60196166079864</v>
      </c>
      <c r="AI5" s="853">
        <f>Optimize!C55</f>
        <v>67.721276345372416</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578"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578" t="str">
        <f t="shared" si="0"/>
        <v>Badge of the Swarmguard</v>
      </c>
      <c r="AE7" s="851" t="s">
        <v>2857</v>
      </c>
      <c r="AF7" s="854">
        <f>30/BotSprocs</f>
        <v>1.3273184182075968</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578" t="str">
        <f t="shared" si="0"/>
        <v>Berserker's Call</v>
      </c>
      <c r="AE8" s="851" t="s">
        <v>1274</v>
      </c>
      <c r="AF8" s="854">
        <f>30/(1+BotSprocs/(1-EXP(-BotSprocs)))</f>
        <v>1.2710807867059044</v>
      </c>
      <c r="AG8" s="854">
        <f>(1-EXP(-$AI$5*BotSrate))</f>
        <v>0.99999999984721077</v>
      </c>
      <c r="AH8" s="854">
        <v>30</v>
      </c>
      <c r="AI8" s="854">
        <f>AG7-AG8</f>
        <v>1.5278922571582143E-10</v>
      </c>
      <c r="AJ8" s="851">
        <v>1</v>
      </c>
    </row>
    <row r="9" spans="1:36" ht="12" customHeight="1">
      <c r="A9" s="10" t="s">
        <v>990</v>
      </c>
      <c r="B9" s="116">
        <v>34427</v>
      </c>
      <c r="C9" s="116">
        <v>5</v>
      </c>
      <c r="D9" s="114"/>
      <c r="E9" s="114"/>
      <c r="F9" s="115">
        <f>Optimize!C28*Optimize!C29</f>
        <v>161.37802140020659</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578" t="str">
        <f t="shared" si="0"/>
        <v>Blackened Naaru Sliver</v>
      </c>
      <c r="AE9" s="851" t="s">
        <v>1277</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578" t="str">
        <f t="shared" si="0"/>
        <v>Bladefist's Breadth</v>
      </c>
      <c r="AE10" s="851" t="s">
        <v>1280</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Hand of Justice</v>
      </c>
      <c r="AC11" s="1578" t="str">
        <f t="shared" si="0"/>
        <v>Bloodlust Brooch</v>
      </c>
      <c r="AE11" s="851" t="s">
        <v>1282</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Hourglass of the Unraveller</v>
      </c>
      <c r="AC12" s="1578" t="str">
        <f t="shared" si="0"/>
        <v>Core of Ar'kelos</v>
      </c>
      <c r="AE12" s="851" t="s">
        <v>1284</v>
      </c>
      <c r="AF12" s="854">
        <f>30/(1+BotSprocs/(1-EXP(-BotSprocs)))</f>
        <v>1.2710807867059044</v>
      </c>
      <c r="AG12" s="854">
        <f>(1-EXP(-$AI$5*BotSrate))^5</f>
        <v>0.99999999923605387</v>
      </c>
      <c r="AH12" s="854">
        <v>30</v>
      </c>
      <c r="AI12" s="854">
        <f>AG11-AG12</f>
        <v>1.5278922571582143E-10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Icon of Unyielding Courage</v>
      </c>
      <c r="AC13" s="1578" t="str">
        <f t="shared" si="0"/>
        <v>Crystalforged Trinket</v>
      </c>
      <c r="AE13" s="851" t="s">
        <v>2858</v>
      </c>
      <c r="AF13" s="854">
        <f>MIN(AF12/EXP(-AI5*BotSrate),IF(time=0,30,MIN(30,time))-SUMPRODUCT(AF7:AF12,AG7:AG12))</f>
        <v>22.317277651175992</v>
      </c>
      <c r="AG13" s="854">
        <f>(1-EXP(-$AI$5*BotSrate))^6</f>
        <v>0.99999999908326465</v>
      </c>
      <c r="AH13" s="854">
        <v>0</v>
      </c>
      <c r="AI13" s="854">
        <v>0</v>
      </c>
      <c r="AJ13" s="851">
        <v>6</v>
      </c>
    </row>
    <row r="14" spans="1:36" ht="12" customHeight="1">
      <c r="A14" s="126" t="s">
        <v>1657</v>
      </c>
      <c r="B14" s="116">
        <v>31856</v>
      </c>
      <c r="C14" s="116">
        <v>2</v>
      </c>
      <c r="D14" s="114"/>
      <c r="E14" s="114"/>
      <c r="F14" s="115">
        <f>itDMCCap</f>
        <v>118.4203190369889</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Jom Gabbar</v>
      </c>
      <c r="AC14" s="1578"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Kiss of the Spider</v>
      </c>
      <c r="AC15" s="1578"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1938</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Mark of the Champion</v>
      </c>
      <c r="AC16" s="1578" t="str">
        <f t="shared" si="0"/>
        <v>Dragonspine Trophy</v>
      </c>
      <c r="AE16" s="851"/>
      <c r="AF16" s="854"/>
      <c r="AG16" s="854">
        <f>(AF15+AH15)/(AF14+AH14)</f>
        <v>5.0989959210141285</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Ogre Mauler's Badge</v>
      </c>
      <c r="AC17" s="1578"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Romulo's Poison Vial</v>
      </c>
      <c r="AC18" s="1578"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7">
        <v>16</v>
      </c>
      <c r="AB19" s="713" t="str">
        <f t="shared" si="1"/>
        <v>Seal of the Dawn</v>
      </c>
      <c r="AC19" s="1578"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Slayer's Crest</v>
      </c>
      <c r="AC20" s="1578"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8</v>
      </c>
      <c r="AA21" s="737">
        <v>18</v>
      </c>
      <c r="AB21" s="713" t="str">
        <f t="shared" si="1"/>
        <v>Terokkar Tablet of Precision</v>
      </c>
      <c r="AC21" s="1578"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9</v>
      </c>
      <c r="AA22" s="737">
        <v>19</v>
      </c>
      <c r="AB22" s="713" t="str">
        <f t="shared" si="1"/>
        <v>Uniting Charm</v>
      </c>
      <c r="AC22" s="1578"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10</v>
      </c>
      <c r="AA23" s="737">
        <v>20</v>
      </c>
      <c r="AB23" s="713" t="str">
        <f t="shared" si="1"/>
        <v>(Unmodeled)</v>
      </c>
      <c r="AC23" s="1578" t="str">
        <f t="shared" si="0"/>
        <v>Icon of Unyielding Courage</v>
      </c>
      <c r="AE23" s="796"/>
      <c r="AF23" s="1318"/>
      <c r="AG23" s="1318">
        <f t="shared" ref="AG23:AZ23" si="2">POWER((1-$AF$24),AG22)</f>
        <v>0.77888830774793893</v>
      </c>
      <c r="AH23" s="1318">
        <f t="shared" si="2"/>
        <v>0.60666699594644802</v>
      </c>
      <c r="AI23" s="1318">
        <f t="shared" si="2"/>
        <v>0.47252582983925462</v>
      </c>
      <c r="AJ23" s="1318">
        <f t="shared" si="2"/>
        <v>0.3680448439706876</v>
      </c>
      <c r="AK23" s="1318">
        <f t="shared" si="2"/>
        <v>0.28666582569568311</v>
      </c>
      <c r="AL23" s="1318">
        <f t="shared" si="2"/>
        <v>0.22328065986527623</v>
      </c>
      <c r="AM23" s="1318">
        <f t="shared" si="2"/>
        <v>0.17391069531530814</v>
      </c>
      <c r="AN23" s="1318">
        <f t="shared" si="2"/>
        <v>0.13545700717340778</v>
      </c>
      <c r="AO23" s="1318">
        <f t="shared" si="2"/>
        <v>0.105505879089896</v>
      </c>
      <c r="AP23" s="1318">
        <f t="shared" si="2"/>
        <v>8.2177295621787758E-2</v>
      </c>
      <c r="AQ23" s="1318">
        <f t="shared" si="2"/>
        <v>6.4006934722156378E-2</v>
      </c>
      <c r="AR23" s="1318">
        <f t="shared" si="2"/>
        <v>4.9854253069873178E-2</v>
      </c>
      <c r="AS23" s="1318">
        <f t="shared" si="2"/>
        <v>3.8830894807631008E-2</v>
      </c>
      <c r="AT23" s="1318">
        <f t="shared" si="2"/>
        <v>3.0244929945053945E-2</v>
      </c>
      <c r="AU23" s="1318">
        <f t="shared" si="2"/>
        <v>2.3557422302858028E-2</v>
      </c>
      <c r="AV23" s="1318">
        <f t="shared" si="2"/>
        <v>1.8348600792376647E-2</v>
      </c>
      <c r="AW23" s="1318">
        <f t="shared" si="2"/>
        <v>1.4291510620716737E-2</v>
      </c>
      <c r="AX23" s="1318">
        <f t="shared" si="2"/>
        <v>1.1131490522531757E-2</v>
      </c>
      <c r="AY23" s="1318">
        <f t="shared" si="2"/>
        <v>8.6701878158069803E-3</v>
      </c>
      <c r="AZ23" s="1318">
        <f t="shared" si="2"/>
        <v>6.7531079157106978E-3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11</v>
      </c>
      <c r="AA24" s="737">
        <v>21</v>
      </c>
      <c r="AB24" s="713" t="str">
        <f t="shared" si="1"/>
        <v>(Unmodeled 2)</v>
      </c>
      <c r="AC24" s="1578" t="str">
        <f t="shared" si="0"/>
        <v>Jom Gabbar</v>
      </c>
      <c r="AE24" s="796" t="s">
        <v>916</v>
      </c>
      <c r="AF24" s="1318">
        <f>(('Gear &amp; Buffs'!E143/agicrit+'Gear &amp; Buffs'!G143/crrate)/100)+(CharLevel-BossLevel)*bosscrit*5-IF(BossLevel*5-CharLevel*5&gt;10, 1.8%, 0)</f>
        <v>0.22111169225206101</v>
      </c>
      <c r="AG24" s="1318">
        <f t="shared" ref="AG24:AZ24" si="3">AF24+17/crrate/100</f>
        <v>0.22881204068411676</v>
      </c>
      <c r="AH24" s="1318">
        <f t="shared" si="3"/>
        <v>0.23651238911617251</v>
      </c>
      <c r="AI24" s="1318">
        <f t="shared" si="3"/>
        <v>0.24421273754822825</v>
      </c>
      <c r="AJ24" s="1318">
        <f t="shared" si="3"/>
        <v>0.251913085980284</v>
      </c>
      <c r="AK24" s="1318">
        <f t="shared" si="3"/>
        <v>0.25961343441233975</v>
      </c>
      <c r="AL24" s="1318">
        <f t="shared" si="3"/>
        <v>0.2673137828443955</v>
      </c>
      <c r="AM24" s="1318">
        <f t="shared" si="3"/>
        <v>0.27501413127645125</v>
      </c>
      <c r="AN24" s="1318">
        <f t="shared" si="3"/>
        <v>0.28271447970850699</v>
      </c>
      <c r="AO24" s="1318">
        <f t="shared" si="3"/>
        <v>0.29041482814056274</v>
      </c>
      <c r="AP24" s="1318">
        <f t="shared" si="3"/>
        <v>0.29811517657261849</v>
      </c>
      <c r="AQ24" s="1318">
        <f t="shared" si="3"/>
        <v>0.30581552500467424</v>
      </c>
      <c r="AR24" s="1318">
        <f t="shared" si="3"/>
        <v>0.31351587343672999</v>
      </c>
      <c r="AS24" s="1318">
        <f t="shared" si="3"/>
        <v>0.32121622186878573</v>
      </c>
      <c r="AT24" s="1318">
        <f t="shared" si="3"/>
        <v>0.32891657030084148</v>
      </c>
      <c r="AU24" s="1318">
        <f t="shared" si="3"/>
        <v>0.33661691873289723</v>
      </c>
      <c r="AV24" s="1318">
        <f t="shared" si="3"/>
        <v>0.34431726716495298</v>
      </c>
      <c r="AW24" s="1318">
        <f t="shared" si="3"/>
        <v>0.35201761559700873</v>
      </c>
      <c r="AX24" s="1318">
        <f t="shared" si="3"/>
        <v>0.35971796402906447</v>
      </c>
      <c r="AY24" s="1318">
        <f t="shared" si="3"/>
        <v>0.36741831246112022</v>
      </c>
      <c r="AZ24" s="1318">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12</v>
      </c>
      <c r="AA25" s="737">
        <v>22</v>
      </c>
      <c r="AB25" s="713" t="str">
        <f t="shared" si="1"/>
        <v/>
      </c>
      <c r="AC25" s="1578" t="str">
        <f t="shared" si="0"/>
        <v>Kiss of the Spider</v>
      </c>
      <c r="AE25" s="796"/>
      <c r="AF25" s="1319">
        <f>1-AF24</f>
        <v>0.77888830774793893</v>
      </c>
      <c r="AG25" s="1319">
        <f t="shared" ref="AG25:AZ25" si="4">AF25*(1-AG24)</f>
        <v>0.60066928458713464</v>
      </c>
      <c r="AH25" s="1319">
        <f t="shared" si="4"/>
        <v>0.4586035570207293</v>
      </c>
      <c r="AI25" s="1319">
        <f t="shared" si="4"/>
        <v>0.34660672691134203</v>
      </c>
      <c r="AJ25" s="1319">
        <f t="shared" si="4"/>
        <v>0.2592919567135803</v>
      </c>
      <c r="AK25" s="1319">
        <f t="shared" si="4"/>
        <v>0.19197628131567199</v>
      </c>
      <c r="AL25" s="1319">
        <f t="shared" si="4"/>
        <v>0.14065837534077988</v>
      </c>
      <c r="AM25" s="1319">
        <f t="shared" si="4"/>
        <v>0.10197533443967829</v>
      </c>
      <c r="AN25" s="1319">
        <f t="shared" si="4"/>
        <v>7.3145430820463639E-2</v>
      </c>
      <c r="AO25" s="1319">
        <f t="shared" si="4"/>
        <v>5.1902913099471273E-2</v>
      </c>
      <c r="AP25" s="1319">
        <f t="shared" si="4"/>
        <v>3.6429866996189122E-2</v>
      </c>
      <c r="AQ25" s="1319">
        <f t="shared" si="4"/>
        <v>2.528904809489909E-2</v>
      </c>
      <c r="AR25" s="1319">
        <f t="shared" si="4"/>
        <v>1.7360530093043329E-2</v>
      </c>
      <c r="AS25" s="1319">
        <f t="shared" si="4"/>
        <v>1.1784046206916591E-2</v>
      </c>
      <c r="AT25" s="1319">
        <f t="shared" si="4"/>
        <v>7.9080781442709466E-3</v>
      </c>
      <c r="AU25" s="1319">
        <f t="shared" si="4"/>
        <v>5.2460852462474922E-3</v>
      </c>
      <c r="AV25" s="1319">
        <f t="shared" si="4"/>
        <v>3.4397675109451762E-3</v>
      </c>
      <c r="AW25" s="1319">
        <f t="shared" si="4"/>
        <v>2.2289087535341976E-3</v>
      </c>
      <c r="AX25" s="1319">
        <f t="shared" si="4"/>
        <v>1.4271302347063164E-3</v>
      </c>
      <c r="AY25" s="1319">
        <f t="shared" si="4"/>
        <v>9.0277645220827917E-4</v>
      </c>
      <c r="AZ25" s="1319">
        <f t="shared" si="4"/>
        <v>5.6412815837001719E-4</v>
      </c>
      <c r="BA25" s="1319"/>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578" t="str">
        <f t="shared" si="0"/>
        <v>Madness of the Betrayer</v>
      </c>
      <c r="AE26" s="796"/>
      <c r="AF26" s="47"/>
      <c r="AG26" s="1319">
        <f t="shared" ref="AG26:AZ26" si="5">AF25*AG24</f>
        <v>0.17821902316080426</v>
      </c>
      <c r="AH26" s="1319">
        <f t="shared" si="5"/>
        <v>0.14206572756640534</v>
      </c>
      <c r="AI26" s="1319">
        <f t="shared" si="5"/>
        <v>0.1119968301093873</v>
      </c>
      <c r="AJ26" s="1319">
        <f t="shared" si="5"/>
        <v>8.7314770197761724E-2</v>
      </c>
      <c r="AK26" s="1319">
        <f t="shared" si="5"/>
        <v>6.7315675397908309E-2</v>
      </c>
      <c r="AL26" s="1319">
        <f t="shared" si="5"/>
        <v>5.1317905974892122E-2</v>
      </c>
      <c r="AM26" s="1319">
        <f t="shared" si="5"/>
        <v>3.8683040901101591E-2</v>
      </c>
      <c r="AN26" s="1319">
        <f t="shared" si="5"/>
        <v>2.8829903619214645E-2</v>
      </c>
      <c r="AO26" s="1319">
        <f t="shared" si="5"/>
        <v>2.1242517720992369E-2</v>
      </c>
      <c r="AP26" s="1319">
        <f t="shared" si="5"/>
        <v>1.5473046103282153E-2</v>
      </c>
      <c r="AQ26" s="1319">
        <f t="shared" si="5"/>
        <v>1.1140818901290031E-2</v>
      </c>
      <c r="AR26" s="1319">
        <f t="shared" si="5"/>
        <v>7.9285180018557611E-3</v>
      </c>
      <c r="AS26" s="1319">
        <f t="shared" si="5"/>
        <v>5.5764838861267372E-3</v>
      </c>
      <c r="AT26" s="1319">
        <f t="shared" si="5"/>
        <v>3.8759680626456452E-3</v>
      </c>
      <c r="AU26" s="1319">
        <f t="shared" si="5"/>
        <v>2.661992898023454E-3</v>
      </c>
      <c r="AV26" s="1319">
        <f t="shared" si="5"/>
        <v>1.806317735302316E-3</v>
      </c>
      <c r="AW26" s="1319">
        <f t="shared" si="5"/>
        <v>1.2108587574109785E-3</v>
      </c>
      <c r="AX26" s="1319">
        <f t="shared" si="5"/>
        <v>8.0177851882788143E-4</v>
      </c>
      <c r="AY26" s="1319">
        <f t="shared" si="5"/>
        <v>5.2435378249803726E-4</v>
      </c>
      <c r="AZ26" s="1319">
        <f t="shared" si="5"/>
        <v>3.3864829383826198E-4</v>
      </c>
      <c r="BA26" s="1319">
        <f>SUM(AG26:AZ26)+AF24</f>
        <v>0.99943587184163007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13</v>
      </c>
      <c r="AA27" s="737">
        <v>24</v>
      </c>
      <c r="AB27" s="713" t="str">
        <f t="shared" si="1"/>
        <v/>
      </c>
      <c r="AC27" s="1578"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14</v>
      </c>
      <c r="AA28" s="737">
        <v>25</v>
      </c>
      <c r="AB28" s="713" t="str">
        <f t="shared" si="1"/>
        <v/>
      </c>
      <c r="AC28" s="1578" t="str">
        <f t="shared" si="0"/>
        <v>Ogre Mauler's Badge</v>
      </c>
      <c r="AE28" s="796" t="s">
        <v>917</v>
      </c>
      <c r="AF28" s="1321">
        <f>SUM(AG28:AZ28)</f>
        <v>52.775681323559951</v>
      </c>
      <c r="AG28" s="1322">
        <f t="shared" ref="AG28:AZ28" si="7">AG27*AG26</f>
        <v>3.0297233937336725</v>
      </c>
      <c r="AH28" s="1322">
        <f t="shared" si="7"/>
        <v>4.8302347372577819</v>
      </c>
      <c r="AI28" s="1322">
        <f t="shared" si="7"/>
        <v>5.7118383355787525</v>
      </c>
      <c r="AJ28" s="1322">
        <f t="shared" si="7"/>
        <v>5.937404373447797</v>
      </c>
      <c r="AK28" s="1322">
        <f t="shared" si="7"/>
        <v>5.7218324088222063</v>
      </c>
      <c r="AL28" s="1322">
        <f t="shared" si="7"/>
        <v>5.2344264094389965</v>
      </c>
      <c r="AM28" s="1322">
        <f t="shared" si="7"/>
        <v>4.6032818672310896</v>
      </c>
      <c r="AN28" s="1322">
        <f t="shared" si="7"/>
        <v>3.920866892213192</v>
      </c>
      <c r="AO28" s="1322">
        <f t="shared" si="7"/>
        <v>3.2501052113118325</v>
      </c>
      <c r="AP28" s="1322">
        <f t="shared" si="7"/>
        <v>2.6304178375579661</v>
      </c>
      <c r="AQ28" s="1322">
        <f t="shared" si="7"/>
        <v>2.0833331345412356</v>
      </c>
      <c r="AR28" s="1322">
        <f t="shared" si="7"/>
        <v>1.6174176723785751</v>
      </c>
      <c r="AS28" s="1322">
        <f t="shared" si="7"/>
        <v>1.232402938834009</v>
      </c>
      <c r="AT28" s="1322">
        <f t="shared" si="7"/>
        <v>0.9224803989096636</v>
      </c>
      <c r="AU28" s="1322">
        <f t="shared" si="7"/>
        <v>0.67880818899598072</v>
      </c>
      <c r="AV28" s="1322">
        <f t="shared" si="7"/>
        <v>0.49131842400222997</v>
      </c>
      <c r="AW28" s="1322">
        <f t="shared" si="7"/>
        <v>0.34993818089177281</v>
      </c>
      <c r="AX28" s="1322">
        <f t="shared" si="7"/>
        <v>0.24534422676133172</v>
      </c>
      <c r="AY28" s="1322">
        <f t="shared" si="7"/>
        <v>0.16936627174686603</v>
      </c>
      <c r="AZ28" s="1322">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15</v>
      </c>
      <c r="AA29" s="737">
        <v>26</v>
      </c>
      <c r="AB29" s="713" t="str">
        <f t="shared" si="1"/>
        <v/>
      </c>
      <c r="AC29" s="1578"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16</v>
      </c>
      <c r="AA30" s="737">
        <v>27</v>
      </c>
      <c r="AB30" s="713" t="str">
        <f t="shared" si="1"/>
        <v/>
      </c>
      <c r="AC30" s="1578" t="str">
        <f t="shared" si="0"/>
        <v>Seal of the Dawn</v>
      </c>
    </row>
    <row r="31" spans="1:53" ht="12" customHeight="1">
      <c r="A31" s="10" t="s">
        <v>991</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578"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17</v>
      </c>
      <c r="AA32" s="737">
        <v>29</v>
      </c>
      <c r="AB32" s="713" t="str">
        <f t="shared" si="1"/>
        <v/>
      </c>
      <c r="AC32" s="1578"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578"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18</v>
      </c>
      <c r="AA34" s="737">
        <v>31</v>
      </c>
      <c r="AB34" s="713" t="str">
        <f t="shared" si="1"/>
        <v/>
      </c>
      <c r="AC34" s="1578"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578" t="str">
        <f t="shared" si="0"/>
        <v>Tsunami Talisman</v>
      </c>
      <c r="AF35" s="6">
        <v>3</v>
      </c>
      <c r="AG35" s="6">
        <f t="shared" si="8"/>
        <v>0.41570551658187188</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19</v>
      </c>
      <c r="AA36" s="737">
        <v>33</v>
      </c>
      <c r="AB36" s="713" t="str">
        <f t="shared" si="1"/>
        <v/>
      </c>
      <c r="AC36" s="1578" t="str">
        <f t="shared" si="0"/>
        <v>Uniting Charm</v>
      </c>
      <c r="AF36" s="6">
        <v>4</v>
      </c>
      <c r="AG36" s="6">
        <f t="shared" si="8"/>
        <v>0.41570551658187188</v>
      </c>
    </row>
    <row r="37" spans="1:53" ht="12" customHeight="1">
      <c r="A37" s="126" t="s">
        <v>1940</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578"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20</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21</v>
      </c>
      <c r="AA39" s="737">
        <v>36</v>
      </c>
      <c r="AB39" s="713" t="str">
        <f t="shared" si="1"/>
        <v/>
      </c>
      <c r="AF39" s="6">
        <v>7</v>
      </c>
      <c r="AG39" s="6">
        <f t="shared" si="8"/>
        <v>0.41570551658187188</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578"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578"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578"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578"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578"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578"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578"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578"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578"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578"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578"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578"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578"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578"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578"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578"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578"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578"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578"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578"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578"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578"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578"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578"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578"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578"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578"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578"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578"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578"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578"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578"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578"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578"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578"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578"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578"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578"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578"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578"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578"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578"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578"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578"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578"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578"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578"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578"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578"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workbookViewId="0">
      <pane ySplit="1" topLeftCell="A278"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0.77354193647919856</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114.88947681036424</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0.21668945840701978</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Blinkstrike</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Edge of the Cosmos</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Felsteel Longblade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Gladiator's Slicer</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Grand Marshal's Quickblade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Grand Marshal's Slicer</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Gressil, Dawn of Ruin</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High Warlord's Blade (60)</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High Warlord's Quickblade</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High Warlord's Slicer</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Honor's Call</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Hope Ender</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Illidari-Bane Broadsword</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King's Defender</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Latro's Shifting Sword</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Phosphorescent Blade</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Revenger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Spiteblade</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The Hungering Cold</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The Sun Eater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Thunderfury</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Vindicator's Brand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Warp-Storm Warblade</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
      </c>
      <c r="AF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(Unmodeled MH Sword)</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
      </c>
      <c r="AF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 xml:space="preserve"> </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2</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35</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(Fist Weapons)</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Big Bad Wolf's Paw</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Claw of the Watcher</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3</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36</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Demonblood Eviscerator</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4</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37</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Gladiator's Right Ripper</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
      </c>
      <c r="AF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Grand Marshal's Right Ripper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5</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38</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High Warlord's Right Ripper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6</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39</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Reflex Blades</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7</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40</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The Bladefist</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8</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41</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(Unmodeled MH Fist)</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 xml:space="preserve"> </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9</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42</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(Maces)</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10</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43</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Blackout Truncheon</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11</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44</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Bloodskull Destroyer</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12</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45</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Fool's Bane</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13</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46</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Gladiator's Pummeler</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14</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47</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Grand Marshal's Bonecracker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Grand Marshal's Pummeler</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15</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48</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High Warlord's Bonecracker</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High Warlord's Pummeler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16</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49</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Runic Hammer</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Terokk's Nightmace</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Truncheon of Five Hells</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17</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50</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(Unmodeled MH Mace)</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18</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51</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19</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52</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20</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53</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21</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54</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22</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55</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23</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56</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24</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57</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25</v>
      </c>
      <c r="AF100" s="114">
        <f>MAX(AF$1:AF99)+1</f>
        <v>58</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59</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60</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61</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62</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63</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64</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65</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66</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67</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28.584686841201592</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68</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69</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70</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71</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56.168188662844742</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72</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73</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
      </c>
      <c r="AF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
      </c>
      <c r="AF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90.209515125174889</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
      </c>
      <c r="AF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4</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74</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5</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75</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6</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76</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7</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77</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8</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78</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9</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79</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10</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80</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11</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81</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12</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82</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13</v>
      </c>
      <c r="AF148" s="114">
        <f>MAX(AF$1:AF147)+1</f>
        <v>83</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Blinkstrike</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Edge of the Cosmos</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Felsteel Longblade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Gladiator's Quickblade</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Gladiator's Slicer</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Grand Marshal's Quickblade</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Grand Marshal's Slicer</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Gressil, Dawn of Ruin</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High Warlord's Quickblade (60)</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High Warlord's Quickblade</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High Warlord's Slicer</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Honor's Call</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Hope Ender</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Iblis, Blade of the Fallen Seraph</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King's Defender</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Latro's Shifting Sword</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Phosphorescent Blade</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Revenger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Spiteblade</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The Hungering Cold</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The Sun Eater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Thunderfury</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Vindicator's Brand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Warp-Storm Warblade</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(Unmodeled OH Sword)</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 xml:space="preserve"> </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(Fist Weapons)</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Boggspine Knuckles</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
      </c>
      <c r="AF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Claw of the Frost Wyrm</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
      </c>
      <c r="AF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Gladiator's Left Ripper</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2</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35</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Grand Marshal's Left Ripper</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High Warlord's Left Ripper</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Stormreaver Warblades</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(Unmodeled OH Fist)</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3</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36</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 xml:space="preserve"> </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4</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37</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(Maces)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
      </c>
      <c r="AF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Blackout Truncheon</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5</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38</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Bloodskull Destroyer</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6</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39</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Fool's Bane</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7</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40</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Gladiator's Bonecracker</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8</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41</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Gladiator's Pummeler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9</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42</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Grand Marshal's Bonecracker</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Grand Marshal's Pummeler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10</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43</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High Warlord's Bonecracker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11</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44</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High Warlord's Pummeler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12</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45</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Runic Hammer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13</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46</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Terokk's Nightmace</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14</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47</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Truncheon of Five Hells</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15</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48</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(Unmodeled OH Mace)</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16</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49</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17</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50</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18</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51</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19</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52</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20</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53</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21</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54</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22</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55</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23</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56</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24</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57</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25</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58</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26</v>
      </c>
      <c r="AF260" s="114">
        <f>MAX(AF$150:AF259)+1</f>
        <v>59</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60</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61</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62</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63</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64</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65</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66</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67</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68</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69</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70</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28.890023702641724</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71</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72</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73</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74</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75</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76</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77</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78</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79</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80</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81</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82</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83</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topLeftCell="A16" zoomScaleNormal="100" workbookViewId="0">
      <selection activeCell="AD2" sqref="AD2"/>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33.876973758418337</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474.27763261785674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67.753947516836675</v>
      </c>
      <c r="E11" s="21"/>
      <c r="F11" s="21"/>
      <c r="G11" s="21"/>
      <c r="H11" s="21"/>
      <c r="I11" s="21"/>
      <c r="J11" s="789">
        <f>2*hasterate*enMnMHup</f>
        <v>17.807127231989124</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0.22111169225206101</v>
      </c>
      <c r="X16" s="145"/>
      <c r="Y16" s="48"/>
      <c r="Z16" s="48"/>
      <c r="AA16" s="48"/>
      <c r="AB16" s="795" t="s">
        <v>1644</v>
      </c>
      <c r="AC16" s="796">
        <f>IF(AC13*AC15&gt;0,AC13*AC15,1)</f>
        <v>3.336038838615111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c r="U17" s="124"/>
      <c r="V17" s="6" t="s">
        <v>1186</v>
      </c>
      <c r="W17" s="145">
        <f>bMHhit</f>
        <v>0.51844928335769502</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0.15313810351325544</v>
      </c>
      <c r="X20" s="1346">
        <f>SUM('Damage Calc'!F5:F7)*bfWFea</f>
        <v>0.17454294295415593</v>
      </c>
      <c r="Y20" s="1346">
        <f>instsec*bfWFea</f>
        <v>4.7299592110256798E-2</v>
      </c>
      <c r="Z20" s="48" t="s">
        <v>95</v>
      </c>
      <c r="AA20" s="48"/>
      <c r="AB20" s="148" t="s">
        <v>1652</v>
      </c>
      <c r="AC20" s="6">
        <f>12/AC16</f>
        <v>3.5970804239741878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123.97430039356702</v>
      </c>
      <c r="X21" s="1346">
        <f>445*(1+15%*bfWFtl)/14*bOHspd*(W17+W18*W19+W16*bOHcfact)*bOHdamfac</f>
        <v>50.066544389709762</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1274</v>
      </c>
      <c r="AC21" s="6">
        <f>12/(1+AC16/(1-EXP(-AC16)))</f>
        <v>2.6911226696331791</v>
      </c>
      <c r="AD21" s="48">
        <f>1-EXP(-AC13*AC15)</f>
        <v>0.96442239238532301</v>
      </c>
      <c r="AE21" s="6">
        <v>12</v>
      </c>
      <c r="AF21" s="6">
        <f>AD20-AD21</f>
        <v>3.5577607614676987E-2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27.290231355562383</v>
      </c>
      <c r="X22" s="48" t="s">
        <v>3109</v>
      </c>
      <c r="Y22" s="48"/>
      <c r="Z22" s="48"/>
      <c r="AA22" s="48"/>
      <c r="AB22" s="131" t="s">
        <v>1277</v>
      </c>
      <c r="AC22" s="6">
        <f>12/(1+AC16/(1-EXP(-AC16)))</f>
        <v>2.6911226696331791</v>
      </c>
      <c r="AD22" s="48">
        <f>(1-EXP(-AC13*AC15))^2</f>
        <v>0.9301105509342299</v>
      </c>
      <c r="AE22" s="6">
        <v>12</v>
      </c>
      <c r="AF22" s="6">
        <f>AD21-AD22</f>
        <v>3.4311841451093117E-2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2.6911226696331791</v>
      </c>
      <c r="AD23" s="48">
        <f>(1-EXP(-AC13*AC15))^3</f>
        <v>0.89701944271482081</v>
      </c>
      <c r="AE23" s="6">
        <v>12</v>
      </c>
      <c r="AF23" s="6">
        <f>AD22-AD23</f>
        <v>3.3091108219409082E-2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2.6911226696331791</v>
      </c>
      <c r="AD24" s="48">
        <f>(1-EXP(-AC13*AC15))^4</f>
        <v>0.86510563695917664</v>
      </c>
      <c r="AE24" s="6">
        <v>12</v>
      </c>
      <c r="AF24" s="6">
        <f>AD23-AD24</f>
        <v>3.1913805755644176E-2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75.640911518822918</v>
      </c>
      <c r="AD25" s="48">
        <f>(1-EXP(-AC13*AC15))^5</f>
        <v>0.83432724806219782</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18.581213318271931</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260.13698645580706</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37.162426636543863</v>
      </c>
      <c r="E43" s="21"/>
      <c r="F43" s="21"/>
      <c r="G43" s="21"/>
      <c r="H43" s="21"/>
      <c r="I43" s="21"/>
      <c r="J43" s="789">
        <f>2*hasterate*enMnOHup</f>
        <v>9.7670480262711425</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292</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2021-06-05T11:29:35Z</dcterms:modified>
</cp:coreProperties>
</file>