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2.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3.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4.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drawings/drawing5.xml" ContentType="application/vnd.openxmlformats-officedocument.drawing+xml"/>
  <Override PartName="/xl/ctrlProps/ctrlProp243.xml" ContentType="application/vnd.ms-excel.controlproperties+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Garcia\Downloads\spreadsheet\"/>
    </mc:Choice>
  </mc:AlternateContent>
  <xr:revisionPtr revIDLastSave="0" documentId="13_ncr:1_{3EAE99E7-5061-466B-A367-AC15904AD79C}" xr6:coauthVersionLast="47" xr6:coauthVersionMax="47" xr10:uidLastSave="{00000000-0000-0000-0000-000000000000}"/>
  <bookViews>
    <workbookView xWindow="-120" yWindow="-120" windowWidth="29040" windowHeight="15990" tabRatio="906" xr2:uid="{B87A0BF6-5EDD-4A35-B6CD-3B3B4595E09E}"/>
  </bookViews>
  <sheets>
    <sheet name="Intro" sheetId="1" r:id="rId1"/>
    <sheet name="Changelog" sheetId="2" r:id="rId2"/>
    <sheet name="Gear &amp; Buffs" sheetId="5" r:id="rId3"/>
    <sheet name="Talents" sheetId="4" r:id="rId4"/>
    <sheet name="Cooldowns" sheetId="71" r:id="rId5"/>
    <sheet name="Cycles" sheetId="11" r:id="rId6"/>
    <sheet name="Gear Upgrades" sheetId="7" r:id="rId7"/>
    <sheet name="Optimize" sheetId="57" state="hidden" r:id="rId8"/>
    <sheet name="Damage Calc" sheetId="10" r:id="rId9"/>
    <sheet name="Cooldowns Calc" sheetId="70" state="hidden" r:id="rId10"/>
    <sheet name="Global Var" sheetId="34" state="hidden" r:id="rId11"/>
    <sheet name="Sockfit" sheetId="60" state="hidden" r:id="rId12"/>
    <sheet name="Socket" sheetId="14" state="hidden" r:id="rId13"/>
    <sheet name="Helm" sheetId="15" state="hidden" r:id="rId14"/>
    <sheet name="Neck" sheetId="16" state="hidden" r:id="rId15"/>
    <sheet name="Shoulder" sheetId="18" state="hidden" r:id="rId16"/>
    <sheet name="Back" sheetId="19" state="hidden" r:id="rId17"/>
    <sheet name="Chest" sheetId="20" state="hidden" r:id="rId18"/>
    <sheet name="Bracers" sheetId="21" state="hidden" r:id="rId19"/>
    <sheet name="Gloves" sheetId="22" state="hidden" r:id="rId20"/>
    <sheet name="Belt" sheetId="23" state="hidden" r:id="rId21"/>
    <sheet name="Legs" sheetId="24" state="hidden" r:id="rId22"/>
    <sheet name="Boots" sheetId="25" state="hidden" r:id="rId23"/>
    <sheet name="Ring" sheetId="26" state="hidden" r:id="rId24"/>
    <sheet name="Trinket" sheetId="27" state="hidden" r:id="rId25"/>
    <sheet name="Ranged" sheetId="31" state="hidden" r:id="rId26"/>
    <sheet name="Weapons" sheetId="30" state="hidden" r:id="rId27"/>
    <sheet name="Weap Enchants" sheetId="29" state="hidden" r:id="rId28"/>
    <sheet name="Races" sheetId="62" state="hidden" r:id="rId29"/>
    <sheet name="ArmoryImport" sheetId="63" state="hidden" r:id="rId30"/>
    <sheet name="ArmoryImportLookUp" sheetId="65" state="hidden" r:id="rId31"/>
    <sheet name="nextstat2" sheetId="58" state="hidden" r:id="rId32"/>
    <sheet name="GearBuilds" sheetId="67" state="hidden" r:id="rId33"/>
    <sheet name="BuffBuilds" sheetId="69" state="hidden" r:id="rId34"/>
    <sheet name="TalentBuilds" sheetId="66" state="hidden" r:id="rId35"/>
    <sheet name="OptionBuilds" sheetId="68" state="hidden" r:id="rId36"/>
    <sheet name="CooldownBuilds" sheetId="72" state="hidden" r:id="rId37"/>
  </sheets>
  <definedNames>
    <definedName name="_xlnm._FilterDatabase" localSheetId="29" hidden="1">ArmoryImport!#REF!</definedName>
    <definedName name="_xlnm._FilterDatabase" localSheetId="2" hidden="1">'Gear &amp; Buffs'!$A$1:$Y$71</definedName>
    <definedName name="_xlnm._FilterDatabase" localSheetId="6" hidden="1">'Gear Upgrades'!$A$1:$D$26</definedName>
    <definedName name="agg">Talents!$F$32</definedName>
    <definedName name="agicrit">'Damage Calc'!$U$9</definedName>
    <definedName name="allowenv">'Global Var'!$B$114</definedName>
    <definedName name="allowrupt">'Global Var'!$B$113</definedName>
    <definedName name="ap">'Gear &amp; Buffs'!$I$143</definedName>
    <definedName name="APNorm">'Global Var'!$B$14</definedName>
    <definedName name="APNormDag">'Global Var'!$B$15</definedName>
    <definedName name="APtoDPS">'Global Var'!$B$1</definedName>
    <definedName name="APtoDPSConv">'Global Var'!$B$1</definedName>
    <definedName name="armor">'Damage Calc'!$M$3</definedName>
    <definedName name="armoradj">'Damage Calc'!$M$4</definedName>
    <definedName name="armorpostEA">'Damage Calc'!$U$19</definedName>
    <definedName name="armorpreEA">'Damage Calc'!$U$18</definedName>
    <definedName name="arush">Talents!$F$34</definedName>
    <definedName name="as4p">'Gear &amp; Buffs'!$X$23</definedName>
    <definedName name="avginst">Cycles!$O$7</definedName>
    <definedName name="avipdam">'Weap Enchants'!$AA$4</definedName>
    <definedName name="BackEnchantList">Back!$X$40:$X$46</definedName>
    <definedName name="BackEnchantStats">Back!$A$41:$U$46</definedName>
    <definedName name="BackList">OFFSET(Back!$X$2,0,0,COUNTIF(Back!$X$2:$X$38,"?*"),1)</definedName>
    <definedName name="BackStats">Back!$A$2:$U$37</definedName>
    <definedName name="bAP">'Damage Calc'!$M$9</definedName>
    <definedName name="bArmor">'Damage Calc'!$M$3</definedName>
    <definedName name="basearmor">'Global Var'!$B$119</definedName>
    <definedName name="BaseDodPerc">'Global Var'!$B$2</definedName>
    <definedName name="BaseGlanFact">'Global Var'!$B$4</definedName>
    <definedName name="BaseGlanPerc">'Global Var'!$B$5</definedName>
    <definedName name="BaseMissPerc">'Global Var'!$B$6</definedName>
    <definedName name="BaseParPerc">'Global Var'!$B$3</definedName>
    <definedName name="bblfl">'Damage Calc'!$Q$38</definedName>
    <definedName name="bcpdodge">'Damage Calc'!$F$20</definedName>
    <definedName name="bcpmiss">'Damage Calc'!$F$19</definedName>
    <definedName name="BeltList">OFFSET(Belt!$X$2:$X$39,0,0,COUNTIF(Belt!$X$2:$X$39,"?*"),1)</definedName>
    <definedName name="BeltStats">Belt!$A$2:$U$38</definedName>
    <definedName name="berserkinghp">'Global Var'!$B$115</definedName>
    <definedName name="bExAtt">'Damage Calc'!$D$48</definedName>
    <definedName name="bfindodge">'Damage Calc'!$K$20</definedName>
    <definedName name="bfinmiss">'Damage Calc'!$K$19</definedName>
    <definedName name="bfInPres">'Gear &amp; Buffs'!$B$113</definedName>
    <definedName name="bfWFea">'Damage Calc'!$D$47</definedName>
    <definedName name="bfWFtl">'Gear &amp; Buffs'!$C$111</definedName>
    <definedName name="bGlobDam">'Damage Calc'!$B$30</definedName>
    <definedName name="bHaste">'Damage Calc'!$Q$39</definedName>
    <definedName name="blfl">Talents!$F$27</definedName>
    <definedName name="blfldps">Cycles!$Y$9</definedName>
    <definedName name="bloodfrenzy">'Gear &amp; Buffs'!$B$83</definedName>
    <definedName name="bloodfrenzyimp">'Gear &amp; Buffs'!$C$83</definedName>
    <definedName name="blust">'Cooldowns Calc'!$AL$41</definedName>
    <definedName name="blustcount">'Gear &amp; Buffs'!$B$107</definedName>
    <definedName name="bMHadam">'Damage Calc'!$E$2</definedName>
    <definedName name="bMHasec">'Damage Calc'!$F$2</definedName>
    <definedName name="bMHavg">'Damage Calc'!$M$11</definedName>
    <definedName name="bMHcdam">'Damage Calc'!$D$2</definedName>
    <definedName name="bMHcfact">'Damage Calc'!$Q$23</definedName>
    <definedName name="bMHcrit">'Damage Calc'!$B$23</definedName>
    <definedName name="bMHcsec">'Damage Calc'!$H$2</definedName>
    <definedName name="bMHdam">'Damage Calc'!$B$2</definedName>
    <definedName name="bMHdod">'Damage Calc'!$B$20</definedName>
    <definedName name="bMHgdam">'Damage Calc'!$C$2</definedName>
    <definedName name="bMHgfact">'Damage Calc'!$Q$10</definedName>
    <definedName name="bMHglan">'Damage Calc'!$B$22</definedName>
    <definedName name="bMHhit">'Damage Calc'!$B$24</definedName>
    <definedName name="bMHhsec">'Damage Calc'!$G$2</definedName>
    <definedName name="bMHmiss">'Damage Calc'!$B$19</definedName>
    <definedName name="bMHpar">'Damage Calc'!$B$21</definedName>
    <definedName name="bMHspd">'Damage Calc'!$M$12</definedName>
    <definedName name="bMHthit">'Damage Calc'!$B$25</definedName>
    <definedName name="bOHadam">'Damage Calc'!$E$5</definedName>
    <definedName name="bOHasec">'Damage Calc'!$F$5</definedName>
    <definedName name="bOHavg">'Damage Calc'!$M$13</definedName>
    <definedName name="bOHcdam">'Damage Calc'!$D$5</definedName>
    <definedName name="bOHcfact">'Damage Calc'!$Q$24</definedName>
    <definedName name="bOHcrit">'Damage Calc'!$D$23</definedName>
    <definedName name="bOHcsec">'Damage Calc'!$H$5</definedName>
    <definedName name="bOHdam">'Damage Calc'!$B$5</definedName>
    <definedName name="bOHdamfac">'Damage Calc'!$Q$6</definedName>
    <definedName name="bOHdod">'Damage Calc'!$D$20</definedName>
    <definedName name="bOHgdam">'Damage Calc'!$C$5</definedName>
    <definedName name="bOHgfact">'Damage Calc'!$Q$11</definedName>
    <definedName name="bOHglan">'Damage Calc'!$D$22</definedName>
    <definedName name="bOHhit">'Damage Calc'!$D$24</definedName>
    <definedName name="bOHhsec">'Damage Calc'!$G$5</definedName>
    <definedName name="bOHmiss">'Damage Calc'!$D$19</definedName>
    <definedName name="bOHspd">'Damage Calc'!$M$14</definedName>
    <definedName name="bOHthit">'Damage Calc'!$D$25</definedName>
    <definedName name="bonenergy">'Damage Calc'!$Q$22</definedName>
    <definedName name="BonusList">Sockfit!$AG$2:$AG$28</definedName>
    <definedName name="BonusStats">Sockfit!$AG$2:$AU$28</definedName>
    <definedName name="BootEnchantList">Boots!$X$36:$X$44</definedName>
    <definedName name="BootEnchantStats">Boots!$A$37:$U$44</definedName>
    <definedName name="BootsList">OFFSET(Boots!$X$2,0,0,COUNTIF(Boots!$X$2:$X$34,"?*"),1)</definedName>
    <definedName name="BootsStats">Boots!$A$2:$U$33</definedName>
    <definedName name="bosscrit">'Damage Calc'!$U$10</definedName>
    <definedName name="BossLevel">'Global Var'!$B$7</definedName>
    <definedName name="BotSprocs">Trinket!$AG$5</definedName>
    <definedName name="BotSrate">Trinket!$AF$5</definedName>
    <definedName name="BracerEnchantList">Bracers!$AD$32:$AD$38</definedName>
    <definedName name="BracerEnchantStats">Bracers!$A$33:$Z$38</definedName>
    <definedName name="BracersList">OFFSET(Bracers!$AD$2,0,0,COUNTIF(Bracers!$AD$2:$AD$30,"?*"),1)</definedName>
    <definedName name="BracersStats">Bracers!$A$2:$Z$29</definedName>
    <definedName name="bs4p">'Gear &amp; Buffs'!$X$24</definedName>
    <definedName name="bs8p">'Gear &amp; Buffs'!$X$25</definedName>
    <definedName name="BuffBuilds">OFFSET(BuffBuilds!$A$1,2,0,MATCH("*",BuffBuilds!$A:$A,-1)-2,1)</definedName>
    <definedName name="bwrath">Trinket!$AE$29</definedName>
    <definedName name="cb">'Global Var'!$B$98</definedName>
    <definedName name="cdar1">Cooldowns!$I$9</definedName>
    <definedName name="cdar2">Cooldowns!$I$10</definedName>
    <definedName name="cdlust1">Cooldowns!$I$19</definedName>
    <definedName name="cdlust10">Cooldowns!$I$28</definedName>
    <definedName name="cdlust11">Cooldowns!$I$29</definedName>
    <definedName name="cdlust12">Cooldowns!$I$30</definedName>
    <definedName name="cdlust13">Cooldowns!$I$31</definedName>
    <definedName name="cdlust14">Cooldowns!$I$32</definedName>
    <definedName name="cdlust15">Cooldowns!$I$33</definedName>
    <definedName name="cdlust2">Cooldowns!$I$20</definedName>
    <definedName name="cdlust3">Cooldowns!$I$21</definedName>
    <definedName name="cdlust4">Cooldowns!$I$22</definedName>
    <definedName name="cdlust5">Cooldowns!$I$23</definedName>
    <definedName name="cdlust6">Cooldowns!$I$24</definedName>
    <definedName name="cdlust7">Cooldowns!$I$25</definedName>
    <definedName name="cdlust8">Cooldowns!$I$26</definedName>
    <definedName name="cdlust9">Cooldowns!$I$27</definedName>
    <definedName name="cdspec120">Cooldowns!$G$10</definedName>
    <definedName name="cdspec1201">Cooldowns!$F$11</definedName>
    <definedName name="cdspec1202">Cooldowns!$F$13</definedName>
    <definedName name="cdspec1203">Cooldowns!$F$14</definedName>
    <definedName name="cdspec1204">Cooldowns!$F$15</definedName>
    <definedName name="cdspec1205">Cooldowns!$F$16</definedName>
    <definedName name="cdspec120plus">Cooldowns!$G$12</definedName>
    <definedName name="cdspec180">Cooldowns!$G$25</definedName>
    <definedName name="cdspec1801">Cooldowns!$F$26</definedName>
    <definedName name="cdspec1802">Cooldowns!$F$29</definedName>
    <definedName name="cdspec1803">Cooldowns!$F$30</definedName>
    <definedName name="cdspec1804">Cooldowns!$F$31</definedName>
    <definedName name="cdspec180plus">Cooldowns!$G$27</definedName>
    <definedName name="cdspec60">Cooldowns!$D$9</definedName>
    <definedName name="cdspec601">Cooldowns!$C$10</definedName>
    <definedName name="cdspec6010">Cooldowns!$C$20</definedName>
    <definedName name="cdspec602">Cooldowns!$C$12</definedName>
    <definedName name="cdspec603">Cooldowns!$C$13</definedName>
    <definedName name="cdspec604">Cooldowns!$C$14</definedName>
    <definedName name="cdspec605">Cooldowns!$C$15</definedName>
    <definedName name="cdspec606">Cooldowns!$C$16</definedName>
    <definedName name="cdspec607">Cooldowns!$C$17</definedName>
    <definedName name="cdspec608">Cooldowns!$C$18</definedName>
    <definedName name="cdspec609">Cooldowns!$C$19</definedName>
    <definedName name="cdspec60plus">Cooldowns!$D$11</definedName>
    <definedName name="cdspec90">Cooldowns!$D$24</definedName>
    <definedName name="cdspec901">Cooldowns!$C$25</definedName>
    <definedName name="cdspec902">Cooldowns!$C$28</definedName>
    <definedName name="cdspec903">Cooldowns!$C$29</definedName>
    <definedName name="cdspec904">Cooldowns!$C$30</definedName>
    <definedName name="cdspec905">Cooldowns!$C$31</definedName>
    <definedName name="cdspec906">Cooldowns!$C$32</definedName>
    <definedName name="cdspec907">Cooldowns!$C$33</definedName>
    <definedName name="cdspec90plus">Cooldowns!$D$26</definedName>
    <definedName name="cdspecar">Cooldowns!$J$8</definedName>
    <definedName name="cdspeclust">Cooldowns!$J$18</definedName>
    <definedName name="cdspectea">Cooldowns!$J$13</definedName>
    <definedName name="cdtea1">Cooldowns!$I$14</definedName>
    <definedName name="cdtea2">Cooldowns!$I$15</definedName>
    <definedName name="cdtreat180as240">Cooldowns!$G$28</definedName>
    <definedName name="cdtreat90as120">Cooldowns!$D$27</definedName>
    <definedName name="cfact">'Damage Calc'!$Q$23</definedName>
    <definedName name="CharLevel">'Global Var'!$B$8</definedName>
    <definedName name="CharRace">'Gear &amp; Buffs'!$B$74</definedName>
    <definedName name="ChestEnchantList">Chest!$X$39:$X$46</definedName>
    <definedName name="ChestEnchantStats">Chest!$A$40:$U$46</definedName>
    <definedName name="ChestList">OFFSET(Chest!$X$2,0,0,COUNTIF(Chest!$X$2:$X$37,"?*"),1)</definedName>
    <definedName name="ChestStats">Chest!$A$2:$U$36</definedName>
    <definedName name="CoE">'Gear &amp; Buffs'!$B$85</definedName>
    <definedName name="conv">'Damage Calc'!$U$2</definedName>
    <definedName name="CooldownBuilds">OFFSET(CooldownBuilds!$A$1,2,0,MATCH("*",CooldownBuilds!$A:$A,-1)-2,1)</definedName>
    <definedName name="CP">Cycles!$AA$12</definedName>
    <definedName name="cpot">Talents!$F$36</definedName>
    <definedName name="crit">'Gear &amp; Buffs'!$E$6</definedName>
    <definedName name="crrate">'Damage Calc'!$U$4</definedName>
    <definedName name="cycle">Cycles!$AB$4</definedName>
    <definedName name="cyclelist">Cycles!$AP$56:$AP$139</definedName>
    <definedName name="cyclet">Cycles!$Z$3</definedName>
    <definedName name="DDmult">'Global Var'!$B$100</definedName>
    <definedName name="deadliness">'Global Var'!$B$93</definedName>
    <definedName name="debuffon">'Global Var'!$B$101</definedName>
    <definedName name="defrating_def">'Damage Calc'!$U$8</definedName>
    <definedName name="disablebuffs">'Global Var'!$B$121</definedName>
    <definedName name="dm2p">'Gear &amp; Buffs'!$X$26</definedName>
    <definedName name="dm4p">'Gear &amp; Buffs'!$X$27</definedName>
    <definedName name="dm4p1">Optimize!$C$30</definedName>
    <definedName name="dm4p2">Optimize!$C$31</definedName>
    <definedName name="dm4p3">Optimize!$C$32</definedName>
    <definedName name="dm4p4">Optimize!$C$33</definedName>
    <definedName name="dm4p5">Optimize!$C$34</definedName>
    <definedName name="dodge">'Gear &amp; Buffs'!$L$6</definedName>
    <definedName name="dorate">'Damage Calc'!$U$6</definedName>
    <definedName name="dpsAgi">'Global Var'!$B$20</definedName>
    <definedName name="dpsAP">'Global Var'!$B$21</definedName>
    <definedName name="dpsArmor">'Global Var'!$B$25</definedName>
    <definedName name="dpsCrit">'Global Var'!$B$22</definedName>
    <definedName name="dpsExp">'Global Var'!$B$26</definedName>
    <definedName name="dpsHaste">'Global Var'!$B$24</definedName>
    <definedName name="dpsHit">'Global Var'!$B$23</definedName>
    <definedName name="dpsStr">'Global Var'!$B$19</definedName>
    <definedName name="dskill">'Gear &amp; Buffs'!$L$78</definedName>
    <definedName name="dws">Talents!$F$25</definedName>
    <definedName name="eadps">Cycles!$AA$14</definedName>
    <definedName name="easec">Cycles!$X$14</definedName>
    <definedName name="eec">Cycles!$I$4</definedName>
    <definedName name="enCrMHup">Optimize!$C$17</definedName>
    <definedName name="enCrOHup">Optimize!$C$18</definedName>
    <definedName name="enExBHup">Optimize!$C$11</definedName>
    <definedName name="enExMHup">Optimize!$C$9</definedName>
    <definedName name="enExOHup">Optimize!$C$10</definedName>
    <definedName name="enMnMHup">Optimize!$C$7</definedName>
    <definedName name="enMnOHup">Optimize!$C$8</definedName>
    <definedName name="enRWCbhUP">Optimize!$C$21</definedName>
    <definedName name="enRWCmhUP">Optimize!$C$19</definedName>
    <definedName name="enRWCohUP">Optimize!$C$20</definedName>
    <definedName name="envdmg">Cycles!$W$12</definedName>
    <definedName name="envsec">Cycles!$X$11</definedName>
    <definedName name="eps">Cycles!$H$8</definedName>
    <definedName name="evicost">Cycles!$O$4</definedName>
    <definedName name="evidmg">Cycles!$X$6</definedName>
    <definedName name="evisec">Cycles!$Y$3</definedName>
    <definedName name="Ferocious">'Gear &amp; Buffs'!$B$103</definedName>
    <definedName name="Ferociousimp">'Gear &amp; Buffs'!$C$103</definedName>
    <definedName name="fincrit">'Damage Calc'!$K$23</definedName>
    <definedName name="finhit">'Damage Calc'!$K$24</definedName>
    <definedName name="finish">Cycles!$AA$11</definedName>
    <definedName name="firstsndCP">'Global Var'!$B$118</definedName>
    <definedName name="forceea">'Global Var'!$B$122</definedName>
    <definedName name="fshiv">'Global Var'!$B$120</definedName>
    <definedName name="fullresist">'Damage Calc'!$U$12</definedName>
    <definedName name="fw">'Global Var'!$B$103</definedName>
    <definedName name="fwfactor">Cycles!$Z$9</definedName>
    <definedName name="GearBuilds">OFFSET(GearBuilds!$A$1,2,0,MATCH("*",GearBuilds!$A:$A,-1)-2,1)</definedName>
    <definedName name="GenSocketList">OFFSET(Socket!$AB$2,0,0,COUNTIF(Socket!$AB$2:$AB$105,"?*"),1)</definedName>
    <definedName name="GenSocketStats">Socket!$A$2:$Y$105</definedName>
    <definedName name="GloveEnchantList">Gloves!$X$40:$X$45</definedName>
    <definedName name="GloveEnchantStats">Gloves!$A$41:$U$45</definedName>
    <definedName name="Gloves">'Gear &amp; Buffs'!$B$50</definedName>
    <definedName name="GlovesList">OFFSET(Gloves!$X$2,0,0,COUNTIF(Gloves!$X$2:$X$38,"?*"),1)</definedName>
    <definedName name="GlovesStats">Gloves!$A$2:$U$37</definedName>
    <definedName name="gs">'Global Var'!$B$102</definedName>
    <definedName name="hasmana">'Global Var'!$B$117</definedName>
    <definedName name="Haste">'Damage Calc'!$Q$39</definedName>
    <definedName name="hasterate">'Damage Calc'!$U$5</definedName>
    <definedName name="HDebuff">'Damage Calc'!$U$16</definedName>
    <definedName name="HelmEnchantList">Helm!$AC$33:$AC$39</definedName>
    <definedName name="HelmEnchantStats">Helm!$A$34:$Y$39</definedName>
    <definedName name="HelmList">OFFSET(Helm!$AC$2,0,0,COUNTIF(Helm!$AC$2:$AC$31,"?*"),1)</definedName>
    <definedName name="HelmStats">Helm!$A$2:$Y$30</definedName>
    <definedName name="hemo">Talents!$I$29</definedName>
    <definedName name="Hemorrhage">'Gear &amp; Buffs'!$B$92</definedName>
    <definedName name="hit">'Gear &amp; Buffs'!$H$143</definedName>
    <definedName name="HitRate">'Damage Calc'!$U$3</definedName>
    <definedName name="hp">'Gear &amp; Buffs'!$E$4</definedName>
    <definedName name="ievis">Talents!$C$14</definedName>
    <definedName name="impBS">'Global Var'!$B$99</definedName>
    <definedName name="impea">Talents!$C$21</definedName>
    <definedName name="impSS">'Global Var'!$B$95</definedName>
    <definedName name="incAlc">'Gear &amp; Buffs'!$Y$56</definedName>
    <definedName name="incDef">'Gear &amp; Buffs'!$AC$55</definedName>
    <definedName name="include5man">'Gear &amp; Buffs'!$AC$61</definedName>
    <definedName name="includeblacksmith">'Gear &amp; Buffs'!$Y$51</definedName>
    <definedName name="includeblacktemple">'Gear &amp; Buffs'!$AC$70</definedName>
    <definedName name="includeboe">'Gear &amp; Buffs'!$Y$59</definedName>
    <definedName name="includeboecrafted">'Gear &amp; Buffs'!$Y$58</definedName>
    <definedName name="includedoomwalker">'Gear &amp; Buffs'!$AC$64</definedName>
    <definedName name="includeenchanting">'Gear &amp; Buffs'!$Y$55</definedName>
    <definedName name="includeengineer">'Gear &amp; Buffs'!$Y$53</definedName>
    <definedName name="includegemcommon">'Gear &amp; Buffs'!$Y$72</definedName>
    <definedName name="includegemepic">'Gear &amp; Buffs'!$Y$74</definedName>
    <definedName name="includegemrare">'Gear &amp; Buffs'!$Y$73</definedName>
    <definedName name="includegruul">'Gear &amp; Buffs'!$AC$66</definedName>
    <definedName name="includeheroic">'Gear &amp; Buffs'!$AC$62</definedName>
    <definedName name="includejewelcrafting">'Gear &amp; Buffs'!$Y$54</definedName>
    <definedName name="includekarahzan">'Gear &amp; Buffs'!$AC$63</definedName>
    <definedName name="includekazzak">'Gear &amp; Buffs'!$AC$65</definedName>
    <definedName name="includeleatherwork">'Gear &amp; Buffs'!$Y$52</definedName>
    <definedName name="includemagtheridon">'Gear &amp; Buffs'!$AC$67</definedName>
    <definedName name="includemounthyjal">'Gear &amp; Buffs'!$AC$71</definedName>
    <definedName name="includep1">'Gear &amp; Buffs'!$Y$65</definedName>
    <definedName name="includep2">'Gear &amp; Buffs'!$Y$66</definedName>
    <definedName name="includep3">'Gear &amp; Buffs'!$Y$67</definedName>
    <definedName name="includep4">'Gear &amp; Buffs'!$Y$68</definedName>
    <definedName name="includep5">'Gear &amp; Buffs'!$Y$69</definedName>
    <definedName name="includeprebc">'Gear &amp; Buffs'!$AC$74</definedName>
    <definedName name="includepvp">'Gear &amp; Buffs'!$Y$60</definedName>
    <definedName name="includequest">'Gear &amp; Buffs'!$Y$61</definedName>
    <definedName name="includeracials">'Gear &amp; Buffs'!$AC$44</definedName>
    <definedName name="includereputation">'Gear &amp; Buffs'!$Y$62</definedName>
    <definedName name="includessc">'Gear &amp; Buffs'!$AC$68</definedName>
    <definedName name="includesunwell">'Gear &amp; Buffs'!$AC$73</definedName>
    <definedName name="includetheeye">'Gear &amp; Buffs'!$AC$69</definedName>
    <definedName name="includezulaman">'Gear &amp; Buffs'!$AC$72</definedName>
    <definedName name="instactualcrit">Cycles!$U$7</definedName>
    <definedName name="instactualhit">Cycles!$U$6</definedName>
    <definedName name="instatk">Cycles!$L$6</definedName>
    <definedName name="instatklng">Cycles!$L$7</definedName>
    <definedName name="instcost">Cycles!$O$2</definedName>
    <definedName name="instcrit">'Damage Calc'!$F$23</definedName>
    <definedName name="insthit">'Damage Calc'!$F$24</definedName>
    <definedName name="instsec">Cycles!$Y$5</definedName>
    <definedName name="isnd">Talents!$F$17</definedName>
    <definedName name="itAToLup">Optimize!$C$45</definedName>
    <definedName name="itBsEa">'Global Var'!$B$107</definedName>
    <definedName name="itBsMH">'Global Var'!$B$108</definedName>
    <definedName name="itBsOH">'Global Var'!$B$109</definedName>
    <definedName name="itDMCCap">Optimize!$C$59</definedName>
    <definedName name="itDSTup">Optimize!$C$2</definedName>
    <definedName name="itGenProc10sMH">Optimize!$C$51</definedName>
    <definedName name="itGenProc10sOH">Optimize!$C$52</definedName>
    <definedName name="itHGup">Optimize!$C$12</definedName>
    <definedName name="itHoJ">'Global Var'!$B$110</definedName>
    <definedName name="itHRmhUP">Optimize!$C$49</definedName>
    <definedName name="itHRohUP">Optimize!$C$50</definedName>
    <definedName name="itMotBup">Optimize!$C$3</definedName>
    <definedName name="itSoCup">Optimize!$C$4</definedName>
    <definedName name="itSSPMAup">Optimize!$C$13</definedName>
    <definedName name="itSSPRAup">Optimize!$C$15</definedName>
    <definedName name="itSSPRSup">Optimize!$C$16</definedName>
    <definedName name="itSypBHup">Optimize!$C$24</definedName>
    <definedName name="itSyphBHup">Optimize!$C$24</definedName>
    <definedName name="itSyphOHup">Optimize!$C$23</definedName>
    <definedName name="itSypMHup">Optimize!$C$22</definedName>
    <definedName name="itSypOHup">Optimize!$C$23</definedName>
    <definedName name="itTBFup">Optimize!$C$48</definedName>
    <definedName name="itTSDup">Optimize!$C$56</definedName>
    <definedName name="itTTup">Optimize!$C$5</definedName>
    <definedName name="itWSCup">Optimize!$C$6</definedName>
    <definedName name="jomgabbar">'Cooldowns Calc'!$AL$21</definedName>
    <definedName name="kings">'Gear &amp; Buffs'!$B$104</definedName>
    <definedName name="LegEnchantList">Legs!$X$40:$X$48</definedName>
    <definedName name="LegEnchantStats">Legs!$A$41:$T$48</definedName>
    <definedName name="LegsList">OFFSET(Legs!$X$2,0,0,COUNTIF(Legs!$X$2:$X$38,"?*"),1)</definedName>
    <definedName name="LegsStats">Legs!$A$2:$U$37</definedName>
    <definedName name="leth">Talents!$C$22</definedName>
    <definedName name="list1to4">Races!$O$3:$O$6</definedName>
    <definedName name="lookAgi">'Global Var'!$B$33</definedName>
    <definedName name="lookAP">'Global Var'!$B$34</definedName>
    <definedName name="lookArmor">'Global Var'!$B$38</definedName>
    <definedName name="lookAvgDmg">'Global Var'!$B$50</definedName>
    <definedName name="lookCrit">'Global Var'!$B$35</definedName>
    <definedName name="lookDef">'Global Var'!$B$43</definedName>
    <definedName name="lookDod">'Global Var'!$B$41</definedName>
    <definedName name="lookExp">'Global Var'!$B$39</definedName>
    <definedName name="lookHaste">'Global Var'!$B$37</definedName>
    <definedName name="lookHit">'Global Var'!$B$36</definedName>
    <definedName name="lookID">'Global Var'!$B$31</definedName>
    <definedName name="lookMaxDmg">'Global Var'!$B$49</definedName>
    <definedName name="lookMinDmg">'Global Var'!$B$48</definedName>
    <definedName name="lookName">'Global Var'!$B$29</definedName>
    <definedName name="lookPhase">'Global Var'!$B$30</definedName>
    <definedName name="lookRes">'Global Var'!$B$42</definedName>
    <definedName name="lookSet">'Global Var'!$B$44</definedName>
    <definedName name="lookSoc">'Global Var'!$B$45</definedName>
    <definedName name="lookSocBon">'Global Var'!$B$46</definedName>
    <definedName name="lookSource">'Global Var'!$B$47</definedName>
    <definedName name="lookSpeed">'Global Var'!$B$51</definedName>
    <definedName name="lookSta">'Global Var'!$B$40</definedName>
    <definedName name="lookStr">'Global Var'!$B$32</definedName>
    <definedName name="lookType">'Global Var'!$B$52</definedName>
    <definedName name="lostdp">Cycles!$W$13</definedName>
    <definedName name="mangle">'Gear &amp; Buffs'!$B$84</definedName>
    <definedName name="MetaSocketList">Socket!$Y$108:$Y$117</definedName>
    <definedName name="MetaSocketStats">Socket!$A$108:$X$117</definedName>
    <definedName name="mh">'Gear &amp; Buffs'!$B$10</definedName>
    <definedName name="MHatsec">'Damage Calc'!$F$2</definedName>
    <definedName name="MHavg">'Gear &amp; Buffs'!$V$10</definedName>
    <definedName name="MHcdam">'Damage Calc'!$D$2</definedName>
    <definedName name="MHcfact">'Damage Calc'!$Q$23</definedName>
    <definedName name="MHcrit">'Damage Calc'!$B$23</definedName>
    <definedName name="MHdam">'Damage Calc'!$B$2</definedName>
    <definedName name="MHdod">'Damage Calc'!$B$20</definedName>
    <definedName name="mhdps">'Damage Calc'!$I$2</definedName>
    <definedName name="MHEnchantList">'Weap Enchants'!$T$1:$T$12</definedName>
    <definedName name="MHEnchantStats">'Weap Enchants'!$A$2:$Q$12</definedName>
    <definedName name="MHgdam">'Damage Calc'!$C$2</definedName>
    <definedName name="MHgfact">'Damage Calc'!$Q$10</definedName>
    <definedName name="MHglan">'Damage Calc'!$B$22</definedName>
    <definedName name="MHhit">'Damage Calc'!$B$24</definedName>
    <definedName name="MHmiss">'Damage Calc'!$B$19</definedName>
    <definedName name="MHnorm">'Global Var'!$B$16</definedName>
    <definedName name="MHspd">'Gear &amp; Buffs'!$W$10</definedName>
    <definedName name="mhtemp">'Gear &amp; Buffs'!$B$12</definedName>
    <definedName name="MHTempEnchantList">'Weap Enchants'!$T$16:$T$29</definedName>
    <definedName name="MHTempEnchantStats">'Weap Enchants'!$A$17:$Q$29</definedName>
    <definedName name="mhtype">'Gear &amp; Buffs'!$X$10</definedName>
    <definedName name="MHWeaponList">OFFSET(Weapons!$AL$3,0,0,COUNTIF(Weapons!$AL$3:$AL$149,"?*"),1)</definedName>
    <definedName name="MHWeaponStats">Weapons!$A$2:$AE$148</definedName>
    <definedName name="misery">'Gear &amp; Buffs'!$B$88</definedName>
    <definedName name="miseryimp">'Gear &amp; Buffs'!$C$88</definedName>
    <definedName name="mobtype">Talents!$O$16</definedName>
    <definedName name="mpsn">'Weap Enchants'!$Z$2</definedName>
    <definedName name="mutilate">Talents!$C$37</definedName>
    <definedName name="nb2p">'Gear &amp; Buffs'!$X$30</definedName>
    <definedName name="nb4p">'Gear &amp; Buffs'!$X$31</definedName>
    <definedName name="Neck">'Gear &amp; Buffs'!$B$32</definedName>
    <definedName name="NeckList">OFFSET(Neck!$X$2,0,0,COUNTIF(Neck!$X$2:$X$38,"?*"),1)</definedName>
    <definedName name="NeckStats">Neck!$A$2:$U$37</definedName>
    <definedName name="NormDag">'Global Var'!$B$15</definedName>
    <definedName name="NormWeap">'Global Var'!$B$14</definedName>
    <definedName name="numPhysDps">'Gear &amp; Buffs'!$C$92</definedName>
    <definedName name="oh">'Gear &amp; Buffs'!$B$16</definedName>
    <definedName name="OHatsec">'Damage Calc'!$F$5</definedName>
    <definedName name="ohavg">'Gear &amp; Buffs'!$V$16</definedName>
    <definedName name="OHcdam">'Damage Calc'!$D$5</definedName>
    <definedName name="OHcfact">'Damage Calc'!$Q$24</definedName>
    <definedName name="OHcrit">'Damage Calc'!$D$23</definedName>
    <definedName name="OHdam">'Damage Calc'!$B$5</definedName>
    <definedName name="OHDamFact">'Global Var'!$B$13</definedName>
    <definedName name="OHdod">'Damage Calc'!$D$20</definedName>
    <definedName name="ohdps">'Damage Calc'!$I$5</definedName>
    <definedName name="OHEnchantList">'Weap Enchants'!$T$33:$T$44</definedName>
    <definedName name="OHEnchantStats">'Weap Enchants'!$A$34:$Q$44</definedName>
    <definedName name="OHgdam">'Damage Calc'!$C$5</definedName>
    <definedName name="OHglan">'Damage Calc'!$D$22</definedName>
    <definedName name="ohhit">'Damage Calc'!$D$25</definedName>
    <definedName name="OHhitt">'Damage Calc'!$D$24</definedName>
    <definedName name="OHmiss">'Damage Calc'!$D$19</definedName>
    <definedName name="OHnorm">'Global Var'!$B$17</definedName>
    <definedName name="ohspd">'Gear &amp; Buffs'!$W$16</definedName>
    <definedName name="ohtemp">'Gear &amp; Buffs'!$B$18</definedName>
    <definedName name="OHTempEnchantList">'Weap Enchants'!$T$48:$T$59</definedName>
    <definedName name="OHTempEnchantStats">'Weap Enchants'!$A$49:$Q$59</definedName>
    <definedName name="ohtype">'Gear &amp; Buffs'!$X$16</definedName>
    <definedName name="OHWeaponList">OFFSET(Weapons!$AL$154,0,0,COUNTIF(Weapons!$AL$154:$AL$312,"?*"),1)</definedName>
    <definedName name="OHWeaponStats">Weapons!$A$151:$AE$310</definedName>
    <definedName name="opp">Talents!$I$15</definedName>
    <definedName name="OptDPSadj">Optimize!$E$62</definedName>
    <definedName name="OptionBuilds">OFFSET(OptionBuilds!$A$1,2,0,MATCH("*",OptionBuilds!$A:$A,-1)-2,1)</definedName>
    <definedName name="optionyesno">Races!$Q$2:$Q$3</definedName>
    <definedName name="physicaldps">'Global Var'!$B$123</definedName>
    <definedName name="poison">'Global Var'!$B$112</definedName>
    <definedName name="Qrec">'Global Var'!$B$97</definedName>
    <definedName name="RacesList">Races!$A$2:$A$9</definedName>
    <definedName name="RacesStats">Races!$A$2:$M$9</definedName>
    <definedName name="raidcrit">'Damage Calc'!$U$14</definedName>
    <definedName name="RangedList">OFFSET(Ranged!$X$2,0,0,COUNTIF(Ranged!$X$2:$X$53,"?*"),1)</definedName>
    <definedName name="RangedStats">Ranged!$A$2:$S$52</definedName>
    <definedName name="relent">Talents!$C$20</definedName>
    <definedName name="RingEnchantList">Ring!$Y$60:$Y$63</definedName>
    <definedName name="RingEnchantStats">Ring!$A$61:$V$63</definedName>
    <definedName name="RingList">OFFSET(Ring!$Y$2,0,0,COUNTIF(Ring!$Y$2:$Y$58,"?*"),1)</definedName>
    <definedName name="RingStats">Ring!$A$2:$V$58</definedName>
    <definedName name="rnRWCmhUP">Optimize!$C$19</definedName>
    <definedName name="rupdmg">Cycles!$X$7</definedName>
    <definedName name="rupsec">Cycles!$Y$4</definedName>
    <definedName name="ruptup">Cycles!$Z$5</definedName>
    <definedName name="ruth">Talents!$C$17</definedName>
    <definedName name="sa">Talents!$F$37</definedName>
    <definedName name="scalling">'Global Var'!$B$94</definedName>
    <definedName name="Sealfate">'Global Var'!$B$96</definedName>
    <definedName name="serrb">Talents!$I$25</definedName>
    <definedName name="SetLat2p">'Gear &amp; Buffs'!$X$39</definedName>
    <definedName name="SetTB2p">'Gear &amp; Buffs'!$X$38</definedName>
    <definedName name="ShoulderEnchantList">Shoulder!$X$34:$X$42</definedName>
    <definedName name="ShoulderEnchantStats">Shoulder!$A$35:$V$42</definedName>
    <definedName name="ShoulderList">OFFSET(Shoulder!$X$2,0,0,COUNTIF(Shoulder!$X$2:$X$32,"?*"),1)</definedName>
    <definedName name="Shoulders">'Gear &amp; Buffs'!$B$35</definedName>
    <definedName name="ShoulderStats">Shoulder!$A$2:$U$31</definedName>
    <definedName name="skBSbdam">'Global Var'!$B$62</definedName>
    <definedName name="skBSmult">'Global Var'!$B$63</definedName>
    <definedName name="skHMult">'Global Var'!$B$66</definedName>
    <definedName name="skillrate">'Damage Calc'!$U$7</definedName>
    <definedName name="Slayer2">'Gear &amp; Buffs'!$X$36</definedName>
    <definedName name="Slayer2val">'Gear &amp; Buffs'!$Y$36</definedName>
    <definedName name="Slayer4">'Gear &amp; Buffs'!$X$37</definedName>
    <definedName name="Slayer4value">'Gear &amp; Buffs'!$Y$37</definedName>
    <definedName name="sndeec">Cycles!$J$4</definedName>
    <definedName name="sndeps">Cycles!$H$9</definedName>
    <definedName name="sndepsadj">Optimize!$C$61</definedName>
    <definedName name="sndfact">'Damage Calc'!$Q$37</definedName>
    <definedName name="sndmg">Cycles!$X$8</definedName>
    <definedName name="sndps">Cycles!$Y$8</definedName>
    <definedName name="sndsec">Cycles!$AB$13</definedName>
    <definedName name="sndup">Cycles!$Z$6</definedName>
    <definedName name="stSL4P">'Gear &amp; Buffs'!$X$37</definedName>
    <definedName name="stSL4pbn">'Global Var'!$B$57</definedName>
    <definedName name="stTwinUP">Optimize!$C$27</definedName>
    <definedName name="SW">'Gear &amp; Buffs'!$B$87</definedName>
    <definedName name="talDWSpec">Talents!$F$25</definedName>
    <definedName name="talDWSpecRate">'Global Var'!$B$75</definedName>
    <definedName name="TalentBuilds">OFFSET(TalentBuilds!$A$1,2,0,MATCH("*",TalentBuilds!$A:$A,-1)-2,1)</definedName>
    <definedName name="Talents0to1">Races!$O$2:$O$3</definedName>
    <definedName name="Talents0to2">Races!$O$2:$O$4</definedName>
    <definedName name="Talents0to3">Races!$O$2:$O$5</definedName>
    <definedName name="Talents0to4">Races!$O$2:$O$6</definedName>
    <definedName name="Talents0to5">Races!$O$2:$O$7</definedName>
    <definedName name="talSCallAgiBon">'Global Var'!$B$80</definedName>
    <definedName name="talSCallAgiMult">'Global Var'!$B$78</definedName>
    <definedName name="talSCallInstBon">'Global Var'!$B$79</definedName>
    <definedName name="talSCallInstMult">'Global Var'!$B$77</definedName>
    <definedName name="talSwSpc">Talents!$F$28</definedName>
    <definedName name="talSwSpcFac">'Global Var'!$B$71</definedName>
    <definedName name="talSwSpcRate">'Global Var'!$B$70</definedName>
    <definedName name="test">Ranged!$A$2:$A$52,Weapons!$A$2:$A$149</definedName>
    <definedName name="thunderfury">'Gear &amp; Buffs'!$B$91</definedName>
    <definedName name="thunderfurydps">Weapons!$AS$28</definedName>
    <definedName name="time">'Global Var'!$B$116</definedName>
    <definedName name="tlAGG">Talents!$F$32</definedName>
    <definedName name="tlAGGfac">'Global Var'!$B$92</definedName>
    <definedName name="tlBF">Talents!$F$27</definedName>
    <definedName name="tlMurder">Talents!$C$18</definedName>
    <definedName name="tlMURfac">'Global Var'!$B$83</definedName>
    <definedName name="tlOPP">Talents!$I$15</definedName>
    <definedName name="tlOPPfac">'Global Var'!$B$89</definedName>
    <definedName name="tlSA">Talents!$F$37</definedName>
    <definedName name="tlSAfac">'Global Var'!$B$86</definedName>
    <definedName name="tlSAfact">'Global Var'!$B$86</definedName>
    <definedName name="tlSC">Talents!$I$36</definedName>
    <definedName name="tlSCagi">'Global Var'!$B$80</definedName>
    <definedName name="tlSCall">Talents!$I$36</definedName>
    <definedName name="tlSCinst">'Global Var'!$B$79</definedName>
    <definedName name="tlSwS">Talents!$F$28</definedName>
    <definedName name="tlSwSea">'Global Var'!$B$71</definedName>
    <definedName name="tlSwSMH">'Global Var'!$B$72</definedName>
    <definedName name="tlSwSOH">'Global Var'!$B$73</definedName>
    <definedName name="tnbproc">Weapons!$AR$23</definedName>
    <definedName name="total120sIter">'Cooldowns Calc'!$J$603</definedName>
    <definedName name="total180sIter">'Cooldowns Calc'!$M$603</definedName>
    <definedName name="total60sIter">'Cooldowns Calc'!$D$603</definedName>
    <definedName name="total90sIter">'Cooldowns Calc'!$G$603</definedName>
    <definedName name="totalARIter">'Cooldowns Calc'!$P$604</definedName>
    <definedName name="totalARTicks">'Cooldowns Calc'!$P$603</definedName>
    <definedName name="totalTeaIter">'Cooldowns Calc'!$S$603</definedName>
    <definedName name="trinket1">'Gear &amp; Buffs'!$B$70</definedName>
    <definedName name="trinket120list">'Cooldowns Calc'!$AM$15:$AM$25</definedName>
    <definedName name="trinket180list">'Cooldowns Calc'!$AM$33:$AM$34</definedName>
    <definedName name="trinket2">'Gear &amp; Buffs'!$B$71</definedName>
    <definedName name="trinket60list">'Cooldowns Calc'!$AM$6:$AM$6</definedName>
    <definedName name="trinket90list">'Cooldowns Calc'!$AM$9:$AM$12</definedName>
    <definedName name="TrinketList">OFFSET(Trinket!$AB$2,0,0,COUNTIF(Trinket!$AB$2:$AB$40,"?*"),1)</definedName>
    <definedName name="TrinketStats">Trinket!$A$2:$Y$40</definedName>
    <definedName name="uAP">'Gear &amp; Buffs'!$I$78</definedName>
    <definedName name="ucrit">'Gear &amp; Buffs'!$E$6</definedName>
    <definedName name="udodge">'Gear &amp; Buffs'!$L$6</definedName>
    <definedName name="uHit">'Gear &amp; Buffs'!$H$78</definedName>
    <definedName name="uhp">'Gear &amp; Buffs'!$E$4</definedName>
    <definedName name="unlrage">'Gear &amp; Buffs'!$B$110</definedName>
    <definedName name="vigor">Talents!$C$33</definedName>
    <definedName name="vitality">Talents!$F$33</definedName>
    <definedName name="vp">'Global Var'!$B$104</definedName>
    <definedName name="weapontype">Weapons!$AQ$10:$AQ$14</definedName>
    <definedName name="ww4p">'Gear &amp; Buffs'!$X$35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232" i="30" l="1"/>
  <c r="AF233" i="30" s="1"/>
  <c r="AF237" i="30"/>
  <c r="AF239" i="30"/>
  <c r="AF241" i="30"/>
  <c r="AF242" i="30"/>
  <c r="AF243" i="30"/>
  <c r="AF245" i="30"/>
  <c r="AF248" i="30"/>
  <c r="AF251" i="30"/>
  <c r="AF252" i="30"/>
  <c r="AF254" i="30"/>
  <c r="AF255" i="30"/>
  <c r="AF257" i="30"/>
  <c r="AF258" i="30"/>
  <c r="AF264" i="30"/>
  <c r="AF265" i="30"/>
  <c r="AE232" i="30"/>
  <c r="AE234" i="30" s="1"/>
  <c r="AE233" i="30"/>
  <c r="AE237" i="30"/>
  <c r="AE239" i="30"/>
  <c r="AE241" i="30"/>
  <c r="AE242" i="30"/>
  <c r="AE243" i="30"/>
  <c r="AE245" i="30"/>
  <c r="AE248" i="30"/>
  <c r="AE251" i="30"/>
  <c r="AE252" i="30"/>
  <c r="V236" i="30"/>
  <c r="X236" i="30" s="1"/>
  <c r="U16" i="10"/>
  <c r="U274" i="11"/>
  <c r="H274" i="11"/>
  <c r="H275" i="11"/>
  <c r="H276" i="11"/>
  <c r="H277" i="11"/>
  <c r="H278" i="11"/>
  <c r="H279" i="11"/>
  <c r="H280" i="11"/>
  <c r="H281" i="11"/>
  <c r="H282" i="11"/>
  <c r="H283" i="11"/>
  <c r="H284" i="11"/>
  <c r="B122" i="34"/>
  <c r="B123" i="34" s="1"/>
  <c r="B114" i="34"/>
  <c r="AO140" i="11"/>
  <c r="AO141" i="11" s="1"/>
  <c r="AO142" i="11" s="1"/>
  <c r="AO143" i="11" s="1"/>
  <c r="AO144" i="11" s="1"/>
  <c r="AO145" i="11" s="1"/>
  <c r="AO146" i="11" s="1"/>
  <c r="AO147" i="11" s="1"/>
  <c r="AO148" i="11" s="1"/>
  <c r="AO149" i="11" s="1"/>
  <c r="AO150" i="11" s="1"/>
  <c r="H137" i="11"/>
  <c r="H138" i="11"/>
  <c r="H139" i="11"/>
  <c r="H140" i="11"/>
  <c r="H141" i="11"/>
  <c r="H142" i="11"/>
  <c r="H143" i="11"/>
  <c r="H144" i="11"/>
  <c r="H145" i="11"/>
  <c r="H146" i="11"/>
  <c r="H147" i="11"/>
  <c r="H148" i="11"/>
  <c r="H149" i="11"/>
  <c r="H150" i="11"/>
  <c r="H136" i="11"/>
  <c r="B121" i="34"/>
  <c r="B104" i="34"/>
  <c r="B120" i="34"/>
  <c r="L52" i="11"/>
  <c r="AB2" i="29"/>
  <c r="AF235" i="30" l="1"/>
  <c r="AF234" i="30"/>
  <c r="AE236" i="30"/>
  <c r="AE235" i="30"/>
  <c r="B110" i="34"/>
  <c r="AF236" i="30" l="1"/>
  <c r="AE238" i="30"/>
  <c r="F14" i="27"/>
  <c r="AF240" i="30" l="1"/>
  <c r="AF238" i="30"/>
  <c r="AF244" i="30" s="1"/>
  <c r="AE240" i="30"/>
  <c r="A282" i="30"/>
  <c r="A261" i="30"/>
  <c r="A211" i="30"/>
  <c r="A149" i="30"/>
  <c r="A120" i="30"/>
  <c r="A101" i="30"/>
  <c r="A55" i="30"/>
  <c r="X3" i="31"/>
  <c r="AB3" i="27"/>
  <c r="Y3" i="26"/>
  <c r="X3" i="25"/>
  <c r="X3" i="24"/>
  <c r="X3" i="23"/>
  <c r="X3" i="22"/>
  <c r="AD3" i="21"/>
  <c r="X3" i="20"/>
  <c r="X3" i="19"/>
  <c r="X3" i="18"/>
  <c r="X3" i="16"/>
  <c r="AC3" i="15"/>
  <c r="AB3" i="14"/>
  <c r="A78" i="14"/>
  <c r="A61" i="14"/>
  <c r="A46" i="14"/>
  <c r="A36" i="14"/>
  <c r="A20" i="14"/>
  <c r="A3" i="14"/>
  <c r="AF246" i="30" l="1"/>
  <c r="AE244" i="30"/>
  <c r="AE246" i="30"/>
  <c r="B119" i="34"/>
  <c r="AR21" i="30"/>
  <c r="AR23" i="30"/>
  <c r="AF27" i="27"/>
  <c r="AG27" i="27"/>
  <c r="AH27" i="27"/>
  <c r="AI27" i="27"/>
  <c r="AJ27" i="27"/>
  <c r="AK27" i="27"/>
  <c r="AL27" i="27"/>
  <c r="AM27" i="27"/>
  <c r="AN27" i="27"/>
  <c r="AO27" i="27"/>
  <c r="AP27" i="27"/>
  <c r="AQ27" i="27"/>
  <c r="AR27" i="27"/>
  <c r="AS27" i="27"/>
  <c r="AT27" i="27"/>
  <c r="AU27" i="27"/>
  <c r="AV27" i="27"/>
  <c r="AW27" i="27"/>
  <c r="AX27" i="27"/>
  <c r="AY27" i="27"/>
  <c r="D7" i="5"/>
  <c r="AF247" i="30" l="1"/>
  <c r="AE247" i="30"/>
  <c r="AX22" i="30"/>
  <c r="AX23" i="30"/>
  <c r="AX24" i="30" s="1"/>
  <c r="AZ22" i="30"/>
  <c r="AR24" i="30"/>
  <c r="C71" i="5"/>
  <c r="C70" i="5"/>
  <c r="C68" i="5"/>
  <c r="C66" i="5"/>
  <c r="C62" i="5"/>
  <c r="C57" i="5"/>
  <c r="C54" i="5"/>
  <c r="C50" i="5"/>
  <c r="C47" i="5"/>
  <c r="C42" i="5"/>
  <c r="C39" i="5"/>
  <c r="C35" i="5"/>
  <c r="C32" i="5"/>
  <c r="C26" i="5"/>
  <c r="C22" i="5"/>
  <c r="AF249" i="30" l="1"/>
  <c r="AF250" i="30" s="1"/>
  <c r="AF253" i="30" s="1"/>
  <c r="AF256" i="30" s="1"/>
  <c r="AF259" i="30" s="1"/>
  <c r="AF260" i="30" s="1"/>
  <c r="AF261" i="30" s="1"/>
  <c r="AF262" i="30" s="1"/>
  <c r="AE249" i="30"/>
  <c r="AE250" i="30" s="1"/>
  <c r="AZ23" i="30"/>
  <c r="AY26" i="30" s="1"/>
  <c r="AW21" i="30"/>
  <c r="AW22" i="30"/>
  <c r="AW23" i="30"/>
  <c r="AF263" i="30" l="1"/>
  <c r="AF266" i="30" s="1"/>
  <c r="AY25" i="30"/>
  <c r="H7" i="71" l="1"/>
  <c r="AL38" i="70"/>
  <c r="H12" i="71" s="1"/>
  <c r="J18" i="71"/>
  <c r="J13" i="71"/>
  <c r="J8" i="71"/>
  <c r="G28" i="71"/>
  <c r="G27" i="71"/>
  <c r="G25" i="71"/>
  <c r="G12" i="71"/>
  <c r="G10" i="71"/>
  <c r="D27" i="71"/>
  <c r="D26" i="71"/>
  <c r="D24" i="71"/>
  <c r="D11" i="71"/>
  <c r="D9" i="71"/>
  <c r="G3" i="71" l="1"/>
  <c r="E19" i="57" l="1"/>
  <c r="E21" i="57"/>
  <c r="E20" i="57"/>
  <c r="E11" i="57"/>
  <c r="E10" i="57"/>
  <c r="B118" i="34"/>
  <c r="W25" i="29" l="1"/>
  <c r="I285" i="30"/>
  <c r="I128" i="30"/>
  <c r="I127" i="30"/>
  <c r="I126" i="30"/>
  <c r="I123" i="30"/>
  <c r="I116" i="30"/>
  <c r="F28" i="30"/>
  <c r="E9" i="71" l="1"/>
  <c r="B117" i="34"/>
  <c r="AL39" i="70" s="1"/>
  <c r="AL27" i="70"/>
  <c r="AL35" i="70"/>
  <c r="I5" i="11"/>
  <c r="B115" i="34"/>
  <c r="AS35" i="70" l="1"/>
  <c r="O3" i="70" l="1"/>
  <c r="R3" i="70"/>
  <c r="B47" i="10"/>
  <c r="B107" i="34" l="1"/>
  <c r="B46" i="10" l="1"/>
  <c r="B45" i="10"/>
  <c r="V231" i="30" l="1"/>
  <c r="X231" i="30" s="1"/>
  <c r="V73" i="30"/>
  <c r="X73" i="30" s="1"/>
  <c r="AL21" i="70" l="1"/>
  <c r="AU21" i="70" s="1"/>
  <c r="AP21" i="70" l="1"/>
  <c r="AL37" i="70" l="1"/>
  <c r="I3" i="70"/>
  <c r="C3" i="70"/>
  <c r="F3" i="70"/>
  <c r="L3" i="70"/>
  <c r="AL41" i="70" l="1"/>
  <c r="AL29" i="70"/>
  <c r="AR29" i="70" s="1"/>
  <c r="AL30" i="70"/>
  <c r="AP30" i="70" s="1"/>
  <c r="B8" i="71"/>
  <c r="B23" i="71"/>
  <c r="E23" i="71"/>
  <c r="E24" i="71"/>
  <c r="AL28" i="70"/>
  <c r="E8" i="71"/>
  <c r="V3" i="70" l="1"/>
  <c r="W3" i="70" s="1"/>
  <c r="H17" i="71"/>
  <c r="AL16" i="70"/>
  <c r="AL24" i="70"/>
  <c r="AL22" i="70"/>
  <c r="AL33" i="70"/>
  <c r="AP24" i="70" l="1"/>
  <c r="AU24" i="70"/>
  <c r="AR22" i="70"/>
  <c r="AU22" i="70"/>
  <c r="AO16" i="70"/>
  <c r="AU16" i="70"/>
  <c r="AL25" i="70"/>
  <c r="AR28" i="70"/>
  <c r="AL26" i="70"/>
  <c r="AS26" i="70" s="1"/>
  <c r="AL34" i="70"/>
  <c r="AL23" i="70"/>
  <c r="AL20" i="70"/>
  <c r="AL19" i="70"/>
  <c r="AL18" i="70"/>
  <c r="AL17" i="70"/>
  <c r="AL15" i="70"/>
  <c r="AL12" i="70"/>
  <c r="AL11" i="70"/>
  <c r="AL10" i="70"/>
  <c r="AL9" i="70"/>
  <c r="AL6" i="70"/>
  <c r="F112" i="5"/>
  <c r="F101" i="5"/>
  <c r="I90" i="5"/>
  <c r="H140" i="5"/>
  <c r="AP25" i="70" l="1"/>
  <c r="AU25" i="70"/>
  <c r="AP19" i="70"/>
  <c r="AU19" i="70"/>
  <c r="AP6" i="70"/>
  <c r="AU6" i="70"/>
  <c r="AQ20" i="70"/>
  <c r="AU20" i="70"/>
  <c r="AP10" i="70"/>
  <c r="AU10" i="70"/>
  <c r="AP12" i="70"/>
  <c r="AU12" i="70"/>
  <c r="AP18" i="70"/>
  <c r="AU18" i="70"/>
  <c r="AP23" i="70"/>
  <c r="AU23" i="70"/>
  <c r="AP11" i="70"/>
  <c r="AU11" i="70"/>
  <c r="AR15" i="70"/>
  <c r="AU15" i="70"/>
  <c r="AP9" i="70"/>
  <c r="AU9" i="70"/>
  <c r="AP34" i="70"/>
  <c r="AU34" i="70"/>
  <c r="AP17" i="70"/>
  <c r="AU17" i="70"/>
  <c r="E108" i="5"/>
  <c r="G86" i="5"/>
  <c r="AV3" i="70" l="1"/>
  <c r="F14" i="26"/>
  <c r="AV32" i="70" l="1"/>
  <c r="AW32" i="70"/>
  <c r="AW8" i="70"/>
  <c r="AW14" i="70"/>
  <c r="AV5" i="70"/>
  <c r="AW5" i="70"/>
  <c r="AV14" i="70"/>
  <c r="AV8" i="70"/>
  <c r="B116" i="34"/>
  <c r="U20" i="10" s="1"/>
  <c r="AW24" i="30" l="1"/>
  <c r="AW25" i="30" s="1"/>
  <c r="AU3" i="70"/>
  <c r="P135" i="5"/>
  <c r="P136" i="5"/>
  <c r="I137" i="5"/>
  <c r="A3" i="70"/>
  <c r="F24" i="27"/>
  <c r="F20" i="27"/>
  <c r="J23" i="27"/>
  <c r="F10" i="27"/>
  <c r="F12" i="27"/>
  <c r="F3" i="27"/>
  <c r="F19" i="27"/>
  <c r="F13" i="27"/>
  <c r="F36" i="27"/>
  <c r="F32" i="27"/>
  <c r="I25" i="27"/>
  <c r="F11" i="27"/>
  <c r="F8" i="27"/>
  <c r="F28" i="27"/>
  <c r="I2" i="27"/>
  <c r="F34" i="27"/>
  <c r="E6" i="27"/>
  <c r="AW26" i="30" l="1"/>
  <c r="AX27" i="30" s="1"/>
  <c r="P3" i="70"/>
  <c r="A4" i="70"/>
  <c r="J3" i="70"/>
  <c r="M3" i="70"/>
  <c r="G3" i="70"/>
  <c r="S3" i="70"/>
  <c r="X3" i="70"/>
  <c r="V4" i="70" s="1"/>
  <c r="W4" i="70" s="1"/>
  <c r="D3" i="70"/>
  <c r="AF3" i="30"/>
  <c r="AF152" i="30"/>
  <c r="AF153" i="30" s="1"/>
  <c r="AE152" i="30"/>
  <c r="AE153" i="30" s="1"/>
  <c r="AE154" i="30" s="1"/>
  <c r="AF151" i="30"/>
  <c r="AF2" i="30"/>
  <c r="AE3" i="30"/>
  <c r="AE4" i="30" s="1"/>
  <c r="B7" i="34"/>
  <c r="AS28" i="30" s="1"/>
  <c r="AL4" i="30" l="1"/>
  <c r="AL3" i="30"/>
  <c r="AL154" i="30"/>
  <c r="AL155" i="30"/>
  <c r="AF4" i="30"/>
  <c r="AF5" i="30" s="1"/>
  <c r="AF6" i="30" s="1"/>
  <c r="N4" i="70"/>
  <c r="O4" i="70" s="1"/>
  <c r="P4" i="70" s="1"/>
  <c r="N5" i="70" s="1"/>
  <c r="Q4" i="70"/>
  <c r="R4" i="70" s="1"/>
  <c r="S4" i="70" s="1"/>
  <c r="Q5" i="70" s="1"/>
  <c r="B4" i="70"/>
  <c r="C4" i="70" s="1"/>
  <c r="D4" i="70" s="1"/>
  <c r="B5" i="70" s="1"/>
  <c r="C5" i="70" s="1"/>
  <c r="E4" i="70"/>
  <c r="F4" i="70" s="1"/>
  <c r="G4" i="70" s="1"/>
  <c r="H4" i="70"/>
  <c r="I4" i="70" s="1"/>
  <c r="J4" i="70" s="1"/>
  <c r="H5" i="70" s="1"/>
  <c r="K4" i="70"/>
  <c r="L4" i="70" s="1"/>
  <c r="M4" i="70" s="1"/>
  <c r="A5" i="70"/>
  <c r="X4" i="70"/>
  <c r="V5" i="70" s="1"/>
  <c r="W5" i="70" s="1"/>
  <c r="AF154" i="30"/>
  <c r="AF155" i="30" s="1"/>
  <c r="AF156" i="30" s="1"/>
  <c r="AE5" i="30"/>
  <c r="AE6" i="30" s="1"/>
  <c r="AE155" i="30"/>
  <c r="AE156" i="30" s="1"/>
  <c r="AL156" i="30" l="1"/>
  <c r="AL5" i="30"/>
  <c r="AL157" i="30"/>
  <c r="R5" i="70"/>
  <c r="S5" i="70" s="1"/>
  <c r="K5" i="70"/>
  <c r="L5" i="70" s="1"/>
  <c r="M5" i="70" s="1"/>
  <c r="E5" i="70"/>
  <c r="F5" i="70" s="1"/>
  <c r="G5" i="70" s="1"/>
  <c r="A6" i="70"/>
  <c r="A7" i="70" s="1"/>
  <c r="X5" i="70"/>
  <c r="V6" i="70" s="1"/>
  <c r="W6" i="70" s="1"/>
  <c r="O5" i="70"/>
  <c r="P5" i="70" s="1"/>
  <c r="I5" i="70"/>
  <c r="D5" i="70"/>
  <c r="AE7" i="30"/>
  <c r="AE8" i="30" s="1"/>
  <c r="AE9" i="30" s="1"/>
  <c r="AF7" i="30"/>
  <c r="AF8" i="30" s="1"/>
  <c r="AF157" i="30"/>
  <c r="AE157" i="30"/>
  <c r="AE158" i="30" s="1"/>
  <c r="AE159" i="30" s="1"/>
  <c r="AE160" i="30" s="1"/>
  <c r="B8" i="34"/>
  <c r="M26" i="16"/>
  <c r="AL6" i="30" l="1"/>
  <c r="X6" i="70"/>
  <c r="V7" i="70" s="1"/>
  <c r="W7" i="70" s="1"/>
  <c r="X7" i="70" s="1"/>
  <c r="V8" i="70" s="1"/>
  <c r="W8" i="70" s="1"/>
  <c r="U9" i="10"/>
  <c r="U10" i="10"/>
  <c r="U2" i="10"/>
  <c r="G6" i="62"/>
  <c r="U12" i="10"/>
  <c r="K6" i="70"/>
  <c r="L6" i="70" s="1"/>
  <c r="M6" i="70" s="1"/>
  <c r="Q6" i="70"/>
  <c r="R6" i="70" s="1"/>
  <c r="S6" i="70" s="1"/>
  <c r="N6" i="70"/>
  <c r="O6" i="70" s="1"/>
  <c r="P6" i="70" s="1"/>
  <c r="E6" i="70"/>
  <c r="F6" i="70" s="1"/>
  <c r="G6" i="70" s="1"/>
  <c r="E7" i="70" s="1"/>
  <c r="F7" i="70" s="1"/>
  <c r="G7" i="70" s="1"/>
  <c r="E8" i="70" s="1"/>
  <c r="B6" i="70"/>
  <c r="C6" i="70" s="1"/>
  <c r="D6" i="70" s="1"/>
  <c r="B7" i="70" s="1"/>
  <c r="C7" i="70" s="1"/>
  <c r="C4" i="29"/>
  <c r="A8" i="70"/>
  <c r="C36" i="29"/>
  <c r="AP27" i="70"/>
  <c r="B5" i="34"/>
  <c r="B6" i="34"/>
  <c r="J5" i="70"/>
  <c r="AF9" i="30"/>
  <c r="AF10" i="30" s="1"/>
  <c r="AF158" i="30"/>
  <c r="AE161" i="30"/>
  <c r="AE10" i="30"/>
  <c r="AE11" i="30" s="1"/>
  <c r="AE284" i="30"/>
  <c r="AE285" i="30" s="1"/>
  <c r="AE286" i="30" s="1"/>
  <c r="AE282" i="30"/>
  <c r="AE263" i="30"/>
  <c r="AE261" i="30"/>
  <c r="AE213" i="30"/>
  <c r="AE211" i="30"/>
  <c r="AE122" i="30"/>
  <c r="AE120" i="30"/>
  <c r="AE103" i="30"/>
  <c r="AE101" i="30"/>
  <c r="AE57" i="30"/>
  <c r="AE55" i="30"/>
  <c r="V2" i="31"/>
  <c r="V3" i="31" s="1"/>
  <c r="Z2" i="27"/>
  <c r="W2" i="26"/>
  <c r="V2" i="25"/>
  <c r="V41" i="24"/>
  <c r="V2" i="24"/>
  <c r="V2" i="23"/>
  <c r="V2" i="22"/>
  <c r="AB33" i="21"/>
  <c r="AB2" i="21"/>
  <c r="AB3" i="21" s="1"/>
  <c r="V2" i="20"/>
  <c r="V2" i="19"/>
  <c r="V35" i="18"/>
  <c r="V36" i="18" s="1"/>
  <c r="V2" i="18"/>
  <c r="V2" i="16"/>
  <c r="Z35" i="15"/>
  <c r="AA34" i="15"/>
  <c r="AA35" i="15" s="1"/>
  <c r="AA36" i="15" s="1"/>
  <c r="Z34" i="15"/>
  <c r="AA2" i="15"/>
  <c r="Z39" i="15"/>
  <c r="Z38" i="15"/>
  <c r="Z37" i="15"/>
  <c r="Z36" i="15"/>
  <c r="V41" i="19"/>
  <c r="V42" i="19" s="1"/>
  <c r="V43" i="19" s="1"/>
  <c r="V44" i="19" s="1"/>
  <c r="V45" i="19" s="1"/>
  <c r="V40" i="20"/>
  <c r="V41" i="20" s="1"/>
  <c r="V41" i="22"/>
  <c r="V42" i="22" s="1"/>
  <c r="V37" i="25"/>
  <c r="W63" i="26"/>
  <c r="W61" i="26"/>
  <c r="W62" i="26" s="1"/>
  <c r="AL7" i="30" l="1"/>
  <c r="U5" i="10"/>
  <c r="M7" i="62" s="1"/>
  <c r="U3" i="10"/>
  <c r="U7" i="10"/>
  <c r="U4" i="10"/>
  <c r="U8" i="10"/>
  <c r="U6" i="10"/>
  <c r="H5" i="62" s="1"/>
  <c r="H6" i="70"/>
  <c r="I6" i="70" s="1"/>
  <c r="Q7" i="70"/>
  <c r="R7" i="70" s="1"/>
  <c r="S7" i="70" s="1"/>
  <c r="Q8" i="70" s="1"/>
  <c r="R8" i="70" s="1"/>
  <c r="S8" i="70" s="1"/>
  <c r="N7" i="70"/>
  <c r="O7" i="70" s="1"/>
  <c r="P7" i="70" s="1"/>
  <c r="K7" i="70"/>
  <c r="L7" i="70" s="1"/>
  <c r="M7" i="70" s="1"/>
  <c r="X8" i="70"/>
  <c r="V9" i="70" s="1"/>
  <c r="W9" i="70" s="1"/>
  <c r="A9" i="70"/>
  <c r="F8" i="70"/>
  <c r="G8" i="70" s="1"/>
  <c r="E9" i="70" s="1"/>
  <c r="AE214" i="30"/>
  <c r="AE215" i="30" s="1"/>
  <c r="Z3" i="27"/>
  <c r="Z4" i="27" s="1"/>
  <c r="AE58" i="30"/>
  <c r="AE59" i="30" s="1"/>
  <c r="H114" i="5"/>
  <c r="D7" i="70"/>
  <c r="AE264" i="30"/>
  <c r="AE265" i="30" s="1"/>
  <c r="AE266" i="30" s="1"/>
  <c r="AE104" i="30"/>
  <c r="AE105" i="30" s="1"/>
  <c r="AF11" i="30"/>
  <c r="AE123" i="30"/>
  <c r="AE124" i="30" s="1"/>
  <c r="AF159" i="30"/>
  <c r="AE162" i="30"/>
  <c r="AE163" i="30" s="1"/>
  <c r="AE164" i="30" s="1"/>
  <c r="AE12" i="30"/>
  <c r="W3" i="26"/>
  <c r="W4" i="26" s="1"/>
  <c r="W5" i="26" s="1"/>
  <c r="V3" i="16"/>
  <c r="V4" i="16" s="1"/>
  <c r="V43" i="22"/>
  <c r="V44" i="22" s="1"/>
  <c r="V42" i="20"/>
  <c r="V43" i="20" s="1"/>
  <c r="V44" i="20" s="1"/>
  <c r="V3" i="25"/>
  <c r="V4" i="31"/>
  <c r="V5" i="31" s="1"/>
  <c r="AA37" i="15"/>
  <c r="AA38" i="15" s="1"/>
  <c r="AB34" i="21"/>
  <c r="AB35" i="21" s="1"/>
  <c r="AB36" i="21" s="1"/>
  <c r="V3" i="22"/>
  <c r="V4" i="22" s="1"/>
  <c r="V3" i="24"/>
  <c r="V38" i="25"/>
  <c r="AA3" i="15"/>
  <c r="AA4" i="15" s="1"/>
  <c r="AE287" i="30"/>
  <c r="V3" i="18"/>
  <c r="V3" i="20"/>
  <c r="AB4" i="21"/>
  <c r="V3" i="19"/>
  <c r="V3" i="23"/>
  <c r="V42" i="24"/>
  <c r="AL8" i="30" l="1"/>
  <c r="AF12" i="30"/>
  <c r="Q9" i="70"/>
  <c r="R9" i="70" s="1"/>
  <c r="S9" i="70" s="1"/>
  <c r="N8" i="70"/>
  <c r="O8" i="70" s="1"/>
  <c r="P8" i="70" s="1"/>
  <c r="N9" i="70" s="1"/>
  <c r="O9" i="70" s="1"/>
  <c r="P9" i="70" s="1"/>
  <c r="B8" i="70"/>
  <c r="C8" i="70" s="1"/>
  <c r="D8" i="70" s="1"/>
  <c r="B9" i="70" s="1"/>
  <c r="C9" i="70" s="1"/>
  <c r="K8" i="70"/>
  <c r="L8" i="70" s="1"/>
  <c r="M8" i="70" s="1"/>
  <c r="P107" i="5"/>
  <c r="X9" i="70"/>
  <c r="V10" i="70" s="1"/>
  <c r="W10" i="70" s="1"/>
  <c r="A10" i="70"/>
  <c r="F9" i="70"/>
  <c r="G9" i="70" s="1"/>
  <c r="E10" i="70" s="1"/>
  <c r="AE216" i="30"/>
  <c r="AF160" i="30"/>
  <c r="AF161" i="30" s="1"/>
  <c r="Z5" i="27"/>
  <c r="AE60" i="30"/>
  <c r="J6" i="70"/>
  <c r="V45" i="20"/>
  <c r="AE267" i="30"/>
  <c r="AE268" i="30" s="1"/>
  <c r="AE13" i="30"/>
  <c r="AE125" i="30"/>
  <c r="AE126" i="30" s="1"/>
  <c r="AE106" i="30"/>
  <c r="AE165" i="30"/>
  <c r="AE166" i="30" s="1"/>
  <c r="V5" i="16"/>
  <c r="V6" i="16" s="1"/>
  <c r="V7" i="16" s="1"/>
  <c r="V4" i="24"/>
  <c r="V5" i="24" s="1"/>
  <c r="V6" i="24" s="1"/>
  <c r="W6" i="26"/>
  <c r="V4" i="25"/>
  <c r="V5" i="25" s="1"/>
  <c r="V43" i="24"/>
  <c r="V44" i="24" s="1"/>
  <c r="V6" i="31"/>
  <c r="V4" i="18"/>
  <c r="V5" i="18" s="1"/>
  <c r="V6" i="18" s="1"/>
  <c r="AB37" i="21"/>
  <c r="V39" i="25"/>
  <c r="V40" i="25" s="1"/>
  <c r="V4" i="20"/>
  <c r="V5" i="20" s="1"/>
  <c r="V6" i="20" s="1"/>
  <c r="AB5" i="21"/>
  <c r="AB6" i="21" s="1"/>
  <c r="AA5" i="15"/>
  <c r="V4" i="19"/>
  <c r="V4" i="23"/>
  <c r="AE288" i="30"/>
  <c r="V5" i="22"/>
  <c r="AE14" i="30" l="1"/>
  <c r="AF13" i="30"/>
  <c r="AF14" i="30" s="1"/>
  <c r="H7" i="70"/>
  <c r="I7" i="70" s="1"/>
  <c r="Q10" i="70"/>
  <c r="R10" i="70" s="1"/>
  <c r="S10" i="70" s="1"/>
  <c r="N10" i="70"/>
  <c r="O10" i="70" s="1"/>
  <c r="P10" i="70" s="1"/>
  <c r="K9" i="70"/>
  <c r="L9" i="70" s="1"/>
  <c r="M9" i="70" s="1"/>
  <c r="X10" i="70"/>
  <c r="V11" i="70" s="1"/>
  <c r="W11" i="70" s="1"/>
  <c r="A11" i="70"/>
  <c r="F10" i="70"/>
  <c r="G10" i="70" s="1"/>
  <c r="E11" i="70" s="1"/>
  <c r="AE217" i="30"/>
  <c r="Z6" i="27"/>
  <c r="Z7" i="27" s="1"/>
  <c r="AE61" i="30"/>
  <c r="D9" i="70"/>
  <c r="AE127" i="30"/>
  <c r="AE128" i="30" s="1"/>
  <c r="AE129" i="30" s="1"/>
  <c r="AE107" i="30"/>
  <c r="AE108" i="30" s="1"/>
  <c r="AE109" i="30" s="1"/>
  <c r="AE110" i="30" s="1"/>
  <c r="AE111" i="30" s="1"/>
  <c r="AE112" i="30" s="1"/>
  <c r="AE113" i="30" s="1"/>
  <c r="AE269" i="30"/>
  <c r="AF162" i="30"/>
  <c r="AE167" i="30"/>
  <c r="AE168" i="30" s="1"/>
  <c r="AE169" i="30" s="1"/>
  <c r="AE15" i="30"/>
  <c r="V8" i="16"/>
  <c r="V41" i="25"/>
  <c r="V45" i="24"/>
  <c r="V46" i="24" s="1"/>
  <c r="V47" i="24" s="1"/>
  <c r="V6" i="22"/>
  <c r="V7" i="22" s="1"/>
  <c r="V5" i="23"/>
  <c r="V5" i="19"/>
  <c r="V7" i="18"/>
  <c r="V8" i="18" s="1"/>
  <c r="AA6" i="15"/>
  <c r="AA7" i="15" s="1"/>
  <c r="AE289" i="30"/>
  <c r="AE290" i="30" s="1"/>
  <c r="AB7" i="21"/>
  <c r="AB8" i="21" s="1"/>
  <c r="V6" i="25"/>
  <c r="V7" i="20"/>
  <c r="V7" i="31"/>
  <c r="W7" i="26"/>
  <c r="W8" i="26" s="1"/>
  <c r="V7" i="24"/>
  <c r="AE218" i="30" l="1"/>
  <c r="Q11" i="70"/>
  <c r="R11" i="70" s="1"/>
  <c r="S11" i="70" s="1"/>
  <c r="N11" i="70"/>
  <c r="O11" i="70" s="1"/>
  <c r="P11" i="70" s="1"/>
  <c r="B10" i="70"/>
  <c r="C10" i="70" s="1"/>
  <c r="D10" i="70" s="1"/>
  <c r="B11" i="70" s="1"/>
  <c r="C11" i="70" s="1"/>
  <c r="K10" i="70"/>
  <c r="L10" i="70" s="1"/>
  <c r="M10" i="70" s="1"/>
  <c r="X11" i="70"/>
  <c r="V12" i="70" s="1"/>
  <c r="W12" i="70" s="1"/>
  <c r="A12" i="70"/>
  <c r="F11" i="70"/>
  <c r="G11" i="70" s="1"/>
  <c r="E12" i="70" s="1"/>
  <c r="Z8" i="27"/>
  <c r="AE62" i="30"/>
  <c r="J7" i="70"/>
  <c r="H8" i="70" s="1"/>
  <c r="AE270" i="30"/>
  <c r="AE271" i="30" s="1"/>
  <c r="AE272" i="30" s="1"/>
  <c r="AE273" i="30" s="1"/>
  <c r="V42" i="25"/>
  <c r="V43" i="25" s="1"/>
  <c r="AE130" i="30"/>
  <c r="AE131" i="30" s="1"/>
  <c r="AF15" i="30"/>
  <c r="AE114" i="30"/>
  <c r="AE115" i="30" s="1"/>
  <c r="AF163" i="30"/>
  <c r="AE170" i="30"/>
  <c r="AE171" i="30" s="1"/>
  <c r="AE16" i="30"/>
  <c r="AE17" i="30" s="1"/>
  <c r="AE18" i="30" s="1"/>
  <c r="AE19" i="30" s="1"/>
  <c r="AE20" i="30" s="1"/>
  <c r="AE21" i="30" s="1"/>
  <c r="AE22" i="30" s="1"/>
  <c r="AE23" i="30" s="1"/>
  <c r="AE24" i="30" s="1"/>
  <c r="AE25" i="30" s="1"/>
  <c r="AE26" i="30" s="1"/>
  <c r="AE27" i="30" s="1"/>
  <c r="AE28" i="30" s="1"/>
  <c r="AE29" i="30" s="1"/>
  <c r="AE30" i="30" s="1"/>
  <c r="AE31" i="30" s="1"/>
  <c r="AE32" i="30" s="1"/>
  <c r="AE33" i="30" s="1"/>
  <c r="AE34" i="30" s="1"/>
  <c r="AE35" i="30" s="1"/>
  <c r="AE36" i="30" s="1"/>
  <c r="AE37" i="30" s="1"/>
  <c r="AE38" i="30" s="1"/>
  <c r="AE39" i="30" s="1"/>
  <c r="AE40" i="30" s="1"/>
  <c r="AE41" i="30" s="1"/>
  <c r="AE42" i="30" s="1"/>
  <c r="AE43" i="30" s="1"/>
  <c r="AE44" i="30" s="1"/>
  <c r="AE45" i="30" s="1"/>
  <c r="AE46" i="30" s="1"/>
  <c r="AE47" i="30" s="1"/>
  <c r="AE48" i="30" s="1"/>
  <c r="AE49" i="30" s="1"/>
  <c r="AE50" i="30" s="1"/>
  <c r="AE51" i="30" s="1"/>
  <c r="AE52" i="30" s="1"/>
  <c r="AE53" i="30" s="1"/>
  <c r="AE54" i="30" s="1"/>
  <c r="V9" i="16"/>
  <c r="AE291" i="30"/>
  <c r="AE292" i="30" s="1"/>
  <c r="V9" i="18"/>
  <c r="V10" i="18" s="1"/>
  <c r="V11" i="18" s="1"/>
  <c r="W9" i="26"/>
  <c r="V8" i="22"/>
  <c r="AA8" i="15"/>
  <c r="V6" i="23"/>
  <c r="V8" i="31"/>
  <c r="V8" i="20"/>
  <c r="AB9" i="21"/>
  <c r="AB10" i="21" s="1"/>
  <c r="V8" i="24"/>
  <c r="V9" i="24" s="1"/>
  <c r="V7" i="25"/>
  <c r="V6" i="19"/>
  <c r="AE219" i="30" l="1"/>
  <c r="Q12" i="70"/>
  <c r="R12" i="70" s="1"/>
  <c r="S12" i="70" s="1"/>
  <c r="N12" i="70"/>
  <c r="O12" i="70" s="1"/>
  <c r="P12" i="70" s="1"/>
  <c r="K11" i="70"/>
  <c r="L11" i="70" s="1"/>
  <c r="M11" i="70" s="1"/>
  <c r="X12" i="70"/>
  <c r="V13" i="70" s="1"/>
  <c r="W13" i="70" s="1"/>
  <c r="A13" i="70"/>
  <c r="F12" i="70"/>
  <c r="G12" i="70" s="1"/>
  <c r="E13" i="70" s="1"/>
  <c r="Z9" i="27"/>
  <c r="AE63" i="30"/>
  <c r="I8" i="70"/>
  <c r="D11" i="70"/>
  <c r="AE172" i="30"/>
  <c r="AE173" i="30" s="1"/>
  <c r="AE174" i="30" s="1"/>
  <c r="AE175" i="30" s="1"/>
  <c r="AE176" i="30" s="1"/>
  <c r="AE177" i="30" s="1"/>
  <c r="AE178" i="30" s="1"/>
  <c r="AE179" i="30" s="1"/>
  <c r="AE180" i="30" s="1"/>
  <c r="AE181" i="30" s="1"/>
  <c r="AE182" i="30" s="1"/>
  <c r="AE183" i="30" s="1"/>
  <c r="AE184" i="30" s="1"/>
  <c r="AE185" i="30" s="1"/>
  <c r="AE186" i="30" s="1"/>
  <c r="AE187" i="30" s="1"/>
  <c r="AE188" i="30" s="1"/>
  <c r="AE189" i="30" s="1"/>
  <c r="AE190" i="30" s="1"/>
  <c r="AE191" i="30" s="1"/>
  <c r="AE192" i="30" s="1"/>
  <c r="AE193" i="30" s="1"/>
  <c r="AE194" i="30" s="1"/>
  <c r="AE195" i="30" s="1"/>
  <c r="AE196" i="30" s="1"/>
  <c r="AE197" i="30" s="1"/>
  <c r="AE198" i="30" s="1"/>
  <c r="AE199" i="30" s="1"/>
  <c r="AE200" i="30" s="1"/>
  <c r="AE201" i="30" s="1"/>
  <c r="AE202" i="30" s="1"/>
  <c r="AE203" i="30" s="1"/>
  <c r="AE204" i="30" s="1"/>
  <c r="AE205" i="30" s="1"/>
  <c r="AE206" i="30" s="1"/>
  <c r="AE207" i="30" s="1"/>
  <c r="AE208" i="30" s="1"/>
  <c r="AE209" i="30" s="1"/>
  <c r="AF16" i="30"/>
  <c r="AF164" i="30"/>
  <c r="AE132" i="30"/>
  <c r="AE133" i="30" s="1"/>
  <c r="AE134" i="30" s="1"/>
  <c r="AE135" i="30" s="1"/>
  <c r="AE136" i="30" s="1"/>
  <c r="AE137" i="30" s="1"/>
  <c r="AE138" i="30" s="1"/>
  <c r="AE139" i="30" s="1"/>
  <c r="AE140" i="30" s="1"/>
  <c r="AE141" i="30" s="1"/>
  <c r="AE142" i="30" s="1"/>
  <c r="AE143" i="30" s="1"/>
  <c r="AE144" i="30" s="1"/>
  <c r="AE145" i="30" s="1"/>
  <c r="AE146" i="30" s="1"/>
  <c r="AE147" i="30" s="1"/>
  <c r="AE274" i="30"/>
  <c r="AE275" i="30" s="1"/>
  <c r="AE276" i="30" s="1"/>
  <c r="AE277" i="30" s="1"/>
  <c r="AE278" i="30" s="1"/>
  <c r="AE279" i="30" s="1"/>
  <c r="AE280" i="30" s="1"/>
  <c r="AE116" i="30"/>
  <c r="AE117" i="30" s="1"/>
  <c r="AE118" i="30" s="1"/>
  <c r="V10" i="16"/>
  <c r="V10" i="24"/>
  <c r="V11" i="24" s="1"/>
  <c r="V12" i="24" s="1"/>
  <c r="V8" i="25"/>
  <c r="V9" i="22"/>
  <c r="V10" i="22" s="1"/>
  <c r="V11" i="22" s="1"/>
  <c r="V7" i="19"/>
  <c r="V8" i="19" s="1"/>
  <c r="AA9" i="15"/>
  <c r="AA10" i="15" s="1"/>
  <c r="AE293" i="30"/>
  <c r="V9" i="31"/>
  <c r="V12" i="18"/>
  <c r="W10" i="26"/>
  <c r="V7" i="23"/>
  <c r="AB11" i="21"/>
  <c r="AB12" i="21" s="1"/>
  <c r="V9" i="20"/>
  <c r="AE220" i="30" l="1"/>
  <c r="Q13" i="70"/>
  <c r="R13" i="70" s="1"/>
  <c r="S13" i="70" s="1"/>
  <c r="N13" i="70"/>
  <c r="O13" i="70" s="1"/>
  <c r="P13" i="70" s="1"/>
  <c r="B12" i="70"/>
  <c r="C12" i="70" s="1"/>
  <c r="D12" i="70" s="1"/>
  <c r="B13" i="70" s="1"/>
  <c r="C13" i="70" s="1"/>
  <c r="K12" i="70"/>
  <c r="L12" i="70" s="1"/>
  <c r="M12" i="70" s="1"/>
  <c r="AE64" i="30"/>
  <c r="X13" i="70"/>
  <c r="V14" i="70" s="1"/>
  <c r="W14" i="70" s="1"/>
  <c r="A14" i="70"/>
  <c r="F13" i="70"/>
  <c r="G13" i="70" s="1"/>
  <c r="E14" i="70" s="1"/>
  <c r="Z10" i="27"/>
  <c r="Z11" i="27" s="1"/>
  <c r="Z12" i="27" s="1"/>
  <c r="Z13" i="27" s="1"/>
  <c r="Z14" i="27" s="1"/>
  <c r="Z15" i="27" s="1"/>
  <c r="Z16" i="27" s="1"/>
  <c r="Z17" i="27" s="1"/>
  <c r="Z18" i="27" s="1"/>
  <c r="Z19" i="27" s="1"/>
  <c r="Z20" i="27" s="1"/>
  <c r="Z21" i="27" s="1"/>
  <c r="Z22" i="27" s="1"/>
  <c r="Z23" i="27" s="1"/>
  <c r="J8" i="70"/>
  <c r="H9" i="70" s="1"/>
  <c r="AF17" i="30"/>
  <c r="AF165" i="30"/>
  <c r="V11" i="16"/>
  <c r="V12" i="16" s="1"/>
  <c r="V13" i="16" s="1"/>
  <c r="V14" i="16" s="1"/>
  <c r="V15" i="16" s="1"/>
  <c r="V13" i="24"/>
  <c r="V14" i="24" s="1"/>
  <c r="V13" i="18"/>
  <c r="V14" i="18" s="1"/>
  <c r="V15" i="18" s="1"/>
  <c r="V10" i="31"/>
  <c r="V11" i="31" s="1"/>
  <c r="V12" i="31" s="1"/>
  <c r="AE294" i="30"/>
  <c r="AE295" i="30" s="1"/>
  <c r="V9" i="19"/>
  <c r="V10" i="19" s="1"/>
  <c r="AB13" i="21"/>
  <c r="AB14" i="21" s="1"/>
  <c r="V9" i="25"/>
  <c r="V10" i="25" s="1"/>
  <c r="V8" i="23"/>
  <c r="V10" i="20"/>
  <c r="V11" i="20" s="1"/>
  <c r="V12" i="20" s="1"/>
  <c r="V13" i="20" s="1"/>
  <c r="V12" i="22"/>
  <c r="AA11" i="15"/>
  <c r="W11" i="26"/>
  <c r="AE221" i="30" l="1"/>
  <c r="AE65" i="30"/>
  <c r="AE66" i="30" s="1"/>
  <c r="AE67" i="30" s="1"/>
  <c r="AE68" i="30" s="1"/>
  <c r="AE69" i="30" s="1"/>
  <c r="AE70" i="30" s="1"/>
  <c r="AE71" i="30" s="1"/>
  <c r="AE72" i="30" s="1"/>
  <c r="AE73" i="30" s="1"/>
  <c r="AE74" i="30" s="1"/>
  <c r="AE75" i="30" s="1"/>
  <c r="AE76" i="30" s="1"/>
  <c r="AE77" i="30" s="1"/>
  <c r="AE78" i="30" s="1"/>
  <c r="AE79" i="30" s="1"/>
  <c r="AE80" i="30" s="1"/>
  <c r="AE81" i="30" s="1"/>
  <c r="AE82" i="30" s="1"/>
  <c r="AE83" i="30" s="1"/>
  <c r="AE84" i="30" s="1"/>
  <c r="AE85" i="30" s="1"/>
  <c r="AE86" i="30" s="1"/>
  <c r="AE87" i="30" s="1"/>
  <c r="AE88" i="30" s="1"/>
  <c r="AE89" i="30" s="1"/>
  <c r="AE90" i="30" s="1"/>
  <c r="AE91" i="30" s="1"/>
  <c r="AE92" i="30" s="1"/>
  <c r="AE93" i="30" s="1"/>
  <c r="AE94" i="30" s="1"/>
  <c r="AE95" i="30" s="1"/>
  <c r="AE96" i="30" s="1"/>
  <c r="AE97" i="30" s="1"/>
  <c r="AE98" i="30" s="1"/>
  <c r="AE99" i="30" s="1"/>
  <c r="AE100" i="30" s="1"/>
  <c r="Q14" i="70"/>
  <c r="R14" i="70" s="1"/>
  <c r="S14" i="70" s="1"/>
  <c r="N14" i="70"/>
  <c r="O14" i="70" s="1"/>
  <c r="P14" i="70" s="1"/>
  <c r="K13" i="70"/>
  <c r="L13" i="70" s="1"/>
  <c r="M13" i="70" s="1"/>
  <c r="X14" i="70"/>
  <c r="V15" i="70" s="1"/>
  <c r="W15" i="70" s="1"/>
  <c r="A15" i="70"/>
  <c r="F14" i="70"/>
  <c r="G14" i="70" s="1"/>
  <c r="E15" i="70" s="1"/>
  <c r="Z24" i="27"/>
  <c r="Z25" i="27" s="1"/>
  <c r="Z26" i="27" s="1"/>
  <c r="Z27" i="27" s="1"/>
  <c r="Z28" i="27" s="1"/>
  <c r="Z29" i="27" s="1"/>
  <c r="Z30" i="27" s="1"/>
  <c r="Z31" i="27" s="1"/>
  <c r="Z32" i="27" s="1"/>
  <c r="Z33" i="27" s="1"/>
  <c r="Z34" i="27" s="1"/>
  <c r="Z35" i="27" s="1"/>
  <c r="Z36" i="27" s="1"/>
  <c r="Z37" i="27" s="1"/>
  <c r="I9" i="70"/>
  <c r="D13" i="70"/>
  <c r="B14" i="70" s="1"/>
  <c r="C14" i="70" s="1"/>
  <c r="AF166" i="30"/>
  <c r="AF18" i="30"/>
  <c r="V16" i="16"/>
  <c r="V17" i="16" s="1"/>
  <c r="V14" i="20"/>
  <c r="V15" i="20" s="1"/>
  <c r="V16" i="20" s="1"/>
  <c r="V17" i="20" s="1"/>
  <c r="V18" i="20" s="1"/>
  <c r="V19" i="20" s="1"/>
  <c r="V20" i="20" s="1"/>
  <c r="V21" i="20" s="1"/>
  <c r="V22" i="20" s="1"/>
  <c r="V23" i="20" s="1"/>
  <c r="V24" i="20" s="1"/>
  <c r="V25" i="20" s="1"/>
  <c r="V26" i="20" s="1"/>
  <c r="V27" i="20" s="1"/>
  <c r="V28" i="20" s="1"/>
  <c r="V29" i="20" s="1"/>
  <c r="V15" i="24"/>
  <c r="V16" i="24" s="1"/>
  <c r="V17" i="24" s="1"/>
  <c r="V18" i="24" s="1"/>
  <c r="V19" i="24" s="1"/>
  <c r="V20" i="24" s="1"/>
  <c r="V21" i="24" s="1"/>
  <c r="V22" i="24" s="1"/>
  <c r="V23" i="24" s="1"/>
  <c r="V24" i="24" s="1"/>
  <c r="V25" i="24" s="1"/>
  <c r="V26" i="24" s="1"/>
  <c r="V27" i="24" s="1"/>
  <c r="V28" i="24" s="1"/>
  <c r="V29" i="24" s="1"/>
  <c r="V30" i="24" s="1"/>
  <c r="V31" i="24" s="1"/>
  <c r="V32" i="24" s="1"/>
  <c r="V33" i="24" s="1"/>
  <c r="V34" i="24" s="1"/>
  <c r="V35" i="24" s="1"/>
  <c r="V13" i="31"/>
  <c r="V14" i="31" s="1"/>
  <c r="V13" i="22"/>
  <c r="V9" i="23"/>
  <c r="AB15" i="21"/>
  <c r="AB16" i="21" s="1"/>
  <c r="AB17" i="21" s="1"/>
  <c r="AB18" i="21" s="1"/>
  <c r="AB19" i="21" s="1"/>
  <c r="AB20" i="21" s="1"/>
  <c r="AB21" i="21" s="1"/>
  <c r="AB22" i="21" s="1"/>
  <c r="AB23" i="21" s="1"/>
  <c r="AB24" i="21" s="1"/>
  <c r="AB25" i="21" s="1"/>
  <c r="AB26" i="21" s="1"/>
  <c r="AB27" i="21" s="1"/>
  <c r="AE296" i="30"/>
  <c r="AE297" i="30" s="1"/>
  <c r="AE298" i="30" s="1"/>
  <c r="AE299" i="30" s="1"/>
  <c r="V16" i="18"/>
  <c r="V17" i="18" s="1"/>
  <c r="V18" i="18" s="1"/>
  <c r="V19" i="18" s="1"/>
  <c r="V20" i="18" s="1"/>
  <c r="V21" i="18" s="1"/>
  <c r="V22" i="18" s="1"/>
  <c r="V23" i="18" s="1"/>
  <c r="V24" i="18" s="1"/>
  <c r="V25" i="18" s="1"/>
  <c r="V26" i="18" s="1"/>
  <c r="V27" i="18" s="1"/>
  <c r="V28" i="18" s="1"/>
  <c r="V29" i="18" s="1"/>
  <c r="V11" i="19"/>
  <c r="W12" i="26"/>
  <c r="AA12" i="15"/>
  <c r="AA13" i="15" s="1"/>
  <c r="AA14" i="15" s="1"/>
  <c r="AA15" i="15" s="1"/>
  <c r="AA16" i="15" s="1"/>
  <c r="AA17" i="15" s="1"/>
  <c r="AA18" i="15" s="1"/>
  <c r="AA19" i="15" s="1"/>
  <c r="AA20" i="15" s="1"/>
  <c r="AA21" i="15" s="1"/>
  <c r="AA22" i="15" s="1"/>
  <c r="AA23" i="15" s="1"/>
  <c r="AA24" i="15" s="1"/>
  <c r="AA25" i="15" s="1"/>
  <c r="AA26" i="15" s="1"/>
  <c r="AA27" i="15" s="1"/>
  <c r="AA28" i="15" s="1"/>
  <c r="V11" i="25"/>
  <c r="V12" i="25" s="1"/>
  <c r="V13" i="25" s="1"/>
  <c r="AE222" i="30" l="1"/>
  <c r="AE223" i="30" s="1"/>
  <c r="Q15" i="70"/>
  <c r="R15" i="70" s="1"/>
  <c r="S15" i="70" s="1"/>
  <c r="N15" i="70"/>
  <c r="O15" i="70" s="1"/>
  <c r="P15" i="70" s="1"/>
  <c r="K14" i="70"/>
  <c r="L14" i="70" s="1"/>
  <c r="M14" i="70" s="1"/>
  <c r="X15" i="70"/>
  <c r="V16" i="70" s="1"/>
  <c r="W16" i="70" s="1"/>
  <c r="A16" i="70"/>
  <c r="F15" i="70"/>
  <c r="G15" i="70" s="1"/>
  <c r="E16" i="70" s="1"/>
  <c r="J9" i="70"/>
  <c r="H10" i="70" s="1"/>
  <c r="D14" i="70"/>
  <c r="B15" i="70" s="1"/>
  <c r="C15" i="70" s="1"/>
  <c r="AE300" i="30"/>
  <c r="AE301" i="30" s="1"/>
  <c r="AE302" i="30" s="1"/>
  <c r="AE303" i="30" s="1"/>
  <c r="AE304" i="30" s="1"/>
  <c r="AE305" i="30" s="1"/>
  <c r="AE306" i="30" s="1"/>
  <c r="AE307" i="30" s="1"/>
  <c r="AE308" i="30" s="1"/>
  <c r="AE309" i="30" s="1"/>
  <c r="AF19" i="30"/>
  <c r="AF167" i="30"/>
  <c r="V18" i="16"/>
  <c r="V19" i="16" s="1"/>
  <c r="V20" i="16" s="1"/>
  <c r="V21" i="16" s="1"/>
  <c r="V22" i="16" s="1"/>
  <c r="V23" i="16" s="1"/>
  <c r="V24" i="16" s="1"/>
  <c r="V25" i="16" s="1"/>
  <c r="V26" i="16" s="1"/>
  <c r="V27" i="16" s="1"/>
  <c r="V28" i="16" s="1"/>
  <c r="V29" i="16" s="1"/>
  <c r="V30" i="16" s="1"/>
  <c r="V31" i="16" s="1"/>
  <c r="V32" i="16" s="1"/>
  <c r="V33" i="16" s="1"/>
  <c r="V34" i="16" s="1"/>
  <c r="V35" i="16" s="1"/>
  <c r="V36" i="16" s="1"/>
  <c r="V30" i="20"/>
  <c r="V31" i="20" s="1"/>
  <c r="V32" i="20" s="1"/>
  <c r="V33" i="20" s="1"/>
  <c r="V34" i="20" s="1"/>
  <c r="V15" i="31"/>
  <c r="V16" i="31" s="1"/>
  <c r="V17" i="31" s="1"/>
  <c r="V18" i="31" s="1"/>
  <c r="V14" i="25"/>
  <c r="V15" i="25" s="1"/>
  <c r="V16" i="25" s="1"/>
  <c r="V17" i="25" s="1"/>
  <c r="V18" i="25" s="1"/>
  <c r="V19" i="25" s="1"/>
  <c r="V20" i="25" s="1"/>
  <c r="V21" i="25" s="1"/>
  <c r="V22" i="25" s="1"/>
  <c r="V23" i="25" s="1"/>
  <c r="V24" i="25" s="1"/>
  <c r="V25" i="25" s="1"/>
  <c r="V26" i="25" s="1"/>
  <c r="V27" i="25" s="1"/>
  <c r="V28" i="25" s="1"/>
  <c r="V29" i="25" s="1"/>
  <c r="V30" i="25" s="1"/>
  <c r="V31" i="25" s="1"/>
  <c r="V12" i="19"/>
  <c r="V13" i="19" s="1"/>
  <c r="V14" i="19" s="1"/>
  <c r="V15" i="19" s="1"/>
  <c r="V16" i="19" s="1"/>
  <c r="V17" i="19" s="1"/>
  <c r="V18" i="19" s="1"/>
  <c r="V19" i="19" s="1"/>
  <c r="V20" i="19" s="1"/>
  <c r="V21" i="19" s="1"/>
  <c r="V22" i="19" s="1"/>
  <c r="V23" i="19" s="1"/>
  <c r="V24" i="19" s="1"/>
  <c r="V25" i="19" s="1"/>
  <c r="V26" i="19" s="1"/>
  <c r="V27" i="19" s="1"/>
  <c r="V28" i="19" s="1"/>
  <c r="V29" i="19" s="1"/>
  <c r="V30" i="19" s="1"/>
  <c r="V31" i="19" s="1"/>
  <c r="V32" i="19" s="1"/>
  <c r="V33" i="19" s="1"/>
  <c r="V34" i="19" s="1"/>
  <c r="V35" i="19" s="1"/>
  <c r="V10" i="23"/>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V14" i="22"/>
  <c r="V15" i="22" s="1"/>
  <c r="V16" i="22" s="1"/>
  <c r="V17" i="22" s="1"/>
  <c r="V18" i="22" s="1"/>
  <c r="V19" i="22" s="1"/>
  <c r="V20" i="22" s="1"/>
  <c r="V21" i="22" s="1"/>
  <c r="V22" i="22" s="1"/>
  <c r="V23" i="22" s="1"/>
  <c r="V24" i="22" s="1"/>
  <c r="V25" i="22" s="1"/>
  <c r="V26" i="22" s="1"/>
  <c r="V27" i="22" s="1"/>
  <c r="V28" i="22" s="1"/>
  <c r="V29" i="22" s="1"/>
  <c r="V30" i="22" s="1"/>
  <c r="V31" i="22" s="1"/>
  <c r="V32" i="22" s="1"/>
  <c r="V33" i="22" s="1"/>
  <c r="V34" i="22" s="1"/>
  <c r="V35" i="22" s="1"/>
  <c r="AE224" i="30" l="1"/>
  <c r="AE225" i="30" s="1"/>
  <c r="AE226" i="30" s="1"/>
  <c r="AE227" i="30" s="1"/>
  <c r="AE228" i="30" s="1"/>
  <c r="AE229" i="30" s="1"/>
  <c r="AE230" i="30" s="1"/>
  <c r="AE231" i="30" s="1"/>
  <c r="AE253" i="30" s="1"/>
  <c r="AE254" i="30" s="1"/>
  <c r="AE255" i="30" s="1"/>
  <c r="AE256" i="30" s="1"/>
  <c r="AE257" i="30" s="1"/>
  <c r="AE258" i="30" s="1"/>
  <c r="AE259" i="30" s="1"/>
  <c r="Q16" i="70"/>
  <c r="R16" i="70" s="1"/>
  <c r="S16" i="70" s="1"/>
  <c r="N16" i="70"/>
  <c r="O16" i="70" s="1"/>
  <c r="P16" i="70" s="1"/>
  <c r="K15" i="70"/>
  <c r="L15" i="70" s="1"/>
  <c r="M15" i="70" s="1"/>
  <c r="W35" i="26"/>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X16" i="70"/>
  <c r="V17" i="70" s="1"/>
  <c r="W17" i="70" s="1"/>
  <c r="A17" i="70"/>
  <c r="F16" i="70"/>
  <c r="G16" i="70" s="1"/>
  <c r="E17" i="70" s="1"/>
  <c r="I10" i="70"/>
  <c r="J10" i="70" s="1"/>
  <c r="H11" i="70" s="1"/>
  <c r="D15" i="70"/>
  <c r="B16" i="70" s="1"/>
  <c r="C16" i="70" s="1"/>
  <c r="AF168" i="30"/>
  <c r="AF20" i="30"/>
  <c r="V19" i="31"/>
  <c r="V20" i="31" s="1"/>
  <c r="V21" i="31" s="1"/>
  <c r="V22" i="31" s="1"/>
  <c r="V23" i="31" s="1"/>
  <c r="V24" i="31" s="1"/>
  <c r="V25" i="31" s="1"/>
  <c r="V26" i="31" s="1"/>
  <c r="V27" i="31" s="1"/>
  <c r="V28" i="31" s="1"/>
  <c r="V29" i="31" s="1"/>
  <c r="V30" i="31" s="1"/>
  <c r="V31" i="31" s="1"/>
  <c r="V32" i="31" s="1"/>
  <c r="V33" i="31" s="1"/>
  <c r="V34" i="31" s="1"/>
  <c r="V35" i="31" s="1"/>
  <c r="V36" i="31" s="1"/>
  <c r="V37" i="31" s="1"/>
  <c r="V38" i="31" s="1"/>
  <c r="V39" i="31" s="1"/>
  <c r="V40" i="31" s="1"/>
  <c r="V41" i="31" s="1"/>
  <c r="V42" i="31" s="1"/>
  <c r="V43" i="31" s="1"/>
  <c r="V44" i="31" s="1"/>
  <c r="V45" i="31" s="1"/>
  <c r="V46" i="31" s="1"/>
  <c r="V47" i="31" s="1"/>
  <c r="V48" i="31" s="1"/>
  <c r="V49" i="31" s="1"/>
  <c r="V50" i="31" s="1"/>
  <c r="V11" i="23"/>
  <c r="V12" i="23" s="1"/>
  <c r="V13" i="23" s="1"/>
  <c r="V14" i="23" s="1"/>
  <c r="V15" i="23" s="1"/>
  <c r="V16" i="23" s="1"/>
  <c r="Q17" i="70" l="1"/>
  <c r="R17" i="70" s="1"/>
  <c r="S17" i="70" s="1"/>
  <c r="N17" i="70"/>
  <c r="O17" i="70" s="1"/>
  <c r="P17" i="70" s="1"/>
  <c r="K16" i="70"/>
  <c r="L16" i="70" s="1"/>
  <c r="M16" i="70" s="1"/>
  <c r="X17" i="70"/>
  <c r="V18" i="70" s="1"/>
  <c r="W18" i="70" s="1"/>
  <c r="A18" i="70"/>
  <c r="F17" i="70"/>
  <c r="G17" i="70" s="1"/>
  <c r="E18" i="70" s="1"/>
  <c r="I11" i="70"/>
  <c r="D16" i="70"/>
  <c r="B17" i="70" s="1"/>
  <c r="C17" i="70" s="1"/>
  <c r="AF169" i="30"/>
  <c r="AF21" i="30"/>
  <c r="V18" i="23"/>
  <c r="V17" i="23"/>
  <c r="V19" i="23" s="1"/>
  <c r="Q18" i="70" l="1"/>
  <c r="R18" i="70" s="1"/>
  <c r="S18" i="70" s="1"/>
  <c r="N18" i="70"/>
  <c r="O18" i="70" s="1"/>
  <c r="P18" i="70" s="1"/>
  <c r="K17" i="70"/>
  <c r="L17" i="70" s="1"/>
  <c r="M17" i="70" s="1"/>
  <c r="X18" i="70"/>
  <c r="V19" i="70" s="1"/>
  <c r="W19" i="70" s="1"/>
  <c r="A19" i="70"/>
  <c r="F18" i="70"/>
  <c r="G18" i="70" s="1"/>
  <c r="E19" i="70" s="1"/>
  <c r="J11" i="70"/>
  <c r="H12" i="70" s="1"/>
  <c r="D17" i="70"/>
  <c r="B18" i="70" s="1"/>
  <c r="C18" i="70" s="1"/>
  <c r="AF22" i="30"/>
  <c r="AF170" i="30"/>
  <c r="V21" i="23"/>
  <c r="V20" i="23"/>
  <c r="Q19" i="70" l="1"/>
  <c r="R19" i="70" s="1"/>
  <c r="S19" i="70" s="1"/>
  <c r="N19" i="70"/>
  <c r="O19" i="70" s="1"/>
  <c r="P19" i="70" s="1"/>
  <c r="K18" i="70"/>
  <c r="L18" i="70" s="1"/>
  <c r="M18" i="70" s="1"/>
  <c r="X19" i="70"/>
  <c r="V20" i="70" s="1"/>
  <c r="W20" i="70" s="1"/>
  <c r="A20" i="70"/>
  <c r="F19" i="70"/>
  <c r="G19" i="70" s="1"/>
  <c r="E20" i="70" s="1"/>
  <c r="I12" i="70"/>
  <c r="D18" i="70"/>
  <c r="B19" i="70" s="1"/>
  <c r="C19" i="70" s="1"/>
  <c r="AF171" i="30"/>
  <c r="AF172" i="30" s="1"/>
  <c r="AF173" i="30" s="1"/>
  <c r="AF174" i="30" s="1"/>
  <c r="AF175" i="30" s="1"/>
  <c r="AF176" i="30" s="1"/>
  <c r="AF177" i="30" s="1"/>
  <c r="AF178" i="30" s="1"/>
  <c r="AF179" i="30" s="1"/>
  <c r="AF180" i="30" s="1"/>
  <c r="AF181" i="30" s="1"/>
  <c r="AF182" i="30" s="1"/>
  <c r="AF183" i="30" s="1"/>
  <c r="AF184" i="30" s="1"/>
  <c r="AF185" i="30" s="1"/>
  <c r="AF186" i="30" s="1"/>
  <c r="AF187" i="30" s="1"/>
  <c r="AF188" i="30" s="1"/>
  <c r="AF189" i="30" s="1"/>
  <c r="AF190" i="30" s="1"/>
  <c r="AF191" i="30" s="1"/>
  <c r="AF192" i="30" s="1"/>
  <c r="AF193" i="30" s="1"/>
  <c r="AF194" i="30" s="1"/>
  <c r="AF195" i="30" s="1"/>
  <c r="AF196" i="30" s="1"/>
  <c r="AF197" i="30" s="1"/>
  <c r="AF198" i="30" s="1"/>
  <c r="AF199" i="30" s="1"/>
  <c r="AF200" i="30" s="1"/>
  <c r="AF201" i="30" s="1"/>
  <c r="AF202" i="30" s="1"/>
  <c r="AF203" i="30" s="1"/>
  <c r="AF204" i="30" s="1"/>
  <c r="AF205" i="30" s="1"/>
  <c r="AF206" i="30" s="1"/>
  <c r="AF207" i="30" s="1"/>
  <c r="AF208" i="30" s="1"/>
  <c r="AF209" i="30" s="1"/>
  <c r="AF210" i="30" s="1"/>
  <c r="AF211" i="30" s="1"/>
  <c r="AF212" i="30" s="1"/>
  <c r="AF213" i="30" s="1"/>
  <c r="AF214" i="30" s="1"/>
  <c r="AF215" i="30" s="1"/>
  <c r="AF216" i="30" s="1"/>
  <c r="AF217" i="30" s="1"/>
  <c r="AF218" i="30" s="1"/>
  <c r="AF219" i="30" s="1"/>
  <c r="AF220" i="30" s="1"/>
  <c r="AF221" i="30" s="1"/>
  <c r="AF222" i="30" s="1"/>
  <c r="AF223" i="30" s="1"/>
  <c r="AF224" i="30" s="1"/>
  <c r="AF225" i="30" s="1"/>
  <c r="AF226" i="30" s="1"/>
  <c r="AF227" i="30" s="1"/>
  <c r="AF228" i="30" s="1"/>
  <c r="AF229" i="30" s="1"/>
  <c r="AF230" i="30" s="1"/>
  <c r="AF231" i="30" s="1"/>
  <c r="AF23" i="30"/>
  <c r="AF24" i="30" s="1"/>
  <c r="AF25" i="30" s="1"/>
  <c r="AF26" i="30" s="1"/>
  <c r="AF27" i="30" s="1"/>
  <c r="AF28" i="30" s="1"/>
  <c r="AF29" i="30" s="1"/>
  <c r="AF30" i="30" s="1"/>
  <c r="AF31" i="30" s="1"/>
  <c r="AF32" i="30" s="1"/>
  <c r="AF33" i="30" s="1"/>
  <c r="AF34" i="30" s="1"/>
  <c r="AF35" i="30" s="1"/>
  <c r="AF36" i="30" s="1"/>
  <c r="AF37" i="30" s="1"/>
  <c r="AF38" i="30" s="1"/>
  <c r="AF39" i="30" s="1"/>
  <c r="AF40" i="30" s="1"/>
  <c r="AF41" i="30" s="1"/>
  <c r="AF42" i="30" s="1"/>
  <c r="AF43" i="30" s="1"/>
  <c r="AF44" i="30" s="1"/>
  <c r="AF45" i="30" s="1"/>
  <c r="AF46" i="30" s="1"/>
  <c r="AF47" i="30" s="1"/>
  <c r="AF48" i="30" s="1"/>
  <c r="AF49" i="30" s="1"/>
  <c r="AF50" i="30" s="1"/>
  <c r="AF51" i="30" s="1"/>
  <c r="AF52" i="30" s="1"/>
  <c r="AF53" i="30" s="1"/>
  <c r="V22" i="23"/>
  <c r="V23" i="23" s="1"/>
  <c r="V24" i="23" s="1"/>
  <c r="V25" i="23" s="1"/>
  <c r="V26" i="23" s="1"/>
  <c r="V27" i="23" s="1"/>
  <c r="V28" i="23" s="1"/>
  <c r="V29" i="23" s="1"/>
  <c r="V30" i="23" s="1"/>
  <c r="V31" i="23" s="1"/>
  <c r="V32" i="23" s="1"/>
  <c r="V33" i="23" s="1"/>
  <c r="V34" i="23" s="1"/>
  <c r="V35" i="23" s="1"/>
  <c r="V36" i="23" s="1"/>
  <c r="Q20" i="70" l="1"/>
  <c r="R20" i="70" s="1"/>
  <c r="S20" i="70" s="1"/>
  <c r="N20" i="70"/>
  <c r="O20" i="70" s="1"/>
  <c r="P20" i="70" s="1"/>
  <c r="K19" i="70"/>
  <c r="L19" i="70" s="1"/>
  <c r="M19" i="70" s="1"/>
  <c r="X20" i="70"/>
  <c r="V21" i="70" s="1"/>
  <c r="W21" i="70" s="1"/>
  <c r="A21" i="70"/>
  <c r="F20" i="70"/>
  <c r="G20" i="70" s="1"/>
  <c r="E21" i="70" s="1"/>
  <c r="J12" i="70"/>
  <c r="H13" i="70" s="1"/>
  <c r="D19" i="70"/>
  <c r="B20" i="70" s="1"/>
  <c r="C20" i="70" s="1"/>
  <c r="AF54" i="30"/>
  <c r="AF55" i="30" s="1"/>
  <c r="AF56" i="30" s="1"/>
  <c r="AF57" i="30" s="1"/>
  <c r="AF58" i="30" s="1"/>
  <c r="AF59" i="30" s="1"/>
  <c r="AF60" i="30" s="1"/>
  <c r="AF61" i="30" s="1"/>
  <c r="AF62" i="30" s="1"/>
  <c r="AF63" i="30" s="1"/>
  <c r="AF64" i="30" s="1"/>
  <c r="AF65" i="30" s="1"/>
  <c r="AF66" i="30" s="1"/>
  <c r="AF67" i="30" s="1"/>
  <c r="AF68" i="30" s="1"/>
  <c r="AF69" i="30" s="1"/>
  <c r="AF70" i="30" s="1"/>
  <c r="AF71" i="30" s="1"/>
  <c r="AF72" i="30" s="1"/>
  <c r="AF73" i="30" s="1"/>
  <c r="AF74" i="30" s="1"/>
  <c r="AF75" i="30" s="1"/>
  <c r="AF76" i="30" s="1"/>
  <c r="AF77" i="30" s="1"/>
  <c r="AF78" i="30" s="1"/>
  <c r="AH5" i="27"/>
  <c r="AF5" i="27"/>
  <c r="Q21" i="70" l="1"/>
  <c r="R21" i="70" s="1"/>
  <c r="S21" i="70" s="1"/>
  <c r="N21" i="70"/>
  <c r="O21" i="70" s="1"/>
  <c r="P21" i="70" s="1"/>
  <c r="K20" i="70"/>
  <c r="L20" i="70" s="1"/>
  <c r="M20" i="70" s="1"/>
  <c r="X21" i="70"/>
  <c r="V22" i="70" s="1"/>
  <c r="W22" i="70" s="1"/>
  <c r="A22" i="70"/>
  <c r="F21" i="70"/>
  <c r="G21" i="70" s="1"/>
  <c r="E22" i="70" s="1"/>
  <c r="AF267" i="30"/>
  <c r="AF268" i="30" s="1"/>
  <c r="AF269" i="30" s="1"/>
  <c r="AF270" i="30" s="1"/>
  <c r="AF271" i="30" s="1"/>
  <c r="AF272" i="30" s="1"/>
  <c r="AF273" i="30" s="1"/>
  <c r="AF274" i="30" s="1"/>
  <c r="AF275" i="30" s="1"/>
  <c r="AF276" i="30" s="1"/>
  <c r="AF277" i="30" s="1"/>
  <c r="AF278" i="30" s="1"/>
  <c r="AF279" i="30" s="1"/>
  <c r="AF280" i="30" s="1"/>
  <c r="AF281" i="30" s="1"/>
  <c r="AF282" i="30" s="1"/>
  <c r="AF283" i="30" s="1"/>
  <c r="AF284" i="30" s="1"/>
  <c r="AF285" i="30" s="1"/>
  <c r="AF286" i="30" s="1"/>
  <c r="AF287" i="30" s="1"/>
  <c r="AF288" i="30" s="1"/>
  <c r="AF289" i="30" s="1"/>
  <c r="AF290" i="30" s="1"/>
  <c r="AF291" i="30" s="1"/>
  <c r="AF292" i="30" s="1"/>
  <c r="AF293" i="30" s="1"/>
  <c r="AF294" i="30" s="1"/>
  <c r="AF295" i="30" s="1"/>
  <c r="AF296" i="30" s="1"/>
  <c r="AF297" i="30" s="1"/>
  <c r="AF298" i="30" s="1"/>
  <c r="AF299" i="30" s="1"/>
  <c r="AF300" i="30" s="1"/>
  <c r="AF301" i="30" s="1"/>
  <c r="AF302" i="30" s="1"/>
  <c r="AF303" i="30" s="1"/>
  <c r="AF304" i="30" s="1"/>
  <c r="AF305" i="30" s="1"/>
  <c r="AF306" i="30" s="1"/>
  <c r="AF307" i="30" s="1"/>
  <c r="AF308" i="30" s="1"/>
  <c r="AF309" i="30" s="1"/>
  <c r="AF310" i="30" s="1"/>
  <c r="AF79" i="30"/>
  <c r="AF80" i="30" s="1"/>
  <c r="AF81" i="30" s="1"/>
  <c r="AF82" i="30" s="1"/>
  <c r="AF83" i="30" s="1"/>
  <c r="AF84" i="30" s="1"/>
  <c r="AF85" i="30" s="1"/>
  <c r="AF86" i="30" s="1"/>
  <c r="AF87" i="30" s="1"/>
  <c r="AF88" i="30" s="1"/>
  <c r="AF89" i="30" s="1"/>
  <c r="AF90" i="30" s="1"/>
  <c r="AF91" i="30" s="1"/>
  <c r="AF92" i="30" s="1"/>
  <c r="AF93" i="30" s="1"/>
  <c r="AF94" i="30" s="1"/>
  <c r="AF95" i="30" s="1"/>
  <c r="AF96" i="30" s="1"/>
  <c r="AF97" i="30" s="1"/>
  <c r="AF98" i="30" s="1"/>
  <c r="AF99" i="30" s="1"/>
  <c r="I13" i="70"/>
  <c r="D20" i="70"/>
  <c r="B21" i="70" s="1"/>
  <c r="C21" i="70" s="1"/>
  <c r="V162" i="30"/>
  <c r="X162" i="30" s="1"/>
  <c r="V163" i="30"/>
  <c r="X163" i="30" s="1"/>
  <c r="V11" i="30"/>
  <c r="X11" i="30" s="1"/>
  <c r="V161" i="30"/>
  <c r="X161" i="30" s="1"/>
  <c r="V10" i="30"/>
  <c r="X10" i="30" s="1"/>
  <c r="V156" i="30"/>
  <c r="X156" i="30" s="1"/>
  <c r="V7" i="30"/>
  <c r="X7" i="30" s="1"/>
  <c r="V152" i="30"/>
  <c r="X152" i="30" s="1"/>
  <c r="V153" i="30"/>
  <c r="X153" i="30" s="1"/>
  <c r="V4" i="30"/>
  <c r="X4" i="30" s="1"/>
  <c r="AL283" i="30" l="1"/>
  <c r="AL233" i="30"/>
  <c r="AL258" i="30"/>
  <c r="AL235" i="30"/>
  <c r="AL180" i="30"/>
  <c r="AL164" i="30"/>
  <c r="AL167" i="30"/>
  <c r="AL268" i="30"/>
  <c r="AL159" i="30"/>
  <c r="AL261" i="30"/>
  <c r="AL253" i="30"/>
  <c r="AL269" i="30"/>
  <c r="AL288" i="30"/>
  <c r="AL161" i="30"/>
  <c r="AL294" i="30"/>
  <c r="AL290" i="30"/>
  <c r="AL170" i="30"/>
  <c r="AL202" i="30"/>
  <c r="AL245" i="30"/>
  <c r="AL293" i="30"/>
  <c r="AL260" i="30"/>
  <c r="AL297" i="30"/>
  <c r="AL191" i="30"/>
  <c r="AL280" i="30"/>
  <c r="AL193" i="30"/>
  <c r="AL205" i="30"/>
  <c r="AL262" i="30"/>
  <c r="AL214" i="30"/>
  <c r="AL292" i="30"/>
  <c r="AL189" i="30"/>
  <c r="AL278" i="30"/>
  <c r="AL217" i="30"/>
  <c r="AL174" i="30"/>
  <c r="AL275" i="30"/>
  <c r="AL248" i="30"/>
  <c r="AL192" i="30"/>
  <c r="AL311" i="30"/>
  <c r="AL239" i="30"/>
  <c r="AL244" i="30"/>
  <c r="AL286" i="30"/>
  <c r="AL236" i="30"/>
  <c r="AL179" i="30"/>
  <c r="AL271" i="30"/>
  <c r="AL231" i="30"/>
  <c r="AL222" i="30"/>
  <c r="AL249" i="30"/>
  <c r="AL232" i="30"/>
  <c r="AL277" i="30"/>
  <c r="AL299" i="30"/>
  <c r="AL285" i="30"/>
  <c r="AL298" i="30"/>
  <c r="AL264" i="30"/>
  <c r="AL203" i="30"/>
  <c r="AL227" i="30"/>
  <c r="AL238" i="30"/>
  <c r="AL305" i="30"/>
  <c r="AL229" i="30"/>
  <c r="AL206" i="30"/>
  <c r="AL274" i="30"/>
  <c r="AL308" i="30"/>
  <c r="AL162" i="30"/>
  <c r="AL309" i="30"/>
  <c r="AL225" i="30"/>
  <c r="AL175" i="30"/>
  <c r="AL171" i="30"/>
  <c r="AL301" i="30"/>
  <c r="AL194" i="30"/>
  <c r="AL158" i="30"/>
  <c r="AL197" i="30"/>
  <c r="AL215" i="30"/>
  <c r="AL177" i="30"/>
  <c r="AL168" i="30"/>
  <c r="AL209" i="30"/>
  <c r="AL184" i="30"/>
  <c r="AL182" i="30"/>
  <c r="AL291" i="30"/>
  <c r="AL289" i="30"/>
  <c r="AL213" i="30"/>
  <c r="AL160" i="30"/>
  <c r="AL237" i="30"/>
  <c r="AL212" i="30"/>
  <c r="AL178" i="30"/>
  <c r="AL199" i="30"/>
  <c r="AL284" i="30"/>
  <c r="AL176" i="30"/>
  <c r="AL266" i="30"/>
  <c r="AL198" i="30"/>
  <c r="AL204" i="30"/>
  <c r="AL230" i="30"/>
  <c r="AL259" i="30"/>
  <c r="AL263" i="30"/>
  <c r="AL257" i="30"/>
  <c r="AL267" i="30"/>
  <c r="AL265" i="30"/>
  <c r="AL295" i="30"/>
  <c r="AL279" i="30"/>
  <c r="AL226" i="30"/>
  <c r="AL210" i="30"/>
  <c r="AL250" i="30"/>
  <c r="AL241" i="30"/>
  <c r="AL307" i="30"/>
  <c r="AL208" i="30"/>
  <c r="AL190" i="30"/>
  <c r="AL169" i="30"/>
  <c r="AL281" i="30"/>
  <c r="AL223" i="30"/>
  <c r="AL219" i="30"/>
  <c r="AL228" i="30"/>
  <c r="AL252" i="30"/>
  <c r="AL200" i="30"/>
  <c r="AL273" i="30"/>
  <c r="AL256" i="30"/>
  <c r="AL306" i="30"/>
  <c r="AL163" i="30"/>
  <c r="AL242" i="30"/>
  <c r="AL251" i="30"/>
  <c r="AL276" i="30"/>
  <c r="AL165" i="30"/>
  <c r="AL172" i="30"/>
  <c r="AL195" i="30"/>
  <c r="AL300" i="30"/>
  <c r="AL270" i="30"/>
  <c r="AL181" i="30"/>
  <c r="AL201" i="30"/>
  <c r="AL296" i="30"/>
  <c r="AL218" i="30"/>
  <c r="AL243" i="30"/>
  <c r="AL312" i="30"/>
  <c r="AL224" i="30"/>
  <c r="AL272" i="30"/>
  <c r="AL282" i="30"/>
  <c r="AL173" i="30"/>
  <c r="AL216" i="30"/>
  <c r="AL221" i="30"/>
  <c r="AL246" i="30"/>
  <c r="AL255" i="30"/>
  <c r="AL196" i="30"/>
  <c r="AL240" i="30"/>
  <c r="AL304" i="30"/>
  <c r="AL302" i="30"/>
  <c r="AL247" i="30"/>
  <c r="AL287" i="30"/>
  <c r="AL310" i="30"/>
  <c r="AL254" i="30"/>
  <c r="AL166" i="30"/>
  <c r="AL207" i="30"/>
  <c r="AL188" i="30"/>
  <c r="AL186" i="30"/>
  <c r="AL183" i="30"/>
  <c r="AL187" i="30"/>
  <c r="AL303" i="30"/>
  <c r="Q22" i="70"/>
  <c r="R22" i="70" s="1"/>
  <c r="S22" i="70" s="1"/>
  <c r="N22" i="70"/>
  <c r="O22" i="70" s="1"/>
  <c r="P22" i="70" s="1"/>
  <c r="K21" i="70"/>
  <c r="L21" i="70" s="1"/>
  <c r="M21" i="70" s="1"/>
  <c r="A23" i="70"/>
  <c r="X22" i="70"/>
  <c r="V23" i="70" s="1"/>
  <c r="W23" i="70" s="1"/>
  <c r="F22" i="70"/>
  <c r="G22" i="70" s="1"/>
  <c r="E23" i="70" s="1"/>
  <c r="J13" i="70"/>
  <c r="H14" i="70" s="1"/>
  <c r="D21" i="70"/>
  <c r="B22" i="70" s="1"/>
  <c r="C22" i="70" s="1"/>
  <c r="AF100" i="30"/>
  <c r="AF101" i="30" s="1"/>
  <c r="AF102" i="30" s="1"/>
  <c r="AF103" i="30" s="1"/>
  <c r="AF104" i="30" s="1"/>
  <c r="AF105" i="30" s="1"/>
  <c r="AF106" i="30" s="1"/>
  <c r="AF107" i="30" s="1"/>
  <c r="AF108" i="30" s="1"/>
  <c r="AF109" i="30" s="1"/>
  <c r="AF110" i="30" s="1"/>
  <c r="AF111" i="30" s="1"/>
  <c r="AF112" i="30" s="1"/>
  <c r="AF113" i="30" s="1"/>
  <c r="AF114" i="30" s="1"/>
  <c r="AF115" i="30" s="1"/>
  <c r="AF116" i="30" s="1"/>
  <c r="AF117" i="30" s="1"/>
  <c r="AF118" i="30" s="1"/>
  <c r="R50" i="29"/>
  <c r="R51" i="29" s="1"/>
  <c r="R52" i="29" s="1"/>
  <c r="D43" i="29"/>
  <c r="D11" i="29"/>
  <c r="R18" i="29"/>
  <c r="AD34" i="21"/>
  <c r="W4" i="14"/>
  <c r="Q23" i="70" l="1"/>
  <c r="R23" i="70" s="1"/>
  <c r="S23" i="70" s="1"/>
  <c r="N23" i="70"/>
  <c r="O23" i="70" s="1"/>
  <c r="P23" i="70" s="1"/>
  <c r="K22" i="70"/>
  <c r="L22" i="70" s="1"/>
  <c r="M22" i="70" s="1"/>
  <c r="X23" i="70"/>
  <c r="V24" i="70" s="1"/>
  <c r="W24" i="70" s="1"/>
  <c r="A24" i="70"/>
  <c r="F23" i="70"/>
  <c r="G23" i="70" s="1"/>
  <c r="E24" i="70" s="1"/>
  <c r="I14" i="70"/>
  <c r="D22" i="70"/>
  <c r="B23" i="70" s="1"/>
  <c r="C23" i="70" s="1"/>
  <c r="R19" i="29"/>
  <c r="R20" i="29" s="1"/>
  <c r="X41" i="20"/>
  <c r="R53" i="29"/>
  <c r="R54" i="29" s="1"/>
  <c r="X46" i="19"/>
  <c r="Q24" i="70" l="1"/>
  <c r="R24" i="70" s="1"/>
  <c r="S24" i="70" s="1"/>
  <c r="N24" i="70"/>
  <c r="O24" i="70" s="1"/>
  <c r="P24" i="70" s="1"/>
  <c r="K23" i="70"/>
  <c r="L23" i="70" s="1"/>
  <c r="M23" i="70" s="1"/>
  <c r="A25" i="70"/>
  <c r="X24" i="70"/>
  <c r="V25" i="70" s="1"/>
  <c r="W25" i="70" s="1"/>
  <c r="F24" i="70"/>
  <c r="G24" i="70" s="1"/>
  <c r="E25" i="70" s="1"/>
  <c r="J14" i="70"/>
  <c r="H15" i="70" s="1"/>
  <c r="D23" i="70"/>
  <c r="B24" i="70" s="1"/>
  <c r="C24" i="70" s="1"/>
  <c r="R21" i="29"/>
  <c r="AF119" i="30"/>
  <c r="AF120" i="30" s="1"/>
  <c r="AF121" i="30" s="1"/>
  <c r="X42" i="20"/>
  <c r="X43" i="20"/>
  <c r="X44" i="20"/>
  <c r="R55" i="29"/>
  <c r="AD35" i="21"/>
  <c r="X44" i="19"/>
  <c r="X45" i="19"/>
  <c r="X43" i="19"/>
  <c r="Q25" i="70" l="1"/>
  <c r="R25" i="70" s="1"/>
  <c r="S25" i="70" s="1"/>
  <c r="N25" i="70"/>
  <c r="O25" i="70" s="1"/>
  <c r="P25" i="70" s="1"/>
  <c r="K24" i="70"/>
  <c r="L24" i="70" s="1"/>
  <c r="M24" i="70" s="1"/>
  <c r="X25" i="70"/>
  <c r="V26" i="70" s="1"/>
  <c r="W26" i="70" s="1"/>
  <c r="A26" i="70"/>
  <c r="F25" i="70"/>
  <c r="G25" i="70" s="1"/>
  <c r="E26" i="70" s="1"/>
  <c r="I15" i="70"/>
  <c r="D24" i="70"/>
  <c r="B25" i="70" s="1"/>
  <c r="C25" i="70" s="1"/>
  <c r="R22" i="29"/>
  <c r="AF122" i="30"/>
  <c r="AF123" i="30" s="1"/>
  <c r="AF124" i="30" s="1"/>
  <c r="AF125" i="30" s="1"/>
  <c r="AF126" i="30" s="1"/>
  <c r="AF127" i="30" s="1"/>
  <c r="AF128" i="30" s="1"/>
  <c r="AF129" i="30" s="1"/>
  <c r="AF130" i="30" s="1"/>
  <c r="AF131" i="30" s="1"/>
  <c r="AF132" i="30" s="1"/>
  <c r="AF133" i="30" s="1"/>
  <c r="AF134" i="30" s="1"/>
  <c r="AF135" i="30" s="1"/>
  <c r="AF136" i="30" s="1"/>
  <c r="AF137" i="30" s="1"/>
  <c r="AF138" i="30" s="1"/>
  <c r="AF139" i="30" s="1"/>
  <c r="AF140" i="30" s="1"/>
  <c r="AF141" i="30" s="1"/>
  <c r="AF142" i="30" s="1"/>
  <c r="AF143" i="30" s="1"/>
  <c r="AF144" i="30" s="1"/>
  <c r="AF145" i="30" s="1"/>
  <c r="AF146" i="30" s="1"/>
  <c r="AF147" i="30" s="1"/>
  <c r="X46" i="20"/>
  <c r="R56" i="29"/>
  <c r="X45" i="20"/>
  <c r="AD38" i="21"/>
  <c r="AD36" i="21"/>
  <c r="AD37" i="21"/>
  <c r="R57" i="29" l="1"/>
  <c r="Q26" i="70"/>
  <c r="R26" i="70" s="1"/>
  <c r="S26" i="70" s="1"/>
  <c r="N26" i="70"/>
  <c r="O26" i="70" s="1"/>
  <c r="P26" i="70" s="1"/>
  <c r="K25" i="70"/>
  <c r="L25" i="70" s="1"/>
  <c r="M25" i="70" s="1"/>
  <c r="A27" i="70"/>
  <c r="X26" i="70"/>
  <c r="V27" i="70" s="1"/>
  <c r="W27" i="70" s="1"/>
  <c r="F26" i="70"/>
  <c r="G26" i="70" s="1"/>
  <c r="E27" i="70" s="1"/>
  <c r="J15" i="70"/>
  <c r="H16" i="70" s="1"/>
  <c r="D25" i="70"/>
  <c r="B26" i="70" s="1"/>
  <c r="C26" i="70" s="1"/>
  <c r="R23" i="29"/>
  <c r="AF148" i="30"/>
  <c r="R58" i="29"/>
  <c r="AL11" i="30" l="1"/>
  <c r="AL87" i="30"/>
  <c r="AL128" i="30"/>
  <c r="AL83" i="30"/>
  <c r="AL70" i="30"/>
  <c r="AL37" i="30"/>
  <c r="AL99" i="30"/>
  <c r="AL31" i="30"/>
  <c r="AL35" i="30"/>
  <c r="AL108" i="30"/>
  <c r="AL82" i="30"/>
  <c r="AL107" i="30"/>
  <c r="AL146" i="30"/>
  <c r="AL46" i="30"/>
  <c r="AL140" i="30"/>
  <c r="AL72" i="30"/>
  <c r="AL56" i="30"/>
  <c r="AL54" i="30"/>
  <c r="AL92" i="30"/>
  <c r="AL143" i="30"/>
  <c r="AL63" i="30"/>
  <c r="AL137" i="30"/>
  <c r="AL62" i="30"/>
  <c r="AL44" i="30"/>
  <c r="AL89" i="30"/>
  <c r="AL22" i="30"/>
  <c r="AL75" i="30"/>
  <c r="AL120" i="30"/>
  <c r="AL50" i="30"/>
  <c r="AL42" i="30"/>
  <c r="AL84" i="30"/>
  <c r="AL24" i="30"/>
  <c r="AL29" i="30"/>
  <c r="AL119" i="30"/>
  <c r="AL73" i="30"/>
  <c r="AL47" i="30"/>
  <c r="AL94" i="30"/>
  <c r="AL130" i="30"/>
  <c r="AL66" i="30"/>
  <c r="AL49" i="30"/>
  <c r="AL139" i="30"/>
  <c r="AL132" i="30"/>
  <c r="AL25" i="30"/>
  <c r="AL121" i="30"/>
  <c r="AL114" i="30"/>
  <c r="AL58" i="30"/>
  <c r="AL147" i="30"/>
  <c r="AL53" i="30"/>
  <c r="AL122" i="30"/>
  <c r="AL77" i="30"/>
  <c r="AL27" i="30"/>
  <c r="AL95" i="30"/>
  <c r="AL16" i="30"/>
  <c r="AL111" i="30"/>
  <c r="AL10" i="30"/>
  <c r="AL117" i="30"/>
  <c r="AL69" i="30"/>
  <c r="AL116" i="30"/>
  <c r="AL104" i="30"/>
  <c r="AL96" i="30"/>
  <c r="AL145" i="30"/>
  <c r="AL88" i="30"/>
  <c r="AL51" i="30"/>
  <c r="AL80" i="30"/>
  <c r="AL45" i="30"/>
  <c r="AL103" i="30"/>
  <c r="AL135" i="30"/>
  <c r="AL26" i="30"/>
  <c r="AL61" i="30"/>
  <c r="AL36" i="30"/>
  <c r="AL144" i="30"/>
  <c r="AL57" i="30"/>
  <c r="AL65" i="30"/>
  <c r="AL98" i="30"/>
  <c r="AL9" i="30"/>
  <c r="AL67" i="30"/>
  <c r="AL110" i="30"/>
  <c r="AL86" i="30"/>
  <c r="AL40" i="30"/>
  <c r="AL21" i="30"/>
  <c r="AL115" i="30"/>
  <c r="AL38" i="30"/>
  <c r="AL59" i="30"/>
  <c r="AL39" i="30"/>
  <c r="AL142" i="30"/>
  <c r="AL127" i="30"/>
  <c r="AL30" i="30"/>
  <c r="AL105" i="30"/>
  <c r="AL124" i="30"/>
  <c r="AL113" i="30"/>
  <c r="AL93" i="30"/>
  <c r="AL55" i="30"/>
  <c r="AL125" i="30"/>
  <c r="AL112" i="30"/>
  <c r="AL106" i="30"/>
  <c r="AL79" i="30"/>
  <c r="AL123" i="30"/>
  <c r="AL78" i="30"/>
  <c r="AL43" i="30"/>
  <c r="AL118" i="30"/>
  <c r="AL148" i="30"/>
  <c r="AL33" i="30"/>
  <c r="AL76" i="30"/>
  <c r="AL91" i="30"/>
  <c r="AL14" i="30"/>
  <c r="AL28" i="30"/>
  <c r="AL23" i="30"/>
  <c r="AL133" i="30"/>
  <c r="AL102" i="30"/>
  <c r="AL18" i="30"/>
  <c r="AL17" i="30"/>
  <c r="AL109" i="30"/>
  <c r="AL64" i="30"/>
  <c r="AL90" i="30"/>
  <c r="AL149" i="30"/>
  <c r="AL126" i="30"/>
  <c r="AL134" i="30"/>
  <c r="AL52" i="30"/>
  <c r="AL12" i="30"/>
  <c r="AL74" i="30"/>
  <c r="AL131" i="30"/>
  <c r="AL138" i="30"/>
  <c r="AL19" i="30"/>
  <c r="AL81" i="30"/>
  <c r="AL100" i="30"/>
  <c r="AL129" i="30"/>
  <c r="AL41" i="30"/>
  <c r="AL20" i="30"/>
  <c r="AL97" i="30"/>
  <c r="AL68" i="30"/>
  <c r="AL13" i="30"/>
  <c r="AL101" i="30"/>
  <c r="AL32" i="30"/>
  <c r="AL48" i="30"/>
  <c r="AL136" i="30"/>
  <c r="AL141" i="30"/>
  <c r="AL15" i="30"/>
  <c r="R24" i="29"/>
  <c r="Q27" i="70"/>
  <c r="R27" i="70" s="1"/>
  <c r="S27" i="70" s="1"/>
  <c r="N27" i="70"/>
  <c r="O27" i="70" s="1"/>
  <c r="P27" i="70" s="1"/>
  <c r="K26" i="70"/>
  <c r="L26" i="70" s="1"/>
  <c r="M26" i="70" s="1"/>
  <c r="X27" i="70"/>
  <c r="V28" i="70" s="1"/>
  <c r="W28" i="70" s="1"/>
  <c r="A28" i="70"/>
  <c r="F27" i="70"/>
  <c r="G27" i="70" s="1"/>
  <c r="E28" i="70" s="1"/>
  <c r="I16" i="70"/>
  <c r="D26" i="70"/>
  <c r="B27" i="70" s="1"/>
  <c r="C27" i="70" s="1"/>
  <c r="R27" i="29"/>
  <c r="R59" i="29"/>
  <c r="T57" i="29" s="1"/>
  <c r="T51" i="29" l="1"/>
  <c r="T58" i="29"/>
  <c r="R25" i="29"/>
  <c r="T53" i="29"/>
  <c r="T59" i="29"/>
  <c r="T52" i="29"/>
  <c r="T56" i="29"/>
  <c r="T50" i="29"/>
  <c r="T54" i="29"/>
  <c r="T55" i="29"/>
  <c r="Q28" i="70"/>
  <c r="R28" i="70" s="1"/>
  <c r="S28" i="70" s="1"/>
  <c r="N28" i="70"/>
  <c r="O28" i="70" s="1"/>
  <c r="P28" i="70" s="1"/>
  <c r="K27" i="70"/>
  <c r="L27" i="70" s="1"/>
  <c r="M27" i="70" s="1"/>
  <c r="A29" i="70"/>
  <c r="X28" i="70"/>
  <c r="V29" i="70" s="1"/>
  <c r="W29" i="70" s="1"/>
  <c r="F28" i="70"/>
  <c r="G28" i="70" s="1"/>
  <c r="E29" i="70" s="1"/>
  <c r="J16" i="70"/>
  <c r="H17" i="70" s="1"/>
  <c r="D27" i="70"/>
  <c r="B28" i="70" s="1"/>
  <c r="C28" i="70" s="1"/>
  <c r="AB28" i="21"/>
  <c r="AD4" i="21" s="1"/>
  <c r="R26" i="29" l="1"/>
  <c r="T26" i="29" s="1"/>
  <c r="T19" i="29"/>
  <c r="T24" i="29"/>
  <c r="T25" i="29"/>
  <c r="AD7" i="21"/>
  <c r="AD5" i="21"/>
  <c r="AD6" i="21"/>
  <c r="AD29" i="21"/>
  <c r="AD8" i="21"/>
  <c r="AD9" i="21"/>
  <c r="AD13" i="21"/>
  <c r="AD12" i="21"/>
  <c r="Q29" i="70"/>
  <c r="R29" i="70" s="1"/>
  <c r="S29" i="70" s="1"/>
  <c r="N29" i="70"/>
  <c r="O29" i="70" s="1"/>
  <c r="P29" i="70" s="1"/>
  <c r="K28" i="70"/>
  <c r="L28" i="70" s="1"/>
  <c r="M28" i="70" s="1"/>
  <c r="X29" i="70"/>
  <c r="V30" i="70" s="1"/>
  <c r="W30" i="70" s="1"/>
  <c r="A30" i="70"/>
  <c r="F29" i="70"/>
  <c r="G29" i="70" s="1"/>
  <c r="E30" i="70" s="1"/>
  <c r="D28" i="70"/>
  <c r="B29" i="70" s="1"/>
  <c r="C29" i="70" s="1"/>
  <c r="AD10" i="21"/>
  <c r="AD20" i="21"/>
  <c r="AD24" i="21"/>
  <c r="AD19" i="21"/>
  <c r="AD17" i="21"/>
  <c r="AD25" i="21"/>
  <c r="AD23" i="21"/>
  <c r="AD22" i="21"/>
  <c r="AD16" i="21"/>
  <c r="AD26" i="21"/>
  <c r="AD11" i="21"/>
  <c r="AD14" i="21"/>
  <c r="AD21" i="21"/>
  <c r="AD18" i="21"/>
  <c r="AD28" i="21"/>
  <c r="AD27" i="21"/>
  <c r="T23" i="29" l="1"/>
  <c r="R28" i="29"/>
  <c r="T22" i="29"/>
  <c r="T20" i="29"/>
  <c r="T18" i="29"/>
  <c r="T21" i="29"/>
  <c r="Q30" i="70"/>
  <c r="R30" i="70" s="1"/>
  <c r="S30" i="70" s="1"/>
  <c r="N30" i="70"/>
  <c r="O30" i="70" s="1"/>
  <c r="P30" i="70" s="1"/>
  <c r="K29" i="70"/>
  <c r="L29" i="70" s="1"/>
  <c r="M29" i="70" s="1"/>
  <c r="A31" i="70"/>
  <c r="X30" i="70"/>
  <c r="V31" i="70" s="1"/>
  <c r="W31" i="70" s="1"/>
  <c r="F30" i="70"/>
  <c r="G30" i="70" s="1"/>
  <c r="E31" i="70" s="1"/>
  <c r="I17" i="70"/>
  <c r="J17" i="70" s="1"/>
  <c r="H18" i="70" s="1"/>
  <c r="D29" i="70"/>
  <c r="B30" i="70" s="1"/>
  <c r="C30" i="70" s="1"/>
  <c r="W56" i="26"/>
  <c r="R29" i="29" l="1"/>
  <c r="T29" i="29" s="1"/>
  <c r="T27" i="29"/>
  <c r="Y7" i="26"/>
  <c r="Y4" i="26"/>
  <c r="Y5" i="26"/>
  <c r="W57" i="26"/>
  <c r="Y10" i="26" s="1"/>
  <c r="Q31" i="70"/>
  <c r="R31" i="70" s="1"/>
  <c r="S31" i="70" s="1"/>
  <c r="N31" i="70"/>
  <c r="O31" i="70" s="1"/>
  <c r="P31" i="70" s="1"/>
  <c r="K30" i="70"/>
  <c r="L30" i="70" s="1"/>
  <c r="M30" i="70" s="1"/>
  <c r="X31" i="70"/>
  <c r="V32" i="70" s="1"/>
  <c r="W32" i="70" s="1"/>
  <c r="A32" i="70"/>
  <c r="F31" i="70"/>
  <c r="G31" i="70" s="1"/>
  <c r="E32" i="70" s="1"/>
  <c r="I18" i="70"/>
  <c r="J18" i="70" s="1"/>
  <c r="H19" i="70" s="1"/>
  <c r="D30" i="70"/>
  <c r="B31" i="70" s="1"/>
  <c r="C31" i="70" s="1"/>
  <c r="T28" i="29" l="1"/>
  <c r="Y6" i="26"/>
  <c r="Y31" i="26"/>
  <c r="Y47" i="26"/>
  <c r="Y46" i="26"/>
  <c r="Y52" i="26"/>
  <c r="Y38" i="26"/>
  <c r="Y39" i="26"/>
  <c r="Y49" i="26"/>
  <c r="Y35" i="26"/>
  <c r="Y40" i="26"/>
  <c r="Y30" i="26"/>
  <c r="Y32" i="26"/>
  <c r="Y28" i="26"/>
  <c r="Y54" i="26"/>
  <c r="Y45" i="26"/>
  <c r="Y55" i="26"/>
  <c r="Y27" i="26"/>
  <c r="Y58" i="26"/>
  <c r="Y12" i="26"/>
  <c r="Y53" i="26"/>
  <c r="Y37" i="26"/>
  <c r="Y11" i="26"/>
  <c r="Y51" i="26"/>
  <c r="Y41" i="26"/>
  <c r="Y44" i="26"/>
  <c r="Y26" i="26"/>
  <c r="Y36" i="26"/>
  <c r="Y25" i="26"/>
  <c r="Y43" i="26"/>
  <c r="Y50" i="26"/>
  <c r="Y18" i="26"/>
  <c r="Y19" i="26"/>
  <c r="Y48" i="26"/>
  <c r="Y42" i="26"/>
  <c r="Y29" i="26"/>
  <c r="Y8" i="26"/>
  <c r="Y21" i="26"/>
  <c r="Y9" i="26"/>
  <c r="Y17" i="26"/>
  <c r="Y16" i="26"/>
  <c r="Y23" i="26"/>
  <c r="Y22" i="26"/>
  <c r="Y14" i="26"/>
  <c r="Y15" i="26"/>
  <c r="Y20" i="26"/>
  <c r="Y13" i="26"/>
  <c r="Y24" i="26"/>
  <c r="Q32" i="70"/>
  <c r="R32" i="70" s="1"/>
  <c r="S32" i="70" s="1"/>
  <c r="N32" i="70"/>
  <c r="O32" i="70" s="1"/>
  <c r="P32" i="70" s="1"/>
  <c r="K31" i="70"/>
  <c r="L31" i="70" s="1"/>
  <c r="M31" i="70" s="1"/>
  <c r="A33" i="70"/>
  <c r="X32" i="70"/>
  <c r="V33" i="70" s="1"/>
  <c r="W33" i="70" s="1"/>
  <c r="F32" i="70"/>
  <c r="G32" i="70" s="1"/>
  <c r="E33" i="70" s="1"/>
  <c r="I19" i="70"/>
  <c r="J19" i="70" s="1"/>
  <c r="H20" i="70" s="1"/>
  <c r="D31" i="70"/>
  <c r="B32" i="70" s="1"/>
  <c r="C32" i="70" s="1"/>
  <c r="R35" i="29"/>
  <c r="R3" i="29"/>
  <c r="Q33" i="70" l="1"/>
  <c r="R33" i="70" s="1"/>
  <c r="S33" i="70" s="1"/>
  <c r="N33" i="70"/>
  <c r="O33" i="70" s="1"/>
  <c r="P33" i="70" s="1"/>
  <c r="K32" i="70"/>
  <c r="L32" i="70" s="1"/>
  <c r="M32" i="70" s="1"/>
  <c r="X33" i="70"/>
  <c r="V34" i="70" s="1"/>
  <c r="W34" i="70" s="1"/>
  <c r="A34" i="70"/>
  <c r="F33" i="70"/>
  <c r="G33" i="70" s="1"/>
  <c r="E34" i="70" s="1"/>
  <c r="I20" i="70"/>
  <c r="D32" i="70"/>
  <c r="B33" i="70" s="1"/>
  <c r="C33" i="70" s="1"/>
  <c r="R4" i="29"/>
  <c r="R5" i="29" s="1"/>
  <c r="R6" i="29" s="1"/>
  <c r="R36" i="29"/>
  <c r="Q34" i="70" l="1"/>
  <c r="R34" i="70" s="1"/>
  <c r="S34" i="70" s="1"/>
  <c r="N34" i="70"/>
  <c r="O34" i="70" s="1"/>
  <c r="P34" i="70" s="1"/>
  <c r="K33" i="70"/>
  <c r="L33" i="70" s="1"/>
  <c r="M33" i="70" s="1"/>
  <c r="A35" i="70"/>
  <c r="X34" i="70"/>
  <c r="V35" i="70" s="1"/>
  <c r="W35" i="70" s="1"/>
  <c r="F34" i="70"/>
  <c r="G34" i="70" s="1"/>
  <c r="E35" i="70" s="1"/>
  <c r="J20" i="70"/>
  <c r="H21" i="70" s="1"/>
  <c r="D33" i="70"/>
  <c r="B34" i="70" s="1"/>
  <c r="C34" i="70" s="1"/>
  <c r="R7" i="29"/>
  <c r="R37" i="29"/>
  <c r="Y63" i="26"/>
  <c r="R29" i="15"/>
  <c r="Q35" i="70" l="1"/>
  <c r="R35" i="70" s="1"/>
  <c r="S35" i="70" s="1"/>
  <c r="N35" i="70"/>
  <c r="O35" i="70" s="1"/>
  <c r="P35" i="70" s="1"/>
  <c r="K34" i="70"/>
  <c r="L34" i="70" s="1"/>
  <c r="M34" i="70" s="1"/>
  <c r="X35" i="70"/>
  <c r="V36" i="70" s="1"/>
  <c r="W36" i="70" s="1"/>
  <c r="A36" i="70"/>
  <c r="F35" i="70"/>
  <c r="G35" i="70" s="1"/>
  <c r="E36" i="70" s="1"/>
  <c r="I21" i="70"/>
  <c r="D34" i="70"/>
  <c r="B35" i="70" s="1"/>
  <c r="C35" i="70" s="1"/>
  <c r="R38" i="29"/>
  <c r="R8" i="29"/>
  <c r="X4" i="16"/>
  <c r="X42" i="19"/>
  <c r="Y62" i="26"/>
  <c r="AC36" i="15"/>
  <c r="Q36" i="70" l="1"/>
  <c r="R36" i="70" s="1"/>
  <c r="S36" i="70" s="1"/>
  <c r="N36" i="70"/>
  <c r="O36" i="70" s="1"/>
  <c r="P36" i="70" s="1"/>
  <c r="K35" i="70"/>
  <c r="L35" i="70" s="1"/>
  <c r="M35" i="70" s="1"/>
  <c r="A37" i="70"/>
  <c r="X36" i="70"/>
  <c r="V37" i="70" s="1"/>
  <c r="W37" i="70" s="1"/>
  <c r="F36" i="70"/>
  <c r="G36" i="70" s="1"/>
  <c r="E37" i="70" s="1"/>
  <c r="J21" i="70"/>
  <c r="H22" i="70" s="1"/>
  <c r="D35" i="70"/>
  <c r="B36" i="70" s="1"/>
  <c r="C36" i="70" s="1"/>
  <c r="R39" i="29"/>
  <c r="R9" i="29"/>
  <c r="X6" i="16"/>
  <c r="X5" i="16"/>
  <c r="AC35" i="15"/>
  <c r="T3" i="29" l="1"/>
  <c r="Q37" i="70"/>
  <c r="R37" i="70" s="1"/>
  <c r="S37" i="70" s="1"/>
  <c r="N37" i="70"/>
  <c r="O37" i="70" s="1"/>
  <c r="P37" i="70" s="1"/>
  <c r="K36" i="70"/>
  <c r="L36" i="70" s="1"/>
  <c r="M36" i="70" s="1"/>
  <c r="X37" i="70"/>
  <c r="V38" i="70" s="1"/>
  <c r="W38" i="70" s="1"/>
  <c r="A38" i="70"/>
  <c r="F37" i="70"/>
  <c r="G37" i="70" s="1"/>
  <c r="E38" i="70" s="1"/>
  <c r="I22" i="70"/>
  <c r="D36" i="70"/>
  <c r="B37" i="70" s="1"/>
  <c r="C37" i="70" s="1"/>
  <c r="R10" i="29"/>
  <c r="R11" i="29" s="1"/>
  <c r="R12" i="29" s="1"/>
  <c r="T11" i="29" s="1"/>
  <c r="R40" i="29"/>
  <c r="X7" i="16"/>
  <c r="T4" i="29" l="1"/>
  <c r="T8" i="29"/>
  <c r="T5" i="29"/>
  <c r="T6" i="29"/>
  <c r="T7" i="29"/>
  <c r="T9" i="29"/>
  <c r="Q38" i="70"/>
  <c r="R38" i="70" s="1"/>
  <c r="S38" i="70" s="1"/>
  <c r="N38" i="70"/>
  <c r="O38" i="70" s="1"/>
  <c r="P38" i="70" s="1"/>
  <c r="K37" i="70"/>
  <c r="L37" i="70" s="1"/>
  <c r="M37" i="70" s="1"/>
  <c r="A39" i="70"/>
  <c r="X38" i="70"/>
  <c r="V39" i="70" s="1"/>
  <c r="W39" i="70" s="1"/>
  <c r="F38" i="70"/>
  <c r="G38" i="70" s="1"/>
  <c r="E39" i="70" s="1"/>
  <c r="J22" i="70"/>
  <c r="H23" i="70" s="1"/>
  <c r="D37" i="70"/>
  <c r="B38" i="70" s="1"/>
  <c r="C38" i="70" s="1"/>
  <c r="T10" i="29"/>
  <c r="T12" i="29"/>
  <c r="R41" i="29"/>
  <c r="AC39" i="15"/>
  <c r="Q39" i="70" l="1"/>
  <c r="R39" i="70" s="1"/>
  <c r="S39" i="70" s="1"/>
  <c r="N39" i="70"/>
  <c r="O39" i="70" s="1"/>
  <c r="P39" i="70" s="1"/>
  <c r="K38" i="70"/>
  <c r="L38" i="70" s="1"/>
  <c r="M38" i="70" s="1"/>
  <c r="X39" i="70"/>
  <c r="V40" i="70" s="1"/>
  <c r="W40" i="70" s="1"/>
  <c r="A40" i="70"/>
  <c r="F39" i="70"/>
  <c r="G39" i="70" s="1"/>
  <c r="E40" i="70" s="1"/>
  <c r="I23" i="70"/>
  <c r="D38" i="70"/>
  <c r="B39" i="70" s="1"/>
  <c r="C39" i="70" s="1"/>
  <c r="R42" i="29"/>
  <c r="X8" i="16"/>
  <c r="AC37" i="15"/>
  <c r="AC38" i="15"/>
  <c r="R43" i="29" l="1"/>
  <c r="R44" i="29" s="1"/>
  <c r="T39" i="29" s="1"/>
  <c r="Q40" i="70"/>
  <c r="R40" i="70" s="1"/>
  <c r="S40" i="70" s="1"/>
  <c r="N40" i="70"/>
  <c r="O40" i="70" s="1"/>
  <c r="P40" i="70" s="1"/>
  <c r="K39" i="70"/>
  <c r="L39" i="70" s="1"/>
  <c r="M39" i="70" s="1"/>
  <c r="A41" i="70"/>
  <c r="X40" i="70"/>
  <c r="V41" i="70" s="1"/>
  <c r="W41" i="70" s="1"/>
  <c r="F40" i="70"/>
  <c r="G40" i="70" s="1"/>
  <c r="E41" i="70" s="1"/>
  <c r="J23" i="70"/>
  <c r="H24" i="70" s="1"/>
  <c r="D39" i="70"/>
  <c r="B40" i="70" s="1"/>
  <c r="C40" i="70" s="1"/>
  <c r="AA29" i="15"/>
  <c r="V51" i="31"/>
  <c r="X4" i="31" l="1"/>
  <c r="X5" i="31"/>
  <c r="AC8" i="15"/>
  <c r="AC4" i="15"/>
  <c r="T35" i="29"/>
  <c r="T36" i="29"/>
  <c r="T37" i="29"/>
  <c r="T38" i="29"/>
  <c r="T40" i="29"/>
  <c r="X11" i="31"/>
  <c r="X6" i="31"/>
  <c r="AC9" i="15"/>
  <c r="X7" i="31"/>
  <c r="X9" i="31"/>
  <c r="X8" i="31"/>
  <c r="X10" i="31"/>
  <c r="AC5" i="15"/>
  <c r="AC6" i="15"/>
  <c r="AC7" i="15"/>
  <c r="Q41" i="70"/>
  <c r="R41" i="70" s="1"/>
  <c r="S41" i="70" s="1"/>
  <c r="N41" i="70"/>
  <c r="O41" i="70" s="1"/>
  <c r="P41" i="70" s="1"/>
  <c r="K40" i="70"/>
  <c r="L40" i="70" s="1"/>
  <c r="M40" i="70" s="1"/>
  <c r="X41" i="70"/>
  <c r="V42" i="70" s="1"/>
  <c r="W42" i="70" s="1"/>
  <c r="A42" i="70"/>
  <c r="F41" i="70"/>
  <c r="G41" i="70" s="1"/>
  <c r="E42" i="70" s="1"/>
  <c r="I24" i="70"/>
  <c r="D40" i="70"/>
  <c r="B41" i="70" s="1"/>
  <c r="C41" i="70" s="1"/>
  <c r="T41" i="29"/>
  <c r="T43" i="29"/>
  <c r="T44" i="29"/>
  <c r="T42" i="29"/>
  <c r="X45" i="31"/>
  <c r="X24" i="31"/>
  <c r="X51" i="31"/>
  <c r="X39" i="31"/>
  <c r="X22" i="31"/>
  <c r="X30" i="31"/>
  <c r="X48" i="31"/>
  <c r="X37" i="31"/>
  <c r="X20" i="31"/>
  <c r="X43" i="31"/>
  <c r="X21" i="31"/>
  <c r="X40" i="31"/>
  <c r="X41" i="31"/>
  <c r="X14" i="31"/>
  <c r="X17" i="31"/>
  <c r="X31" i="31"/>
  <c r="X18" i="31"/>
  <c r="X46" i="31"/>
  <c r="X12" i="31"/>
  <c r="X38" i="31"/>
  <c r="X44" i="31"/>
  <c r="X19" i="31"/>
  <c r="X16" i="31"/>
  <c r="X27" i="31"/>
  <c r="X13" i="31"/>
  <c r="X32" i="31"/>
  <c r="X23" i="31"/>
  <c r="X28" i="31"/>
  <c r="X52" i="31"/>
  <c r="X26" i="31"/>
  <c r="X25" i="31"/>
  <c r="X42" i="31"/>
  <c r="X47" i="31"/>
  <c r="X34" i="31"/>
  <c r="X36" i="31"/>
  <c r="X29" i="31"/>
  <c r="X15" i="31"/>
  <c r="X50" i="31"/>
  <c r="X49" i="31"/>
  <c r="X33" i="31"/>
  <c r="AC10" i="15"/>
  <c r="Q42" i="70" l="1"/>
  <c r="R42" i="70" s="1"/>
  <c r="S42" i="70" s="1"/>
  <c r="N42" i="70"/>
  <c r="O42" i="70" s="1"/>
  <c r="P42" i="70" s="1"/>
  <c r="K41" i="70"/>
  <c r="L41" i="70" s="1"/>
  <c r="M41" i="70" s="1"/>
  <c r="A43" i="70"/>
  <c r="X42" i="70"/>
  <c r="V43" i="70" s="1"/>
  <c r="W43" i="70" s="1"/>
  <c r="F42" i="70"/>
  <c r="G42" i="70" s="1"/>
  <c r="E43" i="70" s="1"/>
  <c r="J24" i="70"/>
  <c r="H25" i="70" s="1"/>
  <c r="D41" i="70"/>
  <c r="B42" i="70" s="1"/>
  <c r="C42" i="70" s="1"/>
  <c r="V36" i="24"/>
  <c r="V32" i="25"/>
  <c r="X4" i="25" s="1"/>
  <c r="X5" i="24" l="1"/>
  <c r="X4" i="24"/>
  <c r="X5" i="25"/>
  <c r="X8" i="25"/>
  <c r="X6" i="25"/>
  <c r="X7" i="25"/>
  <c r="X9" i="25"/>
  <c r="X10" i="25"/>
  <c r="X31" i="24"/>
  <c r="X6" i="24"/>
  <c r="X7" i="24"/>
  <c r="X8" i="24"/>
  <c r="X9" i="24"/>
  <c r="X10" i="24"/>
  <c r="X19" i="24"/>
  <c r="X26" i="24"/>
  <c r="X18" i="24"/>
  <c r="X25" i="24"/>
  <c r="X13" i="24"/>
  <c r="X15" i="24"/>
  <c r="X20" i="24"/>
  <c r="X21" i="24"/>
  <c r="X16" i="24"/>
  <c r="X17" i="24"/>
  <c r="X11" i="24"/>
  <c r="X22" i="24"/>
  <c r="X27" i="24"/>
  <c r="X14" i="24"/>
  <c r="X12" i="24"/>
  <c r="Q43" i="70"/>
  <c r="R43" i="70" s="1"/>
  <c r="S43" i="70" s="1"/>
  <c r="N43" i="70"/>
  <c r="O43" i="70" s="1"/>
  <c r="P43" i="70" s="1"/>
  <c r="K42" i="70"/>
  <c r="L42" i="70" s="1"/>
  <c r="M42" i="70" s="1"/>
  <c r="X43" i="70"/>
  <c r="V44" i="70" s="1"/>
  <c r="W44" i="70" s="1"/>
  <c r="A44" i="70"/>
  <c r="F43" i="70"/>
  <c r="G43" i="70" s="1"/>
  <c r="E44" i="70" s="1"/>
  <c r="I25" i="70"/>
  <c r="D42" i="70"/>
  <c r="B43" i="70" s="1"/>
  <c r="C43" i="70" s="1"/>
  <c r="X23" i="24"/>
  <c r="X28" i="24"/>
  <c r="X35" i="24"/>
  <c r="X34" i="24"/>
  <c r="X37" i="24"/>
  <c r="X36" i="24"/>
  <c r="X33" i="24"/>
  <c r="X29" i="24"/>
  <c r="X30" i="24"/>
  <c r="X32" i="24"/>
  <c r="X31" i="25"/>
  <c r="X32" i="25"/>
  <c r="X24" i="25"/>
  <c r="X16" i="25"/>
  <c r="X33" i="25"/>
  <c r="X18" i="25"/>
  <c r="X13" i="25"/>
  <c r="X29" i="25"/>
  <c r="X26" i="25"/>
  <c r="X30" i="25"/>
  <c r="X23" i="25"/>
  <c r="X12" i="25"/>
  <c r="X27" i="25"/>
  <c r="X28" i="25"/>
  <c r="X11" i="25"/>
  <c r="X20" i="25"/>
  <c r="X19" i="25"/>
  <c r="X14" i="25"/>
  <c r="X25" i="25"/>
  <c r="X15" i="25"/>
  <c r="X22" i="25"/>
  <c r="X17" i="25"/>
  <c r="W110" i="14"/>
  <c r="Q44" i="70" l="1"/>
  <c r="R44" i="70" s="1"/>
  <c r="S44" i="70" s="1"/>
  <c r="N44" i="70"/>
  <c r="O44" i="70" s="1"/>
  <c r="P44" i="70" s="1"/>
  <c r="K43" i="70"/>
  <c r="L43" i="70" s="1"/>
  <c r="M43" i="70" s="1"/>
  <c r="A45" i="70"/>
  <c r="X44" i="70"/>
  <c r="V45" i="70" s="1"/>
  <c r="W45" i="70" s="1"/>
  <c r="F44" i="70"/>
  <c r="G44" i="70" s="1"/>
  <c r="E45" i="70" s="1"/>
  <c r="J25" i="70"/>
  <c r="H26" i="70" s="1"/>
  <c r="D43" i="70"/>
  <c r="B44" i="70" s="1"/>
  <c r="C44" i="70" s="1"/>
  <c r="W111" i="14"/>
  <c r="W112" i="14" s="1"/>
  <c r="Q45" i="70" l="1"/>
  <c r="R45" i="70" s="1"/>
  <c r="S45" i="70" s="1"/>
  <c r="N45" i="70"/>
  <c r="O45" i="70" s="1"/>
  <c r="P45" i="70" s="1"/>
  <c r="K44" i="70"/>
  <c r="L44" i="70" s="1"/>
  <c r="M44" i="70" s="1"/>
  <c r="X45" i="70"/>
  <c r="V46" i="70" s="1"/>
  <c r="W46" i="70" s="1"/>
  <c r="A46" i="70"/>
  <c r="F45" i="70"/>
  <c r="G45" i="70" s="1"/>
  <c r="E46" i="70" s="1"/>
  <c r="I26" i="70"/>
  <c r="D44" i="70"/>
  <c r="B45" i="70" s="1"/>
  <c r="C45" i="70" s="1"/>
  <c r="V36" i="22"/>
  <c r="X4" i="22" s="1"/>
  <c r="W113" i="14"/>
  <c r="X30" i="22" l="1"/>
  <c r="X5" i="22"/>
  <c r="X6" i="22"/>
  <c r="X7" i="22"/>
  <c r="X8" i="22"/>
  <c r="X9" i="22"/>
  <c r="X14" i="22"/>
  <c r="X23" i="22"/>
  <c r="X21" i="22"/>
  <c r="X17" i="22"/>
  <c r="X16" i="22"/>
  <c r="X11" i="22"/>
  <c r="X18" i="22"/>
  <c r="X19" i="22"/>
  <c r="X10" i="22"/>
  <c r="X13" i="22"/>
  <c r="X12" i="22"/>
  <c r="X20" i="22"/>
  <c r="X15" i="22"/>
  <c r="X22" i="22"/>
  <c r="X24" i="22"/>
  <c r="X28" i="22"/>
  <c r="X29" i="22"/>
  <c r="Q46" i="70"/>
  <c r="R46" i="70" s="1"/>
  <c r="S46" i="70" s="1"/>
  <c r="N46" i="70"/>
  <c r="O46" i="70" s="1"/>
  <c r="P46" i="70" s="1"/>
  <c r="K45" i="70"/>
  <c r="L45" i="70" s="1"/>
  <c r="M45" i="70" s="1"/>
  <c r="A47" i="70"/>
  <c r="X46" i="70"/>
  <c r="V47" i="70" s="1"/>
  <c r="W47" i="70" s="1"/>
  <c r="F46" i="70"/>
  <c r="G46" i="70" s="1"/>
  <c r="E47" i="70" s="1"/>
  <c r="J26" i="70"/>
  <c r="H27" i="70" s="1"/>
  <c r="D45" i="70"/>
  <c r="B46" i="70" s="1"/>
  <c r="C46" i="70" s="1"/>
  <c r="X31" i="22"/>
  <c r="X33" i="22"/>
  <c r="X35" i="22"/>
  <c r="X37" i="22"/>
  <c r="X36" i="22"/>
  <c r="X34" i="22"/>
  <c r="X32" i="22"/>
  <c r="X27" i="22"/>
  <c r="X26" i="22"/>
  <c r="W114" i="14"/>
  <c r="Q47" i="70" l="1"/>
  <c r="R47" i="70" s="1"/>
  <c r="S47" i="70" s="1"/>
  <c r="N47" i="70"/>
  <c r="O47" i="70" s="1"/>
  <c r="P47" i="70" s="1"/>
  <c r="K46" i="70"/>
  <c r="L46" i="70" s="1"/>
  <c r="M46" i="70" s="1"/>
  <c r="X47" i="70"/>
  <c r="V48" i="70" s="1"/>
  <c r="W48" i="70" s="1"/>
  <c r="A48" i="70"/>
  <c r="F47" i="70"/>
  <c r="G47" i="70" s="1"/>
  <c r="E48" i="70" s="1"/>
  <c r="I27" i="70"/>
  <c r="D46" i="70"/>
  <c r="B47" i="70" s="1"/>
  <c r="C47" i="70" s="1"/>
  <c r="X26" i="16"/>
  <c r="X20" i="16"/>
  <c r="X17" i="16"/>
  <c r="X18" i="16"/>
  <c r="X27" i="16"/>
  <c r="X29" i="16"/>
  <c r="X15" i="16"/>
  <c r="X23" i="16"/>
  <c r="X9" i="16"/>
  <c r="X16" i="16"/>
  <c r="X36" i="16"/>
  <c r="X33" i="16"/>
  <c r="X10" i="16"/>
  <c r="X25" i="16"/>
  <c r="X32" i="16"/>
  <c r="X34" i="16"/>
  <c r="X37" i="16"/>
  <c r="X12" i="16"/>
  <c r="X28" i="16"/>
  <c r="X14" i="16"/>
  <c r="X30" i="16"/>
  <c r="X31" i="16"/>
  <c r="X35" i="16"/>
  <c r="X24" i="16"/>
  <c r="X13" i="16"/>
  <c r="X11" i="16"/>
  <c r="X19" i="16"/>
  <c r="X22" i="16"/>
  <c r="W115" i="14"/>
  <c r="W116" i="14" l="1"/>
  <c r="W117" i="14" s="1"/>
  <c r="Y117" i="14" s="1"/>
  <c r="Q48" i="70"/>
  <c r="R48" i="70" s="1"/>
  <c r="S48" i="70" s="1"/>
  <c r="N48" i="70"/>
  <c r="O48" i="70" s="1"/>
  <c r="P48" i="70" s="1"/>
  <c r="K47" i="70"/>
  <c r="L47" i="70" s="1"/>
  <c r="M47" i="70" s="1"/>
  <c r="A49" i="70"/>
  <c r="X48" i="70"/>
  <c r="V49" i="70" s="1"/>
  <c r="W49" i="70" s="1"/>
  <c r="F48" i="70"/>
  <c r="G48" i="70" s="1"/>
  <c r="E49" i="70" s="1"/>
  <c r="J27" i="70"/>
  <c r="H28" i="70" s="1"/>
  <c r="D47" i="70"/>
  <c r="B48" i="70" s="1"/>
  <c r="C48" i="70" s="1"/>
  <c r="Q17" i="5"/>
  <c r="K18" i="5"/>
  <c r="I18" i="5"/>
  <c r="H18" i="5"/>
  <c r="G18" i="5"/>
  <c r="F18" i="5"/>
  <c r="E18" i="5"/>
  <c r="D18" i="5"/>
  <c r="I17" i="5"/>
  <c r="H17" i="5"/>
  <c r="G17" i="5"/>
  <c r="F17" i="5"/>
  <c r="D17" i="5"/>
  <c r="K12" i="5"/>
  <c r="I12" i="5"/>
  <c r="H12" i="5"/>
  <c r="G12" i="5"/>
  <c r="F12" i="5"/>
  <c r="E12" i="5"/>
  <c r="D12" i="5"/>
  <c r="I11" i="5"/>
  <c r="H11" i="5"/>
  <c r="G11" i="5"/>
  <c r="F11" i="5"/>
  <c r="D11" i="5"/>
  <c r="X18" i="5"/>
  <c r="X17" i="5"/>
  <c r="W18" i="5"/>
  <c r="V18" i="5"/>
  <c r="V17" i="5"/>
  <c r="U18" i="5"/>
  <c r="U17" i="5"/>
  <c r="T18" i="5"/>
  <c r="T17" i="5"/>
  <c r="X12" i="5"/>
  <c r="X11" i="5"/>
  <c r="W12" i="5"/>
  <c r="V12" i="5"/>
  <c r="V11" i="5"/>
  <c r="U12" i="5"/>
  <c r="U11" i="5"/>
  <c r="T12" i="5"/>
  <c r="T11" i="5"/>
  <c r="Y114" i="14" l="1"/>
  <c r="Y111" i="14"/>
  <c r="Y113" i="14"/>
  <c r="Y110" i="14"/>
  <c r="Y112" i="14"/>
  <c r="Y115" i="14"/>
  <c r="Y116" i="14"/>
  <c r="Q49" i="70"/>
  <c r="R49" i="70" s="1"/>
  <c r="S49" i="70" s="1"/>
  <c r="N49" i="70"/>
  <c r="O49" i="70" s="1"/>
  <c r="P49" i="70" s="1"/>
  <c r="K48" i="70"/>
  <c r="L48" i="70" s="1"/>
  <c r="M48" i="70" s="1"/>
  <c r="X49" i="70"/>
  <c r="V50" i="70" s="1"/>
  <c r="W50" i="70" s="1"/>
  <c r="A50" i="70"/>
  <c r="F49" i="70"/>
  <c r="G49" i="70" s="1"/>
  <c r="E50" i="70" s="1"/>
  <c r="I28" i="70"/>
  <c r="D48" i="70"/>
  <c r="B49" i="70" s="1"/>
  <c r="C49" i="70" s="1"/>
  <c r="D9" i="62"/>
  <c r="C9" i="62"/>
  <c r="B9" i="62"/>
  <c r="D8" i="62"/>
  <c r="C8" i="62"/>
  <c r="B8" i="62"/>
  <c r="D7" i="62"/>
  <c r="C7" i="62"/>
  <c r="B7" i="62"/>
  <c r="D6" i="62"/>
  <c r="C6" i="62"/>
  <c r="B6" i="62"/>
  <c r="D5" i="62"/>
  <c r="C5" i="62"/>
  <c r="B5" i="62"/>
  <c r="D4" i="62"/>
  <c r="C4" i="62"/>
  <c r="B4" i="62"/>
  <c r="D3" i="62"/>
  <c r="C3" i="62"/>
  <c r="B3" i="62"/>
  <c r="D2" i="62"/>
  <c r="C2" i="62"/>
  <c r="B2" i="62"/>
  <c r="E11" i="58"/>
  <c r="E9" i="58"/>
  <c r="E8" i="58"/>
  <c r="E7" i="58"/>
  <c r="E6" i="58"/>
  <c r="E5" i="58"/>
  <c r="E4" i="58"/>
  <c r="E3" i="58"/>
  <c r="B79" i="34"/>
  <c r="F30" i="27"/>
  <c r="Q50" i="70" l="1"/>
  <c r="R50" i="70" s="1"/>
  <c r="S50" i="70" s="1"/>
  <c r="N50" i="70"/>
  <c r="O50" i="70" s="1"/>
  <c r="P50" i="70" s="1"/>
  <c r="K49" i="70"/>
  <c r="L49" i="70" s="1"/>
  <c r="M49" i="70" s="1"/>
  <c r="F50" i="4"/>
  <c r="B22" i="34"/>
  <c r="B26" i="34"/>
  <c r="F51" i="4"/>
  <c r="F48" i="4"/>
  <c r="B21" i="34"/>
  <c r="H4" i="58"/>
  <c r="B46" i="4" s="1"/>
  <c r="F46" i="4"/>
  <c r="B20" i="34"/>
  <c r="B23" i="34"/>
  <c r="F49" i="4"/>
  <c r="F53" i="4"/>
  <c r="B24" i="34"/>
  <c r="F52" i="4"/>
  <c r="B25" i="34"/>
  <c r="B19" i="34"/>
  <c r="F47" i="4"/>
  <c r="A51" i="70"/>
  <c r="X50" i="70"/>
  <c r="V51" i="70" s="1"/>
  <c r="W51" i="70" s="1"/>
  <c r="F50" i="70"/>
  <c r="G50" i="70" s="1"/>
  <c r="E51" i="70" s="1"/>
  <c r="J28" i="70"/>
  <c r="H29" i="70" s="1"/>
  <c r="D49" i="70"/>
  <c r="B50" i="70" s="1"/>
  <c r="C50" i="70" s="1"/>
  <c r="H8" i="58"/>
  <c r="B52" i="4" s="1"/>
  <c r="H5" i="58"/>
  <c r="B50" i="4" s="1"/>
  <c r="H3" i="58"/>
  <c r="H11" i="58"/>
  <c r="B47" i="4" s="1"/>
  <c r="H6" i="58"/>
  <c r="B49" i="4" s="1"/>
  <c r="H9" i="58"/>
  <c r="B51" i="4" s="1"/>
  <c r="H7" i="58"/>
  <c r="B53" i="4" s="1"/>
  <c r="F9" i="27"/>
  <c r="R45" i="14" l="1"/>
  <c r="Q51" i="70"/>
  <c r="R51" i="70" s="1"/>
  <c r="S51" i="70" s="1"/>
  <c r="N51" i="70"/>
  <c r="O51" i="70" s="1"/>
  <c r="P51" i="70" s="1"/>
  <c r="K50" i="70"/>
  <c r="L50" i="70" s="1"/>
  <c r="M50" i="70" s="1"/>
  <c r="B48" i="4"/>
  <c r="D46" i="4" s="1"/>
  <c r="R44" i="14"/>
  <c r="X51" i="70"/>
  <c r="V52" i="70" s="1"/>
  <c r="W52" i="70" s="1"/>
  <c r="A52" i="70"/>
  <c r="F51" i="70"/>
  <c r="G51" i="70" s="1"/>
  <c r="E52" i="70" s="1"/>
  <c r="I29" i="70"/>
  <c r="D50" i="70"/>
  <c r="B51" i="70" s="1"/>
  <c r="C51" i="70" s="1"/>
  <c r="Q52" i="70" l="1"/>
  <c r="R52" i="70" s="1"/>
  <c r="S52" i="70" s="1"/>
  <c r="N52" i="70"/>
  <c r="O52" i="70" s="1"/>
  <c r="P52" i="70" s="1"/>
  <c r="K51" i="70"/>
  <c r="L51" i="70" s="1"/>
  <c r="M51" i="70" s="1"/>
  <c r="X52" i="70"/>
  <c r="V53" i="70" s="1"/>
  <c r="W53" i="70" s="1"/>
  <c r="A53" i="70"/>
  <c r="F52" i="70"/>
  <c r="G52" i="70" s="1"/>
  <c r="E53" i="70" s="1"/>
  <c r="J29" i="70"/>
  <c r="H30" i="70" s="1"/>
  <c r="D51" i="70"/>
  <c r="B52" i="70" s="1"/>
  <c r="C52" i="70" s="1"/>
  <c r="V179" i="30"/>
  <c r="X179" i="30" s="1"/>
  <c r="V27" i="30"/>
  <c r="X27" i="30" s="1"/>
  <c r="Q48" i="10"/>
  <c r="V167" i="30"/>
  <c r="X167" i="30" s="1"/>
  <c r="V16" i="30"/>
  <c r="X16" i="30" s="1"/>
  <c r="Q53" i="70" l="1"/>
  <c r="R53" i="70" s="1"/>
  <c r="S53" i="70" s="1"/>
  <c r="N53" i="70"/>
  <c r="O53" i="70" s="1"/>
  <c r="P53" i="70" s="1"/>
  <c r="K52" i="70"/>
  <c r="L52" i="70" s="1"/>
  <c r="M52" i="70" s="1"/>
  <c r="X53" i="70"/>
  <c r="V54" i="70" s="1"/>
  <c r="W54" i="70" s="1"/>
  <c r="A54" i="70"/>
  <c r="F53" i="70"/>
  <c r="G53" i="70" s="1"/>
  <c r="E54" i="70" s="1"/>
  <c r="D52" i="70"/>
  <c r="B53" i="70" s="1"/>
  <c r="C53" i="70" s="1"/>
  <c r="V37" i="23"/>
  <c r="AC21" i="15"/>
  <c r="X5" i="23" l="1"/>
  <c r="X8" i="23"/>
  <c r="X9" i="23"/>
  <c r="X10" i="23"/>
  <c r="X12" i="23"/>
  <c r="X11" i="23"/>
  <c r="X6" i="23"/>
  <c r="Q54" i="70"/>
  <c r="R54" i="70" s="1"/>
  <c r="S54" i="70" s="1"/>
  <c r="N54" i="70"/>
  <c r="O54" i="70" s="1"/>
  <c r="P54" i="70" s="1"/>
  <c r="K53" i="70"/>
  <c r="L53" i="70" s="1"/>
  <c r="M53" i="70" s="1"/>
  <c r="X54" i="70"/>
  <c r="V55" i="70" s="1"/>
  <c r="W55" i="70" s="1"/>
  <c r="A55" i="70"/>
  <c r="F54" i="70"/>
  <c r="G54" i="70" s="1"/>
  <c r="E55" i="70" s="1"/>
  <c r="I30" i="70"/>
  <c r="J30" i="70" s="1"/>
  <c r="H31" i="70" s="1"/>
  <c r="D53" i="70"/>
  <c r="B54" i="70" s="1"/>
  <c r="C54" i="70" s="1"/>
  <c r="X18" i="23"/>
  <c r="X20" i="23"/>
  <c r="AC12" i="15"/>
  <c r="AC15" i="15"/>
  <c r="AC13" i="15"/>
  <c r="X7" i="23"/>
  <c r="X4" i="23"/>
  <c r="X30" i="23"/>
  <c r="X13" i="23"/>
  <c r="X34" i="23"/>
  <c r="X17" i="23"/>
  <c r="X14" i="23"/>
  <c r="X19" i="23"/>
  <c r="X33" i="23"/>
  <c r="X26" i="23"/>
  <c r="X25" i="23"/>
  <c r="X22" i="23"/>
  <c r="X37" i="23"/>
  <c r="X21" i="23"/>
  <c r="X27" i="23"/>
  <c r="X23" i="23"/>
  <c r="X15" i="23"/>
  <c r="X29" i="23"/>
  <c r="X28" i="23"/>
  <c r="X16" i="23"/>
  <c r="X32" i="23"/>
  <c r="X31" i="23"/>
  <c r="X36" i="23"/>
  <c r="X38" i="23"/>
  <c r="X35" i="23"/>
  <c r="AC14" i="15"/>
  <c r="AC17" i="15"/>
  <c r="AC16" i="15"/>
  <c r="AC25" i="15"/>
  <c r="AC24" i="15"/>
  <c r="AC26" i="15"/>
  <c r="AC20" i="15"/>
  <c r="AC28" i="15"/>
  <c r="AC27" i="15"/>
  <c r="AC19" i="15"/>
  <c r="AC22" i="15"/>
  <c r="AC23" i="15"/>
  <c r="V35" i="20"/>
  <c r="X5" i="20" l="1"/>
  <c r="X4" i="20"/>
  <c r="X6" i="20"/>
  <c r="X9" i="20"/>
  <c r="X7" i="20"/>
  <c r="X10" i="20"/>
  <c r="X8" i="20"/>
  <c r="Q55" i="70"/>
  <c r="R55" i="70" s="1"/>
  <c r="S55" i="70" s="1"/>
  <c r="N55" i="70"/>
  <c r="O55" i="70" s="1"/>
  <c r="P55" i="70" s="1"/>
  <c r="K54" i="70"/>
  <c r="L54" i="70" s="1"/>
  <c r="M54" i="70" s="1"/>
  <c r="X55" i="70"/>
  <c r="V56" i="70" s="1"/>
  <c r="W56" i="70" s="1"/>
  <c r="A56" i="70"/>
  <c r="F55" i="70"/>
  <c r="G55" i="70" s="1"/>
  <c r="E56" i="70" s="1"/>
  <c r="I31" i="70"/>
  <c r="J31" i="70" s="1"/>
  <c r="H32" i="70" s="1"/>
  <c r="D54" i="70"/>
  <c r="B55" i="70" s="1"/>
  <c r="C55" i="70" s="1"/>
  <c r="X11" i="20"/>
  <c r="X21" i="20"/>
  <c r="X34" i="20"/>
  <c r="X31" i="20"/>
  <c r="X16" i="20"/>
  <c r="X33" i="20"/>
  <c r="X14" i="20"/>
  <c r="X24" i="20"/>
  <c r="X27" i="20"/>
  <c r="X13" i="20"/>
  <c r="X36" i="20"/>
  <c r="X22" i="20"/>
  <c r="X28" i="20"/>
  <c r="X25" i="20"/>
  <c r="X32" i="20"/>
  <c r="X19" i="20"/>
  <c r="X29" i="20"/>
  <c r="X26" i="20"/>
  <c r="X23" i="20"/>
  <c r="X30" i="20"/>
  <c r="X17" i="20"/>
  <c r="X12" i="20"/>
  <c r="X20" i="20"/>
  <c r="X35" i="20"/>
  <c r="V30" i="18"/>
  <c r="X4" i="18" s="1"/>
  <c r="X6" i="18" l="1"/>
  <c r="X5" i="18"/>
  <c r="X7" i="18"/>
  <c r="X9" i="18"/>
  <c r="X8" i="18"/>
  <c r="X10" i="18"/>
  <c r="Q56" i="70"/>
  <c r="R56" i="70" s="1"/>
  <c r="S56" i="70" s="1"/>
  <c r="N56" i="70"/>
  <c r="O56" i="70" s="1"/>
  <c r="P56" i="70" s="1"/>
  <c r="K55" i="70"/>
  <c r="L55" i="70" s="1"/>
  <c r="M55" i="70" s="1"/>
  <c r="A57" i="70"/>
  <c r="X56" i="70"/>
  <c r="V57" i="70" s="1"/>
  <c r="W57" i="70" s="1"/>
  <c r="F56" i="70"/>
  <c r="G56" i="70" s="1"/>
  <c r="E57" i="70" s="1"/>
  <c r="I32" i="70"/>
  <c r="D55" i="70"/>
  <c r="B56" i="70" s="1"/>
  <c r="C56" i="70" s="1"/>
  <c r="X27" i="18"/>
  <c r="X28" i="18"/>
  <c r="X19" i="18"/>
  <c r="X24" i="18"/>
  <c r="X30" i="18"/>
  <c r="X23" i="18"/>
  <c r="X16" i="18"/>
  <c r="X11" i="18"/>
  <c r="X18" i="18"/>
  <c r="X12" i="18"/>
  <c r="X14" i="18"/>
  <c r="X31" i="18"/>
  <c r="X13" i="18"/>
  <c r="X26" i="18"/>
  <c r="X15" i="18"/>
  <c r="X25" i="18"/>
  <c r="X22" i="18"/>
  <c r="X21" i="18"/>
  <c r="X20" i="18"/>
  <c r="X29" i="18"/>
  <c r="Z38" i="27"/>
  <c r="AB4" i="27" l="1"/>
  <c r="AB6" i="27"/>
  <c r="Q57" i="70"/>
  <c r="R57" i="70" s="1"/>
  <c r="S57" i="70" s="1"/>
  <c r="N57" i="70"/>
  <c r="O57" i="70" s="1"/>
  <c r="P57" i="70" s="1"/>
  <c r="K56" i="70"/>
  <c r="L56" i="70" s="1"/>
  <c r="M56" i="70" s="1"/>
  <c r="X57" i="70"/>
  <c r="V58" i="70" s="1"/>
  <c r="W58" i="70" s="1"/>
  <c r="A58" i="70"/>
  <c r="F57" i="70"/>
  <c r="G57" i="70" s="1"/>
  <c r="E58" i="70" s="1"/>
  <c r="J32" i="70"/>
  <c r="H33" i="70" s="1"/>
  <c r="D56" i="70"/>
  <c r="B57" i="70" s="1"/>
  <c r="C57" i="70" s="1"/>
  <c r="Z39" i="27"/>
  <c r="AB21" i="27" s="1"/>
  <c r="A36" i="19"/>
  <c r="D36" i="19"/>
  <c r="E36" i="19"/>
  <c r="F36" i="19"/>
  <c r="G36" i="19"/>
  <c r="H36" i="19"/>
  <c r="I36" i="19"/>
  <c r="J36" i="19"/>
  <c r="K36" i="19"/>
  <c r="L36" i="19"/>
  <c r="M36" i="19"/>
  <c r="N36" i="19"/>
  <c r="O36" i="19"/>
  <c r="Q36" i="19"/>
  <c r="R36" i="19"/>
  <c r="A37" i="23"/>
  <c r="D37" i="23"/>
  <c r="E37" i="23"/>
  <c r="F37" i="23"/>
  <c r="G37" i="23"/>
  <c r="H37" i="23"/>
  <c r="I37" i="23"/>
  <c r="J37" i="23"/>
  <c r="K37" i="23"/>
  <c r="L37" i="23"/>
  <c r="M37" i="23"/>
  <c r="N37" i="23"/>
  <c r="O37" i="23"/>
  <c r="Q37" i="23"/>
  <c r="R37" i="23"/>
  <c r="A32" i="25"/>
  <c r="D32" i="25"/>
  <c r="E32" i="25"/>
  <c r="F32" i="25"/>
  <c r="G32" i="25"/>
  <c r="H32" i="25"/>
  <c r="I32" i="25"/>
  <c r="J32" i="25"/>
  <c r="K32" i="25"/>
  <c r="L32" i="25"/>
  <c r="M32" i="25"/>
  <c r="N32" i="25"/>
  <c r="O32" i="25"/>
  <c r="Q32" i="25"/>
  <c r="R32" i="25"/>
  <c r="A28" i="21"/>
  <c r="D28" i="21"/>
  <c r="E28" i="21"/>
  <c r="F28" i="21"/>
  <c r="G28" i="21"/>
  <c r="H28" i="21"/>
  <c r="I28" i="21"/>
  <c r="J28" i="21"/>
  <c r="K28" i="21"/>
  <c r="L28" i="21"/>
  <c r="M28" i="21"/>
  <c r="N28" i="21"/>
  <c r="O28" i="21"/>
  <c r="Q28" i="21"/>
  <c r="R28" i="21"/>
  <c r="P3" i="11"/>
  <c r="S3" i="11"/>
  <c r="O5" i="11"/>
  <c r="D27" i="11"/>
  <c r="D28" i="11"/>
  <c r="D29" i="11"/>
  <c r="D30" i="11"/>
  <c r="D31" i="11"/>
  <c r="Q44" i="11"/>
  <c r="R44" i="11"/>
  <c r="H56" i="11"/>
  <c r="H57" i="11"/>
  <c r="AO57" i="11"/>
  <c r="AO58" i="11" s="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Q45" i="10"/>
  <c r="Q49" i="10"/>
  <c r="A35" i="20"/>
  <c r="X18" i="20" s="1"/>
  <c r="D35" i="20"/>
  <c r="E35" i="20"/>
  <c r="F35" i="20"/>
  <c r="G35" i="20"/>
  <c r="H35" i="20"/>
  <c r="I35" i="20"/>
  <c r="J35" i="20"/>
  <c r="K35" i="20"/>
  <c r="L35" i="20"/>
  <c r="M35" i="20"/>
  <c r="N35" i="20"/>
  <c r="O35" i="20"/>
  <c r="Q35" i="20"/>
  <c r="R35" i="20"/>
  <c r="H75" i="5"/>
  <c r="G98" i="5"/>
  <c r="K75" i="5"/>
  <c r="L75" i="5"/>
  <c r="L4" i="5"/>
  <c r="D22" i="5"/>
  <c r="E22" i="5"/>
  <c r="F22" i="5"/>
  <c r="G22" i="5"/>
  <c r="H22" i="5"/>
  <c r="I22" i="5"/>
  <c r="J22" i="5"/>
  <c r="K22" i="5"/>
  <c r="L22" i="5"/>
  <c r="M22" i="5"/>
  <c r="P22" i="5"/>
  <c r="Q22" i="5"/>
  <c r="R22" i="5"/>
  <c r="S22" i="5"/>
  <c r="D26" i="5"/>
  <c r="E26" i="5"/>
  <c r="F26" i="5"/>
  <c r="G26" i="5"/>
  <c r="H26" i="5"/>
  <c r="I26" i="5"/>
  <c r="J26" i="5"/>
  <c r="K26" i="5"/>
  <c r="L26" i="5"/>
  <c r="M26" i="5"/>
  <c r="P26" i="5"/>
  <c r="Q26" i="5"/>
  <c r="R26" i="5"/>
  <c r="S26" i="5"/>
  <c r="D27" i="5"/>
  <c r="E27" i="5"/>
  <c r="F27" i="5"/>
  <c r="G27" i="5"/>
  <c r="H27" i="5"/>
  <c r="I27" i="5"/>
  <c r="J27" i="5"/>
  <c r="K27" i="5"/>
  <c r="L27" i="5"/>
  <c r="M27" i="5"/>
  <c r="P27" i="5"/>
  <c r="Q27" i="5"/>
  <c r="R27" i="5"/>
  <c r="S27" i="5"/>
  <c r="R28" i="5"/>
  <c r="B12" i="60" s="1"/>
  <c r="S28" i="5"/>
  <c r="D32" i="5"/>
  <c r="E32" i="5"/>
  <c r="F32" i="5"/>
  <c r="G32" i="5"/>
  <c r="H32" i="5"/>
  <c r="I32" i="5"/>
  <c r="J32" i="5"/>
  <c r="K32" i="5"/>
  <c r="L32" i="5"/>
  <c r="M32" i="5"/>
  <c r="P32" i="5"/>
  <c r="Q32" i="5"/>
  <c r="R32" i="5"/>
  <c r="S32" i="5"/>
  <c r="D35" i="5"/>
  <c r="E35" i="5"/>
  <c r="F35" i="5"/>
  <c r="G35" i="5"/>
  <c r="H35" i="5"/>
  <c r="I35" i="5"/>
  <c r="J35" i="5"/>
  <c r="K35" i="5"/>
  <c r="L35" i="5"/>
  <c r="M35" i="5"/>
  <c r="P35" i="5"/>
  <c r="Q35" i="5"/>
  <c r="R35" i="5"/>
  <c r="S35" i="5"/>
  <c r="D36" i="5"/>
  <c r="E36" i="5"/>
  <c r="F36" i="5"/>
  <c r="G36" i="5"/>
  <c r="H36" i="5"/>
  <c r="I36" i="5"/>
  <c r="J36" i="5"/>
  <c r="K36" i="5"/>
  <c r="L36" i="5"/>
  <c r="M36" i="5"/>
  <c r="P36" i="5"/>
  <c r="Q36" i="5"/>
  <c r="R36" i="5"/>
  <c r="S36" i="5"/>
  <c r="D39" i="5"/>
  <c r="E39" i="5"/>
  <c r="F39" i="5"/>
  <c r="G39" i="5"/>
  <c r="H39" i="5"/>
  <c r="I39" i="5"/>
  <c r="J39" i="5"/>
  <c r="K39" i="5"/>
  <c r="L39" i="5"/>
  <c r="M39" i="5"/>
  <c r="P39" i="5"/>
  <c r="Q39" i="5"/>
  <c r="R39" i="5"/>
  <c r="S39" i="5"/>
  <c r="D40" i="5"/>
  <c r="E40" i="5"/>
  <c r="F40" i="5"/>
  <c r="G40" i="5"/>
  <c r="H40" i="5"/>
  <c r="I40" i="5"/>
  <c r="J40" i="5"/>
  <c r="K40" i="5"/>
  <c r="L40" i="5"/>
  <c r="P40" i="5"/>
  <c r="Q40" i="5"/>
  <c r="R40" i="5"/>
  <c r="S40" i="5"/>
  <c r="D42" i="5"/>
  <c r="E42" i="5"/>
  <c r="F42" i="5"/>
  <c r="G42" i="5"/>
  <c r="H42" i="5"/>
  <c r="I42" i="5"/>
  <c r="J42" i="5"/>
  <c r="K42" i="5"/>
  <c r="L42" i="5"/>
  <c r="M42" i="5"/>
  <c r="P42" i="5"/>
  <c r="Q42" i="5"/>
  <c r="R42" i="5"/>
  <c r="S42" i="5"/>
  <c r="D43" i="5"/>
  <c r="E43" i="5"/>
  <c r="F43" i="5"/>
  <c r="G43" i="5"/>
  <c r="H43" i="5"/>
  <c r="I43" i="5"/>
  <c r="J43" i="5"/>
  <c r="K43" i="5"/>
  <c r="L43" i="5"/>
  <c r="M43" i="5"/>
  <c r="P43" i="5"/>
  <c r="Q43" i="5"/>
  <c r="R43" i="5"/>
  <c r="S43" i="5"/>
  <c r="D47" i="5"/>
  <c r="E47" i="5"/>
  <c r="F47" i="5"/>
  <c r="G47" i="5"/>
  <c r="H47" i="5"/>
  <c r="I47" i="5"/>
  <c r="J47" i="5"/>
  <c r="K47" i="5"/>
  <c r="L47" i="5"/>
  <c r="M47" i="5"/>
  <c r="P47" i="5"/>
  <c r="Q47" i="5"/>
  <c r="R47" i="5"/>
  <c r="S47" i="5"/>
  <c r="D48" i="5"/>
  <c r="E48" i="5"/>
  <c r="F48" i="5"/>
  <c r="G48" i="5"/>
  <c r="H48" i="5"/>
  <c r="I48" i="5"/>
  <c r="J48" i="5"/>
  <c r="K48" i="5"/>
  <c r="L48" i="5"/>
  <c r="M48" i="5"/>
  <c r="P48" i="5"/>
  <c r="Q48" i="5"/>
  <c r="R48" i="5"/>
  <c r="S48" i="5"/>
  <c r="D50" i="5"/>
  <c r="E50" i="5"/>
  <c r="F50" i="5"/>
  <c r="G50" i="5"/>
  <c r="H50" i="5"/>
  <c r="I50" i="5"/>
  <c r="J50" i="5"/>
  <c r="K50" i="5"/>
  <c r="L50" i="5"/>
  <c r="M50" i="5"/>
  <c r="P50" i="5"/>
  <c r="Q50" i="5"/>
  <c r="R50" i="5"/>
  <c r="S50" i="5"/>
  <c r="D51" i="5"/>
  <c r="E51" i="5"/>
  <c r="F51" i="5"/>
  <c r="G51" i="5"/>
  <c r="H51" i="5"/>
  <c r="I51" i="5"/>
  <c r="J51" i="5"/>
  <c r="K51" i="5"/>
  <c r="L51" i="5"/>
  <c r="P51" i="5"/>
  <c r="Q51" i="5"/>
  <c r="R51" i="5"/>
  <c r="S51" i="5"/>
  <c r="D54" i="5"/>
  <c r="E54" i="5"/>
  <c r="F54" i="5"/>
  <c r="G54" i="5"/>
  <c r="H54" i="5"/>
  <c r="I54" i="5"/>
  <c r="J54" i="5"/>
  <c r="K54" i="5"/>
  <c r="L54" i="5"/>
  <c r="M54" i="5"/>
  <c r="P54" i="5"/>
  <c r="Q54" i="5"/>
  <c r="R54" i="5"/>
  <c r="S54" i="5"/>
  <c r="D57" i="5"/>
  <c r="E57" i="5"/>
  <c r="F57" i="5"/>
  <c r="G57" i="5"/>
  <c r="H57" i="5"/>
  <c r="I57" i="5"/>
  <c r="J57" i="5"/>
  <c r="K57" i="5"/>
  <c r="L57" i="5"/>
  <c r="M57" i="5"/>
  <c r="P57" i="5"/>
  <c r="Q57" i="5"/>
  <c r="R57" i="5"/>
  <c r="S57" i="5"/>
  <c r="D58" i="5"/>
  <c r="E58" i="5"/>
  <c r="F58" i="5"/>
  <c r="G58" i="5"/>
  <c r="H58" i="5"/>
  <c r="I58" i="5"/>
  <c r="J58" i="5"/>
  <c r="K58" i="5"/>
  <c r="L58" i="5"/>
  <c r="P58" i="5"/>
  <c r="Q58" i="5"/>
  <c r="R58" i="5"/>
  <c r="S58" i="5"/>
  <c r="D62" i="5"/>
  <c r="E62" i="5"/>
  <c r="F62" i="5"/>
  <c r="G62" i="5"/>
  <c r="H62" i="5"/>
  <c r="I62" i="5"/>
  <c r="J62" i="5"/>
  <c r="K62" i="5"/>
  <c r="L62" i="5"/>
  <c r="M62" i="5"/>
  <c r="P62" i="5"/>
  <c r="Q62" i="5"/>
  <c r="R62" i="5"/>
  <c r="S62" i="5"/>
  <c r="D63" i="5"/>
  <c r="E63" i="5"/>
  <c r="F63" i="5"/>
  <c r="G63" i="5"/>
  <c r="H63" i="5"/>
  <c r="I63" i="5"/>
  <c r="J63" i="5"/>
  <c r="K63" i="5"/>
  <c r="L63" i="5"/>
  <c r="P63" i="5"/>
  <c r="Q63" i="5"/>
  <c r="R63" i="5"/>
  <c r="S63" i="5"/>
  <c r="D66" i="5"/>
  <c r="E66" i="5"/>
  <c r="F66" i="5"/>
  <c r="G66" i="5"/>
  <c r="H66" i="5"/>
  <c r="I66" i="5"/>
  <c r="J66" i="5"/>
  <c r="K66" i="5"/>
  <c r="L66" i="5"/>
  <c r="M66" i="5"/>
  <c r="P66" i="5"/>
  <c r="Q66" i="5"/>
  <c r="R66" i="5"/>
  <c r="S66" i="5"/>
  <c r="D67" i="5"/>
  <c r="E67" i="5"/>
  <c r="F67" i="5"/>
  <c r="G67" i="5"/>
  <c r="H67" i="5"/>
  <c r="I67" i="5"/>
  <c r="J67" i="5"/>
  <c r="K67" i="5"/>
  <c r="L67" i="5"/>
  <c r="P67" i="5"/>
  <c r="Q67" i="5"/>
  <c r="R67" i="5"/>
  <c r="S67" i="5"/>
  <c r="D68" i="5"/>
  <c r="E68" i="5"/>
  <c r="F68" i="5"/>
  <c r="G68" i="5"/>
  <c r="H68" i="5"/>
  <c r="I68" i="5"/>
  <c r="J68" i="5"/>
  <c r="K68" i="5"/>
  <c r="L68" i="5"/>
  <c r="M68" i="5"/>
  <c r="P68" i="5"/>
  <c r="Q68" i="5"/>
  <c r="R68" i="5"/>
  <c r="S68" i="5"/>
  <c r="D69" i="5"/>
  <c r="E69" i="5"/>
  <c r="F69" i="5"/>
  <c r="G69" i="5"/>
  <c r="H69" i="5"/>
  <c r="I69" i="5"/>
  <c r="J69" i="5"/>
  <c r="K69" i="5"/>
  <c r="L69" i="5"/>
  <c r="P69" i="5"/>
  <c r="Q69" i="5"/>
  <c r="R69" i="5"/>
  <c r="S69" i="5"/>
  <c r="D70" i="5"/>
  <c r="E70" i="5"/>
  <c r="F70" i="5"/>
  <c r="H70" i="5"/>
  <c r="J70" i="5"/>
  <c r="K70" i="5"/>
  <c r="L70" i="5"/>
  <c r="M70" i="5"/>
  <c r="R70" i="5"/>
  <c r="S70" i="5"/>
  <c r="D71" i="5"/>
  <c r="E71" i="5"/>
  <c r="F71" i="5"/>
  <c r="H71" i="5"/>
  <c r="J71" i="5"/>
  <c r="K71" i="5"/>
  <c r="L71" i="5"/>
  <c r="M71" i="5"/>
  <c r="R71" i="5"/>
  <c r="S71" i="5"/>
  <c r="G74" i="5"/>
  <c r="H74" i="5"/>
  <c r="I74" i="5"/>
  <c r="K74" i="5"/>
  <c r="L74" i="5"/>
  <c r="P74" i="5"/>
  <c r="Q80" i="5"/>
  <c r="Q81" i="5"/>
  <c r="Q82" i="5"/>
  <c r="I89" i="5"/>
  <c r="Q93" i="5"/>
  <c r="F96" i="5"/>
  <c r="D97" i="5"/>
  <c r="E97" i="5"/>
  <c r="F97" i="5"/>
  <c r="I99" i="5"/>
  <c r="I100" i="5"/>
  <c r="I102" i="5"/>
  <c r="I105" i="5"/>
  <c r="D109" i="5"/>
  <c r="Z115" i="5"/>
  <c r="H128" i="5"/>
  <c r="E121" i="5"/>
  <c r="G121" i="5"/>
  <c r="E120" i="5"/>
  <c r="G120" i="5"/>
  <c r="E129" i="5"/>
  <c r="I130" i="5"/>
  <c r="I126" i="5"/>
  <c r="E132" i="5"/>
  <c r="D133" i="5"/>
  <c r="E124" i="5"/>
  <c r="I117" i="5"/>
  <c r="F122" i="5"/>
  <c r="I122" i="5"/>
  <c r="D125" i="5"/>
  <c r="E125" i="5"/>
  <c r="F125" i="5"/>
  <c r="I123" i="5"/>
  <c r="E118" i="5"/>
  <c r="F118" i="5"/>
  <c r="I118" i="5"/>
  <c r="Q5" i="10"/>
  <c r="B13" i="34"/>
  <c r="B69" i="34"/>
  <c r="B71" i="34"/>
  <c r="B74" i="34"/>
  <c r="B76" i="34"/>
  <c r="B78" i="34"/>
  <c r="B80" i="34" s="1"/>
  <c r="B60" i="34"/>
  <c r="B81" i="34"/>
  <c r="B83" i="34"/>
  <c r="B30" i="10" s="1"/>
  <c r="B84" i="34"/>
  <c r="B86" i="34"/>
  <c r="B87" i="34"/>
  <c r="B89" i="34"/>
  <c r="B90" i="34"/>
  <c r="B92" i="34"/>
  <c r="B93" i="34"/>
  <c r="B94" i="34"/>
  <c r="B95" i="34"/>
  <c r="B96" i="34"/>
  <c r="B97" i="34"/>
  <c r="B98" i="34"/>
  <c r="B99" i="34"/>
  <c r="B100" i="34"/>
  <c r="B101" i="34"/>
  <c r="B102" i="34"/>
  <c r="B103" i="34"/>
  <c r="B108" i="34"/>
  <c r="B44" i="10" s="1"/>
  <c r="B109" i="34"/>
  <c r="B112" i="34"/>
  <c r="B113" i="34"/>
  <c r="A36" i="22"/>
  <c r="D36" i="22"/>
  <c r="E36" i="22"/>
  <c r="F36" i="22"/>
  <c r="G36" i="22"/>
  <c r="H36" i="22"/>
  <c r="I36" i="22"/>
  <c r="J36" i="22"/>
  <c r="K36" i="22"/>
  <c r="L36" i="22"/>
  <c r="M36" i="22"/>
  <c r="N36" i="22"/>
  <c r="O36" i="22"/>
  <c r="Q36" i="22"/>
  <c r="R36" i="22"/>
  <c r="A29" i="15"/>
  <c r="AC18" i="15" s="1"/>
  <c r="D29" i="15"/>
  <c r="E29" i="15"/>
  <c r="F29" i="15"/>
  <c r="G29" i="15"/>
  <c r="H29" i="15"/>
  <c r="I29" i="15"/>
  <c r="J29" i="15"/>
  <c r="K29" i="15"/>
  <c r="L29" i="15"/>
  <c r="M29" i="15"/>
  <c r="N29" i="15"/>
  <c r="O29" i="15"/>
  <c r="Q29" i="15"/>
  <c r="A36" i="24"/>
  <c r="D36" i="24"/>
  <c r="E36" i="24"/>
  <c r="F36" i="24"/>
  <c r="G36" i="24"/>
  <c r="H36" i="24"/>
  <c r="I36" i="24"/>
  <c r="J36" i="24"/>
  <c r="K36" i="24"/>
  <c r="L36" i="24"/>
  <c r="M36" i="24"/>
  <c r="N36" i="24"/>
  <c r="O36" i="24"/>
  <c r="Q36" i="24"/>
  <c r="R36" i="24"/>
  <c r="F24" i="16"/>
  <c r="K27" i="16"/>
  <c r="A36" i="16"/>
  <c r="D36" i="16"/>
  <c r="E36" i="16"/>
  <c r="F36" i="16"/>
  <c r="G36" i="16"/>
  <c r="H36" i="16"/>
  <c r="I36" i="16"/>
  <c r="J36" i="16"/>
  <c r="K36" i="16"/>
  <c r="L36" i="16"/>
  <c r="M36" i="16"/>
  <c r="N36" i="16"/>
  <c r="O36" i="16"/>
  <c r="Q36" i="16"/>
  <c r="R36" i="16"/>
  <c r="D74" i="5"/>
  <c r="E74" i="5"/>
  <c r="F74" i="5"/>
  <c r="A51" i="31"/>
  <c r="D51" i="31"/>
  <c r="E51" i="31"/>
  <c r="F51" i="31"/>
  <c r="G51" i="31"/>
  <c r="H51" i="31"/>
  <c r="I51" i="31"/>
  <c r="J51" i="31"/>
  <c r="K51" i="31"/>
  <c r="L51" i="31"/>
  <c r="M51" i="31"/>
  <c r="N51" i="31"/>
  <c r="Q51" i="31"/>
  <c r="R51" i="31"/>
  <c r="F11" i="26"/>
  <c r="A56" i="26"/>
  <c r="D56" i="26"/>
  <c r="E56" i="26"/>
  <c r="F56" i="26"/>
  <c r="G56" i="26"/>
  <c r="H56" i="26"/>
  <c r="I56" i="26"/>
  <c r="J56" i="26"/>
  <c r="K56" i="26"/>
  <c r="L56" i="26"/>
  <c r="M56" i="26"/>
  <c r="N56" i="26"/>
  <c r="O56" i="26"/>
  <c r="Q56" i="26"/>
  <c r="R56" i="26"/>
  <c r="A57" i="26"/>
  <c r="D57" i="26"/>
  <c r="E57" i="26"/>
  <c r="F57" i="26"/>
  <c r="G57" i="26"/>
  <c r="H57" i="26"/>
  <c r="I57" i="26"/>
  <c r="J57" i="26"/>
  <c r="K57" i="26"/>
  <c r="L57" i="26"/>
  <c r="M57" i="26"/>
  <c r="N57" i="26"/>
  <c r="O57" i="26"/>
  <c r="Q57" i="26"/>
  <c r="R57" i="26"/>
  <c r="A30" i="18"/>
  <c r="D30" i="18"/>
  <c r="E30" i="18"/>
  <c r="F30" i="18"/>
  <c r="G30" i="18"/>
  <c r="H30" i="18"/>
  <c r="I30" i="18"/>
  <c r="J30" i="18"/>
  <c r="K30" i="18"/>
  <c r="L30" i="18"/>
  <c r="M30" i="18"/>
  <c r="N30" i="18"/>
  <c r="O30" i="18"/>
  <c r="Q30" i="18"/>
  <c r="R30" i="18"/>
  <c r="S108" i="14"/>
  <c r="B5" i="4"/>
  <c r="P6" i="4"/>
  <c r="O7" i="4"/>
  <c r="C38" i="4"/>
  <c r="F38" i="4"/>
  <c r="I38" i="4"/>
  <c r="G4" i="27"/>
  <c r="I16" i="27"/>
  <c r="P71" i="5" s="1"/>
  <c r="F22" i="27"/>
  <c r="J26" i="27"/>
  <c r="F27" i="27"/>
  <c r="I71" i="5" s="1"/>
  <c r="F31" i="27"/>
  <c r="F35" i="27"/>
  <c r="J37" i="27"/>
  <c r="A38" i="27"/>
  <c r="D38" i="27"/>
  <c r="E38" i="27"/>
  <c r="F38" i="27"/>
  <c r="G38" i="27"/>
  <c r="H38" i="27"/>
  <c r="I38" i="27"/>
  <c r="J38" i="27"/>
  <c r="K38" i="27"/>
  <c r="L38" i="27"/>
  <c r="M38" i="27"/>
  <c r="N38" i="27"/>
  <c r="O38" i="27"/>
  <c r="Q38" i="27"/>
  <c r="R38" i="27"/>
  <c r="A39" i="27"/>
  <c r="D39" i="27"/>
  <c r="E39" i="27"/>
  <c r="F39" i="27"/>
  <c r="G39" i="27"/>
  <c r="H39" i="27"/>
  <c r="I39" i="27"/>
  <c r="J39" i="27"/>
  <c r="K39" i="27"/>
  <c r="L39" i="27"/>
  <c r="M39" i="27"/>
  <c r="N39" i="27"/>
  <c r="O39" i="27"/>
  <c r="Q39" i="27"/>
  <c r="R39" i="27"/>
  <c r="V3" i="30"/>
  <c r="X3" i="30" s="1"/>
  <c r="V5" i="30"/>
  <c r="X5" i="30" s="1"/>
  <c r="V6" i="30"/>
  <c r="X6" i="30" s="1"/>
  <c r="V8" i="30"/>
  <c r="X8" i="30" s="1"/>
  <c r="V9" i="30"/>
  <c r="X9" i="30" s="1"/>
  <c r="V12" i="30"/>
  <c r="X12" i="30" s="1"/>
  <c r="V13" i="30"/>
  <c r="X13" i="30" s="1"/>
  <c r="V14" i="30"/>
  <c r="X14" i="30" s="1"/>
  <c r="V15" i="30"/>
  <c r="X15" i="30" s="1"/>
  <c r="V17" i="30"/>
  <c r="X17" i="30" s="1"/>
  <c r="V18" i="30"/>
  <c r="X18" i="30" s="1"/>
  <c r="V19" i="30"/>
  <c r="X19" i="30" s="1"/>
  <c r="V20" i="30"/>
  <c r="X20" i="30" s="1"/>
  <c r="V21" i="30"/>
  <c r="X21" i="30" s="1"/>
  <c r="V22" i="30"/>
  <c r="X22" i="30" s="1"/>
  <c r="V23" i="30"/>
  <c r="X23" i="30" s="1"/>
  <c r="V24" i="30"/>
  <c r="X24" i="30" s="1"/>
  <c r="V25" i="30"/>
  <c r="X25" i="30" s="1"/>
  <c r="V26" i="30"/>
  <c r="X26" i="30" s="1"/>
  <c r="V28" i="30"/>
  <c r="X28" i="30" s="1"/>
  <c r="V29" i="30"/>
  <c r="X29" i="30" s="1"/>
  <c r="V30" i="30"/>
  <c r="X30" i="30" s="1"/>
  <c r="V31" i="30"/>
  <c r="X31" i="30" s="1"/>
  <c r="F32" i="30"/>
  <c r="V32" i="30"/>
  <c r="X32" i="30" s="1"/>
  <c r="V33" i="30"/>
  <c r="X33" i="30" s="1"/>
  <c r="V34" i="30"/>
  <c r="X34" i="30" s="1"/>
  <c r="V35" i="30"/>
  <c r="X35" i="30" s="1"/>
  <c r="V36" i="30"/>
  <c r="X36" i="30" s="1"/>
  <c r="V37" i="30"/>
  <c r="X37" i="30" s="1"/>
  <c r="V38" i="30"/>
  <c r="X38" i="30" s="1"/>
  <c r="V39" i="30"/>
  <c r="X39" i="30" s="1"/>
  <c r="V40" i="30"/>
  <c r="X40" i="30" s="1"/>
  <c r="V41" i="30"/>
  <c r="X41" i="30" s="1"/>
  <c r="V42" i="30"/>
  <c r="X42" i="30" s="1"/>
  <c r="V43" i="30"/>
  <c r="X43" i="30" s="1"/>
  <c r="V44" i="30"/>
  <c r="X44" i="30" s="1"/>
  <c r="V45" i="30"/>
  <c r="X45" i="30" s="1"/>
  <c r="V46" i="30"/>
  <c r="X46" i="30" s="1"/>
  <c r="V47" i="30"/>
  <c r="X47" i="30" s="1"/>
  <c r="V48" i="30"/>
  <c r="X48" i="30" s="1"/>
  <c r="V49" i="30"/>
  <c r="X49" i="30" s="1"/>
  <c r="V50" i="30"/>
  <c r="X50" i="30" s="1"/>
  <c r="V51" i="30"/>
  <c r="X51" i="30" s="1"/>
  <c r="V52" i="30"/>
  <c r="X52" i="30" s="1"/>
  <c r="V53" i="30"/>
  <c r="X53" i="30" s="1"/>
  <c r="A54" i="30"/>
  <c r="AL34" i="30" s="1"/>
  <c r="D54" i="30"/>
  <c r="E54" i="30"/>
  <c r="F54" i="30"/>
  <c r="G54" i="30"/>
  <c r="H54" i="30"/>
  <c r="I54" i="30"/>
  <c r="J54" i="30"/>
  <c r="K54" i="30"/>
  <c r="L54" i="30"/>
  <c r="M54" i="30"/>
  <c r="N54" i="30"/>
  <c r="O54" i="30"/>
  <c r="Q54" i="30"/>
  <c r="R54" i="30"/>
  <c r="T54" i="30"/>
  <c r="U54" i="30"/>
  <c r="W54" i="30"/>
  <c r="V57" i="30"/>
  <c r="X57" i="30" s="1"/>
  <c r="V58" i="30"/>
  <c r="X58" i="30" s="1"/>
  <c r="V59" i="30"/>
  <c r="X59" i="30" s="1"/>
  <c r="V60" i="30"/>
  <c r="X60" i="30" s="1"/>
  <c r="V61" i="30"/>
  <c r="X61" i="30" s="1"/>
  <c r="V62" i="30"/>
  <c r="X62" i="30" s="1"/>
  <c r="V63" i="30"/>
  <c r="X63" i="30" s="1"/>
  <c r="V64" i="30"/>
  <c r="X64" i="30" s="1"/>
  <c r="V65" i="30"/>
  <c r="X65" i="30" s="1"/>
  <c r="V66" i="30"/>
  <c r="X66" i="30" s="1"/>
  <c r="V67" i="30"/>
  <c r="X67" i="30" s="1"/>
  <c r="V68" i="30"/>
  <c r="X68" i="30" s="1"/>
  <c r="V69" i="30"/>
  <c r="X69" i="30" s="1"/>
  <c r="V70" i="30"/>
  <c r="X70" i="30" s="1"/>
  <c r="V71" i="30"/>
  <c r="X71" i="30" s="1"/>
  <c r="V72" i="30"/>
  <c r="X72" i="30" s="1"/>
  <c r="V74" i="30"/>
  <c r="X74" i="30" s="1"/>
  <c r="V75" i="30"/>
  <c r="X75" i="30" s="1"/>
  <c r="V76" i="30"/>
  <c r="X76" i="30" s="1"/>
  <c r="V77" i="30"/>
  <c r="X77" i="30" s="1"/>
  <c r="F78" i="30"/>
  <c r="V78" i="30"/>
  <c r="X78" i="30" s="1"/>
  <c r="V79" i="30"/>
  <c r="X79" i="30" s="1"/>
  <c r="V80" i="30"/>
  <c r="X80" i="30" s="1"/>
  <c r="V81" i="30"/>
  <c r="X81" i="30" s="1"/>
  <c r="V82" i="30"/>
  <c r="X82" i="30" s="1"/>
  <c r="V83" i="30"/>
  <c r="X83" i="30" s="1"/>
  <c r="V84" i="30"/>
  <c r="X84" i="30" s="1"/>
  <c r="V85" i="30"/>
  <c r="X85" i="30" s="1"/>
  <c r="V86" i="30"/>
  <c r="X86" i="30" s="1"/>
  <c r="V87" i="30"/>
  <c r="X87" i="30" s="1"/>
  <c r="V88" i="30"/>
  <c r="X88" i="30" s="1"/>
  <c r="V89" i="30"/>
  <c r="X89" i="30" s="1"/>
  <c r="V90" i="30"/>
  <c r="X90" i="30" s="1"/>
  <c r="V91" i="30"/>
  <c r="X91" i="30" s="1"/>
  <c r="V92" i="30"/>
  <c r="X92" i="30" s="1"/>
  <c r="V93" i="30"/>
  <c r="X93" i="30" s="1"/>
  <c r="V94" i="30"/>
  <c r="X94" i="30" s="1"/>
  <c r="V95" i="30"/>
  <c r="X95" i="30" s="1"/>
  <c r="V96" i="30"/>
  <c r="X96" i="30" s="1"/>
  <c r="V97" i="30"/>
  <c r="X97" i="30" s="1"/>
  <c r="I98" i="30"/>
  <c r="V98" i="30"/>
  <c r="X98" i="30" s="1"/>
  <c r="V99" i="30"/>
  <c r="X99" i="30" s="1"/>
  <c r="A100" i="30"/>
  <c r="AL60" i="30" s="1"/>
  <c r="D100" i="30"/>
  <c r="E100" i="30"/>
  <c r="F100" i="30"/>
  <c r="G100" i="30"/>
  <c r="H100" i="30"/>
  <c r="I100" i="30"/>
  <c r="J100" i="30"/>
  <c r="K100" i="30"/>
  <c r="L100" i="30"/>
  <c r="M100" i="30"/>
  <c r="N100" i="30"/>
  <c r="O100" i="30"/>
  <c r="Q100" i="30"/>
  <c r="R100" i="30"/>
  <c r="T100" i="30"/>
  <c r="U100" i="30"/>
  <c r="W100" i="30"/>
  <c r="V103" i="30"/>
  <c r="X103" i="30" s="1"/>
  <c r="V104" i="30"/>
  <c r="X104" i="30" s="1"/>
  <c r="V105" i="30"/>
  <c r="X105" i="30" s="1"/>
  <c r="V106" i="30"/>
  <c r="X106" i="30" s="1"/>
  <c r="V107" i="30"/>
  <c r="X107" i="30" s="1"/>
  <c r="V108" i="30"/>
  <c r="X108" i="30" s="1"/>
  <c r="V109" i="30"/>
  <c r="X109" i="30" s="1"/>
  <c r="V110" i="30"/>
  <c r="X110" i="30" s="1"/>
  <c r="V111" i="30"/>
  <c r="X111" i="30" s="1"/>
  <c r="V112" i="30"/>
  <c r="X112" i="30" s="1"/>
  <c r="V113" i="30"/>
  <c r="X113" i="30" s="1"/>
  <c r="V114" i="30"/>
  <c r="X114" i="30" s="1"/>
  <c r="V115" i="30"/>
  <c r="X115" i="30" s="1"/>
  <c r="V116" i="30"/>
  <c r="X116" i="30" s="1"/>
  <c r="V117" i="30"/>
  <c r="X117" i="30" s="1"/>
  <c r="V118" i="30"/>
  <c r="X118" i="30" s="1"/>
  <c r="A119" i="30"/>
  <c r="AL71" i="30" s="1"/>
  <c r="D119" i="30"/>
  <c r="E119" i="30"/>
  <c r="F119" i="30"/>
  <c r="G119" i="30"/>
  <c r="H119" i="30"/>
  <c r="I119" i="30"/>
  <c r="J119" i="30"/>
  <c r="K119" i="30"/>
  <c r="L119" i="30"/>
  <c r="M119" i="30"/>
  <c r="N119" i="30"/>
  <c r="O119" i="30"/>
  <c r="Q119" i="30"/>
  <c r="R119" i="30"/>
  <c r="T119" i="30"/>
  <c r="U119" i="30"/>
  <c r="W119" i="30"/>
  <c r="V122" i="30"/>
  <c r="X122" i="30" s="1"/>
  <c r="V123" i="30"/>
  <c r="X123" i="30" s="1"/>
  <c r="V124" i="30"/>
  <c r="X124" i="30" s="1"/>
  <c r="V125" i="30"/>
  <c r="X125" i="30" s="1"/>
  <c r="V126" i="30"/>
  <c r="X126" i="30" s="1"/>
  <c r="V127" i="30"/>
  <c r="X127" i="30" s="1"/>
  <c r="V128" i="30"/>
  <c r="X128" i="30" s="1"/>
  <c r="V129" i="30"/>
  <c r="X129" i="30" s="1"/>
  <c r="V130" i="30"/>
  <c r="X130" i="30" s="1"/>
  <c r="V131" i="30"/>
  <c r="X131" i="30" s="1"/>
  <c r="V132" i="30"/>
  <c r="X132" i="30" s="1"/>
  <c r="V133" i="30"/>
  <c r="X133" i="30" s="1"/>
  <c r="V134" i="30"/>
  <c r="X134" i="30" s="1"/>
  <c r="V135" i="30"/>
  <c r="X135" i="30" s="1"/>
  <c r="V136" i="30"/>
  <c r="X136" i="30" s="1"/>
  <c r="V137" i="30"/>
  <c r="X137" i="30" s="1"/>
  <c r="V138" i="30"/>
  <c r="X138" i="30" s="1"/>
  <c r="V139" i="30"/>
  <c r="X139" i="30" s="1"/>
  <c r="V140" i="30"/>
  <c r="X140" i="30" s="1"/>
  <c r="V141" i="30"/>
  <c r="X141" i="30" s="1"/>
  <c r="V142" i="30"/>
  <c r="X142" i="30" s="1"/>
  <c r="V143" i="30"/>
  <c r="X143" i="30" s="1"/>
  <c r="V144" i="30"/>
  <c r="X144" i="30" s="1"/>
  <c r="V145" i="30"/>
  <c r="X145" i="30" s="1"/>
  <c r="V146" i="30"/>
  <c r="X146" i="30" s="1"/>
  <c r="V147" i="30"/>
  <c r="X147" i="30" s="1"/>
  <c r="A148" i="30"/>
  <c r="AL85" i="30" s="1"/>
  <c r="D148" i="30"/>
  <c r="E148" i="30"/>
  <c r="F148" i="30"/>
  <c r="G148" i="30"/>
  <c r="H148" i="30"/>
  <c r="I148" i="30"/>
  <c r="J148" i="30"/>
  <c r="K148" i="30"/>
  <c r="L148" i="30"/>
  <c r="M148" i="30"/>
  <c r="N148" i="30"/>
  <c r="O148" i="30"/>
  <c r="Q148" i="30"/>
  <c r="R148" i="30"/>
  <c r="T148" i="30"/>
  <c r="U148" i="30"/>
  <c r="W148" i="30"/>
  <c r="V154" i="30"/>
  <c r="X154" i="30" s="1"/>
  <c r="V155" i="30"/>
  <c r="X155" i="30" s="1"/>
  <c r="V157" i="30"/>
  <c r="X157" i="30" s="1"/>
  <c r="V158" i="30"/>
  <c r="X158" i="30" s="1"/>
  <c r="V159" i="30"/>
  <c r="X159" i="30" s="1"/>
  <c r="V160" i="30"/>
  <c r="X160" i="30" s="1"/>
  <c r="V164" i="30"/>
  <c r="X164" i="30" s="1"/>
  <c r="V165" i="30"/>
  <c r="X165" i="30" s="1"/>
  <c r="V166" i="30"/>
  <c r="X166" i="30" s="1"/>
  <c r="V168" i="30"/>
  <c r="X168" i="30" s="1"/>
  <c r="V169" i="30"/>
  <c r="X169" i="30" s="1"/>
  <c r="V170" i="30"/>
  <c r="X170" i="30" s="1"/>
  <c r="V171" i="30"/>
  <c r="X171" i="30" s="1"/>
  <c r="V172" i="30"/>
  <c r="X172" i="30" s="1"/>
  <c r="V173" i="30"/>
  <c r="X173" i="30" s="1"/>
  <c r="V174" i="30"/>
  <c r="X174" i="30" s="1"/>
  <c r="V175" i="30"/>
  <c r="X175" i="30" s="1"/>
  <c r="V176" i="30"/>
  <c r="X176" i="30" s="1"/>
  <c r="V177" i="30"/>
  <c r="X177" i="30" s="1"/>
  <c r="V178" i="30"/>
  <c r="X178" i="30" s="1"/>
  <c r="F180" i="30"/>
  <c r="V180" i="30"/>
  <c r="X180" i="30" s="1"/>
  <c r="V181" i="30"/>
  <c r="X181" i="30" s="1"/>
  <c r="V182" i="30"/>
  <c r="X182" i="30" s="1"/>
  <c r="V183" i="30"/>
  <c r="X183" i="30" s="1"/>
  <c r="V184" i="30"/>
  <c r="X184" i="30" s="1"/>
  <c r="V185" i="30"/>
  <c r="X185" i="30" s="1"/>
  <c r="V186" i="30"/>
  <c r="X186" i="30" s="1"/>
  <c r="V187" i="30"/>
  <c r="X187" i="30" s="1"/>
  <c r="V188" i="30"/>
  <c r="X188" i="30" s="1"/>
  <c r="V189" i="30"/>
  <c r="X189" i="30" s="1"/>
  <c r="V190" i="30"/>
  <c r="X190" i="30" s="1"/>
  <c r="V191" i="30"/>
  <c r="X191" i="30" s="1"/>
  <c r="V192" i="30"/>
  <c r="X192" i="30" s="1"/>
  <c r="V193" i="30"/>
  <c r="X193" i="30" s="1"/>
  <c r="V194" i="30"/>
  <c r="X194" i="30" s="1"/>
  <c r="V195" i="30"/>
  <c r="X195" i="30" s="1"/>
  <c r="V196" i="30"/>
  <c r="X196" i="30" s="1"/>
  <c r="V197" i="30"/>
  <c r="X197" i="30" s="1"/>
  <c r="V198" i="30"/>
  <c r="X198" i="30" s="1"/>
  <c r="V199" i="30"/>
  <c r="X199" i="30" s="1"/>
  <c r="V200" i="30"/>
  <c r="X200" i="30" s="1"/>
  <c r="V201" i="30"/>
  <c r="X201" i="30" s="1"/>
  <c r="V202" i="30"/>
  <c r="X202" i="30" s="1"/>
  <c r="V203" i="30"/>
  <c r="X203" i="30" s="1"/>
  <c r="V204" i="30"/>
  <c r="X204" i="30" s="1"/>
  <c r="V205" i="30"/>
  <c r="X205" i="30" s="1"/>
  <c r="V206" i="30"/>
  <c r="X206" i="30" s="1"/>
  <c r="V207" i="30"/>
  <c r="X207" i="30" s="1"/>
  <c r="V208" i="30"/>
  <c r="X208" i="30" s="1"/>
  <c r="V209" i="30"/>
  <c r="X209" i="30" s="1"/>
  <c r="A210" i="30"/>
  <c r="AL185" i="30" s="1"/>
  <c r="D210" i="30"/>
  <c r="E210" i="30"/>
  <c r="F210" i="30"/>
  <c r="G210" i="30"/>
  <c r="H210" i="30"/>
  <c r="I210" i="30"/>
  <c r="J210" i="30"/>
  <c r="K210" i="30"/>
  <c r="L210" i="30"/>
  <c r="M210" i="30"/>
  <c r="N210" i="30"/>
  <c r="O210" i="30"/>
  <c r="Q210" i="30"/>
  <c r="R210" i="30"/>
  <c r="T210" i="30"/>
  <c r="U210" i="30"/>
  <c r="W210" i="30"/>
  <c r="V213" i="30"/>
  <c r="X213" i="30" s="1"/>
  <c r="V214" i="30"/>
  <c r="X214" i="30" s="1"/>
  <c r="V215" i="30"/>
  <c r="X215" i="30" s="1"/>
  <c r="V216" i="30"/>
  <c r="X216" i="30" s="1"/>
  <c r="V217" i="30"/>
  <c r="X217" i="30" s="1"/>
  <c r="V218" i="30"/>
  <c r="X218" i="30" s="1"/>
  <c r="V219" i="30"/>
  <c r="X219" i="30" s="1"/>
  <c r="V220" i="30"/>
  <c r="X220" i="30" s="1"/>
  <c r="V221" i="30"/>
  <c r="X221" i="30" s="1"/>
  <c r="V222" i="30"/>
  <c r="X222" i="30" s="1"/>
  <c r="V223" i="30"/>
  <c r="X223" i="30" s="1"/>
  <c r="V224" i="30"/>
  <c r="X224" i="30" s="1"/>
  <c r="V225" i="30"/>
  <c r="X225" i="30" s="1"/>
  <c r="V226" i="30"/>
  <c r="X226" i="30" s="1"/>
  <c r="V227" i="30"/>
  <c r="X227" i="30" s="1"/>
  <c r="V228" i="30"/>
  <c r="X228" i="30" s="1"/>
  <c r="V229" i="30"/>
  <c r="X229" i="30" s="1"/>
  <c r="V230" i="30"/>
  <c r="X230" i="30" s="1"/>
  <c r="V232" i="30"/>
  <c r="X232" i="30" s="1"/>
  <c r="V233" i="30"/>
  <c r="X233" i="30" s="1"/>
  <c r="V234" i="30"/>
  <c r="X234" i="30" s="1"/>
  <c r="V235" i="30"/>
  <c r="X235" i="30" s="1"/>
  <c r="V237" i="30"/>
  <c r="X237" i="30" s="1"/>
  <c r="V238" i="30"/>
  <c r="X238" i="30" s="1"/>
  <c r="V239" i="30"/>
  <c r="X239" i="30" s="1"/>
  <c r="V240" i="30"/>
  <c r="X240" i="30" s="1"/>
  <c r="V241" i="30"/>
  <c r="X241" i="30" s="1"/>
  <c r="V242" i="30"/>
  <c r="X242" i="30" s="1"/>
  <c r="V243" i="30"/>
  <c r="X243" i="30" s="1"/>
  <c r="V244" i="30"/>
  <c r="X244" i="30" s="1"/>
  <c r="V245" i="30"/>
  <c r="X245" i="30" s="1"/>
  <c r="V246" i="30"/>
  <c r="X246" i="30" s="1"/>
  <c r="V247" i="30"/>
  <c r="X247" i="30" s="1"/>
  <c r="V248" i="30"/>
  <c r="X248" i="30" s="1"/>
  <c r="V249" i="30"/>
  <c r="X249" i="30" s="1"/>
  <c r="V250" i="30"/>
  <c r="X250" i="30" s="1"/>
  <c r="V251" i="30"/>
  <c r="X251" i="30" s="1"/>
  <c r="V252" i="30"/>
  <c r="X252" i="30" s="1"/>
  <c r="V253" i="30"/>
  <c r="X253" i="30" s="1"/>
  <c r="V254" i="30"/>
  <c r="X254" i="30" s="1"/>
  <c r="V255" i="30"/>
  <c r="X255" i="30" s="1"/>
  <c r="V256" i="30"/>
  <c r="X256" i="30" s="1"/>
  <c r="V257" i="30"/>
  <c r="X257" i="30" s="1"/>
  <c r="V258" i="30"/>
  <c r="X258" i="30" s="1"/>
  <c r="V259" i="30"/>
  <c r="X259" i="30" s="1"/>
  <c r="A260" i="30"/>
  <c r="AL211" i="30" s="1"/>
  <c r="D260" i="30"/>
  <c r="E260" i="30"/>
  <c r="F260" i="30"/>
  <c r="G260" i="30"/>
  <c r="H260" i="30"/>
  <c r="I260" i="30"/>
  <c r="J260" i="30"/>
  <c r="K260" i="30"/>
  <c r="L260" i="30"/>
  <c r="M260" i="30"/>
  <c r="N260" i="30"/>
  <c r="O260" i="30"/>
  <c r="Q260" i="30"/>
  <c r="R260" i="30"/>
  <c r="T260" i="30"/>
  <c r="U260" i="30"/>
  <c r="W260" i="30"/>
  <c r="V263" i="30"/>
  <c r="X263" i="30" s="1"/>
  <c r="V264" i="30"/>
  <c r="X264" i="30" s="1"/>
  <c r="V265" i="30"/>
  <c r="X265" i="30" s="1"/>
  <c r="V266" i="30"/>
  <c r="X266" i="30" s="1"/>
  <c r="V267" i="30"/>
  <c r="X267" i="30" s="1"/>
  <c r="V268" i="30"/>
  <c r="X268" i="30" s="1"/>
  <c r="V269" i="30"/>
  <c r="X269" i="30" s="1"/>
  <c r="V270" i="30"/>
  <c r="X270" i="30" s="1"/>
  <c r="V271" i="30"/>
  <c r="X271" i="30" s="1"/>
  <c r="V272" i="30"/>
  <c r="X272" i="30" s="1"/>
  <c r="V273" i="30"/>
  <c r="X273" i="30" s="1"/>
  <c r="V274" i="30"/>
  <c r="X274" i="30" s="1"/>
  <c r="V275" i="30"/>
  <c r="X275" i="30" s="1"/>
  <c r="V276" i="30"/>
  <c r="X276" i="30" s="1"/>
  <c r="V277" i="30"/>
  <c r="X277" i="30" s="1"/>
  <c r="V278" i="30"/>
  <c r="X278" i="30" s="1"/>
  <c r="V279" i="30"/>
  <c r="X279" i="30" s="1"/>
  <c r="V280" i="30"/>
  <c r="X280" i="30" s="1"/>
  <c r="A281" i="30"/>
  <c r="AL220" i="30" s="1"/>
  <c r="D281" i="30"/>
  <c r="E281" i="30"/>
  <c r="F281" i="30"/>
  <c r="G281" i="30"/>
  <c r="H281" i="30"/>
  <c r="I281" i="30"/>
  <c r="J281" i="30"/>
  <c r="K281" i="30"/>
  <c r="L281" i="30"/>
  <c r="M281" i="30"/>
  <c r="N281" i="30"/>
  <c r="O281" i="30"/>
  <c r="Q281" i="30"/>
  <c r="R281" i="30"/>
  <c r="T281" i="30"/>
  <c r="U281" i="30"/>
  <c r="W281" i="30"/>
  <c r="V284" i="30"/>
  <c r="X284" i="30" s="1"/>
  <c r="V285" i="30"/>
  <c r="X285" i="30" s="1"/>
  <c r="V286" i="30"/>
  <c r="X286" i="30" s="1"/>
  <c r="V287" i="30"/>
  <c r="X287" i="30" s="1"/>
  <c r="V288" i="30"/>
  <c r="X288" i="30" s="1"/>
  <c r="V289" i="30"/>
  <c r="X289" i="30" s="1"/>
  <c r="V290" i="30"/>
  <c r="X290" i="30" s="1"/>
  <c r="V291" i="30"/>
  <c r="X291" i="30" s="1"/>
  <c r="V292" i="30"/>
  <c r="X292" i="30" s="1"/>
  <c r="V293" i="30"/>
  <c r="X293" i="30" s="1"/>
  <c r="V294" i="30"/>
  <c r="X294" i="30" s="1"/>
  <c r="V295" i="30"/>
  <c r="X295" i="30" s="1"/>
  <c r="V296" i="30"/>
  <c r="X296" i="30" s="1"/>
  <c r="V297" i="30"/>
  <c r="X297" i="30" s="1"/>
  <c r="V298" i="30"/>
  <c r="X298" i="30" s="1"/>
  <c r="V299" i="30"/>
  <c r="X299" i="30" s="1"/>
  <c r="V300" i="30"/>
  <c r="X300" i="30" s="1"/>
  <c r="V301" i="30"/>
  <c r="X301" i="30" s="1"/>
  <c r="V302" i="30"/>
  <c r="X302" i="30" s="1"/>
  <c r="V303" i="30"/>
  <c r="X303" i="30" s="1"/>
  <c r="V304" i="30"/>
  <c r="X304" i="30" s="1"/>
  <c r="V305" i="30"/>
  <c r="X305" i="30" s="1"/>
  <c r="V306" i="30"/>
  <c r="X306" i="30" s="1"/>
  <c r="V307" i="30"/>
  <c r="X307" i="30" s="1"/>
  <c r="V308" i="30"/>
  <c r="X308" i="30" s="1"/>
  <c r="V309" i="30"/>
  <c r="X309" i="30" s="1"/>
  <c r="A310" i="30"/>
  <c r="AL234" i="30" s="1"/>
  <c r="D310" i="30"/>
  <c r="E310" i="30"/>
  <c r="F310" i="30"/>
  <c r="G310" i="30"/>
  <c r="H310" i="30"/>
  <c r="I310" i="30"/>
  <c r="J310" i="30"/>
  <c r="K310" i="30"/>
  <c r="L310" i="30"/>
  <c r="M310" i="30"/>
  <c r="N310" i="30"/>
  <c r="O310" i="30"/>
  <c r="Q310" i="30"/>
  <c r="R310" i="30"/>
  <c r="T310" i="30"/>
  <c r="U310" i="30"/>
  <c r="W310" i="30"/>
  <c r="Z2" i="29"/>
  <c r="AC2" i="29"/>
  <c r="AD2" i="29"/>
  <c r="AE2" i="29"/>
  <c r="AF2" i="29"/>
  <c r="AG2" i="29"/>
  <c r="I6" i="29"/>
  <c r="Q11" i="5" s="1"/>
  <c r="E11" i="5"/>
  <c r="H27" i="29"/>
  <c r="H20" i="29"/>
  <c r="I38" i="29"/>
  <c r="E17" i="5"/>
  <c r="H58" i="29"/>
  <c r="H52" i="29"/>
  <c r="X53" i="31" l="1"/>
  <c r="X35" i="31"/>
  <c r="X38" i="22"/>
  <c r="X25" i="22"/>
  <c r="Y56" i="26"/>
  <c r="Y33" i="26"/>
  <c r="X39" i="23"/>
  <c r="X24" i="23"/>
  <c r="Y57" i="26"/>
  <c r="Y34" i="26"/>
  <c r="X38" i="16"/>
  <c r="X21" i="16"/>
  <c r="X34" i="25"/>
  <c r="X21" i="25"/>
  <c r="X32" i="18"/>
  <c r="X17" i="18"/>
  <c r="X38" i="24"/>
  <c r="X24" i="24"/>
  <c r="AD30" i="21"/>
  <c r="AD15" i="21"/>
  <c r="AB8" i="27"/>
  <c r="AB7" i="27"/>
  <c r="AB5" i="27"/>
  <c r="AB15" i="27"/>
  <c r="AB14" i="27"/>
  <c r="AB12" i="27"/>
  <c r="P70" i="5"/>
  <c r="U19" i="10"/>
  <c r="U18" i="10"/>
  <c r="C16" i="5"/>
  <c r="AV33" i="30"/>
  <c r="AT33" i="30"/>
  <c r="C10" i="5"/>
  <c r="AB13" i="27"/>
  <c r="AB11" i="27"/>
  <c r="AB9" i="27"/>
  <c r="AB16" i="27"/>
  <c r="AB10" i="27"/>
  <c r="Q58" i="70"/>
  <c r="R58" i="70" s="1"/>
  <c r="S58" i="70" s="1"/>
  <c r="N58" i="70"/>
  <c r="O58" i="70" s="1"/>
  <c r="P58" i="70" s="1"/>
  <c r="K57" i="70"/>
  <c r="L57" i="70" s="1"/>
  <c r="M57" i="70" s="1"/>
  <c r="A59" i="70"/>
  <c r="X58" i="70"/>
  <c r="V59" i="70" s="1"/>
  <c r="W59" i="70" s="1"/>
  <c r="F58" i="70"/>
  <c r="G58" i="70" s="1"/>
  <c r="E59" i="70" s="1"/>
  <c r="AF69" i="5"/>
  <c r="AF67" i="5"/>
  <c r="AB40" i="27"/>
  <c r="AB24" i="27"/>
  <c r="I33" i="70"/>
  <c r="D57" i="70"/>
  <c r="B58" i="70" s="1"/>
  <c r="C58" i="70" s="1"/>
  <c r="AF63" i="5"/>
  <c r="AF40" i="5"/>
  <c r="AF48" i="5"/>
  <c r="AF58" i="5"/>
  <c r="AF36" i="5"/>
  <c r="AF51" i="5"/>
  <c r="AF43" i="5"/>
  <c r="AF27" i="5"/>
  <c r="H81" i="5"/>
  <c r="AF32" i="5"/>
  <c r="AB38" i="27"/>
  <c r="J43" i="29"/>
  <c r="P17" i="5" s="1"/>
  <c r="AC30" i="15"/>
  <c r="AC29" i="15"/>
  <c r="J11" i="29"/>
  <c r="P11" i="5" s="1"/>
  <c r="AC11" i="15"/>
  <c r="AC31" i="15"/>
  <c r="AB20" i="27"/>
  <c r="AB26" i="27"/>
  <c r="AB33" i="27"/>
  <c r="AB30" i="27"/>
  <c r="AB34" i="27"/>
  <c r="AB23" i="27"/>
  <c r="AB36" i="27"/>
  <c r="AB28" i="27"/>
  <c r="AB17" i="27"/>
  <c r="AB22" i="27"/>
  <c r="AB29" i="27"/>
  <c r="AB37" i="27"/>
  <c r="AB32" i="27"/>
  <c r="AB25" i="27"/>
  <c r="AB31" i="27"/>
  <c r="AB27" i="27"/>
  <c r="AB18" i="27"/>
  <c r="AB35" i="27"/>
  <c r="AB19" i="27"/>
  <c r="AB39" i="27"/>
  <c r="X15" i="20"/>
  <c r="X37" i="20"/>
  <c r="I258" i="30"/>
  <c r="X16" i="5"/>
  <c r="W16" i="5"/>
  <c r="W10" i="5"/>
  <c r="X10" i="5"/>
  <c r="AF22" i="5"/>
  <c r="AF47" i="5"/>
  <c r="AF39" i="5"/>
  <c r="G71" i="5"/>
  <c r="G70" i="5"/>
  <c r="C56" i="5"/>
  <c r="J56" i="5" s="1"/>
  <c r="B31" i="60"/>
  <c r="C31" i="60" s="1"/>
  <c r="C33" i="5"/>
  <c r="S33" i="5" s="1"/>
  <c r="B16" i="60"/>
  <c r="C16" i="60" s="1"/>
  <c r="C49" i="5"/>
  <c r="P49" i="5" s="1"/>
  <c r="B26" i="60"/>
  <c r="C26" i="60" s="1"/>
  <c r="C61" i="5"/>
  <c r="Q61" i="5" s="1"/>
  <c r="B34" i="60"/>
  <c r="C34" i="60" s="1"/>
  <c r="C38" i="5"/>
  <c r="I38" i="5" s="1"/>
  <c r="B19" i="60"/>
  <c r="C19" i="60" s="1"/>
  <c r="C52" i="5"/>
  <c r="H52" i="5" s="1"/>
  <c r="B28" i="60"/>
  <c r="C28" i="60" s="1"/>
  <c r="C46" i="5"/>
  <c r="P46" i="5" s="1"/>
  <c r="B22" i="60"/>
  <c r="C22" i="60" s="1"/>
  <c r="C24" i="5"/>
  <c r="K24" i="5" s="1"/>
  <c r="B43" i="60"/>
  <c r="C43" i="60" s="1"/>
  <c r="C65" i="5"/>
  <c r="I65" i="5" s="1"/>
  <c r="B38" i="60"/>
  <c r="C38" i="60" s="1"/>
  <c r="C41" i="5"/>
  <c r="G41" i="5" s="1"/>
  <c r="B41" i="60"/>
  <c r="C41" i="60" s="1"/>
  <c r="C31" i="5"/>
  <c r="J31" i="5" s="1"/>
  <c r="B11" i="60"/>
  <c r="C11" i="60" s="1"/>
  <c r="Q6" i="10"/>
  <c r="I39" i="4"/>
  <c r="C39" i="4" s="1"/>
  <c r="V260" i="30"/>
  <c r="X260" i="30" s="1"/>
  <c r="V281" i="30"/>
  <c r="X281" i="30" s="1"/>
  <c r="V310" i="30"/>
  <c r="X310" i="30" s="1"/>
  <c r="V210" i="30"/>
  <c r="X210" i="30" s="1"/>
  <c r="V54" i="30"/>
  <c r="X54" i="30" s="1"/>
  <c r="C25" i="5"/>
  <c r="G25" i="5" s="1"/>
  <c r="C37" i="5"/>
  <c r="H37" i="5" s="1"/>
  <c r="C45" i="5"/>
  <c r="Q45" i="5" s="1"/>
  <c r="C28" i="5"/>
  <c r="C44" i="5"/>
  <c r="D44" i="5" s="1"/>
  <c r="C55" i="5"/>
  <c r="D55" i="5" s="1"/>
  <c r="C30" i="5"/>
  <c r="K30" i="5" s="1"/>
  <c r="C53" i="5"/>
  <c r="J53" i="5" s="1"/>
  <c r="C34" i="5"/>
  <c r="P34" i="5" s="1"/>
  <c r="C29" i="5"/>
  <c r="S29" i="5" s="1"/>
  <c r="V148" i="30"/>
  <c r="X148" i="30" s="1"/>
  <c r="C23" i="5"/>
  <c r="Q23" i="5" s="1"/>
  <c r="V100" i="30"/>
  <c r="X100" i="30" s="1"/>
  <c r="B64" i="34"/>
  <c r="V119" i="30"/>
  <c r="X119" i="30" s="1"/>
  <c r="K16" i="5"/>
  <c r="D16" i="5"/>
  <c r="L16" i="5"/>
  <c r="E16" i="5"/>
  <c r="M16" i="5"/>
  <c r="F16" i="5"/>
  <c r="P16" i="5"/>
  <c r="G16" i="5"/>
  <c r="Q16" i="5"/>
  <c r="H16" i="5"/>
  <c r="R16" i="5"/>
  <c r="B7" i="60" s="1"/>
  <c r="C7" i="60" s="1"/>
  <c r="S16" i="5"/>
  <c r="J16" i="5"/>
  <c r="H10" i="5"/>
  <c r="R10" i="5"/>
  <c r="S10" i="5"/>
  <c r="J10" i="5"/>
  <c r="K10" i="5"/>
  <c r="D10" i="5"/>
  <c r="L10" i="5"/>
  <c r="E10" i="5"/>
  <c r="M10" i="5"/>
  <c r="G10" i="5"/>
  <c r="Q10" i="5"/>
  <c r="F10" i="5"/>
  <c r="Q7" i="10"/>
  <c r="L5" i="5"/>
  <c r="B2" i="34"/>
  <c r="B3" i="34"/>
  <c r="Q4" i="10" s="1"/>
  <c r="B4" i="34"/>
  <c r="Q2" i="10"/>
  <c r="B22" i="10"/>
  <c r="D22" i="10"/>
  <c r="C64" i="5"/>
  <c r="C60" i="5"/>
  <c r="C59" i="5"/>
  <c r="B29" i="10"/>
  <c r="AO59" i="11"/>
  <c r="AT41" i="30" l="1"/>
  <c r="AT43" i="30"/>
  <c r="AT40" i="30"/>
  <c r="AV41" i="30"/>
  <c r="AV43" i="30"/>
  <c r="AV40" i="30"/>
  <c r="AT34" i="30"/>
  <c r="AT36" i="30"/>
  <c r="AV36" i="30"/>
  <c r="AV34" i="30"/>
  <c r="T4" i="31"/>
  <c r="T12" i="31"/>
  <c r="T20" i="31"/>
  <c r="T28" i="31"/>
  <c r="T36" i="31"/>
  <c r="T44" i="31"/>
  <c r="T45" i="31"/>
  <c r="T22" i="31"/>
  <c r="T42" i="31"/>
  <c r="T5" i="31"/>
  <c r="T13" i="31"/>
  <c r="T21" i="31"/>
  <c r="T29" i="31"/>
  <c r="T37" i="31"/>
  <c r="T2" i="31"/>
  <c r="T30" i="31"/>
  <c r="T39" i="31"/>
  <c r="T38" i="31"/>
  <c r="T47" i="31"/>
  <c r="T15" i="31"/>
  <c r="T23" i="31"/>
  <c r="T31" i="31"/>
  <c r="T8" i="31"/>
  <c r="T16" i="31"/>
  <c r="T24" i="31"/>
  <c r="T32" i="31"/>
  <c r="T40" i="31"/>
  <c r="T48" i="31"/>
  <c r="T34" i="31"/>
  <c r="T9" i="31"/>
  <c r="T17" i="31"/>
  <c r="T25" i="31"/>
  <c r="T33" i="31"/>
  <c r="T41" i="31"/>
  <c r="T49" i="31"/>
  <c r="T10" i="31"/>
  <c r="T18" i="31"/>
  <c r="T26" i="31"/>
  <c r="T11" i="31"/>
  <c r="T19" i="31"/>
  <c r="T27" i="31"/>
  <c r="T35" i="31"/>
  <c r="T43" i="31"/>
  <c r="T51" i="31"/>
  <c r="T3" i="31"/>
  <c r="T14" i="31"/>
  <c r="T46" i="31"/>
  <c r="T50" i="31"/>
  <c r="Q59" i="70"/>
  <c r="R59" i="70" s="1"/>
  <c r="S59" i="70" s="1"/>
  <c r="N59" i="70"/>
  <c r="O59" i="70" s="1"/>
  <c r="P59" i="70" s="1"/>
  <c r="K58" i="70"/>
  <c r="L58" i="70" s="1"/>
  <c r="M58" i="70" s="1"/>
  <c r="X59" i="70"/>
  <c r="V60" i="70" s="1"/>
  <c r="W60" i="70" s="1"/>
  <c r="B35" i="10"/>
  <c r="A60" i="70"/>
  <c r="A61" i="4"/>
  <c r="B34" i="10"/>
  <c r="F59" i="70"/>
  <c r="G59" i="70" s="1"/>
  <c r="E60" i="70" s="1"/>
  <c r="U42" i="24"/>
  <c r="U43" i="24"/>
  <c r="U44" i="24"/>
  <c r="U45" i="24"/>
  <c r="U46" i="24"/>
  <c r="U47" i="24"/>
  <c r="U41" i="24"/>
  <c r="J33" i="70"/>
  <c r="H34" i="70" s="1"/>
  <c r="D58" i="70"/>
  <c r="B59" i="70" s="1"/>
  <c r="C59" i="70" s="1"/>
  <c r="U26" i="16"/>
  <c r="U2" i="16"/>
  <c r="U37" i="25"/>
  <c r="U38" i="25"/>
  <c r="U39" i="25"/>
  <c r="U43" i="25"/>
  <c r="U40" i="25"/>
  <c r="U41" i="25"/>
  <c r="U42" i="25"/>
  <c r="U41" i="22"/>
  <c r="U44" i="22"/>
  <c r="U42" i="22"/>
  <c r="U43" i="22"/>
  <c r="Z33" i="21"/>
  <c r="Z34" i="21"/>
  <c r="Z35" i="21"/>
  <c r="Z36" i="21"/>
  <c r="Z37" i="21"/>
  <c r="Z27" i="21"/>
  <c r="U40" i="20"/>
  <c r="U42" i="20"/>
  <c r="U45" i="20"/>
  <c r="U43" i="20"/>
  <c r="U44" i="20"/>
  <c r="U41" i="20"/>
  <c r="U41" i="19"/>
  <c r="U43" i="19"/>
  <c r="U44" i="19"/>
  <c r="U45" i="19"/>
  <c r="U42" i="19"/>
  <c r="U35" i="18"/>
  <c r="U37" i="18"/>
  <c r="U38" i="18"/>
  <c r="U36" i="18"/>
  <c r="U39" i="18"/>
  <c r="U40" i="18"/>
  <c r="U41" i="18"/>
  <c r="Y34" i="15"/>
  <c r="Y35" i="15"/>
  <c r="Y36" i="15"/>
  <c r="Y37" i="15"/>
  <c r="Y38" i="15"/>
  <c r="L6" i="11"/>
  <c r="L7" i="11"/>
  <c r="B3" i="60"/>
  <c r="C3" i="60" s="1"/>
  <c r="C13" i="5"/>
  <c r="L24" i="5"/>
  <c r="I24" i="5"/>
  <c r="R24" i="5"/>
  <c r="B45" i="60" s="1"/>
  <c r="Z2" i="21"/>
  <c r="Z5" i="21"/>
  <c r="U24" i="19"/>
  <c r="U27" i="19"/>
  <c r="U32" i="16"/>
  <c r="U23" i="16"/>
  <c r="U29" i="16"/>
  <c r="U18" i="16"/>
  <c r="U20" i="16"/>
  <c r="U15" i="16"/>
  <c r="U17" i="16"/>
  <c r="U3" i="16"/>
  <c r="U4" i="16"/>
  <c r="I56" i="5"/>
  <c r="G38" i="5"/>
  <c r="U36" i="19"/>
  <c r="U28" i="19"/>
  <c r="U19" i="19"/>
  <c r="U11" i="19"/>
  <c r="U3" i="19"/>
  <c r="U10" i="19"/>
  <c r="U33" i="19"/>
  <c r="U7" i="19"/>
  <c r="U26" i="19"/>
  <c r="U18" i="19"/>
  <c r="U2" i="19"/>
  <c r="U34" i="19"/>
  <c r="U25" i="19"/>
  <c r="U17" i="19"/>
  <c r="U9" i="19"/>
  <c r="U16" i="19"/>
  <c r="U29" i="19"/>
  <c r="U4" i="19"/>
  <c r="U8" i="19"/>
  <c r="U23" i="19"/>
  <c r="U32" i="19"/>
  <c r="U31" i="19"/>
  <c r="U22" i="19"/>
  <c r="U14" i="19"/>
  <c r="U12" i="19"/>
  <c r="U30" i="19"/>
  <c r="U21" i="19"/>
  <c r="U13" i="19"/>
  <c r="U5" i="19"/>
  <c r="U20" i="19"/>
  <c r="Z18" i="21"/>
  <c r="Z17" i="21"/>
  <c r="Z16" i="21"/>
  <c r="Z28" i="21"/>
  <c r="Z15" i="21"/>
  <c r="Z22" i="21"/>
  <c r="Z14" i="21"/>
  <c r="Z6" i="21"/>
  <c r="Z4" i="21"/>
  <c r="U31" i="16"/>
  <c r="U7" i="16"/>
  <c r="U30" i="16"/>
  <c r="U27" i="16"/>
  <c r="U25" i="16"/>
  <c r="U6" i="16"/>
  <c r="U13" i="16"/>
  <c r="U5" i="16"/>
  <c r="U12" i="16"/>
  <c r="U8" i="16"/>
  <c r="U11" i="16"/>
  <c r="U36" i="16"/>
  <c r="U24" i="16"/>
  <c r="U10" i="16"/>
  <c r="U19" i="16"/>
  <c r="U35" i="16"/>
  <c r="U22" i="16"/>
  <c r="U9" i="16"/>
  <c r="D28" i="5"/>
  <c r="E56" i="5"/>
  <c r="I31" i="5"/>
  <c r="L61" i="5"/>
  <c r="S24" i="5"/>
  <c r="D24" i="5"/>
  <c r="H24" i="5"/>
  <c r="Q24" i="5"/>
  <c r="F24" i="5"/>
  <c r="J24" i="5"/>
  <c r="P24" i="5"/>
  <c r="E24" i="5"/>
  <c r="D38" i="5"/>
  <c r="F61" i="5"/>
  <c r="I61" i="5"/>
  <c r="S61" i="5"/>
  <c r="D61" i="5"/>
  <c r="K61" i="5"/>
  <c r="J61" i="5"/>
  <c r="R61" i="5"/>
  <c r="B37" i="60" s="1"/>
  <c r="L41" i="5"/>
  <c r="I33" i="5"/>
  <c r="D33" i="5"/>
  <c r="D52" i="5"/>
  <c r="K33" i="5"/>
  <c r="G33" i="5"/>
  <c r="Q33" i="5"/>
  <c r="R52" i="5"/>
  <c r="B29" i="60" s="1"/>
  <c r="H41" i="5"/>
  <c r="E33" i="5"/>
  <c r="D41" i="5"/>
  <c r="P52" i="5"/>
  <c r="J41" i="5"/>
  <c r="L52" i="5"/>
  <c r="R33" i="5"/>
  <c r="B17" i="60" s="1"/>
  <c r="P33" i="5"/>
  <c r="F52" i="5"/>
  <c r="I52" i="5"/>
  <c r="K41" i="5"/>
  <c r="J33" i="5"/>
  <c r="L33" i="5"/>
  <c r="Q52" i="5"/>
  <c r="P41" i="5"/>
  <c r="G52" i="5"/>
  <c r="E52" i="5"/>
  <c r="Q41" i="5"/>
  <c r="H33" i="5"/>
  <c r="I41" i="5"/>
  <c r="E41" i="5"/>
  <c r="R41" i="5"/>
  <c r="B42" i="60" s="1"/>
  <c r="S52" i="5"/>
  <c r="K52" i="5"/>
  <c r="F33" i="5"/>
  <c r="S41" i="5"/>
  <c r="J46" i="5"/>
  <c r="D46" i="5"/>
  <c r="G46" i="5"/>
  <c r="E46" i="5"/>
  <c r="E49" i="5"/>
  <c r="S49" i="5"/>
  <c r="S31" i="5"/>
  <c r="H49" i="5"/>
  <c r="F46" i="5"/>
  <c r="R31" i="5"/>
  <c r="B15" i="60" s="1"/>
  <c r="G31" i="5"/>
  <c r="Q31" i="5"/>
  <c r="L49" i="5"/>
  <c r="R49" i="5"/>
  <c r="B27" i="60" s="1"/>
  <c r="S46" i="5"/>
  <c r="F31" i="5"/>
  <c r="K49" i="5"/>
  <c r="G49" i="5"/>
  <c r="H46" i="5"/>
  <c r="J49" i="5"/>
  <c r="Q49" i="5"/>
  <c r="L31" i="5"/>
  <c r="L46" i="5"/>
  <c r="I49" i="5"/>
  <c r="F49" i="5"/>
  <c r="P31" i="5"/>
  <c r="H31" i="5"/>
  <c r="K46" i="5"/>
  <c r="D49" i="5"/>
  <c r="K31" i="5"/>
  <c r="E31" i="5"/>
  <c r="D31" i="5"/>
  <c r="Q46" i="5"/>
  <c r="I46" i="5"/>
  <c r="R46" i="5"/>
  <c r="B25" i="60" s="1"/>
  <c r="F41" i="5"/>
  <c r="L38" i="5"/>
  <c r="Q38" i="5"/>
  <c r="G56" i="5"/>
  <c r="R56" i="5"/>
  <c r="B33" i="60" s="1"/>
  <c r="H65" i="5"/>
  <c r="L65" i="5"/>
  <c r="S65" i="5"/>
  <c r="Q56" i="5"/>
  <c r="R65" i="5"/>
  <c r="B40" i="60" s="1"/>
  <c r="E65" i="5"/>
  <c r="J38" i="5"/>
  <c r="D65" i="5"/>
  <c r="P56" i="5"/>
  <c r="H38" i="5"/>
  <c r="F65" i="5"/>
  <c r="D56" i="5"/>
  <c r="K65" i="5"/>
  <c r="P38" i="5"/>
  <c r="Q65" i="5"/>
  <c r="L56" i="5"/>
  <c r="J65" i="5"/>
  <c r="E38" i="5"/>
  <c r="S38" i="5"/>
  <c r="F56" i="5"/>
  <c r="K56" i="5"/>
  <c r="P65" i="5"/>
  <c r="F38" i="5"/>
  <c r="H56" i="5"/>
  <c r="K38" i="5"/>
  <c r="R38" i="5"/>
  <c r="B21" i="60" s="1"/>
  <c r="S56" i="5"/>
  <c r="G65" i="5"/>
  <c r="J52" i="5"/>
  <c r="G61" i="5"/>
  <c r="P61" i="5"/>
  <c r="E61" i="5"/>
  <c r="H61" i="5"/>
  <c r="G24" i="5"/>
  <c r="K25" i="5"/>
  <c r="J25" i="5"/>
  <c r="Q25" i="5"/>
  <c r="F25" i="5"/>
  <c r="D25" i="5"/>
  <c r="P25" i="5"/>
  <c r="I25" i="5"/>
  <c r="S25" i="5"/>
  <c r="H25" i="5"/>
  <c r="E25" i="5"/>
  <c r="R25" i="5"/>
  <c r="B46" i="60" s="1"/>
  <c r="L25" i="5"/>
  <c r="D52" i="4"/>
  <c r="D49" i="4"/>
  <c r="D51" i="4"/>
  <c r="D53" i="4"/>
  <c r="D47" i="4"/>
  <c r="D50" i="4"/>
  <c r="H23" i="5"/>
  <c r="E23" i="5"/>
  <c r="P23" i="5"/>
  <c r="F23" i="5"/>
  <c r="G23" i="5"/>
  <c r="R23" i="5"/>
  <c r="B44" i="60" s="1"/>
  <c r="L23" i="5"/>
  <c r="S23" i="5"/>
  <c r="J37" i="5"/>
  <c r="P37" i="5"/>
  <c r="I37" i="5"/>
  <c r="Q37" i="5"/>
  <c r="S37" i="5"/>
  <c r="D37" i="5"/>
  <c r="K37" i="5"/>
  <c r="F37" i="5"/>
  <c r="G37" i="5"/>
  <c r="E37" i="5"/>
  <c r="R37" i="5"/>
  <c r="B20" i="60" s="1"/>
  <c r="L37" i="5"/>
  <c r="G45" i="5"/>
  <c r="G30" i="5"/>
  <c r="S55" i="5"/>
  <c r="Q29" i="5"/>
  <c r="L53" i="5"/>
  <c r="P53" i="5"/>
  <c r="E34" i="5"/>
  <c r="E53" i="5"/>
  <c r="K28" i="5"/>
  <c r="H28" i="5"/>
  <c r="J44" i="5"/>
  <c r="G55" i="5"/>
  <c r="I29" i="5"/>
  <c r="K55" i="5"/>
  <c r="L28" i="5"/>
  <c r="I55" i="5"/>
  <c r="R29" i="5"/>
  <c r="B13" i="60" s="1"/>
  <c r="H55" i="5"/>
  <c r="K29" i="5"/>
  <c r="F44" i="5"/>
  <c r="G29" i="5"/>
  <c r="R55" i="5"/>
  <c r="B32" i="60" s="1"/>
  <c r="Q28" i="5"/>
  <c r="J28" i="5"/>
  <c r="E55" i="5"/>
  <c r="I44" i="5"/>
  <c r="F29" i="5"/>
  <c r="E44" i="5"/>
  <c r="P29" i="5"/>
  <c r="H29" i="5"/>
  <c r="S44" i="5"/>
  <c r="S53" i="5"/>
  <c r="E29" i="5"/>
  <c r="R53" i="5"/>
  <c r="B30" i="60" s="1"/>
  <c r="H44" i="5"/>
  <c r="G53" i="5"/>
  <c r="P44" i="5"/>
  <c r="R44" i="5"/>
  <c r="B23" i="60" s="1"/>
  <c r="K53" i="5"/>
  <c r="Q53" i="5"/>
  <c r="L44" i="5"/>
  <c r="G44" i="5"/>
  <c r="L29" i="5"/>
  <c r="F53" i="5"/>
  <c r="K44" i="5"/>
  <c r="Q44" i="5"/>
  <c r="Q55" i="5"/>
  <c r="F30" i="5"/>
  <c r="E45" i="5"/>
  <c r="J34" i="5"/>
  <c r="Q30" i="5"/>
  <c r="I34" i="5"/>
  <c r="R34" i="5"/>
  <c r="B18" i="60" s="1"/>
  <c r="J30" i="5"/>
  <c r="J45" i="5"/>
  <c r="M78" i="5"/>
  <c r="M143" i="5" s="1"/>
  <c r="H6" i="4" s="1"/>
  <c r="G34" i="5"/>
  <c r="I45" i="5"/>
  <c r="S34" i="5"/>
  <c r="R45" i="5"/>
  <c r="B24" i="60" s="1"/>
  <c r="Q34" i="5"/>
  <c r="S30" i="5"/>
  <c r="H34" i="5"/>
  <c r="P45" i="5"/>
  <c r="S45" i="5"/>
  <c r="K34" i="5"/>
  <c r="D45" i="5"/>
  <c r="F34" i="5"/>
  <c r="H30" i="5"/>
  <c r="L45" i="5"/>
  <c r="H45" i="5"/>
  <c r="F45" i="5"/>
  <c r="R30" i="5"/>
  <c r="B14" i="60" s="1"/>
  <c r="K45" i="5"/>
  <c r="L55" i="5"/>
  <c r="P55" i="5"/>
  <c r="F55" i="5"/>
  <c r="J55" i="5"/>
  <c r="D29" i="5"/>
  <c r="J29" i="5"/>
  <c r="D34" i="5"/>
  <c r="L34" i="5"/>
  <c r="H53" i="5"/>
  <c r="D53" i="5"/>
  <c r="I53" i="5"/>
  <c r="D30" i="5"/>
  <c r="P30" i="5"/>
  <c r="I30" i="5"/>
  <c r="E30" i="5"/>
  <c r="L30" i="5"/>
  <c r="AF66" i="5"/>
  <c r="U17" i="26" s="1"/>
  <c r="AF68" i="5"/>
  <c r="V17" i="26" s="1"/>
  <c r="D23" i="5"/>
  <c r="K23" i="5"/>
  <c r="I23" i="5"/>
  <c r="J23" i="5"/>
  <c r="W18" i="29"/>
  <c r="Q12" i="10"/>
  <c r="B72" i="34"/>
  <c r="B42" i="10" s="1"/>
  <c r="B16" i="34"/>
  <c r="Q26" i="10" s="1"/>
  <c r="G75" i="5"/>
  <c r="Q10" i="10"/>
  <c r="Q11" i="10"/>
  <c r="F59" i="5"/>
  <c r="Q59" i="5"/>
  <c r="G59" i="5"/>
  <c r="R59" i="5"/>
  <c r="B35" i="60" s="1"/>
  <c r="H59" i="5"/>
  <c r="S59" i="5"/>
  <c r="L59" i="5"/>
  <c r="P59" i="5"/>
  <c r="D59" i="5"/>
  <c r="E59" i="5"/>
  <c r="I59" i="5"/>
  <c r="J59" i="5"/>
  <c r="K59" i="5"/>
  <c r="H60" i="5"/>
  <c r="S60" i="5"/>
  <c r="I60" i="5"/>
  <c r="J60" i="5"/>
  <c r="L60" i="5"/>
  <c r="P60" i="5"/>
  <c r="Q60" i="5"/>
  <c r="D60" i="5"/>
  <c r="R60" i="5"/>
  <c r="B36" i="60" s="1"/>
  <c r="E60" i="5"/>
  <c r="F60" i="5"/>
  <c r="G60" i="5"/>
  <c r="K60" i="5"/>
  <c r="Q3" i="10"/>
  <c r="Q13" i="10"/>
  <c r="B73" i="34"/>
  <c r="B43" i="10" s="1"/>
  <c r="B17" i="34"/>
  <c r="Q27" i="10" s="1"/>
  <c r="H64" i="5"/>
  <c r="S64" i="5"/>
  <c r="I64" i="5"/>
  <c r="K64" i="5"/>
  <c r="L64" i="5"/>
  <c r="P64" i="5"/>
  <c r="D64" i="5"/>
  <c r="Q64" i="5"/>
  <c r="E64" i="5"/>
  <c r="R64" i="5"/>
  <c r="B39" i="60" s="1"/>
  <c r="F64" i="5"/>
  <c r="G64" i="5"/>
  <c r="J64" i="5"/>
  <c r="R9" i="14"/>
  <c r="R17" i="14"/>
  <c r="R25" i="14"/>
  <c r="R33" i="14"/>
  <c r="R41" i="14"/>
  <c r="R51" i="14"/>
  <c r="R59" i="14"/>
  <c r="R67" i="14"/>
  <c r="R75" i="14"/>
  <c r="R83" i="14"/>
  <c r="R91" i="14"/>
  <c r="Z26" i="21" s="1"/>
  <c r="R6" i="14"/>
  <c r="R14" i="14"/>
  <c r="R22" i="14"/>
  <c r="R30" i="14"/>
  <c r="R38" i="14"/>
  <c r="R48" i="14"/>
  <c r="R56" i="14"/>
  <c r="R64" i="14"/>
  <c r="R72" i="14"/>
  <c r="R80" i="14"/>
  <c r="R88" i="14"/>
  <c r="R96" i="14"/>
  <c r="R104" i="14"/>
  <c r="R110" i="14"/>
  <c r="R113" i="14"/>
  <c r="R11" i="14"/>
  <c r="R19" i="14"/>
  <c r="R27" i="14"/>
  <c r="R35" i="14"/>
  <c r="R43" i="14"/>
  <c r="R53" i="14"/>
  <c r="R61" i="14"/>
  <c r="R69" i="14"/>
  <c r="R77" i="14"/>
  <c r="R85" i="14"/>
  <c r="R93" i="14"/>
  <c r="R2" i="14"/>
  <c r="R8" i="14"/>
  <c r="R16" i="14"/>
  <c r="R24" i="14"/>
  <c r="R32" i="14"/>
  <c r="R40" i="14"/>
  <c r="R50" i="14"/>
  <c r="R58" i="14"/>
  <c r="R66" i="14"/>
  <c r="R74" i="14"/>
  <c r="R82" i="14"/>
  <c r="R5" i="14"/>
  <c r="R13" i="14"/>
  <c r="R21" i="14"/>
  <c r="R29" i="14"/>
  <c r="R37" i="14"/>
  <c r="R47" i="14"/>
  <c r="R55" i="14"/>
  <c r="R63" i="14"/>
  <c r="R71" i="14"/>
  <c r="R79" i="14"/>
  <c r="R87" i="14"/>
  <c r="R95" i="14"/>
  <c r="R103" i="14"/>
  <c r="R108" i="14"/>
  <c r="R3" i="14"/>
  <c r="R10" i="14"/>
  <c r="R18" i="14"/>
  <c r="R26" i="14"/>
  <c r="R34" i="14"/>
  <c r="R42" i="14"/>
  <c r="R52" i="14"/>
  <c r="R60" i="14"/>
  <c r="R68" i="14"/>
  <c r="R4" i="14"/>
  <c r="R12" i="14"/>
  <c r="R20" i="14"/>
  <c r="R28" i="14"/>
  <c r="R36" i="14"/>
  <c r="R46" i="14"/>
  <c r="R54" i="14"/>
  <c r="R62" i="14"/>
  <c r="R70" i="14"/>
  <c r="R39" i="14"/>
  <c r="R90" i="14"/>
  <c r="R99" i="14"/>
  <c r="R15" i="14"/>
  <c r="R86" i="14"/>
  <c r="R112" i="14"/>
  <c r="R57" i="14"/>
  <c r="R78" i="14"/>
  <c r="R97" i="14"/>
  <c r="R100" i="14"/>
  <c r="R102" i="14"/>
  <c r="R31" i="14"/>
  <c r="R94" i="14"/>
  <c r="R7" i="14"/>
  <c r="R73" i="14"/>
  <c r="R84" i="14"/>
  <c r="R98" i="14"/>
  <c r="R49" i="14"/>
  <c r="R92" i="14"/>
  <c r="R105" i="14"/>
  <c r="R23" i="14"/>
  <c r="R76" i="14"/>
  <c r="R89" i="14"/>
  <c r="R101" i="14"/>
  <c r="R65" i="14"/>
  <c r="R81" i="14"/>
  <c r="AA2" i="29"/>
  <c r="M12" i="10"/>
  <c r="B10" i="34"/>
  <c r="AO60" i="11"/>
  <c r="C14" i="5"/>
  <c r="C15" i="5"/>
  <c r="H2" i="11"/>
  <c r="M14" i="10"/>
  <c r="B12" i="34"/>
  <c r="C19" i="5"/>
  <c r="C21" i="5"/>
  <c r="C20" i="5"/>
  <c r="AK284" i="11" l="1"/>
  <c r="AK276" i="11"/>
  <c r="AK283" i="11"/>
  <c r="AK275" i="11"/>
  <c r="AK282" i="11"/>
  <c r="AK274" i="11"/>
  <c r="AK278" i="11"/>
  <c r="AK281" i="11"/>
  <c r="AK277" i="11"/>
  <c r="AK280" i="11"/>
  <c r="AK279" i="11"/>
  <c r="AK149" i="11"/>
  <c r="AK141" i="11"/>
  <c r="AK148" i="11"/>
  <c r="AK140" i="11"/>
  <c r="AK147" i="11"/>
  <c r="AK139" i="11"/>
  <c r="AK146" i="11"/>
  <c r="AK138" i="11"/>
  <c r="AK145" i="11"/>
  <c r="AK137" i="11"/>
  <c r="AK142" i="11"/>
  <c r="AK144" i="11"/>
  <c r="AK136" i="11"/>
  <c r="AK150" i="11"/>
  <c r="AK143" i="11"/>
  <c r="T7" i="31"/>
  <c r="T6" i="31"/>
  <c r="Q60" i="70"/>
  <c r="R60" i="70" s="1"/>
  <c r="S60" i="70" s="1"/>
  <c r="N60" i="70"/>
  <c r="O60" i="70" s="1"/>
  <c r="P60" i="70" s="1"/>
  <c r="K59" i="70"/>
  <c r="L59" i="70" s="1"/>
  <c r="M59" i="70" s="1"/>
  <c r="X60" i="70"/>
  <c r="V61" i="70" s="1"/>
  <c r="W61" i="70" s="1"/>
  <c r="A61" i="70"/>
  <c r="AK56" i="11"/>
  <c r="F60" i="70"/>
  <c r="G60" i="70" s="1"/>
  <c r="E61" i="70" s="1"/>
  <c r="I34" i="70"/>
  <c r="D59" i="70"/>
  <c r="B60" i="70" s="1"/>
  <c r="C60" i="70" s="1"/>
  <c r="P2" i="11"/>
  <c r="Q2" i="11" s="1"/>
  <c r="U21" i="16"/>
  <c r="U33" i="16"/>
  <c r="X45" i="14"/>
  <c r="Y45" i="14" s="1"/>
  <c r="X44" i="14"/>
  <c r="Y44" i="14" s="1"/>
  <c r="V40" i="26"/>
  <c r="V50" i="26"/>
  <c r="U40" i="26"/>
  <c r="U50" i="26"/>
  <c r="V27" i="26"/>
  <c r="U27" i="26"/>
  <c r="V20" i="26"/>
  <c r="V28" i="26"/>
  <c r="U20" i="26"/>
  <c r="U28" i="26"/>
  <c r="V3" i="26"/>
  <c r="V2" i="26"/>
  <c r="U3" i="26"/>
  <c r="U2" i="26"/>
  <c r="U28" i="16"/>
  <c r="U6" i="19"/>
  <c r="U16" i="16"/>
  <c r="Z19" i="21"/>
  <c r="Z8" i="21"/>
  <c r="Z3" i="21"/>
  <c r="Z24" i="21"/>
  <c r="U34" i="16"/>
  <c r="Z12" i="21"/>
  <c r="Z9" i="21"/>
  <c r="U15" i="19"/>
  <c r="Z20" i="21"/>
  <c r="Z7" i="21"/>
  <c r="U35" i="19"/>
  <c r="AF62" i="5"/>
  <c r="U14" i="16"/>
  <c r="Z25" i="21"/>
  <c r="AF35" i="5"/>
  <c r="AF57" i="5"/>
  <c r="AF54" i="5"/>
  <c r="AF50" i="5"/>
  <c r="AF42" i="5"/>
  <c r="Z13" i="21"/>
  <c r="Z23" i="21"/>
  <c r="Z11" i="21"/>
  <c r="Z21" i="21"/>
  <c r="Z10" i="21"/>
  <c r="U10" i="26"/>
  <c r="U4" i="26"/>
  <c r="U15" i="26"/>
  <c r="V49" i="26"/>
  <c r="U48" i="26"/>
  <c r="U49" i="26"/>
  <c r="V45" i="26"/>
  <c r="V48" i="26"/>
  <c r="U44" i="26"/>
  <c r="U45" i="26"/>
  <c r="V39" i="26"/>
  <c r="V44" i="26"/>
  <c r="U30" i="26"/>
  <c r="U39" i="26"/>
  <c r="V29" i="26"/>
  <c r="V30" i="26"/>
  <c r="U26" i="26"/>
  <c r="U29" i="26"/>
  <c r="V25" i="26"/>
  <c r="V26" i="26"/>
  <c r="U18" i="26"/>
  <c r="U25" i="26"/>
  <c r="V19" i="26"/>
  <c r="V18" i="26"/>
  <c r="U16" i="26"/>
  <c r="U19" i="26"/>
  <c r="U36" i="26"/>
  <c r="U56" i="26"/>
  <c r="U47" i="26"/>
  <c r="U11" i="26"/>
  <c r="U23" i="26"/>
  <c r="U7" i="26"/>
  <c r="U57" i="26"/>
  <c r="U24" i="26"/>
  <c r="U52" i="26"/>
  <c r="U46" i="26"/>
  <c r="U35" i="26"/>
  <c r="U38" i="26"/>
  <c r="U32" i="26"/>
  <c r="U33" i="26"/>
  <c r="U8" i="26"/>
  <c r="U43" i="26"/>
  <c r="U21" i="26"/>
  <c r="U55" i="26"/>
  <c r="U31" i="26"/>
  <c r="U54" i="26"/>
  <c r="U41" i="26"/>
  <c r="U37" i="26"/>
  <c r="U6" i="26"/>
  <c r="U12" i="26"/>
  <c r="U53" i="26"/>
  <c r="U13" i="26"/>
  <c r="U51" i="26"/>
  <c r="U22" i="26"/>
  <c r="U14" i="26"/>
  <c r="U9" i="26"/>
  <c r="U42" i="26"/>
  <c r="U34" i="26"/>
  <c r="V55" i="26"/>
  <c r="V12" i="26"/>
  <c r="V5" i="26"/>
  <c r="V6" i="26"/>
  <c r="U5" i="26"/>
  <c r="V11" i="26"/>
  <c r="V4" i="26"/>
  <c r="V32" i="26"/>
  <c r="V14" i="26"/>
  <c r="Q61" i="70" l="1"/>
  <c r="R61" i="70" s="1"/>
  <c r="S61" i="70" s="1"/>
  <c r="N61" i="70"/>
  <c r="O61" i="70" s="1"/>
  <c r="P61" i="70" s="1"/>
  <c r="K60" i="70"/>
  <c r="L60" i="70" s="1"/>
  <c r="M60" i="70" s="1"/>
  <c r="X61" i="70"/>
  <c r="V62" i="70" s="1"/>
  <c r="W62" i="70" s="1"/>
  <c r="A62" i="70"/>
  <c r="F61" i="70"/>
  <c r="G61" i="70" s="1"/>
  <c r="E62" i="70" s="1"/>
  <c r="J34" i="70"/>
  <c r="H35" i="70" s="1"/>
  <c r="D60" i="70"/>
  <c r="B61" i="70" s="1"/>
  <c r="C61" i="70" s="1"/>
  <c r="U31" i="25"/>
  <c r="U17" i="18"/>
  <c r="U35" i="24"/>
  <c r="U23" i="24"/>
  <c r="U27" i="22"/>
  <c r="U26" i="22"/>
  <c r="U22" i="22"/>
  <c r="U29" i="20"/>
  <c r="U21" i="20"/>
  <c r="U25" i="25"/>
  <c r="U29" i="25"/>
  <c r="U18" i="25"/>
  <c r="U23" i="25"/>
  <c r="U21" i="25"/>
  <c r="U15" i="25"/>
  <c r="U16" i="24"/>
  <c r="U21" i="24"/>
  <c r="U31" i="24"/>
  <c r="U6" i="24"/>
  <c r="U18" i="23"/>
  <c r="U20" i="23"/>
  <c r="U16" i="22"/>
  <c r="U9" i="22"/>
  <c r="U29" i="18"/>
  <c r="U2" i="18"/>
  <c r="U28" i="24"/>
  <c r="U15" i="18"/>
  <c r="U22" i="18"/>
  <c r="U8" i="24"/>
  <c r="U14" i="24"/>
  <c r="U24" i="18"/>
  <c r="U21" i="22"/>
  <c r="U26" i="25"/>
  <c r="U24" i="25"/>
  <c r="U8" i="22"/>
  <c r="U15" i="20"/>
  <c r="U30" i="22"/>
  <c r="U28" i="20"/>
  <c r="U6" i="22"/>
  <c r="U4" i="18"/>
  <c r="U5" i="24"/>
  <c r="U5" i="25"/>
  <c r="U13" i="20"/>
  <c r="U11" i="20"/>
  <c r="U13" i="22"/>
  <c r="U15" i="24"/>
  <c r="U30" i="20"/>
  <c r="U30" i="24"/>
  <c r="U7" i="20"/>
  <c r="U34" i="22"/>
  <c r="U32" i="20"/>
  <c r="U2" i="20"/>
  <c r="U9" i="23"/>
  <c r="U25" i="23"/>
  <c r="U31" i="23"/>
  <c r="U12" i="23"/>
  <c r="U27" i="23"/>
  <c r="U30" i="23"/>
  <c r="U33" i="23"/>
  <c r="U23" i="23"/>
  <c r="U4" i="23"/>
  <c r="U15" i="23"/>
  <c r="U19" i="23"/>
  <c r="U13" i="23"/>
  <c r="U37" i="23"/>
  <c r="U16" i="23"/>
  <c r="U28" i="23"/>
  <c r="U3" i="23"/>
  <c r="U34" i="23"/>
  <c r="U32" i="23"/>
  <c r="U35" i="23"/>
  <c r="U26" i="23"/>
  <c r="U24" i="23"/>
  <c r="U14" i="23"/>
  <c r="U22" i="23"/>
  <c r="U6" i="23"/>
  <c r="U7" i="23"/>
  <c r="U26" i="24"/>
  <c r="U3" i="24"/>
  <c r="U22" i="24"/>
  <c r="U24" i="24"/>
  <c r="U20" i="24"/>
  <c r="U32" i="24"/>
  <c r="U4" i="24"/>
  <c r="U11" i="24"/>
  <c r="U18" i="24"/>
  <c r="U36" i="24"/>
  <c r="U2" i="24"/>
  <c r="U9" i="24"/>
  <c r="U19" i="24"/>
  <c r="U27" i="24"/>
  <c r="U33" i="24"/>
  <c r="U25" i="24"/>
  <c r="U10" i="24"/>
  <c r="U11" i="22"/>
  <c r="U6" i="20"/>
  <c r="U29" i="23"/>
  <c r="U20" i="22"/>
  <c r="U34" i="20"/>
  <c r="U11" i="23"/>
  <c r="U31" i="20"/>
  <c r="U34" i="24"/>
  <c r="U5" i="23"/>
  <c r="U30" i="18"/>
  <c r="U20" i="18"/>
  <c r="U26" i="18"/>
  <c r="U18" i="18"/>
  <c r="U13" i="18"/>
  <c r="U3" i="18"/>
  <c r="U9" i="18"/>
  <c r="U23" i="18"/>
  <c r="U5" i="18"/>
  <c r="U8" i="18"/>
  <c r="U14" i="18"/>
  <c r="U25" i="18"/>
  <c r="U16" i="18"/>
  <c r="U11" i="18"/>
  <c r="U27" i="18"/>
  <c r="U19" i="18"/>
  <c r="U21" i="18"/>
  <c r="U7" i="24"/>
  <c r="U10" i="20"/>
  <c r="U12" i="18"/>
  <c r="U36" i="23"/>
  <c r="U20" i="20"/>
  <c r="U4" i="20"/>
  <c r="U12" i="24"/>
  <c r="U21" i="23"/>
  <c r="U27" i="20"/>
  <c r="U29" i="24"/>
  <c r="U2" i="23"/>
  <c r="U25" i="20"/>
  <c r="U13" i="24"/>
  <c r="U17" i="24"/>
  <c r="U8" i="25"/>
  <c r="U6" i="18"/>
  <c r="U29" i="22"/>
  <c r="U9" i="20"/>
  <c r="U24" i="20"/>
  <c r="U23" i="20"/>
  <c r="U35" i="20"/>
  <c r="U8" i="20"/>
  <c r="U14" i="20"/>
  <c r="U12" i="20"/>
  <c r="U26" i="20"/>
  <c r="U33" i="20"/>
  <c r="U18" i="20"/>
  <c r="U22" i="20"/>
  <c r="U16" i="20"/>
  <c r="U5" i="20"/>
  <c r="U19" i="20"/>
  <c r="U11" i="25"/>
  <c r="U14" i="25"/>
  <c r="U13" i="25"/>
  <c r="U3" i="25"/>
  <c r="U19" i="25"/>
  <c r="U30" i="25"/>
  <c r="U32" i="25"/>
  <c r="U6" i="25"/>
  <c r="U27" i="25"/>
  <c r="U22" i="25"/>
  <c r="U20" i="25"/>
  <c r="U16" i="25"/>
  <c r="U28" i="25"/>
  <c r="U7" i="25"/>
  <c r="U4" i="25"/>
  <c r="U2" i="25"/>
  <c r="U17" i="25"/>
  <c r="U9" i="25"/>
  <c r="U31" i="22"/>
  <c r="U3" i="20"/>
  <c r="U10" i="25"/>
  <c r="U10" i="18"/>
  <c r="U17" i="23"/>
  <c r="U12" i="25"/>
  <c r="U17" i="22"/>
  <c r="U15" i="22"/>
  <c r="U36" i="22"/>
  <c r="U19" i="22"/>
  <c r="U10" i="22"/>
  <c r="U4" i="22"/>
  <c r="U5" i="22"/>
  <c r="U35" i="22"/>
  <c r="U33" i="22"/>
  <c r="U2" i="22"/>
  <c r="U25" i="22"/>
  <c r="U23" i="22"/>
  <c r="U18" i="22"/>
  <c r="U7" i="22"/>
  <c r="U14" i="22"/>
  <c r="U3" i="22"/>
  <c r="U28" i="22"/>
  <c r="U24" i="22"/>
  <c r="U32" i="22"/>
  <c r="U28" i="18"/>
  <c r="U10" i="23"/>
  <c r="U12" i="22"/>
  <c r="U17" i="20"/>
  <c r="U8" i="23"/>
  <c r="U7" i="18"/>
  <c r="H7" i="4"/>
  <c r="L3" i="5"/>
  <c r="V36" i="26"/>
  <c r="V15" i="26"/>
  <c r="V34" i="26"/>
  <c r="V9" i="26"/>
  <c r="V54" i="26"/>
  <c r="V7" i="26"/>
  <c r="V33" i="26"/>
  <c r="V51" i="26"/>
  <c r="V31" i="26"/>
  <c r="V52" i="26"/>
  <c r="V47" i="26"/>
  <c r="V23" i="26"/>
  <c r="V24" i="26"/>
  <c r="V10" i="26"/>
  <c r="V43" i="26"/>
  <c r="V21" i="26"/>
  <c r="V46" i="26"/>
  <c r="V22" i="26"/>
  <c r="V13" i="26"/>
  <c r="V8" i="26"/>
  <c r="V41" i="26"/>
  <c r="V56" i="26"/>
  <c r="V42" i="26"/>
  <c r="V37" i="26"/>
  <c r="V16" i="26"/>
  <c r="V57" i="26"/>
  <c r="V53" i="26"/>
  <c r="V38" i="26"/>
  <c r="V35" i="26"/>
  <c r="S74" i="5"/>
  <c r="J15" i="5"/>
  <c r="K15" i="5"/>
  <c r="D15" i="5"/>
  <c r="L15" i="5"/>
  <c r="E15" i="5"/>
  <c r="P15" i="5"/>
  <c r="F15" i="5"/>
  <c r="Q15" i="5"/>
  <c r="G15" i="5"/>
  <c r="R15" i="5"/>
  <c r="B6" i="60" s="1"/>
  <c r="H15" i="5"/>
  <c r="I15" i="5"/>
  <c r="S15" i="5"/>
  <c r="AC15" i="29"/>
  <c r="AA4" i="29"/>
  <c r="J13" i="5"/>
  <c r="K13" i="5"/>
  <c r="D13" i="5"/>
  <c r="L13" i="5"/>
  <c r="E13" i="5"/>
  <c r="P13" i="5"/>
  <c r="F13" i="5"/>
  <c r="Q13" i="5"/>
  <c r="G13" i="5"/>
  <c r="R13" i="5"/>
  <c r="B4" i="60" s="1"/>
  <c r="H13" i="5"/>
  <c r="I13" i="5"/>
  <c r="S13" i="5"/>
  <c r="X7" i="14"/>
  <c r="Y7" i="14" s="1"/>
  <c r="X15" i="14"/>
  <c r="Y15" i="14" s="1"/>
  <c r="X23" i="14"/>
  <c r="Y23" i="14" s="1"/>
  <c r="X31" i="14"/>
  <c r="Y31" i="14" s="1"/>
  <c r="X39" i="14"/>
  <c r="Y39" i="14" s="1"/>
  <c r="X49" i="14"/>
  <c r="Y49" i="14" s="1"/>
  <c r="X57" i="14"/>
  <c r="Y57" i="14" s="1"/>
  <c r="X65" i="14"/>
  <c r="Y65" i="14" s="1"/>
  <c r="X73" i="14"/>
  <c r="Y73" i="14" s="1"/>
  <c r="X81" i="14"/>
  <c r="Y81" i="14" s="1"/>
  <c r="X89" i="14"/>
  <c r="Y89" i="14" s="1"/>
  <c r="X97" i="14"/>
  <c r="Y97" i="14" s="1"/>
  <c r="X4" i="14"/>
  <c r="Y4" i="14" s="1"/>
  <c r="X12" i="14"/>
  <c r="Y12" i="14" s="1"/>
  <c r="X20" i="14"/>
  <c r="Y20" i="14" s="1"/>
  <c r="X28" i="14"/>
  <c r="Y28" i="14" s="1"/>
  <c r="X36" i="14"/>
  <c r="Y36" i="14" s="1"/>
  <c r="X46" i="14"/>
  <c r="Y46" i="14" s="1"/>
  <c r="X54" i="14"/>
  <c r="Y54" i="14" s="1"/>
  <c r="X62" i="14"/>
  <c r="Y62" i="14" s="1"/>
  <c r="X70" i="14"/>
  <c r="Y70" i="14" s="1"/>
  <c r="X78" i="14"/>
  <c r="Y78" i="14" s="1"/>
  <c r="X86" i="14"/>
  <c r="Y86" i="14" s="1"/>
  <c r="X94" i="14"/>
  <c r="Y94" i="14" s="1"/>
  <c r="X102" i="14"/>
  <c r="Y102" i="14" s="1"/>
  <c r="X9" i="14"/>
  <c r="Y9" i="14" s="1"/>
  <c r="X17" i="14"/>
  <c r="Y17" i="14" s="1"/>
  <c r="X25" i="14"/>
  <c r="Y25" i="14" s="1"/>
  <c r="X33" i="14"/>
  <c r="Y33" i="14" s="1"/>
  <c r="X41" i="14"/>
  <c r="Y41" i="14" s="1"/>
  <c r="X51" i="14"/>
  <c r="Y51" i="14" s="1"/>
  <c r="X59" i="14"/>
  <c r="Y59" i="14" s="1"/>
  <c r="X67" i="14"/>
  <c r="Y67" i="14" s="1"/>
  <c r="X75" i="14"/>
  <c r="Y75" i="14" s="1"/>
  <c r="X83" i="14"/>
  <c r="Y83" i="14" s="1"/>
  <c r="X91" i="14"/>
  <c r="Y91" i="14" s="1"/>
  <c r="X99" i="14"/>
  <c r="Y99" i="14" s="1"/>
  <c r="X6" i="14"/>
  <c r="Y6" i="14" s="1"/>
  <c r="X14" i="14"/>
  <c r="Y14" i="14" s="1"/>
  <c r="X22" i="14"/>
  <c r="Y22" i="14" s="1"/>
  <c r="X30" i="14"/>
  <c r="Y30" i="14" s="1"/>
  <c r="X38" i="14"/>
  <c r="Y38" i="14" s="1"/>
  <c r="X48" i="14"/>
  <c r="Y48" i="14" s="1"/>
  <c r="X56" i="14"/>
  <c r="Y56" i="14" s="1"/>
  <c r="X64" i="14"/>
  <c r="Y64" i="14" s="1"/>
  <c r="X72" i="14"/>
  <c r="Y72" i="14" s="1"/>
  <c r="X80" i="14"/>
  <c r="Y80" i="14" s="1"/>
  <c r="X88" i="14"/>
  <c r="Y88" i="14" s="1"/>
  <c r="X11" i="14"/>
  <c r="Y11" i="14" s="1"/>
  <c r="X19" i="14"/>
  <c r="Y19" i="14" s="1"/>
  <c r="X27" i="14"/>
  <c r="Y27" i="14" s="1"/>
  <c r="X35" i="14"/>
  <c r="Y35" i="14" s="1"/>
  <c r="X43" i="14"/>
  <c r="Y43" i="14" s="1"/>
  <c r="X53" i="14"/>
  <c r="Y53" i="14" s="1"/>
  <c r="X61" i="14"/>
  <c r="Y61" i="14" s="1"/>
  <c r="X69" i="14"/>
  <c r="Y69" i="14" s="1"/>
  <c r="X77" i="14"/>
  <c r="Y77" i="14" s="1"/>
  <c r="X85" i="14"/>
  <c r="Y85" i="14" s="1"/>
  <c r="X93" i="14"/>
  <c r="Y93" i="14" s="1"/>
  <c r="X101" i="14"/>
  <c r="Y101" i="14" s="1"/>
  <c r="X8" i="14"/>
  <c r="Y8" i="14" s="1"/>
  <c r="X16" i="14"/>
  <c r="Y16" i="14" s="1"/>
  <c r="X24" i="14"/>
  <c r="Y24" i="14" s="1"/>
  <c r="X32" i="14"/>
  <c r="Y32" i="14" s="1"/>
  <c r="X40" i="14"/>
  <c r="Y40" i="14" s="1"/>
  <c r="X50" i="14"/>
  <c r="Y50" i="14" s="1"/>
  <c r="X58" i="14"/>
  <c r="Y58" i="14" s="1"/>
  <c r="X66" i="14"/>
  <c r="Y66" i="14" s="1"/>
  <c r="X74" i="14"/>
  <c r="Y74" i="14" s="1"/>
  <c r="X10" i="14"/>
  <c r="Y10" i="14" s="1"/>
  <c r="X18" i="14"/>
  <c r="Y18" i="14" s="1"/>
  <c r="X26" i="14"/>
  <c r="Y26" i="14" s="1"/>
  <c r="X34" i="14"/>
  <c r="Y34" i="14" s="1"/>
  <c r="X42" i="14"/>
  <c r="Y42" i="14" s="1"/>
  <c r="X52" i="14"/>
  <c r="Y52" i="14" s="1"/>
  <c r="X60" i="14"/>
  <c r="Y60" i="14" s="1"/>
  <c r="X68" i="14"/>
  <c r="Y68" i="14" s="1"/>
  <c r="X76" i="14"/>
  <c r="Y76" i="14" s="1"/>
  <c r="X13" i="14"/>
  <c r="Y13" i="14" s="1"/>
  <c r="X96" i="14"/>
  <c r="Y96" i="14" s="1"/>
  <c r="X55" i="14"/>
  <c r="Y55" i="14" s="1"/>
  <c r="X82" i="14"/>
  <c r="Y82" i="14" s="1"/>
  <c r="X90" i="14"/>
  <c r="Y90" i="14" s="1"/>
  <c r="X29" i="14"/>
  <c r="Y29" i="14" s="1"/>
  <c r="X5" i="14"/>
  <c r="Y5" i="14" s="1"/>
  <c r="W5" i="14" s="1"/>
  <c r="X71" i="14"/>
  <c r="Y71" i="14" s="1"/>
  <c r="X87" i="14"/>
  <c r="Y87" i="14" s="1"/>
  <c r="X104" i="14"/>
  <c r="Y104" i="14" s="1"/>
  <c r="X47" i="14"/>
  <c r="Y47" i="14" s="1"/>
  <c r="X79" i="14"/>
  <c r="Y79" i="14" s="1"/>
  <c r="X100" i="14"/>
  <c r="Y100" i="14" s="1"/>
  <c r="X21" i="14"/>
  <c r="Y21" i="14" s="1"/>
  <c r="X98" i="14"/>
  <c r="Y98" i="14" s="1"/>
  <c r="X63" i="14"/>
  <c r="Y63" i="14" s="1"/>
  <c r="X84" i="14"/>
  <c r="Y84" i="14" s="1"/>
  <c r="X95" i="14"/>
  <c r="Y95" i="14" s="1"/>
  <c r="X37" i="14"/>
  <c r="Y37" i="14" s="1"/>
  <c r="X92" i="14"/>
  <c r="Y92" i="14" s="1"/>
  <c r="X103" i="14"/>
  <c r="Y103" i="14" s="1"/>
  <c r="X105" i="14"/>
  <c r="Y105" i="14" s="1"/>
  <c r="E20" i="5"/>
  <c r="P20" i="5"/>
  <c r="F20" i="5"/>
  <c r="Q20" i="5"/>
  <c r="G20" i="5"/>
  <c r="R20" i="5"/>
  <c r="B9" i="60" s="1"/>
  <c r="H20" i="5"/>
  <c r="S20" i="5"/>
  <c r="I20" i="5"/>
  <c r="J20" i="5"/>
  <c r="D20" i="5"/>
  <c r="K20" i="5"/>
  <c r="L20" i="5"/>
  <c r="E19" i="5"/>
  <c r="P19" i="5"/>
  <c r="F19" i="5"/>
  <c r="Q19" i="5"/>
  <c r="G19" i="5"/>
  <c r="R19" i="5"/>
  <c r="B8" i="60" s="1"/>
  <c r="H19" i="5"/>
  <c r="S19" i="5"/>
  <c r="I19" i="5"/>
  <c r="J19" i="5"/>
  <c r="D19" i="5"/>
  <c r="K19" i="5"/>
  <c r="L19" i="5"/>
  <c r="E21" i="5"/>
  <c r="P21" i="5"/>
  <c r="F21" i="5"/>
  <c r="Q21" i="5"/>
  <c r="G21" i="5"/>
  <c r="R21" i="5"/>
  <c r="B10" i="60" s="1"/>
  <c r="H21" i="5"/>
  <c r="S21" i="5"/>
  <c r="I21" i="5"/>
  <c r="J21" i="5"/>
  <c r="D21" i="5"/>
  <c r="K21" i="5"/>
  <c r="L21" i="5"/>
  <c r="S75" i="5"/>
  <c r="S73" i="5"/>
  <c r="W19" i="29"/>
  <c r="A8" i="10"/>
  <c r="E18" i="10"/>
  <c r="B3" i="5"/>
  <c r="M3" i="4"/>
  <c r="J14" i="5"/>
  <c r="K14" i="5"/>
  <c r="D14" i="5"/>
  <c r="L14" i="5"/>
  <c r="E14" i="5"/>
  <c r="P14" i="5"/>
  <c r="F14" i="5"/>
  <c r="Q14" i="5"/>
  <c r="G14" i="5"/>
  <c r="R14" i="5"/>
  <c r="B5" i="60" s="1"/>
  <c r="S14" i="5"/>
  <c r="H14" i="5"/>
  <c r="I14" i="5"/>
  <c r="AO61" i="11"/>
  <c r="C34" i="10"/>
  <c r="C35" i="10"/>
  <c r="AK61" i="11"/>
  <c r="AK68" i="11"/>
  <c r="N17" i="11"/>
  <c r="AK59" i="11"/>
  <c r="AK67" i="11"/>
  <c r="M18" i="11"/>
  <c r="AK64" i="11"/>
  <c r="AK72" i="11"/>
  <c r="AK57" i="11"/>
  <c r="AK71" i="11"/>
  <c r="AK75" i="11"/>
  <c r="AK65" i="11"/>
  <c r="AK78" i="11"/>
  <c r="AK86" i="11"/>
  <c r="AK58" i="11"/>
  <c r="AK63" i="11"/>
  <c r="AK70" i="11"/>
  <c r="AK77" i="11"/>
  <c r="N18" i="11"/>
  <c r="AK82" i="11"/>
  <c r="AK90" i="11"/>
  <c r="AK91" i="11"/>
  <c r="AK92" i="11"/>
  <c r="AK93" i="11"/>
  <c r="AK94" i="11"/>
  <c r="AK95" i="11"/>
  <c r="AK66" i="11"/>
  <c r="AK73" i="11"/>
  <c r="AK80" i="11"/>
  <c r="AK87" i="11"/>
  <c r="AK62" i="11"/>
  <c r="AK76" i="11"/>
  <c r="AK89" i="11"/>
  <c r="AK74" i="11"/>
  <c r="AK79" i="11"/>
  <c r="AK85" i="11"/>
  <c r="AK96" i="11"/>
  <c r="AK97" i="11"/>
  <c r="AK98" i="11"/>
  <c r="AK99" i="11"/>
  <c r="AK100" i="11"/>
  <c r="AK101" i="11"/>
  <c r="AK102" i="11"/>
  <c r="AK103" i="11"/>
  <c r="AK104" i="11"/>
  <c r="AK105" i="11"/>
  <c r="AK84" i="11"/>
  <c r="AK60" i="11"/>
  <c r="AK83" i="11"/>
  <c r="AK81" i="11"/>
  <c r="AK88" i="11"/>
  <c r="AK106" i="11"/>
  <c r="AK107" i="11"/>
  <c r="AK108" i="11"/>
  <c r="AK109" i="11"/>
  <c r="AK110" i="11"/>
  <c r="AK111" i="11"/>
  <c r="AK112" i="11"/>
  <c r="AK113" i="11"/>
  <c r="AK114" i="11"/>
  <c r="AK115" i="11"/>
  <c r="AK116" i="11"/>
  <c r="AK117" i="11"/>
  <c r="AK118" i="11"/>
  <c r="AK119" i="11"/>
  <c r="AK120" i="11"/>
  <c r="AK121" i="11"/>
  <c r="AK122" i="11"/>
  <c r="AK123" i="11"/>
  <c r="AK124" i="11"/>
  <c r="AK69" i="11"/>
  <c r="AK129" i="11"/>
  <c r="AK237" i="11"/>
  <c r="AK126" i="11"/>
  <c r="AK134" i="11"/>
  <c r="AK238" i="11"/>
  <c r="AK242" i="11"/>
  <c r="AK244" i="11"/>
  <c r="AK248" i="11"/>
  <c r="AK252" i="11"/>
  <c r="AK256" i="11"/>
  <c r="AK131" i="11"/>
  <c r="AK128" i="11"/>
  <c r="AK130" i="11"/>
  <c r="AK135" i="11"/>
  <c r="AK246" i="11"/>
  <c r="AK253" i="11"/>
  <c r="AK255" i="11"/>
  <c r="AK257" i="11"/>
  <c r="AK269" i="11"/>
  <c r="AK273" i="11"/>
  <c r="AK125" i="11"/>
  <c r="AK239" i="11"/>
  <c r="AK249" i="11"/>
  <c r="AK251" i="11"/>
  <c r="AK270" i="11"/>
  <c r="AK234" i="11"/>
  <c r="AK240" i="11"/>
  <c r="AK241" i="11"/>
  <c r="AK132" i="11"/>
  <c r="AK133" i="11"/>
  <c r="AK236" i="11"/>
  <c r="AK243" i="11"/>
  <c r="AK250" i="11"/>
  <c r="AK258" i="11"/>
  <c r="AK259" i="11"/>
  <c r="AK260" i="11"/>
  <c r="AK268" i="11"/>
  <c r="AK272" i="11"/>
  <c r="AK127" i="11"/>
  <c r="AK265" i="11"/>
  <c r="AK262" i="11"/>
  <c r="AK267" i="11"/>
  <c r="AK264" i="11"/>
  <c r="AK245" i="11"/>
  <c r="AK247" i="11"/>
  <c r="AK261" i="11"/>
  <c r="AK266" i="11"/>
  <c r="AK235" i="11"/>
  <c r="AK254" i="11"/>
  <c r="AK263" i="11"/>
  <c r="AK271" i="11"/>
  <c r="X31" i="5" l="1"/>
  <c r="X30" i="5"/>
  <c r="X39" i="5"/>
  <c r="X38" i="5"/>
  <c r="B55" i="34" s="1"/>
  <c r="X37" i="5"/>
  <c r="X36" i="5"/>
  <c r="X35" i="5"/>
  <c r="X34" i="5"/>
  <c r="X33" i="5"/>
  <c r="X32" i="5"/>
  <c r="X28" i="5"/>
  <c r="X29" i="5"/>
  <c r="X27" i="5"/>
  <c r="X25" i="5"/>
  <c r="X26" i="5"/>
  <c r="X24" i="5"/>
  <c r="X23" i="5"/>
  <c r="Q62" i="70"/>
  <c r="R62" i="70" s="1"/>
  <c r="S62" i="70" s="1"/>
  <c r="N62" i="70"/>
  <c r="O62" i="70" s="1"/>
  <c r="P62" i="70" s="1"/>
  <c r="K61" i="70"/>
  <c r="L61" i="70" s="1"/>
  <c r="M61" i="70" s="1"/>
  <c r="R73" i="5"/>
  <c r="R74" i="5"/>
  <c r="R75" i="5"/>
  <c r="X62" i="70"/>
  <c r="V63" i="70" s="1"/>
  <c r="W63" i="70" s="1"/>
  <c r="A63" i="70"/>
  <c r="F62" i="70"/>
  <c r="G62" i="70" s="1"/>
  <c r="E63" i="70" s="1"/>
  <c r="I35" i="70"/>
  <c r="D61" i="70"/>
  <c r="B62" i="70" s="1"/>
  <c r="C62" i="70" s="1"/>
  <c r="W6" i="14"/>
  <c r="Q63" i="70" l="1"/>
  <c r="R63" i="70" s="1"/>
  <c r="S63" i="70" s="1"/>
  <c r="N63" i="70"/>
  <c r="O63" i="70" s="1"/>
  <c r="P63" i="70" s="1"/>
  <c r="K62" i="70"/>
  <c r="L62" i="70" s="1"/>
  <c r="M62" i="70" s="1"/>
  <c r="X63" i="70"/>
  <c r="V64" i="70" s="1"/>
  <c r="W64" i="70" s="1"/>
  <c r="A64" i="70"/>
  <c r="Q51" i="10"/>
  <c r="F63" i="70"/>
  <c r="G63" i="70" s="1"/>
  <c r="E64" i="70" s="1"/>
  <c r="J35" i="70"/>
  <c r="H36" i="70" s="1"/>
  <c r="D62" i="70"/>
  <c r="B63" i="70" s="1"/>
  <c r="C63" i="70" s="1"/>
  <c r="W7" i="14"/>
  <c r="W8" i="14" s="1"/>
  <c r="U108" i="14"/>
  <c r="R78" i="5"/>
  <c r="T108" i="14"/>
  <c r="T28" i="5" s="1"/>
  <c r="Y34" i="5"/>
  <c r="Y32" i="5"/>
  <c r="E27" i="57"/>
  <c r="Y28" i="5"/>
  <c r="S4" i="11"/>
  <c r="Y33" i="5"/>
  <c r="Y36" i="5"/>
  <c r="Q37" i="10" s="1"/>
  <c r="V108" i="14"/>
  <c r="AO62" i="11"/>
  <c r="Q38" i="10" l="1"/>
  <c r="Q64" i="70"/>
  <c r="R64" i="70" s="1"/>
  <c r="S64" i="70" s="1"/>
  <c r="N64" i="70"/>
  <c r="O64" i="70" s="1"/>
  <c r="P64" i="70" s="1"/>
  <c r="K63" i="70"/>
  <c r="L63" i="70" s="1"/>
  <c r="M63" i="70" s="1"/>
  <c r="Y35" i="5"/>
  <c r="X64" i="70"/>
  <c r="V65" i="70" s="1"/>
  <c r="W65" i="70" s="1"/>
  <c r="A65" i="70"/>
  <c r="F64" i="70"/>
  <c r="G64" i="70" s="1"/>
  <c r="E65" i="70" s="1"/>
  <c r="D63" i="70"/>
  <c r="B64" i="70" s="1"/>
  <c r="C64" i="70" s="1"/>
  <c r="W9" i="14"/>
  <c r="S112" i="14"/>
  <c r="F81" i="30"/>
  <c r="F239" i="30"/>
  <c r="I16" i="5" s="1"/>
  <c r="D13" i="11"/>
  <c r="D16" i="11"/>
  <c r="D14" i="11"/>
  <c r="D17" i="11"/>
  <c r="D15" i="11"/>
  <c r="AO63" i="11"/>
  <c r="P4" i="11"/>
  <c r="Y37" i="5"/>
  <c r="B56" i="34"/>
  <c r="B57" i="34"/>
  <c r="C5" i="11"/>
  <c r="E16" i="11" s="1"/>
  <c r="C6" i="11"/>
  <c r="E17" i="11" s="1"/>
  <c r="E5" i="11"/>
  <c r="E6" i="11"/>
  <c r="C2" i="11"/>
  <c r="E13" i="11" s="1"/>
  <c r="D2" i="11"/>
  <c r="D6" i="11"/>
  <c r="C3" i="11"/>
  <c r="E14" i="11" s="1"/>
  <c r="E4" i="11"/>
  <c r="E3" i="11"/>
  <c r="C4" i="11"/>
  <c r="E15" i="11" s="1"/>
  <c r="D4" i="11"/>
  <c r="E2" i="11"/>
  <c r="D3" i="11"/>
  <c r="D5" i="11"/>
  <c r="Q45" i="11"/>
  <c r="R45" i="11"/>
  <c r="F97" i="30"/>
  <c r="I97" i="30"/>
  <c r="P10" i="5" s="1"/>
  <c r="S111" i="14"/>
  <c r="G111" i="14" s="1"/>
  <c r="S115" i="14"/>
  <c r="F115" i="14" s="1"/>
  <c r="S116" i="14"/>
  <c r="F116" i="14" s="1"/>
  <c r="R116" i="14" s="1"/>
  <c r="S113" i="14"/>
  <c r="L113" i="14" s="1"/>
  <c r="F28" i="5" s="1"/>
  <c r="S117" i="14"/>
  <c r="I117" i="14" s="1"/>
  <c r="P28" i="5" s="1"/>
  <c r="S110" i="14"/>
  <c r="Q23" i="10" s="1"/>
  <c r="S114" i="14"/>
  <c r="E114" i="14" s="1"/>
  <c r="R111" i="14" l="1"/>
  <c r="G28" i="5"/>
  <c r="Q24" i="10"/>
  <c r="U10" i="5"/>
  <c r="V10" i="5"/>
  <c r="T10" i="5"/>
  <c r="U16" i="5"/>
  <c r="T16" i="5"/>
  <c r="V16" i="5"/>
  <c r="Q65" i="70"/>
  <c r="R65" i="70" s="1"/>
  <c r="S65" i="70" s="1"/>
  <c r="N65" i="70"/>
  <c r="O65" i="70" s="1"/>
  <c r="P65" i="70" s="1"/>
  <c r="K64" i="70"/>
  <c r="L64" i="70" s="1"/>
  <c r="M64" i="70" s="1"/>
  <c r="X65" i="70"/>
  <c r="V66" i="70" s="1"/>
  <c r="W66" i="70" s="1"/>
  <c r="A66" i="70"/>
  <c r="F65" i="70"/>
  <c r="G65" i="70" s="1"/>
  <c r="E66" i="70" s="1"/>
  <c r="I36" i="70"/>
  <c r="J36" i="70" s="1"/>
  <c r="H37" i="70" s="1"/>
  <c r="D64" i="70"/>
  <c r="B65" i="70" s="1"/>
  <c r="C65" i="70" s="1"/>
  <c r="R115" i="14"/>
  <c r="I28" i="5"/>
  <c r="W10" i="14"/>
  <c r="W11" i="14" s="1"/>
  <c r="AE119" i="30"/>
  <c r="I10" i="5"/>
  <c r="N25" i="11"/>
  <c r="N26" i="11"/>
  <c r="J26" i="11"/>
  <c r="L26" i="11"/>
  <c r="J27" i="11"/>
  <c r="L27" i="11"/>
  <c r="M25" i="11"/>
  <c r="J25" i="11"/>
  <c r="M26" i="11"/>
  <c r="K27" i="11"/>
  <c r="K26" i="11"/>
  <c r="L25" i="11"/>
  <c r="K25" i="11"/>
  <c r="N27" i="11"/>
  <c r="M27" i="11"/>
  <c r="R114" i="14"/>
  <c r="E28" i="5"/>
  <c r="AO64" i="11"/>
  <c r="B65" i="34"/>
  <c r="B66" i="34" s="1"/>
  <c r="B61" i="34"/>
  <c r="B63" i="34" s="1"/>
  <c r="R25" i="11"/>
  <c r="T26" i="11"/>
  <c r="U27" i="11"/>
  <c r="S25" i="11"/>
  <c r="U26" i="11"/>
  <c r="U25" i="11"/>
  <c r="V26" i="11"/>
  <c r="R27" i="11"/>
  <c r="T27" i="11"/>
  <c r="S27" i="11"/>
  <c r="T25" i="11"/>
  <c r="V25" i="11"/>
  <c r="V27" i="11"/>
  <c r="S26" i="11"/>
  <c r="R26" i="11"/>
  <c r="Q66" i="70" l="1"/>
  <c r="R66" i="70" s="1"/>
  <c r="S66" i="70" s="1"/>
  <c r="N66" i="70"/>
  <c r="O66" i="70" s="1"/>
  <c r="P66" i="70" s="1"/>
  <c r="K65" i="70"/>
  <c r="L65" i="70" s="1"/>
  <c r="M65" i="70" s="1"/>
  <c r="X66" i="70"/>
  <c r="V67" i="70" s="1"/>
  <c r="W67" i="70" s="1"/>
  <c r="A67" i="70"/>
  <c r="F66" i="70"/>
  <c r="G66" i="70" s="1"/>
  <c r="E67" i="70" s="1"/>
  <c r="D65" i="70"/>
  <c r="B66" i="70" s="1"/>
  <c r="C66" i="70" s="1"/>
  <c r="W12" i="14"/>
  <c r="AE281" i="30"/>
  <c r="R37" i="11"/>
  <c r="AE148" i="30"/>
  <c r="AO65" i="11"/>
  <c r="M11" i="10"/>
  <c r="B9" i="34"/>
  <c r="M13" i="10"/>
  <c r="B11" i="34"/>
  <c r="Q67" i="70" l="1"/>
  <c r="R67" i="70" s="1"/>
  <c r="S67" i="70" s="1"/>
  <c r="N67" i="70"/>
  <c r="O67" i="70" s="1"/>
  <c r="P67" i="70" s="1"/>
  <c r="K66" i="70"/>
  <c r="L66" i="70" s="1"/>
  <c r="M66" i="70" s="1"/>
  <c r="X67" i="70"/>
  <c r="V68" i="70" s="1"/>
  <c r="W68" i="70" s="1"/>
  <c r="A68" i="70"/>
  <c r="F67" i="70"/>
  <c r="G67" i="70" s="1"/>
  <c r="E68" i="70" s="1"/>
  <c r="I37" i="70"/>
  <c r="J37" i="70" s="1"/>
  <c r="H38" i="70" s="1"/>
  <c r="D66" i="70"/>
  <c r="B67" i="70" s="1"/>
  <c r="C67" i="70" s="1"/>
  <c r="W13" i="14"/>
  <c r="W14" i="14" s="1"/>
  <c r="W15" i="14" s="1"/>
  <c r="W16" i="14" s="1"/>
  <c r="W17" i="14" s="1"/>
  <c r="W18" i="14" s="1"/>
  <c r="W19" i="14" s="1"/>
  <c r="AO66" i="11"/>
  <c r="Q68" i="70" l="1"/>
  <c r="R68" i="70" s="1"/>
  <c r="S68" i="70" s="1"/>
  <c r="N68" i="70"/>
  <c r="O68" i="70" s="1"/>
  <c r="P68" i="70" s="1"/>
  <c r="K67" i="70"/>
  <c r="L67" i="70" s="1"/>
  <c r="M67" i="70" s="1"/>
  <c r="A69" i="70"/>
  <c r="X68" i="70"/>
  <c r="V69" i="70" s="1"/>
  <c r="W69" i="70" s="1"/>
  <c r="F68" i="70"/>
  <c r="G68" i="70" s="1"/>
  <c r="E69" i="70" s="1"/>
  <c r="I38" i="70"/>
  <c r="J38" i="70" s="1"/>
  <c r="H39" i="70" s="1"/>
  <c r="D67" i="70"/>
  <c r="B68" i="70" s="1"/>
  <c r="C68" i="70" s="1"/>
  <c r="AO67" i="11"/>
  <c r="AE310" i="30"/>
  <c r="Q69" i="70" l="1"/>
  <c r="R69" i="70" s="1"/>
  <c r="S69" i="70" s="1"/>
  <c r="N69" i="70"/>
  <c r="O69" i="70" s="1"/>
  <c r="P69" i="70" s="1"/>
  <c r="K68" i="70"/>
  <c r="L68" i="70" s="1"/>
  <c r="M68" i="70" s="1"/>
  <c r="X69" i="70"/>
  <c r="V70" i="70" s="1"/>
  <c r="W70" i="70" s="1"/>
  <c r="A70" i="70"/>
  <c r="F69" i="70"/>
  <c r="G69" i="70" s="1"/>
  <c r="E70" i="70" s="1"/>
  <c r="I39" i="70"/>
  <c r="J39" i="70" s="1"/>
  <c r="H40" i="70" s="1"/>
  <c r="D68" i="70"/>
  <c r="B69" i="70" s="1"/>
  <c r="C69" i="70" s="1"/>
  <c r="AO68" i="11"/>
  <c r="Q70" i="70" l="1"/>
  <c r="R70" i="70" s="1"/>
  <c r="S70" i="70" s="1"/>
  <c r="N70" i="70"/>
  <c r="O70" i="70" s="1"/>
  <c r="P70" i="70" s="1"/>
  <c r="K69" i="70"/>
  <c r="L69" i="70" s="1"/>
  <c r="M69" i="70" s="1"/>
  <c r="A71" i="70"/>
  <c r="X70" i="70"/>
  <c r="V71" i="70" s="1"/>
  <c r="W71" i="70" s="1"/>
  <c r="F70" i="70"/>
  <c r="G70" i="70" s="1"/>
  <c r="E71" i="70" s="1"/>
  <c r="I40" i="70"/>
  <c r="D69" i="70"/>
  <c r="B70" i="70" s="1"/>
  <c r="C70" i="70" s="1"/>
  <c r="W20" i="14"/>
  <c r="AO69" i="11"/>
  <c r="Q71" i="70" l="1"/>
  <c r="R71" i="70" s="1"/>
  <c r="S71" i="70" s="1"/>
  <c r="N71" i="70"/>
  <c r="O71" i="70" s="1"/>
  <c r="P71" i="70" s="1"/>
  <c r="K70" i="70"/>
  <c r="L70" i="70" s="1"/>
  <c r="M70" i="70" s="1"/>
  <c r="X71" i="70"/>
  <c r="V72" i="70" s="1"/>
  <c r="W72" i="70" s="1"/>
  <c r="A72" i="70"/>
  <c r="F71" i="70"/>
  <c r="G71" i="70" s="1"/>
  <c r="E72" i="70" s="1"/>
  <c r="J40" i="70"/>
  <c r="H41" i="70" s="1"/>
  <c r="D70" i="70"/>
  <c r="B71" i="70" s="1"/>
  <c r="C71" i="70" s="1"/>
  <c r="W21" i="14"/>
  <c r="W22" i="14" s="1"/>
  <c r="W23" i="14" s="1"/>
  <c r="W24" i="14" s="1"/>
  <c r="W25" i="14" s="1"/>
  <c r="W26" i="14" s="1"/>
  <c r="W27" i="14" s="1"/>
  <c r="W28" i="14" s="1"/>
  <c r="W29" i="14" s="1"/>
  <c r="W30" i="14" s="1"/>
  <c r="W31" i="14" s="1"/>
  <c r="W32" i="14" s="1"/>
  <c r="W33" i="14" s="1"/>
  <c r="W34" i="14" s="1"/>
  <c r="W35" i="14" s="1"/>
  <c r="AB4" i="14"/>
  <c r="AO70" i="11"/>
  <c r="Q72" i="70" l="1"/>
  <c r="R72" i="70" s="1"/>
  <c r="S72" i="70" s="1"/>
  <c r="N72" i="70"/>
  <c r="O72" i="70" s="1"/>
  <c r="P72" i="70" s="1"/>
  <c r="K71" i="70"/>
  <c r="L71" i="70" s="1"/>
  <c r="M71" i="70" s="1"/>
  <c r="A73" i="70"/>
  <c r="X72" i="70"/>
  <c r="V73" i="70" s="1"/>
  <c r="W73" i="70" s="1"/>
  <c r="F72" i="70"/>
  <c r="G72" i="70" s="1"/>
  <c r="E73" i="70" s="1"/>
  <c r="I41" i="70"/>
  <c r="D71" i="70"/>
  <c r="B72" i="70" s="1"/>
  <c r="C72" i="70" s="1"/>
  <c r="AO71" i="11"/>
  <c r="Q73" i="70" l="1"/>
  <c r="R73" i="70" s="1"/>
  <c r="S73" i="70" s="1"/>
  <c r="N73" i="70"/>
  <c r="O73" i="70" s="1"/>
  <c r="P73" i="70" s="1"/>
  <c r="K72" i="70"/>
  <c r="L72" i="70" s="1"/>
  <c r="M72" i="70" s="1"/>
  <c r="X73" i="70"/>
  <c r="V74" i="70" s="1"/>
  <c r="W74" i="70" s="1"/>
  <c r="A74" i="70"/>
  <c r="F73" i="70"/>
  <c r="G73" i="70" s="1"/>
  <c r="E74" i="70" s="1"/>
  <c r="J41" i="70"/>
  <c r="H42" i="70" s="1"/>
  <c r="D72" i="70"/>
  <c r="B73" i="70" s="1"/>
  <c r="C73" i="70" s="1"/>
  <c r="AO72" i="11"/>
  <c r="Q74" i="70" l="1"/>
  <c r="R74" i="70" s="1"/>
  <c r="S74" i="70" s="1"/>
  <c r="N74" i="70"/>
  <c r="O74" i="70" s="1"/>
  <c r="P74" i="70" s="1"/>
  <c r="K73" i="70"/>
  <c r="L73" i="70" s="1"/>
  <c r="M73" i="70" s="1"/>
  <c r="A75" i="70"/>
  <c r="X74" i="70"/>
  <c r="V75" i="70" s="1"/>
  <c r="W75" i="70" s="1"/>
  <c r="F74" i="70"/>
  <c r="G74" i="70" s="1"/>
  <c r="E75" i="70" s="1"/>
  <c r="I42" i="70"/>
  <c r="D73" i="70"/>
  <c r="B74" i="70" s="1"/>
  <c r="C74" i="70" s="1"/>
  <c r="AO73" i="11"/>
  <c r="Q75" i="70" l="1"/>
  <c r="R75" i="70" s="1"/>
  <c r="S75" i="70" s="1"/>
  <c r="N75" i="70"/>
  <c r="O75" i="70" s="1"/>
  <c r="P75" i="70" s="1"/>
  <c r="K74" i="70"/>
  <c r="L74" i="70" s="1"/>
  <c r="M74" i="70" s="1"/>
  <c r="X75" i="70"/>
  <c r="V76" i="70" s="1"/>
  <c r="W76" i="70" s="1"/>
  <c r="A76" i="70"/>
  <c r="F75" i="70"/>
  <c r="G75" i="70" s="1"/>
  <c r="E76" i="70" s="1"/>
  <c r="J42" i="70"/>
  <c r="H43" i="70" s="1"/>
  <c r="D74" i="70"/>
  <c r="B75" i="70" s="1"/>
  <c r="C75" i="70" s="1"/>
  <c r="AO74" i="11"/>
  <c r="Q76" i="70" l="1"/>
  <c r="R76" i="70" s="1"/>
  <c r="S76" i="70" s="1"/>
  <c r="N76" i="70"/>
  <c r="O76" i="70" s="1"/>
  <c r="P76" i="70" s="1"/>
  <c r="K75" i="70"/>
  <c r="L75" i="70" s="1"/>
  <c r="M75" i="70" s="1"/>
  <c r="A77" i="70"/>
  <c r="X76" i="70"/>
  <c r="V77" i="70" s="1"/>
  <c r="W77" i="70" s="1"/>
  <c r="F76" i="70"/>
  <c r="G76" i="70" s="1"/>
  <c r="E77" i="70" s="1"/>
  <c r="D75" i="70"/>
  <c r="B76" i="70" s="1"/>
  <c r="C76" i="70" s="1"/>
  <c r="V36" i="19"/>
  <c r="X4" i="19" s="1"/>
  <c r="AO75" i="11"/>
  <c r="X5" i="19" l="1"/>
  <c r="X6" i="19"/>
  <c r="X7" i="19"/>
  <c r="X8" i="19"/>
  <c r="X9" i="19"/>
  <c r="X10" i="19"/>
  <c r="Q77" i="70"/>
  <c r="R77" i="70" s="1"/>
  <c r="S77" i="70" s="1"/>
  <c r="N77" i="70"/>
  <c r="O77" i="70" s="1"/>
  <c r="P77" i="70" s="1"/>
  <c r="K76" i="70"/>
  <c r="L76" i="70" s="1"/>
  <c r="M76" i="70" s="1"/>
  <c r="X77" i="70"/>
  <c r="V78" i="70" s="1"/>
  <c r="W78" i="70" s="1"/>
  <c r="A78" i="70"/>
  <c r="F77" i="70"/>
  <c r="G77" i="70" s="1"/>
  <c r="E78" i="70" s="1"/>
  <c r="I43" i="70"/>
  <c r="J43" i="70" s="1"/>
  <c r="H44" i="70" s="1"/>
  <c r="D76" i="70"/>
  <c r="B77" i="70" s="1"/>
  <c r="C77" i="70" s="1"/>
  <c r="X13" i="19"/>
  <c r="X31" i="19"/>
  <c r="X36" i="19"/>
  <c r="X26" i="19"/>
  <c r="X29" i="19"/>
  <c r="X30" i="19"/>
  <c r="X17" i="19"/>
  <c r="X12" i="19"/>
  <c r="X11" i="19"/>
  <c r="X16" i="19"/>
  <c r="X18" i="19"/>
  <c r="X21" i="19"/>
  <c r="X37" i="19"/>
  <c r="X28" i="19"/>
  <c r="X14" i="19"/>
  <c r="X38" i="19"/>
  <c r="X20" i="19"/>
  <c r="X34" i="19"/>
  <c r="X15" i="19"/>
  <c r="X27" i="19"/>
  <c r="X32" i="19"/>
  <c r="X25" i="19"/>
  <c r="X19" i="19"/>
  <c r="X24" i="19"/>
  <c r="X22" i="19"/>
  <c r="X33" i="19"/>
  <c r="X35" i="19"/>
  <c r="X23" i="19"/>
  <c r="W36" i="14"/>
  <c r="AO76" i="11"/>
  <c r="Q78" i="70" l="1"/>
  <c r="R78" i="70" s="1"/>
  <c r="S78" i="70" s="1"/>
  <c r="N78" i="70"/>
  <c r="O78" i="70" s="1"/>
  <c r="P78" i="70" s="1"/>
  <c r="K77" i="70"/>
  <c r="L77" i="70" s="1"/>
  <c r="M77" i="70" s="1"/>
  <c r="A79" i="70"/>
  <c r="X78" i="70"/>
  <c r="V79" i="70" s="1"/>
  <c r="W79" i="70" s="1"/>
  <c r="F78" i="70"/>
  <c r="G78" i="70" s="1"/>
  <c r="E79" i="70" s="1"/>
  <c r="I44" i="70"/>
  <c r="J44" i="70" s="1"/>
  <c r="H45" i="70" s="1"/>
  <c r="D77" i="70"/>
  <c r="B78" i="70" s="1"/>
  <c r="C78" i="70" s="1"/>
  <c r="W37" i="14"/>
  <c r="W38" i="14" s="1"/>
  <c r="W39" i="14" s="1"/>
  <c r="W40" i="14" s="1"/>
  <c r="W41" i="14" s="1"/>
  <c r="W42" i="14" s="1"/>
  <c r="W43" i="14" s="1"/>
  <c r="W44" i="14" s="1"/>
  <c r="W45" i="14" s="1"/>
  <c r="AE210" i="30"/>
  <c r="AO77" i="11"/>
  <c r="Q79" i="70" l="1"/>
  <c r="R79" i="70" s="1"/>
  <c r="S79" i="70" s="1"/>
  <c r="N79" i="70"/>
  <c r="O79" i="70" s="1"/>
  <c r="P79" i="70" s="1"/>
  <c r="K78" i="70"/>
  <c r="L78" i="70" s="1"/>
  <c r="M78" i="70" s="1"/>
  <c r="X79" i="70"/>
  <c r="V80" i="70" s="1"/>
  <c r="W80" i="70" s="1"/>
  <c r="A80" i="70"/>
  <c r="F79" i="70"/>
  <c r="G79" i="70" s="1"/>
  <c r="E80" i="70" s="1"/>
  <c r="I45" i="70"/>
  <c r="D78" i="70"/>
  <c r="B79" i="70" s="1"/>
  <c r="C79" i="70" s="1"/>
  <c r="AO78" i="11"/>
  <c r="Q80" i="70" l="1"/>
  <c r="R80" i="70" s="1"/>
  <c r="S80" i="70" s="1"/>
  <c r="N80" i="70"/>
  <c r="O80" i="70" s="1"/>
  <c r="P80" i="70" s="1"/>
  <c r="K79" i="70"/>
  <c r="L79" i="70" s="1"/>
  <c r="M79" i="70" s="1"/>
  <c r="X80" i="70"/>
  <c r="V81" i="70" s="1"/>
  <c r="W81" i="70" s="1"/>
  <c r="A81" i="70"/>
  <c r="F80" i="70"/>
  <c r="G80" i="70" s="1"/>
  <c r="E81" i="70" s="1"/>
  <c r="J45" i="70"/>
  <c r="H46" i="70" s="1"/>
  <c r="D79" i="70"/>
  <c r="B80" i="70" s="1"/>
  <c r="C80" i="70" s="1"/>
  <c r="W46" i="14"/>
  <c r="AO79" i="11"/>
  <c r="Q81" i="70" l="1"/>
  <c r="R81" i="70" s="1"/>
  <c r="S81" i="70" s="1"/>
  <c r="N81" i="70"/>
  <c r="O81" i="70" s="1"/>
  <c r="P81" i="70" s="1"/>
  <c r="K80" i="70"/>
  <c r="L80" i="70" s="1"/>
  <c r="M80" i="70" s="1"/>
  <c r="A82" i="70"/>
  <c r="X81" i="70"/>
  <c r="V82" i="70" s="1"/>
  <c r="W82" i="70" s="1"/>
  <c r="F81" i="70"/>
  <c r="G81" i="70" s="1"/>
  <c r="E82" i="70" s="1"/>
  <c r="I46" i="70"/>
  <c r="D80" i="70"/>
  <c r="B81" i="70" s="1"/>
  <c r="C81" i="70" s="1"/>
  <c r="V37" i="18"/>
  <c r="W47" i="14"/>
  <c r="W48" i="14" s="1"/>
  <c r="W49" i="14" s="1"/>
  <c r="W50" i="14" s="1"/>
  <c r="W51" i="14" s="1"/>
  <c r="W52" i="14" s="1"/>
  <c r="W53" i="14" s="1"/>
  <c r="W54" i="14" s="1"/>
  <c r="W55" i="14" s="1"/>
  <c r="W56" i="14" s="1"/>
  <c r="W57" i="14" s="1"/>
  <c r="W58" i="14" s="1"/>
  <c r="W59" i="14" s="1"/>
  <c r="W60" i="14" s="1"/>
  <c r="AO80" i="11"/>
  <c r="Q82" i="70" l="1"/>
  <c r="R82" i="70" s="1"/>
  <c r="S82" i="70" s="1"/>
  <c r="N82" i="70"/>
  <c r="O82" i="70" s="1"/>
  <c r="P82" i="70" s="1"/>
  <c r="K81" i="70"/>
  <c r="L81" i="70" s="1"/>
  <c r="M81" i="70" s="1"/>
  <c r="X82" i="70"/>
  <c r="V83" i="70" s="1"/>
  <c r="W83" i="70" s="1"/>
  <c r="A83" i="70"/>
  <c r="F82" i="70"/>
  <c r="G82" i="70" s="1"/>
  <c r="E83" i="70" s="1"/>
  <c r="J46" i="70"/>
  <c r="H47" i="70" s="1"/>
  <c r="D81" i="70"/>
  <c r="B82" i="70" s="1"/>
  <c r="C82" i="70" s="1"/>
  <c r="AO81" i="11"/>
  <c r="Q83" i="70" l="1"/>
  <c r="R83" i="70" s="1"/>
  <c r="S83" i="70" s="1"/>
  <c r="N83" i="70"/>
  <c r="O83" i="70" s="1"/>
  <c r="P83" i="70" s="1"/>
  <c r="K82" i="70"/>
  <c r="L82" i="70" s="1"/>
  <c r="M82" i="70" s="1"/>
  <c r="A84" i="70"/>
  <c r="X83" i="70"/>
  <c r="V84" i="70" s="1"/>
  <c r="W84" i="70" s="1"/>
  <c r="F83" i="70"/>
  <c r="G83" i="70" s="1"/>
  <c r="E84" i="70" s="1"/>
  <c r="I47" i="70"/>
  <c r="D82" i="70"/>
  <c r="B83" i="70" s="1"/>
  <c r="C83" i="70" s="1"/>
  <c r="AO82" i="11"/>
  <c r="Q84" i="70" l="1"/>
  <c r="R84" i="70" s="1"/>
  <c r="S84" i="70" s="1"/>
  <c r="N84" i="70"/>
  <c r="O84" i="70" s="1"/>
  <c r="P84" i="70" s="1"/>
  <c r="K83" i="70"/>
  <c r="L83" i="70" s="1"/>
  <c r="M83" i="70" s="1"/>
  <c r="X84" i="70"/>
  <c r="V85" i="70" s="1"/>
  <c r="W85" i="70" s="1"/>
  <c r="A85" i="70"/>
  <c r="F84" i="70"/>
  <c r="G84" i="70" s="1"/>
  <c r="E85" i="70" s="1"/>
  <c r="J47" i="70"/>
  <c r="H48" i="70" s="1"/>
  <c r="D83" i="70"/>
  <c r="B84" i="70" s="1"/>
  <c r="C84" i="70" s="1"/>
  <c r="AO83" i="11"/>
  <c r="Q85" i="70" l="1"/>
  <c r="R85" i="70" s="1"/>
  <c r="S85" i="70" s="1"/>
  <c r="N85" i="70"/>
  <c r="O85" i="70" s="1"/>
  <c r="P85" i="70" s="1"/>
  <c r="K84" i="70"/>
  <c r="L84" i="70" s="1"/>
  <c r="M84" i="70" s="1"/>
  <c r="A86" i="70"/>
  <c r="X85" i="70"/>
  <c r="V86" i="70" s="1"/>
  <c r="W86" i="70" s="1"/>
  <c r="F85" i="70"/>
  <c r="G85" i="70" s="1"/>
  <c r="E86" i="70" s="1"/>
  <c r="I48" i="70"/>
  <c r="D84" i="70"/>
  <c r="B85" i="70" s="1"/>
  <c r="C85" i="70" s="1"/>
  <c r="W61" i="14"/>
  <c r="AO84" i="11"/>
  <c r="Q86" i="70" l="1"/>
  <c r="R86" i="70" s="1"/>
  <c r="S86" i="70" s="1"/>
  <c r="N86" i="70"/>
  <c r="O86" i="70" s="1"/>
  <c r="P86" i="70" s="1"/>
  <c r="K85" i="70"/>
  <c r="L85" i="70" s="1"/>
  <c r="M85" i="70" s="1"/>
  <c r="X86" i="70"/>
  <c r="V87" i="70" s="1"/>
  <c r="W87" i="70" s="1"/>
  <c r="A87" i="70"/>
  <c r="F86" i="70"/>
  <c r="G86" i="70" s="1"/>
  <c r="E87" i="70" s="1"/>
  <c r="J48" i="70"/>
  <c r="H49" i="70" s="1"/>
  <c r="D85" i="70"/>
  <c r="B86" i="70" s="1"/>
  <c r="C86" i="70" s="1"/>
  <c r="W62" i="14"/>
  <c r="AO85" i="11"/>
  <c r="Q87" i="70" l="1"/>
  <c r="R87" i="70" s="1"/>
  <c r="S87" i="70" s="1"/>
  <c r="N87" i="70"/>
  <c r="O87" i="70" s="1"/>
  <c r="P87" i="70" s="1"/>
  <c r="K86" i="70"/>
  <c r="L86" i="70" s="1"/>
  <c r="M86" i="70" s="1"/>
  <c r="X87" i="70"/>
  <c r="V88" i="70" s="1"/>
  <c r="W88" i="70" s="1"/>
  <c r="A88" i="70"/>
  <c r="F87" i="70"/>
  <c r="G87" i="70" s="1"/>
  <c r="E88" i="70" s="1"/>
  <c r="I49" i="70"/>
  <c r="D86" i="70"/>
  <c r="B87" i="70" s="1"/>
  <c r="C87" i="70" s="1"/>
  <c r="W63" i="14"/>
  <c r="AO86" i="11"/>
  <c r="Q88" i="70" l="1"/>
  <c r="R88" i="70" s="1"/>
  <c r="S88" i="70" s="1"/>
  <c r="N88" i="70"/>
  <c r="O88" i="70" s="1"/>
  <c r="P88" i="70" s="1"/>
  <c r="K87" i="70"/>
  <c r="L87" i="70" s="1"/>
  <c r="M87" i="70" s="1"/>
  <c r="A89" i="70"/>
  <c r="X88" i="70"/>
  <c r="V89" i="70" s="1"/>
  <c r="W89" i="70" s="1"/>
  <c r="F88" i="70"/>
  <c r="G88" i="70" s="1"/>
  <c r="E89" i="70" s="1"/>
  <c r="J49" i="70"/>
  <c r="H50" i="70" s="1"/>
  <c r="D87" i="70"/>
  <c r="B88" i="70" s="1"/>
  <c r="C88" i="70" s="1"/>
  <c r="W64" i="14"/>
  <c r="W65" i="14" s="1"/>
  <c r="W66" i="14" s="1"/>
  <c r="W67" i="14" s="1"/>
  <c r="W68" i="14" s="1"/>
  <c r="W69" i="14" s="1"/>
  <c r="W70" i="14" s="1"/>
  <c r="W71" i="14" s="1"/>
  <c r="W72" i="14" s="1"/>
  <c r="W73" i="14" s="1"/>
  <c r="W74" i="14" s="1"/>
  <c r="W75" i="14" s="1"/>
  <c r="W76" i="14" s="1"/>
  <c r="W77" i="14" s="1"/>
  <c r="AO87" i="11"/>
  <c r="Q89" i="70" l="1"/>
  <c r="R89" i="70" s="1"/>
  <c r="S89" i="70" s="1"/>
  <c r="N89" i="70"/>
  <c r="O89" i="70" s="1"/>
  <c r="P89" i="70" s="1"/>
  <c r="K88" i="70"/>
  <c r="L88" i="70" s="1"/>
  <c r="M88" i="70" s="1"/>
  <c r="X89" i="70"/>
  <c r="V90" i="70" s="1"/>
  <c r="W90" i="70" s="1"/>
  <c r="A90" i="70"/>
  <c r="F89" i="70"/>
  <c r="G89" i="70" s="1"/>
  <c r="E90" i="70" s="1"/>
  <c r="I50" i="70"/>
  <c r="D88" i="70"/>
  <c r="B89" i="70" s="1"/>
  <c r="C89" i="70" s="1"/>
  <c r="AO88" i="11"/>
  <c r="Q90" i="70" l="1"/>
  <c r="R90" i="70" s="1"/>
  <c r="S90" i="70" s="1"/>
  <c r="N90" i="70"/>
  <c r="O90" i="70" s="1"/>
  <c r="P90" i="70" s="1"/>
  <c r="K89" i="70"/>
  <c r="L89" i="70" s="1"/>
  <c r="M89" i="70" s="1"/>
  <c r="A91" i="70"/>
  <c r="X90" i="70"/>
  <c r="V91" i="70" s="1"/>
  <c r="W91" i="70" s="1"/>
  <c r="F90" i="70"/>
  <c r="G90" i="70" s="1"/>
  <c r="E91" i="70" s="1"/>
  <c r="J50" i="70"/>
  <c r="H51" i="70" s="1"/>
  <c r="D89" i="70"/>
  <c r="B90" i="70" s="1"/>
  <c r="C90" i="70" s="1"/>
  <c r="AO89" i="11"/>
  <c r="Q91" i="70" l="1"/>
  <c r="R91" i="70" s="1"/>
  <c r="S91" i="70" s="1"/>
  <c r="N91" i="70"/>
  <c r="O91" i="70" s="1"/>
  <c r="P91" i="70" s="1"/>
  <c r="K90" i="70"/>
  <c r="L90" i="70" s="1"/>
  <c r="M90" i="70" s="1"/>
  <c r="X91" i="70"/>
  <c r="V92" i="70" s="1"/>
  <c r="W92" i="70" s="1"/>
  <c r="A92" i="70"/>
  <c r="F91" i="70"/>
  <c r="G91" i="70" s="1"/>
  <c r="E92" i="70" s="1"/>
  <c r="I51" i="70"/>
  <c r="D90" i="70"/>
  <c r="B91" i="70" s="1"/>
  <c r="C91" i="70" s="1"/>
  <c r="W78" i="14"/>
  <c r="AO90" i="11"/>
  <c r="Q92" i="70" l="1"/>
  <c r="R92" i="70" s="1"/>
  <c r="S92" i="70" s="1"/>
  <c r="N92" i="70"/>
  <c r="O92" i="70" s="1"/>
  <c r="P92" i="70" s="1"/>
  <c r="K91" i="70"/>
  <c r="L91" i="70" s="1"/>
  <c r="M91" i="70" s="1"/>
  <c r="A93" i="70"/>
  <c r="X92" i="70"/>
  <c r="V93" i="70" s="1"/>
  <c r="W93" i="70" s="1"/>
  <c r="F92" i="70"/>
  <c r="G92" i="70" s="1"/>
  <c r="E93" i="70" s="1"/>
  <c r="J51" i="70"/>
  <c r="H52" i="70" s="1"/>
  <c r="D91" i="70"/>
  <c r="B92" i="70" s="1"/>
  <c r="C92" i="70" s="1"/>
  <c r="W79" i="14"/>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AO91" i="11"/>
  <c r="Q93" i="70" l="1"/>
  <c r="R93" i="70" s="1"/>
  <c r="S93" i="70" s="1"/>
  <c r="N93" i="70"/>
  <c r="O93" i="70" s="1"/>
  <c r="P93" i="70" s="1"/>
  <c r="K92" i="70"/>
  <c r="L92" i="70" s="1"/>
  <c r="M92" i="70" s="1"/>
  <c r="X93" i="70"/>
  <c r="V94" i="70" s="1"/>
  <c r="W94" i="70" s="1"/>
  <c r="A94" i="70"/>
  <c r="F93" i="70"/>
  <c r="G93" i="70" s="1"/>
  <c r="E94" i="70" s="1"/>
  <c r="I52" i="70"/>
  <c r="D92" i="70"/>
  <c r="B93" i="70" s="1"/>
  <c r="C93" i="70" s="1"/>
  <c r="AB5" i="14"/>
  <c r="AB11" i="14"/>
  <c r="AB12" i="14"/>
  <c r="AB6" i="14"/>
  <c r="AB8" i="14"/>
  <c r="AB7" i="14"/>
  <c r="AB9" i="14"/>
  <c r="AB10" i="14"/>
  <c r="AB13" i="14"/>
  <c r="AB14" i="14"/>
  <c r="AB15" i="14"/>
  <c r="AB16" i="14"/>
  <c r="AB18" i="14"/>
  <c r="AB20" i="14"/>
  <c r="AB17" i="14"/>
  <c r="AB19" i="14"/>
  <c r="AB22" i="14"/>
  <c r="AB34" i="14"/>
  <c r="AB33" i="14"/>
  <c r="AB25" i="14"/>
  <c r="AB23" i="14"/>
  <c r="AB21" i="14"/>
  <c r="AO92" i="11"/>
  <c r="Q94" i="70" l="1"/>
  <c r="R94" i="70" s="1"/>
  <c r="S94" i="70" s="1"/>
  <c r="N94" i="70"/>
  <c r="O94" i="70" s="1"/>
  <c r="P94" i="70" s="1"/>
  <c r="K93" i="70"/>
  <c r="L93" i="70" s="1"/>
  <c r="M93" i="70" s="1"/>
  <c r="X94" i="70"/>
  <c r="V95" i="70" s="1"/>
  <c r="W95" i="70" s="1"/>
  <c r="A95" i="70"/>
  <c r="F94" i="70"/>
  <c r="G94" i="70" s="1"/>
  <c r="E95" i="70" s="1"/>
  <c r="J52" i="70"/>
  <c r="H53" i="70" s="1"/>
  <c r="D93" i="70"/>
  <c r="B94" i="70" s="1"/>
  <c r="C94" i="70" s="1"/>
  <c r="AO93" i="11"/>
  <c r="Q95" i="70" l="1"/>
  <c r="R95" i="70" s="1"/>
  <c r="S95" i="70" s="1"/>
  <c r="N95" i="70"/>
  <c r="O95" i="70" s="1"/>
  <c r="P95" i="70" s="1"/>
  <c r="K94" i="70"/>
  <c r="L94" i="70" s="1"/>
  <c r="M94" i="70" s="1"/>
  <c r="X95" i="70"/>
  <c r="V96" i="70" s="1"/>
  <c r="W96" i="70" s="1"/>
  <c r="A96" i="70"/>
  <c r="F95" i="70"/>
  <c r="G95" i="70" s="1"/>
  <c r="E96" i="70" s="1"/>
  <c r="I53" i="70"/>
  <c r="D94" i="70"/>
  <c r="B95" i="70" s="1"/>
  <c r="C95" i="70" s="1"/>
  <c r="AB60" i="14"/>
  <c r="AO94" i="11"/>
  <c r="Q96" i="70" l="1"/>
  <c r="R96" i="70" s="1"/>
  <c r="S96" i="70" s="1"/>
  <c r="N96" i="70"/>
  <c r="O96" i="70" s="1"/>
  <c r="P96" i="70" s="1"/>
  <c r="K95" i="70"/>
  <c r="L95" i="70" s="1"/>
  <c r="M95" i="70" s="1"/>
  <c r="X96" i="70"/>
  <c r="V97" i="70" s="1"/>
  <c r="W97" i="70" s="1"/>
  <c r="A97" i="70"/>
  <c r="F96" i="70"/>
  <c r="G96" i="70" s="1"/>
  <c r="E97" i="70" s="1"/>
  <c r="J53" i="70"/>
  <c r="H54" i="70" s="1"/>
  <c r="D95" i="70"/>
  <c r="B96" i="70" s="1"/>
  <c r="C96" i="70" s="1"/>
  <c r="AB66" i="14"/>
  <c r="AB69" i="14"/>
  <c r="AB56" i="14"/>
  <c r="AB53" i="14"/>
  <c r="AB43" i="14"/>
  <c r="AB62" i="14"/>
  <c r="AB42" i="14"/>
  <c r="AB67" i="14"/>
  <c r="AB51" i="14"/>
  <c r="AB24" i="14"/>
  <c r="AB31" i="14"/>
  <c r="AB30" i="14"/>
  <c r="AB26" i="14"/>
  <c r="AB28" i="14"/>
  <c r="AB29" i="14"/>
  <c r="AB32" i="14"/>
  <c r="AB37" i="14"/>
  <c r="AB35" i="14"/>
  <c r="AB27" i="14"/>
  <c r="AB36" i="14"/>
  <c r="AB39" i="14"/>
  <c r="AB38" i="14"/>
  <c r="AB47" i="14"/>
  <c r="AB48" i="14"/>
  <c r="AB54" i="14"/>
  <c r="AB59" i="14"/>
  <c r="AB52" i="14"/>
  <c r="AB71" i="14"/>
  <c r="AB74" i="14"/>
  <c r="AB65" i="14"/>
  <c r="AB70" i="14"/>
  <c r="AB68" i="14"/>
  <c r="AB63" i="14"/>
  <c r="AB46" i="14"/>
  <c r="AB75" i="14"/>
  <c r="AB58" i="14"/>
  <c r="AB57" i="14"/>
  <c r="AB49" i="14"/>
  <c r="AB40" i="14"/>
  <c r="AB41" i="14"/>
  <c r="AB72" i="14"/>
  <c r="AB73" i="14"/>
  <c r="AB55" i="14"/>
  <c r="AB50" i="14"/>
  <c r="AB64" i="14"/>
  <c r="AB61" i="14"/>
  <c r="AO95" i="11"/>
  <c r="Q97" i="70" l="1"/>
  <c r="R97" i="70" s="1"/>
  <c r="S97" i="70" s="1"/>
  <c r="N97" i="70"/>
  <c r="O97" i="70" s="1"/>
  <c r="P97" i="70" s="1"/>
  <c r="K96" i="70"/>
  <c r="L96" i="70" s="1"/>
  <c r="M96" i="70" s="1"/>
  <c r="X97" i="70"/>
  <c r="V98" i="70" s="1"/>
  <c r="W98" i="70" s="1"/>
  <c r="A98" i="70"/>
  <c r="F97" i="70"/>
  <c r="G97" i="70" s="1"/>
  <c r="E98" i="70" s="1"/>
  <c r="I54" i="70"/>
  <c r="D96" i="70"/>
  <c r="B97" i="70" s="1"/>
  <c r="C97" i="70" s="1"/>
  <c r="AB77" i="14"/>
  <c r="AB76" i="14"/>
  <c r="AO96" i="11"/>
  <c r="Q98" i="70" l="1"/>
  <c r="R98" i="70" s="1"/>
  <c r="S98" i="70" s="1"/>
  <c r="N98" i="70"/>
  <c r="O98" i="70" s="1"/>
  <c r="P98" i="70" s="1"/>
  <c r="K97" i="70"/>
  <c r="L97" i="70" s="1"/>
  <c r="M97" i="70" s="1"/>
  <c r="X98" i="70"/>
  <c r="V99" i="70" s="1"/>
  <c r="W99" i="70" s="1"/>
  <c r="A99" i="70"/>
  <c r="F98" i="70"/>
  <c r="G98" i="70" s="1"/>
  <c r="E99" i="70" s="1"/>
  <c r="J54" i="70"/>
  <c r="H55" i="70" s="1"/>
  <c r="D97" i="70"/>
  <c r="B98" i="70" s="1"/>
  <c r="C98" i="70" s="1"/>
  <c r="AO97" i="11"/>
  <c r="Q99" i="70" l="1"/>
  <c r="R99" i="70" s="1"/>
  <c r="S99" i="70" s="1"/>
  <c r="N99" i="70"/>
  <c r="O99" i="70" s="1"/>
  <c r="P99" i="70" s="1"/>
  <c r="K98" i="70"/>
  <c r="L98" i="70" s="1"/>
  <c r="M98" i="70" s="1"/>
  <c r="X99" i="70"/>
  <c r="V100" i="70" s="1"/>
  <c r="W100" i="70" s="1"/>
  <c r="A100" i="70"/>
  <c r="F99" i="70"/>
  <c r="G99" i="70" s="1"/>
  <c r="E100" i="70" s="1"/>
  <c r="I55" i="70"/>
  <c r="D98" i="70"/>
  <c r="B99" i="70" s="1"/>
  <c r="C99" i="70" s="1"/>
  <c r="AB83" i="14"/>
  <c r="AB97" i="14"/>
  <c r="AB78" i="14"/>
  <c r="AB94" i="14"/>
  <c r="AB86" i="14"/>
  <c r="AB91" i="14"/>
  <c r="AB79" i="14"/>
  <c r="AB89" i="14"/>
  <c r="AB90" i="14"/>
  <c r="AB101" i="14"/>
  <c r="AB84" i="14"/>
  <c r="AB80" i="14"/>
  <c r="AB85" i="14"/>
  <c r="AB81" i="14"/>
  <c r="AB82" i="14"/>
  <c r="AB93" i="14"/>
  <c r="AB98" i="14"/>
  <c r="AB88" i="14"/>
  <c r="AB95" i="14"/>
  <c r="AB96" i="14"/>
  <c r="AB92" i="14"/>
  <c r="AB87" i="14"/>
  <c r="AB99" i="14"/>
  <c r="AB100" i="14"/>
  <c r="AO98" i="11"/>
  <c r="Q100" i="70" l="1"/>
  <c r="R100" i="70" s="1"/>
  <c r="S100" i="70" s="1"/>
  <c r="N100" i="70"/>
  <c r="O100" i="70" s="1"/>
  <c r="P100" i="70" s="1"/>
  <c r="K99" i="70"/>
  <c r="L99" i="70" s="1"/>
  <c r="M99" i="70" s="1"/>
  <c r="A101" i="70"/>
  <c r="X100" i="70"/>
  <c r="V101" i="70" s="1"/>
  <c r="W101" i="70" s="1"/>
  <c r="F100" i="70"/>
  <c r="G100" i="70" s="1"/>
  <c r="E101" i="70" s="1"/>
  <c r="J55" i="70"/>
  <c r="H56" i="70" s="1"/>
  <c r="D99" i="70"/>
  <c r="B100" i="70" s="1"/>
  <c r="C100" i="70" s="1"/>
  <c r="AB45" i="14"/>
  <c r="AB44" i="14"/>
  <c r="AB102" i="14"/>
  <c r="AB103" i="14"/>
  <c r="AB104" i="14"/>
  <c r="AB105" i="14"/>
  <c r="AO99" i="11"/>
  <c r="Q101" i="70" l="1"/>
  <c r="R101" i="70" s="1"/>
  <c r="S101" i="70" s="1"/>
  <c r="N101" i="70"/>
  <c r="O101" i="70" s="1"/>
  <c r="P101" i="70" s="1"/>
  <c r="K100" i="70"/>
  <c r="L100" i="70" s="1"/>
  <c r="M100" i="70" s="1"/>
  <c r="X101" i="70"/>
  <c r="V102" i="70" s="1"/>
  <c r="W102" i="70" s="1"/>
  <c r="A102" i="70"/>
  <c r="F101" i="70"/>
  <c r="G101" i="70" s="1"/>
  <c r="E102" i="70" s="1"/>
  <c r="I56" i="70"/>
  <c r="D100" i="70"/>
  <c r="B101" i="70" s="1"/>
  <c r="C101" i="70" s="1"/>
  <c r="AO100" i="11"/>
  <c r="Q102" i="70" l="1"/>
  <c r="R102" i="70" s="1"/>
  <c r="S102" i="70" s="1"/>
  <c r="N102" i="70"/>
  <c r="O102" i="70" s="1"/>
  <c r="P102" i="70" s="1"/>
  <c r="K101" i="70"/>
  <c r="L101" i="70" s="1"/>
  <c r="M101" i="70" s="1"/>
  <c r="A103" i="70"/>
  <c r="X102" i="70"/>
  <c r="V103" i="70" s="1"/>
  <c r="W103" i="70" s="1"/>
  <c r="F102" i="70"/>
  <c r="G102" i="70" s="1"/>
  <c r="E103" i="70" s="1"/>
  <c r="J56" i="70"/>
  <c r="H57" i="70" s="1"/>
  <c r="D101" i="70"/>
  <c r="B102" i="70" s="1"/>
  <c r="C102" i="70" s="1"/>
  <c r="AE260" i="30"/>
  <c r="AO101" i="11"/>
  <c r="Q103" i="70" l="1"/>
  <c r="R103" i="70" s="1"/>
  <c r="S103" i="70" s="1"/>
  <c r="N103" i="70"/>
  <c r="O103" i="70" s="1"/>
  <c r="P103" i="70" s="1"/>
  <c r="K102" i="70"/>
  <c r="L102" i="70" s="1"/>
  <c r="M102" i="70" s="1"/>
  <c r="X103" i="70"/>
  <c r="V104" i="70" s="1"/>
  <c r="W104" i="70" s="1"/>
  <c r="A104" i="70"/>
  <c r="F103" i="70"/>
  <c r="G103" i="70" s="1"/>
  <c r="E104" i="70" s="1"/>
  <c r="I57" i="70"/>
  <c r="D102" i="70"/>
  <c r="B103" i="70" s="1"/>
  <c r="C103" i="70" s="1"/>
  <c r="AO102" i="11"/>
  <c r="Q104" i="70" l="1"/>
  <c r="R104" i="70" s="1"/>
  <c r="S104" i="70" s="1"/>
  <c r="N104" i="70"/>
  <c r="O104" i="70" s="1"/>
  <c r="P104" i="70" s="1"/>
  <c r="K103" i="70"/>
  <c r="L103" i="70" s="1"/>
  <c r="M103" i="70" s="1"/>
  <c r="X104" i="70"/>
  <c r="V105" i="70" s="1"/>
  <c r="W105" i="70" s="1"/>
  <c r="A105" i="70"/>
  <c r="F104" i="70"/>
  <c r="G104" i="70" s="1"/>
  <c r="E105" i="70" s="1"/>
  <c r="J57" i="70"/>
  <c r="H58" i="70" s="1"/>
  <c r="D103" i="70"/>
  <c r="B104" i="70" s="1"/>
  <c r="C104" i="70" s="1"/>
  <c r="AO103" i="11"/>
  <c r="Q105" i="70" l="1"/>
  <c r="R105" i="70" s="1"/>
  <c r="S105" i="70" s="1"/>
  <c r="N105" i="70"/>
  <c r="O105" i="70" s="1"/>
  <c r="P105" i="70" s="1"/>
  <c r="K104" i="70"/>
  <c r="L104" i="70" s="1"/>
  <c r="M104" i="70" s="1"/>
  <c r="X105" i="70"/>
  <c r="V106" i="70" s="1"/>
  <c r="W106" i="70" s="1"/>
  <c r="A106" i="70"/>
  <c r="F105" i="70"/>
  <c r="G105" i="70" s="1"/>
  <c r="E106" i="70" s="1"/>
  <c r="I58" i="70"/>
  <c r="D104" i="70"/>
  <c r="B105" i="70" s="1"/>
  <c r="C105" i="70" s="1"/>
  <c r="AO104" i="11"/>
  <c r="Q106" i="70" l="1"/>
  <c r="R106" i="70" s="1"/>
  <c r="S106" i="70" s="1"/>
  <c r="N106" i="70"/>
  <c r="O106" i="70" s="1"/>
  <c r="P106" i="70" s="1"/>
  <c r="K105" i="70"/>
  <c r="L105" i="70" s="1"/>
  <c r="M105" i="70" s="1"/>
  <c r="X106" i="70"/>
  <c r="V107" i="70" s="1"/>
  <c r="W107" i="70" s="1"/>
  <c r="A107" i="70"/>
  <c r="F106" i="70"/>
  <c r="G106" i="70" s="1"/>
  <c r="E107" i="70" s="1"/>
  <c r="J58" i="70"/>
  <c r="H59" i="70" s="1"/>
  <c r="D105" i="70"/>
  <c r="B106" i="70" s="1"/>
  <c r="C106" i="70" s="1"/>
  <c r="AO105" i="11"/>
  <c r="Q107" i="70" l="1"/>
  <c r="R107" i="70" s="1"/>
  <c r="S107" i="70" s="1"/>
  <c r="N107" i="70"/>
  <c r="O107" i="70" s="1"/>
  <c r="P107" i="70" s="1"/>
  <c r="K106" i="70"/>
  <c r="L106" i="70" s="1"/>
  <c r="M106" i="70" s="1"/>
  <c r="X107" i="70"/>
  <c r="V108" i="70" s="1"/>
  <c r="W108" i="70" s="1"/>
  <c r="A108" i="70"/>
  <c r="F107" i="70"/>
  <c r="G107" i="70" s="1"/>
  <c r="E108" i="70" s="1"/>
  <c r="I59" i="70"/>
  <c r="D106" i="70"/>
  <c r="B107" i="70" s="1"/>
  <c r="C107" i="70" s="1"/>
  <c r="AO106" i="11"/>
  <c r="Q108" i="70" l="1"/>
  <c r="R108" i="70" s="1"/>
  <c r="S108" i="70" s="1"/>
  <c r="N108" i="70"/>
  <c r="O108" i="70" s="1"/>
  <c r="P108" i="70" s="1"/>
  <c r="K107" i="70"/>
  <c r="L107" i="70" s="1"/>
  <c r="M107" i="70" s="1"/>
  <c r="X108" i="70"/>
  <c r="V109" i="70" s="1"/>
  <c r="W109" i="70" s="1"/>
  <c r="A109" i="70"/>
  <c r="F108" i="70"/>
  <c r="G108" i="70" s="1"/>
  <c r="E109" i="70" s="1"/>
  <c r="J59" i="70"/>
  <c r="H60" i="70" s="1"/>
  <c r="D107" i="70"/>
  <c r="B108" i="70" s="1"/>
  <c r="C108" i="70" s="1"/>
  <c r="AO107" i="11"/>
  <c r="Q109" i="70" l="1"/>
  <c r="R109" i="70" s="1"/>
  <c r="S109" i="70" s="1"/>
  <c r="N109" i="70"/>
  <c r="O109" i="70" s="1"/>
  <c r="P109" i="70" s="1"/>
  <c r="K108" i="70"/>
  <c r="L108" i="70" s="1"/>
  <c r="M108" i="70" s="1"/>
  <c r="X109" i="70"/>
  <c r="V110" i="70" s="1"/>
  <c r="W110" i="70" s="1"/>
  <c r="A110" i="70"/>
  <c r="F109" i="70"/>
  <c r="G109" i="70" s="1"/>
  <c r="E110" i="70" s="1"/>
  <c r="I60" i="70"/>
  <c r="D108" i="70"/>
  <c r="B109" i="70" s="1"/>
  <c r="C109" i="70" s="1"/>
  <c r="AO108" i="11"/>
  <c r="Q110" i="70" l="1"/>
  <c r="R110" i="70" s="1"/>
  <c r="S110" i="70" s="1"/>
  <c r="N110" i="70"/>
  <c r="O110" i="70" s="1"/>
  <c r="P110" i="70" s="1"/>
  <c r="K109" i="70"/>
  <c r="L109" i="70" s="1"/>
  <c r="M109" i="70" s="1"/>
  <c r="X110" i="70"/>
  <c r="V111" i="70" s="1"/>
  <c r="W111" i="70" s="1"/>
  <c r="A111" i="70"/>
  <c r="F110" i="70"/>
  <c r="G110" i="70" s="1"/>
  <c r="E111" i="70" s="1"/>
  <c r="J60" i="70"/>
  <c r="H61" i="70" s="1"/>
  <c r="D109" i="70"/>
  <c r="B110" i="70" s="1"/>
  <c r="C110" i="70" s="1"/>
  <c r="AO109" i="11"/>
  <c r="Q111" i="70" l="1"/>
  <c r="R111" i="70" s="1"/>
  <c r="S111" i="70" s="1"/>
  <c r="N111" i="70"/>
  <c r="O111" i="70" s="1"/>
  <c r="P111" i="70" s="1"/>
  <c r="K110" i="70"/>
  <c r="L110" i="70" s="1"/>
  <c r="M110" i="70" s="1"/>
  <c r="A112" i="70"/>
  <c r="X111" i="70"/>
  <c r="V112" i="70" s="1"/>
  <c r="W112" i="70" s="1"/>
  <c r="F111" i="70"/>
  <c r="G111" i="70" s="1"/>
  <c r="E112" i="70" s="1"/>
  <c r="I61" i="70"/>
  <c r="D110" i="70"/>
  <c r="B111" i="70" s="1"/>
  <c r="C111" i="70" s="1"/>
  <c r="AO110" i="11"/>
  <c r="Q112" i="70" l="1"/>
  <c r="R112" i="70" s="1"/>
  <c r="S112" i="70" s="1"/>
  <c r="N112" i="70"/>
  <c r="O112" i="70" s="1"/>
  <c r="P112" i="70" s="1"/>
  <c r="K111" i="70"/>
  <c r="L111" i="70" s="1"/>
  <c r="M111" i="70" s="1"/>
  <c r="X112" i="70"/>
  <c r="V113" i="70" s="1"/>
  <c r="W113" i="70" s="1"/>
  <c r="A113" i="70"/>
  <c r="F112" i="70"/>
  <c r="G112" i="70" s="1"/>
  <c r="E113" i="70" s="1"/>
  <c r="J61" i="70"/>
  <c r="H62" i="70" s="1"/>
  <c r="D111" i="70"/>
  <c r="B112" i="70" s="1"/>
  <c r="C112" i="70" s="1"/>
  <c r="AO111" i="11"/>
  <c r="Q113" i="70" l="1"/>
  <c r="R113" i="70" s="1"/>
  <c r="S113" i="70" s="1"/>
  <c r="N113" i="70"/>
  <c r="O113" i="70" s="1"/>
  <c r="P113" i="70" s="1"/>
  <c r="K112" i="70"/>
  <c r="L112" i="70" s="1"/>
  <c r="M112" i="70" s="1"/>
  <c r="X113" i="70"/>
  <c r="V114" i="70" s="1"/>
  <c r="W114" i="70" s="1"/>
  <c r="A114" i="70"/>
  <c r="F113" i="70"/>
  <c r="G113" i="70" s="1"/>
  <c r="E114" i="70" s="1"/>
  <c r="I62" i="70"/>
  <c r="D112" i="70"/>
  <c r="B113" i="70" s="1"/>
  <c r="C113" i="70" s="1"/>
  <c r="AO112" i="11"/>
  <c r="Q114" i="70" l="1"/>
  <c r="R114" i="70" s="1"/>
  <c r="S114" i="70" s="1"/>
  <c r="N114" i="70"/>
  <c r="O114" i="70" s="1"/>
  <c r="P114" i="70" s="1"/>
  <c r="K113" i="70"/>
  <c r="L113" i="70" s="1"/>
  <c r="M113" i="70" s="1"/>
  <c r="X114" i="70"/>
  <c r="V115" i="70" s="1"/>
  <c r="W115" i="70" s="1"/>
  <c r="A115" i="70"/>
  <c r="F114" i="70"/>
  <c r="G114" i="70" s="1"/>
  <c r="E115" i="70" s="1"/>
  <c r="J62" i="70"/>
  <c r="H63" i="70" s="1"/>
  <c r="D113" i="70"/>
  <c r="B114" i="70" s="1"/>
  <c r="C114" i="70" s="1"/>
  <c r="AO113" i="11"/>
  <c r="Q115" i="70" l="1"/>
  <c r="R115" i="70" s="1"/>
  <c r="S115" i="70" s="1"/>
  <c r="N115" i="70"/>
  <c r="O115" i="70" s="1"/>
  <c r="P115" i="70" s="1"/>
  <c r="K114" i="70"/>
  <c r="L114" i="70" s="1"/>
  <c r="M114" i="70" s="1"/>
  <c r="X115" i="70"/>
  <c r="V116" i="70" s="1"/>
  <c r="W116" i="70" s="1"/>
  <c r="A116" i="70"/>
  <c r="F115" i="70"/>
  <c r="G115" i="70" s="1"/>
  <c r="E116" i="70" s="1"/>
  <c r="I63" i="70"/>
  <c r="D114" i="70"/>
  <c r="B115" i="70" s="1"/>
  <c r="C115" i="70" s="1"/>
  <c r="AO114" i="11"/>
  <c r="Q116" i="70" l="1"/>
  <c r="R116" i="70" s="1"/>
  <c r="S116" i="70" s="1"/>
  <c r="N116" i="70"/>
  <c r="O116" i="70" s="1"/>
  <c r="P116" i="70" s="1"/>
  <c r="K115" i="70"/>
  <c r="L115" i="70" s="1"/>
  <c r="M115" i="70" s="1"/>
  <c r="A117" i="70"/>
  <c r="X116" i="70"/>
  <c r="V117" i="70" s="1"/>
  <c r="W117" i="70" s="1"/>
  <c r="F116" i="70"/>
  <c r="G116" i="70" s="1"/>
  <c r="E117" i="70" s="1"/>
  <c r="J63" i="70"/>
  <c r="H64" i="70" s="1"/>
  <c r="D115" i="70"/>
  <c r="B116" i="70" s="1"/>
  <c r="C116" i="70" s="1"/>
  <c r="AO115" i="11"/>
  <c r="Q117" i="70" l="1"/>
  <c r="R117" i="70" s="1"/>
  <c r="S117" i="70" s="1"/>
  <c r="N117" i="70"/>
  <c r="O117" i="70" s="1"/>
  <c r="P117" i="70" s="1"/>
  <c r="K116" i="70"/>
  <c r="L116" i="70" s="1"/>
  <c r="M116" i="70" s="1"/>
  <c r="X117" i="70"/>
  <c r="V118" i="70" s="1"/>
  <c r="W118" i="70" s="1"/>
  <c r="A118" i="70"/>
  <c r="F117" i="70"/>
  <c r="G117" i="70" s="1"/>
  <c r="E118" i="70" s="1"/>
  <c r="I64" i="70"/>
  <c r="D116" i="70"/>
  <c r="B117" i="70" s="1"/>
  <c r="C117" i="70" s="1"/>
  <c r="AO116" i="11"/>
  <c r="Q118" i="70" l="1"/>
  <c r="R118" i="70" s="1"/>
  <c r="S118" i="70" s="1"/>
  <c r="N118" i="70"/>
  <c r="O118" i="70" s="1"/>
  <c r="P118" i="70" s="1"/>
  <c r="K117" i="70"/>
  <c r="L117" i="70" s="1"/>
  <c r="M117" i="70" s="1"/>
  <c r="X118" i="70"/>
  <c r="V119" i="70" s="1"/>
  <c r="W119" i="70" s="1"/>
  <c r="A119" i="70"/>
  <c r="F118" i="70"/>
  <c r="G118" i="70" s="1"/>
  <c r="E119" i="70" s="1"/>
  <c r="J64" i="70"/>
  <c r="H65" i="70" s="1"/>
  <c r="D117" i="70"/>
  <c r="B118" i="70" s="1"/>
  <c r="C118" i="70" s="1"/>
  <c r="AO117" i="11"/>
  <c r="Q119" i="70" l="1"/>
  <c r="R119" i="70" s="1"/>
  <c r="S119" i="70" s="1"/>
  <c r="N119" i="70"/>
  <c r="O119" i="70" s="1"/>
  <c r="P119" i="70" s="1"/>
  <c r="K118" i="70"/>
  <c r="L118" i="70" s="1"/>
  <c r="M118" i="70" s="1"/>
  <c r="X119" i="70"/>
  <c r="V120" i="70" s="1"/>
  <c r="W120" i="70" s="1"/>
  <c r="A120" i="70"/>
  <c r="F119" i="70"/>
  <c r="G119" i="70" s="1"/>
  <c r="E120" i="70" s="1"/>
  <c r="I65" i="70"/>
  <c r="D118" i="70"/>
  <c r="B119" i="70" s="1"/>
  <c r="C119" i="70" s="1"/>
  <c r="AO118" i="11"/>
  <c r="Q120" i="70" l="1"/>
  <c r="R120" i="70" s="1"/>
  <c r="S120" i="70" s="1"/>
  <c r="N120" i="70"/>
  <c r="O120" i="70" s="1"/>
  <c r="P120" i="70" s="1"/>
  <c r="K119" i="70"/>
  <c r="L119" i="70" s="1"/>
  <c r="M119" i="70" s="1"/>
  <c r="A121" i="70"/>
  <c r="X120" i="70"/>
  <c r="V121" i="70" s="1"/>
  <c r="W121" i="70" s="1"/>
  <c r="F120" i="70"/>
  <c r="G120" i="70" s="1"/>
  <c r="E121" i="70" s="1"/>
  <c r="J65" i="70"/>
  <c r="H66" i="70" s="1"/>
  <c r="D119" i="70"/>
  <c r="B120" i="70" s="1"/>
  <c r="C120" i="70" s="1"/>
  <c r="AO119" i="11"/>
  <c r="Q121" i="70" l="1"/>
  <c r="R121" i="70" s="1"/>
  <c r="S121" i="70" s="1"/>
  <c r="N121" i="70"/>
  <c r="O121" i="70" s="1"/>
  <c r="P121" i="70" s="1"/>
  <c r="K120" i="70"/>
  <c r="L120" i="70" s="1"/>
  <c r="M120" i="70" s="1"/>
  <c r="X121" i="70"/>
  <c r="V122" i="70" s="1"/>
  <c r="W122" i="70" s="1"/>
  <c r="A122" i="70"/>
  <c r="F121" i="70"/>
  <c r="G121" i="70" s="1"/>
  <c r="E122" i="70" s="1"/>
  <c r="I66" i="70"/>
  <c r="D120" i="70"/>
  <c r="B121" i="70" s="1"/>
  <c r="C121" i="70" s="1"/>
  <c r="AO120" i="11"/>
  <c r="Q122" i="70" l="1"/>
  <c r="R122" i="70" s="1"/>
  <c r="S122" i="70" s="1"/>
  <c r="N122" i="70"/>
  <c r="O122" i="70" s="1"/>
  <c r="P122" i="70" s="1"/>
  <c r="K121" i="70"/>
  <c r="L121" i="70" s="1"/>
  <c r="M121" i="70" s="1"/>
  <c r="A123" i="70"/>
  <c r="X122" i="70"/>
  <c r="V123" i="70" s="1"/>
  <c r="W123" i="70" s="1"/>
  <c r="F122" i="70"/>
  <c r="G122" i="70" s="1"/>
  <c r="E123" i="70" s="1"/>
  <c r="J66" i="70"/>
  <c r="H67" i="70" s="1"/>
  <c r="D121" i="70"/>
  <c r="B122" i="70" s="1"/>
  <c r="C122" i="70" s="1"/>
  <c r="AO121" i="11"/>
  <c r="Q123" i="70" l="1"/>
  <c r="R123" i="70" s="1"/>
  <c r="S123" i="70" s="1"/>
  <c r="N123" i="70"/>
  <c r="O123" i="70" s="1"/>
  <c r="P123" i="70" s="1"/>
  <c r="K122" i="70"/>
  <c r="L122" i="70" s="1"/>
  <c r="M122" i="70" s="1"/>
  <c r="X123" i="70"/>
  <c r="V124" i="70" s="1"/>
  <c r="W124" i="70" s="1"/>
  <c r="A124" i="70"/>
  <c r="F123" i="70"/>
  <c r="G123" i="70" s="1"/>
  <c r="E124" i="70" s="1"/>
  <c r="I67" i="70"/>
  <c r="D122" i="70"/>
  <c r="B123" i="70" s="1"/>
  <c r="C123" i="70" s="1"/>
  <c r="AO122" i="11"/>
  <c r="Q124" i="70" l="1"/>
  <c r="R124" i="70" s="1"/>
  <c r="S124" i="70" s="1"/>
  <c r="N124" i="70"/>
  <c r="O124" i="70" s="1"/>
  <c r="P124" i="70" s="1"/>
  <c r="K123" i="70"/>
  <c r="L123" i="70" s="1"/>
  <c r="M123" i="70" s="1"/>
  <c r="A125" i="70"/>
  <c r="X124" i="70"/>
  <c r="V125" i="70" s="1"/>
  <c r="W125" i="70" s="1"/>
  <c r="F124" i="70"/>
  <c r="G124" i="70" s="1"/>
  <c r="E125" i="70" s="1"/>
  <c r="J67" i="70"/>
  <c r="H68" i="70" s="1"/>
  <c r="D123" i="70"/>
  <c r="B124" i="70" s="1"/>
  <c r="C124" i="70" s="1"/>
  <c r="AO123" i="11"/>
  <c r="Q125" i="70" l="1"/>
  <c r="R125" i="70" s="1"/>
  <c r="S125" i="70" s="1"/>
  <c r="N125" i="70"/>
  <c r="O125" i="70" s="1"/>
  <c r="P125" i="70" s="1"/>
  <c r="K124" i="70"/>
  <c r="L124" i="70" s="1"/>
  <c r="M124" i="70" s="1"/>
  <c r="X125" i="70"/>
  <c r="V126" i="70" s="1"/>
  <c r="W126" i="70" s="1"/>
  <c r="A126" i="70"/>
  <c r="F125" i="70"/>
  <c r="G125" i="70" s="1"/>
  <c r="E126" i="70" s="1"/>
  <c r="I68" i="70"/>
  <c r="D124" i="70"/>
  <c r="B125" i="70" s="1"/>
  <c r="C125" i="70" s="1"/>
  <c r="AO124" i="11"/>
  <c r="Q126" i="70" l="1"/>
  <c r="R126" i="70" s="1"/>
  <c r="S126" i="70" s="1"/>
  <c r="N126" i="70"/>
  <c r="O126" i="70" s="1"/>
  <c r="P126" i="70" s="1"/>
  <c r="K125" i="70"/>
  <c r="L125" i="70" s="1"/>
  <c r="M125" i="70" s="1"/>
  <c r="X126" i="70"/>
  <c r="V127" i="70" s="1"/>
  <c r="W127" i="70" s="1"/>
  <c r="A127" i="70"/>
  <c r="F126" i="70"/>
  <c r="G126" i="70" s="1"/>
  <c r="E127" i="70" s="1"/>
  <c r="J68" i="70"/>
  <c r="H69" i="70" s="1"/>
  <c r="D125" i="70"/>
  <c r="B126" i="70" s="1"/>
  <c r="C126" i="70" s="1"/>
  <c r="AO125" i="11"/>
  <c r="Q127" i="70" l="1"/>
  <c r="R127" i="70" s="1"/>
  <c r="S127" i="70" s="1"/>
  <c r="N127" i="70"/>
  <c r="O127" i="70" s="1"/>
  <c r="P127" i="70" s="1"/>
  <c r="K126" i="70"/>
  <c r="L126" i="70" s="1"/>
  <c r="M126" i="70" s="1"/>
  <c r="A128" i="70"/>
  <c r="X127" i="70"/>
  <c r="V128" i="70" s="1"/>
  <c r="W128" i="70" s="1"/>
  <c r="F127" i="70"/>
  <c r="G127" i="70" s="1"/>
  <c r="E128" i="70" s="1"/>
  <c r="I69" i="70"/>
  <c r="D126" i="70"/>
  <c r="B127" i="70" s="1"/>
  <c r="C127" i="70" s="1"/>
  <c r="AO126" i="11"/>
  <c r="Q128" i="70" l="1"/>
  <c r="R128" i="70" s="1"/>
  <c r="S128" i="70" s="1"/>
  <c r="N128" i="70"/>
  <c r="O128" i="70" s="1"/>
  <c r="P128" i="70" s="1"/>
  <c r="K127" i="70"/>
  <c r="L127" i="70" s="1"/>
  <c r="M127" i="70" s="1"/>
  <c r="X128" i="70"/>
  <c r="V129" i="70" s="1"/>
  <c r="W129" i="70" s="1"/>
  <c r="A129" i="70"/>
  <c r="F128" i="70"/>
  <c r="G128" i="70" s="1"/>
  <c r="E129" i="70" s="1"/>
  <c r="J69" i="70"/>
  <c r="H70" i="70" s="1"/>
  <c r="D127" i="70"/>
  <c r="B128" i="70" s="1"/>
  <c r="C128" i="70" s="1"/>
  <c r="AO127" i="11"/>
  <c r="Q129" i="70" l="1"/>
  <c r="R129" i="70" s="1"/>
  <c r="S129" i="70" s="1"/>
  <c r="N129" i="70"/>
  <c r="O129" i="70" s="1"/>
  <c r="P129" i="70" s="1"/>
  <c r="K128" i="70"/>
  <c r="L128" i="70" s="1"/>
  <c r="M128" i="70" s="1"/>
  <c r="A130" i="70"/>
  <c r="X129" i="70"/>
  <c r="V130" i="70" s="1"/>
  <c r="W130" i="70" s="1"/>
  <c r="F129" i="70"/>
  <c r="G129" i="70" s="1"/>
  <c r="E130" i="70" s="1"/>
  <c r="I70" i="70"/>
  <c r="D128" i="70"/>
  <c r="B129" i="70" s="1"/>
  <c r="C129" i="70" s="1"/>
  <c r="AO128" i="11"/>
  <c r="Q130" i="70" l="1"/>
  <c r="R130" i="70" s="1"/>
  <c r="S130" i="70" s="1"/>
  <c r="N130" i="70"/>
  <c r="O130" i="70" s="1"/>
  <c r="P130" i="70" s="1"/>
  <c r="K129" i="70"/>
  <c r="L129" i="70" s="1"/>
  <c r="M129" i="70" s="1"/>
  <c r="X130" i="70"/>
  <c r="V131" i="70" s="1"/>
  <c r="W131" i="70" s="1"/>
  <c r="A131" i="70"/>
  <c r="F130" i="70"/>
  <c r="G130" i="70" s="1"/>
  <c r="E131" i="70" s="1"/>
  <c r="J70" i="70"/>
  <c r="H71" i="70" s="1"/>
  <c r="D129" i="70"/>
  <c r="B130" i="70" s="1"/>
  <c r="C130" i="70" s="1"/>
  <c r="AO129" i="11"/>
  <c r="Q131" i="70" l="1"/>
  <c r="R131" i="70" s="1"/>
  <c r="S131" i="70" s="1"/>
  <c r="N131" i="70"/>
  <c r="O131" i="70" s="1"/>
  <c r="P131" i="70" s="1"/>
  <c r="K130" i="70"/>
  <c r="L130" i="70" s="1"/>
  <c r="M130" i="70" s="1"/>
  <c r="A132" i="70"/>
  <c r="X131" i="70"/>
  <c r="V132" i="70" s="1"/>
  <c r="W132" i="70" s="1"/>
  <c r="F131" i="70"/>
  <c r="G131" i="70" s="1"/>
  <c r="E132" i="70" s="1"/>
  <c r="I71" i="70"/>
  <c r="D130" i="70"/>
  <c r="B131" i="70" s="1"/>
  <c r="C131" i="70" s="1"/>
  <c r="AO130" i="11"/>
  <c r="Q132" i="70" l="1"/>
  <c r="R132" i="70" s="1"/>
  <c r="S132" i="70" s="1"/>
  <c r="N132" i="70"/>
  <c r="O132" i="70" s="1"/>
  <c r="P132" i="70" s="1"/>
  <c r="K131" i="70"/>
  <c r="L131" i="70" s="1"/>
  <c r="M131" i="70" s="1"/>
  <c r="X132" i="70"/>
  <c r="V133" i="70" s="1"/>
  <c r="W133" i="70" s="1"/>
  <c r="A133" i="70"/>
  <c r="F132" i="70"/>
  <c r="G132" i="70" s="1"/>
  <c r="E133" i="70" s="1"/>
  <c r="J71" i="70"/>
  <c r="H72" i="70" s="1"/>
  <c r="D131" i="70"/>
  <c r="B132" i="70" s="1"/>
  <c r="C132" i="70" s="1"/>
  <c r="AO131" i="11"/>
  <c r="Q133" i="70" l="1"/>
  <c r="R133" i="70" s="1"/>
  <c r="S133" i="70" s="1"/>
  <c r="N133" i="70"/>
  <c r="O133" i="70" s="1"/>
  <c r="P133" i="70" s="1"/>
  <c r="K132" i="70"/>
  <c r="L132" i="70" s="1"/>
  <c r="M132" i="70" s="1"/>
  <c r="A134" i="70"/>
  <c r="X133" i="70"/>
  <c r="V134" i="70" s="1"/>
  <c r="W134" i="70" s="1"/>
  <c r="F133" i="70"/>
  <c r="G133" i="70" s="1"/>
  <c r="E134" i="70" s="1"/>
  <c r="I72" i="70"/>
  <c r="D132" i="70"/>
  <c r="B133" i="70" s="1"/>
  <c r="C133" i="70" s="1"/>
  <c r="AO132" i="11"/>
  <c r="Q134" i="70" l="1"/>
  <c r="R134" i="70" s="1"/>
  <c r="S134" i="70" s="1"/>
  <c r="N134" i="70"/>
  <c r="O134" i="70" s="1"/>
  <c r="P134" i="70" s="1"/>
  <c r="K133" i="70"/>
  <c r="L133" i="70" s="1"/>
  <c r="M133" i="70" s="1"/>
  <c r="X134" i="70"/>
  <c r="V135" i="70" s="1"/>
  <c r="W135" i="70" s="1"/>
  <c r="A135" i="70"/>
  <c r="F134" i="70"/>
  <c r="G134" i="70" s="1"/>
  <c r="E135" i="70" s="1"/>
  <c r="J72" i="70"/>
  <c r="H73" i="70" s="1"/>
  <c r="D133" i="70"/>
  <c r="B134" i="70" s="1"/>
  <c r="C134" i="70" s="1"/>
  <c r="AO133" i="11"/>
  <c r="Q135" i="70" l="1"/>
  <c r="R135" i="70" s="1"/>
  <c r="S135" i="70" s="1"/>
  <c r="N135" i="70"/>
  <c r="O135" i="70" s="1"/>
  <c r="P135" i="70" s="1"/>
  <c r="K134" i="70"/>
  <c r="L134" i="70" s="1"/>
  <c r="M134" i="70" s="1"/>
  <c r="A136" i="70"/>
  <c r="X135" i="70"/>
  <c r="V136" i="70" s="1"/>
  <c r="W136" i="70" s="1"/>
  <c r="F135" i="70"/>
  <c r="G135" i="70" s="1"/>
  <c r="E136" i="70" s="1"/>
  <c r="I73" i="70"/>
  <c r="D134" i="70"/>
  <c r="B135" i="70" s="1"/>
  <c r="C135" i="70" s="1"/>
  <c r="AO134" i="11"/>
  <c r="Q136" i="70" l="1"/>
  <c r="R136" i="70" s="1"/>
  <c r="S136" i="70" s="1"/>
  <c r="N136" i="70"/>
  <c r="O136" i="70" s="1"/>
  <c r="P136" i="70" s="1"/>
  <c r="K135" i="70"/>
  <c r="L135" i="70" s="1"/>
  <c r="M135" i="70" s="1"/>
  <c r="X136" i="70"/>
  <c r="V137" i="70" s="1"/>
  <c r="W137" i="70" s="1"/>
  <c r="A137" i="70"/>
  <c r="F136" i="70"/>
  <c r="G136" i="70" s="1"/>
  <c r="E137" i="70" s="1"/>
  <c r="J73" i="70"/>
  <c r="H74" i="70" s="1"/>
  <c r="D135" i="70"/>
  <c r="B136" i="70" s="1"/>
  <c r="C136" i="70" s="1"/>
  <c r="AO135" i="11"/>
  <c r="Q137" i="70" l="1"/>
  <c r="R137" i="70" s="1"/>
  <c r="S137" i="70" s="1"/>
  <c r="N137" i="70"/>
  <c r="O137" i="70" s="1"/>
  <c r="P137" i="70" s="1"/>
  <c r="K136" i="70"/>
  <c r="L136" i="70" s="1"/>
  <c r="M136" i="70" s="1"/>
  <c r="A138" i="70"/>
  <c r="X137" i="70"/>
  <c r="V138" i="70" s="1"/>
  <c r="W138" i="70" s="1"/>
  <c r="F137" i="70"/>
  <c r="G137" i="70" s="1"/>
  <c r="E138" i="70" s="1"/>
  <c r="I74" i="70"/>
  <c r="D136" i="70"/>
  <c r="B137" i="70" s="1"/>
  <c r="C137" i="70" s="1"/>
  <c r="AO136" i="11"/>
  <c r="Q138" i="70" l="1"/>
  <c r="R138" i="70" s="1"/>
  <c r="S138" i="70" s="1"/>
  <c r="N138" i="70"/>
  <c r="O138" i="70" s="1"/>
  <c r="P138" i="70" s="1"/>
  <c r="K137" i="70"/>
  <c r="L137" i="70" s="1"/>
  <c r="M137" i="70" s="1"/>
  <c r="X138" i="70"/>
  <c r="V139" i="70" s="1"/>
  <c r="W139" i="70" s="1"/>
  <c r="A139" i="70"/>
  <c r="F138" i="70"/>
  <c r="G138" i="70" s="1"/>
  <c r="E139" i="70" s="1"/>
  <c r="J74" i="70"/>
  <c r="H75" i="70" s="1"/>
  <c r="D137" i="70"/>
  <c r="B138" i="70" s="1"/>
  <c r="C138" i="70" s="1"/>
  <c r="AO137" i="11"/>
  <c r="Q139" i="70" l="1"/>
  <c r="R139" i="70" s="1"/>
  <c r="S139" i="70" s="1"/>
  <c r="N139" i="70"/>
  <c r="O139" i="70" s="1"/>
  <c r="P139" i="70" s="1"/>
  <c r="K138" i="70"/>
  <c r="L138" i="70" s="1"/>
  <c r="M138" i="70" s="1"/>
  <c r="A140" i="70"/>
  <c r="X139" i="70"/>
  <c r="V140" i="70" s="1"/>
  <c r="W140" i="70" s="1"/>
  <c r="F139" i="70"/>
  <c r="G139" i="70" s="1"/>
  <c r="E140" i="70" s="1"/>
  <c r="I75" i="70"/>
  <c r="D138" i="70"/>
  <c r="B139" i="70" s="1"/>
  <c r="C139" i="70" s="1"/>
  <c r="AO138" i="11"/>
  <c r="Q140" i="70" l="1"/>
  <c r="R140" i="70" s="1"/>
  <c r="S140" i="70" s="1"/>
  <c r="N140" i="70"/>
  <c r="O140" i="70" s="1"/>
  <c r="P140" i="70" s="1"/>
  <c r="K139" i="70"/>
  <c r="L139" i="70" s="1"/>
  <c r="M139" i="70" s="1"/>
  <c r="X140" i="70"/>
  <c r="V141" i="70" s="1"/>
  <c r="W141" i="70" s="1"/>
  <c r="A141" i="70"/>
  <c r="F140" i="70"/>
  <c r="G140" i="70" s="1"/>
  <c r="E141" i="70" s="1"/>
  <c r="J75" i="70"/>
  <c r="H76" i="70" s="1"/>
  <c r="D139" i="70"/>
  <c r="B140" i="70" s="1"/>
  <c r="C140" i="70" s="1"/>
  <c r="AO139" i="11"/>
  <c r="Q141" i="70" l="1"/>
  <c r="R141" i="70" s="1"/>
  <c r="S141" i="70" s="1"/>
  <c r="N141" i="70"/>
  <c r="O141" i="70" s="1"/>
  <c r="P141" i="70" s="1"/>
  <c r="K140" i="70"/>
  <c r="L140" i="70" s="1"/>
  <c r="M140" i="70" s="1"/>
  <c r="A142" i="70"/>
  <c r="X141" i="70"/>
  <c r="V142" i="70" s="1"/>
  <c r="W142" i="70" s="1"/>
  <c r="F141" i="70"/>
  <c r="G141" i="70" s="1"/>
  <c r="E142" i="70" s="1"/>
  <c r="I76" i="70"/>
  <c r="D140" i="70"/>
  <c r="B141" i="70" s="1"/>
  <c r="C141" i="70" s="1"/>
  <c r="Q142" i="70" l="1"/>
  <c r="R142" i="70" s="1"/>
  <c r="S142" i="70" s="1"/>
  <c r="N142" i="70"/>
  <c r="O142" i="70" s="1"/>
  <c r="P142" i="70" s="1"/>
  <c r="K141" i="70"/>
  <c r="L141" i="70" s="1"/>
  <c r="M141" i="70" s="1"/>
  <c r="X142" i="70"/>
  <c r="V143" i="70" s="1"/>
  <c r="W143" i="70" s="1"/>
  <c r="A143" i="70"/>
  <c r="F142" i="70"/>
  <c r="G142" i="70" s="1"/>
  <c r="E143" i="70" s="1"/>
  <c r="J76" i="70"/>
  <c r="H77" i="70" s="1"/>
  <c r="D141" i="70"/>
  <c r="B142" i="70" s="1"/>
  <c r="C142" i="70" s="1"/>
  <c r="Q143" i="70" l="1"/>
  <c r="R143" i="70" s="1"/>
  <c r="S143" i="70" s="1"/>
  <c r="N143" i="70"/>
  <c r="O143" i="70" s="1"/>
  <c r="P143" i="70" s="1"/>
  <c r="K142" i="70"/>
  <c r="L142" i="70" s="1"/>
  <c r="M142" i="70" s="1"/>
  <c r="A144" i="70"/>
  <c r="X143" i="70"/>
  <c r="V144" i="70" s="1"/>
  <c r="W144" i="70" s="1"/>
  <c r="F143" i="70"/>
  <c r="G143" i="70" s="1"/>
  <c r="E144" i="70" s="1"/>
  <c r="I77" i="70"/>
  <c r="D142" i="70"/>
  <c r="B143" i="70" s="1"/>
  <c r="C143" i="70" s="1"/>
  <c r="Q144" i="70" l="1"/>
  <c r="R144" i="70" s="1"/>
  <c r="S144" i="70" s="1"/>
  <c r="N144" i="70"/>
  <c r="O144" i="70" s="1"/>
  <c r="P144" i="70" s="1"/>
  <c r="K143" i="70"/>
  <c r="L143" i="70" s="1"/>
  <c r="M143" i="70" s="1"/>
  <c r="X144" i="70"/>
  <c r="V145" i="70" s="1"/>
  <c r="W145" i="70" s="1"/>
  <c r="A145" i="70"/>
  <c r="F144" i="70"/>
  <c r="G144" i="70" s="1"/>
  <c r="E145" i="70" s="1"/>
  <c r="J77" i="70"/>
  <c r="H78" i="70" s="1"/>
  <c r="D143" i="70"/>
  <c r="B144" i="70" s="1"/>
  <c r="C144" i="70" s="1"/>
  <c r="D19" i="60"/>
  <c r="D26" i="60"/>
  <c r="Q145" i="70" l="1"/>
  <c r="R145" i="70" s="1"/>
  <c r="S145" i="70" s="1"/>
  <c r="N145" i="70"/>
  <c r="O145" i="70" s="1"/>
  <c r="P145" i="70" s="1"/>
  <c r="K144" i="70"/>
  <c r="L144" i="70" s="1"/>
  <c r="M144" i="70" s="1"/>
  <c r="X145" i="70"/>
  <c r="V146" i="70" s="1"/>
  <c r="W146" i="70" s="1"/>
  <c r="A146" i="70"/>
  <c r="F145" i="70"/>
  <c r="G145" i="70" s="1"/>
  <c r="E146" i="70" s="1"/>
  <c r="I78" i="70"/>
  <c r="D144" i="70"/>
  <c r="B145" i="70" s="1"/>
  <c r="C145" i="70" s="1"/>
  <c r="D7" i="60"/>
  <c r="D3" i="60"/>
  <c r="D41" i="60"/>
  <c r="D11" i="60"/>
  <c r="D16" i="60"/>
  <c r="D43" i="60"/>
  <c r="D38" i="60"/>
  <c r="D34" i="60"/>
  <c r="D31" i="60"/>
  <c r="D22" i="60"/>
  <c r="D28" i="60"/>
  <c r="Q146" i="70" l="1"/>
  <c r="R146" i="70" s="1"/>
  <c r="S146" i="70" s="1"/>
  <c r="N146" i="70"/>
  <c r="O146" i="70" s="1"/>
  <c r="P146" i="70" s="1"/>
  <c r="K145" i="70"/>
  <c r="L145" i="70" s="1"/>
  <c r="M145" i="70" s="1"/>
  <c r="A147" i="70"/>
  <c r="X146" i="70"/>
  <c r="V147" i="70" s="1"/>
  <c r="W147" i="70" s="1"/>
  <c r="F146" i="70"/>
  <c r="G146" i="70" s="1"/>
  <c r="E147" i="70" s="1"/>
  <c r="J78" i="70"/>
  <c r="H79" i="70" s="1"/>
  <c r="D145" i="70"/>
  <c r="B146" i="70" s="1"/>
  <c r="C146" i="70" s="1"/>
  <c r="L43" i="60"/>
  <c r="K43" i="60"/>
  <c r="J43" i="60"/>
  <c r="I43" i="60"/>
  <c r="H43" i="60"/>
  <c r="G43" i="60"/>
  <c r="G45" i="60"/>
  <c r="N45" i="60" s="1"/>
  <c r="G12" i="60"/>
  <c r="H12" i="60"/>
  <c r="H17" i="60"/>
  <c r="G17" i="60"/>
  <c r="H23" i="60"/>
  <c r="G23" i="60"/>
  <c r="D33" i="60"/>
  <c r="C33" i="60"/>
  <c r="E33" i="60"/>
  <c r="C37" i="60"/>
  <c r="D37" i="60"/>
  <c r="E37" i="60"/>
  <c r="E46" i="60"/>
  <c r="C46" i="60"/>
  <c r="D46" i="60"/>
  <c r="E20" i="60"/>
  <c r="D20" i="60"/>
  <c r="C20" i="60"/>
  <c r="C23" i="60"/>
  <c r="D23" i="60"/>
  <c r="G24" i="60" s="1"/>
  <c r="N24" i="60" s="1"/>
  <c r="E23" i="60"/>
  <c r="E44" i="60"/>
  <c r="C44" i="60"/>
  <c r="D44" i="60"/>
  <c r="D18" i="60"/>
  <c r="C18" i="60"/>
  <c r="E18" i="60"/>
  <c r="D14" i="60"/>
  <c r="E14" i="60"/>
  <c r="C14" i="60"/>
  <c r="D15" i="60"/>
  <c r="C15" i="60"/>
  <c r="E15" i="60"/>
  <c r="E32" i="60"/>
  <c r="D32" i="60"/>
  <c r="C32" i="60"/>
  <c r="G33" i="60" s="1"/>
  <c r="C42" i="60"/>
  <c r="E42" i="60"/>
  <c r="D42" i="60"/>
  <c r="C21" i="60"/>
  <c r="E21" i="60"/>
  <c r="D21" i="60"/>
  <c r="E27" i="60"/>
  <c r="D27" i="60"/>
  <c r="C27" i="60"/>
  <c r="D24" i="60"/>
  <c r="E24" i="60"/>
  <c r="C24" i="60"/>
  <c r="E45" i="60"/>
  <c r="D45" i="60"/>
  <c r="C45" i="60"/>
  <c r="E36" i="60"/>
  <c r="C36" i="60"/>
  <c r="D36" i="60"/>
  <c r="E29" i="60"/>
  <c r="C29" i="60"/>
  <c r="D29" i="60"/>
  <c r="C39" i="60"/>
  <c r="E39" i="60"/>
  <c r="D39" i="60"/>
  <c r="G40" i="60" s="1"/>
  <c r="C35" i="60"/>
  <c r="E35" i="60"/>
  <c r="D35" i="60"/>
  <c r="C30" i="60"/>
  <c r="D30" i="60"/>
  <c r="E30" i="60"/>
  <c r="E25" i="60"/>
  <c r="D25" i="60"/>
  <c r="C25" i="60"/>
  <c r="C17" i="60"/>
  <c r="E17" i="60"/>
  <c r="D17" i="60"/>
  <c r="G16" i="60" l="1"/>
  <c r="O16" i="60" s="1"/>
  <c r="P16" i="60" s="1"/>
  <c r="G21" i="60"/>
  <c r="Q147" i="70"/>
  <c r="R147" i="70" s="1"/>
  <c r="S147" i="70" s="1"/>
  <c r="N147" i="70"/>
  <c r="O147" i="70" s="1"/>
  <c r="P147" i="70" s="1"/>
  <c r="K146" i="70"/>
  <c r="L146" i="70" s="1"/>
  <c r="M146" i="70" s="1"/>
  <c r="G44" i="60"/>
  <c r="H44" i="60"/>
  <c r="H34" i="60"/>
  <c r="H35" i="60"/>
  <c r="G35" i="60"/>
  <c r="J34" i="60"/>
  <c r="K34" i="60"/>
  <c r="L34" i="60"/>
  <c r="G34" i="60"/>
  <c r="I34" i="60"/>
  <c r="H29" i="60"/>
  <c r="G29" i="60"/>
  <c r="G26" i="60"/>
  <c r="O26" i="60" s="1"/>
  <c r="G41" i="60"/>
  <c r="O41" i="60" s="1"/>
  <c r="X147" i="70"/>
  <c r="V148" i="70" s="1"/>
  <c r="W148" i="70" s="1"/>
  <c r="A148" i="70"/>
  <c r="F147" i="70"/>
  <c r="G147" i="70" s="1"/>
  <c r="E148" i="70" s="1"/>
  <c r="I79" i="70"/>
  <c r="D146" i="70"/>
  <c r="B147" i="70" s="1"/>
  <c r="C147" i="70" s="1"/>
  <c r="L22" i="60"/>
  <c r="G32" i="60"/>
  <c r="G36" i="60"/>
  <c r="N36" i="60" s="1"/>
  <c r="H32" i="60"/>
  <c r="G30" i="60"/>
  <c r="G22" i="60"/>
  <c r="G20" i="60"/>
  <c r="J22" i="60"/>
  <c r="H22" i="60"/>
  <c r="I22" i="60"/>
  <c r="H20" i="60"/>
  <c r="K22" i="60"/>
  <c r="N23" i="60"/>
  <c r="N43" i="60"/>
  <c r="E40" i="60"/>
  <c r="C40" i="60"/>
  <c r="D40" i="60"/>
  <c r="N12" i="60"/>
  <c r="D13" i="60"/>
  <c r="E13" i="60"/>
  <c r="C13" i="60"/>
  <c r="K11" i="60" l="1"/>
  <c r="Q148" i="70"/>
  <c r="R148" i="70" s="1"/>
  <c r="S148" i="70" s="1"/>
  <c r="N148" i="70"/>
  <c r="O148" i="70" s="1"/>
  <c r="P148" i="70" s="1"/>
  <c r="K147" i="70"/>
  <c r="L147" i="70" s="1"/>
  <c r="M147" i="70" s="1"/>
  <c r="N44" i="60"/>
  <c r="O43" i="60" s="1"/>
  <c r="P43" i="60" s="1"/>
  <c r="N35" i="60"/>
  <c r="N34" i="60"/>
  <c r="O28" i="60"/>
  <c r="P28" i="60" s="1"/>
  <c r="AD18" i="5" s="1"/>
  <c r="H11" i="60"/>
  <c r="G11" i="60"/>
  <c r="I11" i="60"/>
  <c r="J11" i="60"/>
  <c r="L11" i="60"/>
  <c r="A149" i="70"/>
  <c r="X148" i="70"/>
  <c r="V149" i="70" s="1"/>
  <c r="W149" i="70" s="1"/>
  <c r="X149" i="70" s="1"/>
  <c r="V150" i="70" s="1"/>
  <c r="F148" i="70"/>
  <c r="G148" i="70" s="1"/>
  <c r="E149" i="70" s="1"/>
  <c r="J79" i="70"/>
  <c r="H80" i="70" s="1"/>
  <c r="D147" i="70"/>
  <c r="B148" i="70" s="1"/>
  <c r="C148" i="70" s="1"/>
  <c r="G13" i="60"/>
  <c r="N13" i="60" s="1"/>
  <c r="H39" i="60"/>
  <c r="G39" i="60"/>
  <c r="O31" i="60"/>
  <c r="P31" i="60" s="1"/>
  <c r="AD19" i="5" s="1"/>
  <c r="O20" i="60"/>
  <c r="P20" i="60" s="1"/>
  <c r="AD15" i="5" s="1"/>
  <c r="N22" i="60"/>
  <c r="O22" i="60" s="1"/>
  <c r="P22" i="60" s="1"/>
  <c r="P26" i="60"/>
  <c r="AC17" i="5"/>
  <c r="P41" i="60"/>
  <c r="AC22" i="5"/>
  <c r="AC14" i="5"/>
  <c r="C6" i="60"/>
  <c r="D6" i="60"/>
  <c r="E6" i="60"/>
  <c r="C4" i="60"/>
  <c r="D4" i="60"/>
  <c r="E4" i="60"/>
  <c r="E8" i="60"/>
  <c r="C8" i="60"/>
  <c r="D8" i="60"/>
  <c r="E10" i="60"/>
  <c r="D10" i="60"/>
  <c r="C10" i="60"/>
  <c r="C9" i="60"/>
  <c r="D9" i="60"/>
  <c r="E9" i="60"/>
  <c r="C5" i="60"/>
  <c r="D5" i="60"/>
  <c r="E5" i="60"/>
  <c r="H4" i="60" l="1"/>
  <c r="Q149" i="70"/>
  <c r="R149" i="70" s="1"/>
  <c r="S149" i="70" s="1"/>
  <c r="N149" i="70"/>
  <c r="O149" i="70" s="1"/>
  <c r="P149" i="70" s="1"/>
  <c r="K148" i="70"/>
  <c r="L148" i="70" s="1"/>
  <c r="M148" i="70" s="1"/>
  <c r="G8" i="60"/>
  <c r="O34" i="60"/>
  <c r="P34" i="60" s="1"/>
  <c r="AC18" i="5"/>
  <c r="A52" i="5" s="1"/>
  <c r="N11" i="60"/>
  <c r="O11" i="60" s="1"/>
  <c r="P11" i="60" s="1"/>
  <c r="AD13" i="5" s="1"/>
  <c r="H8" i="60"/>
  <c r="G9" i="60"/>
  <c r="N9" i="60" s="1"/>
  <c r="H7" i="60"/>
  <c r="G7" i="60"/>
  <c r="K7" i="60"/>
  <c r="L7" i="60"/>
  <c r="J7" i="60"/>
  <c r="I7" i="60"/>
  <c r="G4" i="60"/>
  <c r="G5" i="60"/>
  <c r="N5" i="60" s="1"/>
  <c r="G3" i="60"/>
  <c r="H3" i="60"/>
  <c r="I3" i="60"/>
  <c r="J3" i="60"/>
  <c r="L3" i="60"/>
  <c r="K3" i="60"/>
  <c r="A150" i="70"/>
  <c r="F149" i="70"/>
  <c r="G149" i="70" s="1"/>
  <c r="E150" i="70" s="1"/>
  <c r="I80" i="70"/>
  <c r="D148" i="70"/>
  <c r="B149" i="70" s="1"/>
  <c r="C149" i="70" s="1"/>
  <c r="W150" i="70"/>
  <c r="AC19" i="5"/>
  <c r="A55" i="5" s="1"/>
  <c r="AC15" i="5"/>
  <c r="A37" i="5" s="1"/>
  <c r="O38" i="60"/>
  <c r="P38" i="60" s="1"/>
  <c r="Q38" i="60" s="1"/>
  <c r="AD17" i="5"/>
  <c r="A49" i="5" s="1"/>
  <c r="R26" i="60"/>
  <c r="Q26" i="60"/>
  <c r="V26" i="60" s="1"/>
  <c r="R41" i="60"/>
  <c r="AD22" i="5"/>
  <c r="A41" i="5" s="1"/>
  <c r="Q41" i="60"/>
  <c r="V41" i="60" s="1"/>
  <c r="R31" i="60"/>
  <c r="Q31" i="60"/>
  <c r="V31" i="60" s="1"/>
  <c r="AC12" i="5"/>
  <c r="AD12" i="5"/>
  <c r="Q28" i="60"/>
  <c r="V28" i="60" s="1"/>
  <c r="R28" i="60"/>
  <c r="AC16" i="5"/>
  <c r="AD16" i="5"/>
  <c r="Q20" i="60"/>
  <c r="R20" i="60"/>
  <c r="AD14" i="5"/>
  <c r="A33" i="5" s="1"/>
  <c r="Q16" i="60"/>
  <c r="V16" i="60" s="1"/>
  <c r="R16" i="60"/>
  <c r="N4" i="60" l="1"/>
  <c r="V20" i="60"/>
  <c r="Q150" i="70"/>
  <c r="R150" i="70" s="1"/>
  <c r="S150" i="70" s="1"/>
  <c r="N150" i="70"/>
  <c r="O150" i="70" s="1"/>
  <c r="P150" i="70" s="1"/>
  <c r="K149" i="70"/>
  <c r="L149" i="70" s="1"/>
  <c r="M149" i="70" s="1"/>
  <c r="N8" i="60"/>
  <c r="AC20" i="5"/>
  <c r="A23" i="5"/>
  <c r="N7" i="60"/>
  <c r="N3" i="60"/>
  <c r="A151" i="70"/>
  <c r="X150" i="70"/>
  <c r="V151" i="70" s="1"/>
  <c r="W151" i="70" s="1"/>
  <c r="F150" i="70"/>
  <c r="G150" i="70" s="1"/>
  <c r="E151" i="70" s="1"/>
  <c r="J80" i="70"/>
  <c r="H81" i="70" s="1"/>
  <c r="D149" i="70"/>
  <c r="B150" i="70" s="1"/>
  <c r="C150" i="70" s="1"/>
  <c r="AD21" i="5"/>
  <c r="AC21" i="5"/>
  <c r="AD20" i="60"/>
  <c r="S31" i="60"/>
  <c r="AA28" i="60"/>
  <c r="X26" i="60"/>
  <c r="W26" i="60"/>
  <c r="AC26" i="60"/>
  <c r="S26" i="60"/>
  <c r="U26" i="60"/>
  <c r="AA26" i="60"/>
  <c r="AE26" i="60"/>
  <c r="AB26" i="60"/>
  <c r="AD26" i="60"/>
  <c r="T26" i="60"/>
  <c r="Z26" i="60"/>
  <c r="Y26" i="60"/>
  <c r="AB41" i="60"/>
  <c r="Z41" i="60"/>
  <c r="AA41" i="60"/>
  <c r="Y41" i="60"/>
  <c r="X41" i="60"/>
  <c r="AD41" i="60"/>
  <c r="S41" i="60"/>
  <c r="AC41" i="60"/>
  <c r="T41" i="60"/>
  <c r="W41" i="60"/>
  <c r="U41" i="60"/>
  <c r="AE41" i="60"/>
  <c r="AC13" i="5"/>
  <c r="A29" i="5" s="1"/>
  <c r="Y31" i="60"/>
  <c r="T31" i="60"/>
  <c r="Z31" i="60"/>
  <c r="AA31" i="60"/>
  <c r="W31" i="60"/>
  <c r="AE31" i="60"/>
  <c r="AB31" i="60"/>
  <c r="X31" i="60"/>
  <c r="U31" i="60"/>
  <c r="AD31" i="60"/>
  <c r="AC31" i="60"/>
  <c r="AB28" i="60"/>
  <c r="Z28" i="60"/>
  <c r="R38" i="60"/>
  <c r="W38" i="60" s="1"/>
  <c r="T20" i="60"/>
  <c r="Q43" i="60"/>
  <c r="R43" i="60"/>
  <c r="AD28" i="60"/>
  <c r="S28" i="60"/>
  <c r="W28" i="60"/>
  <c r="AC28" i="60"/>
  <c r="X28" i="60"/>
  <c r="Y28" i="60"/>
  <c r="AE28" i="60"/>
  <c r="T28" i="60"/>
  <c r="U28" i="60"/>
  <c r="AA20" i="60"/>
  <c r="X20" i="60"/>
  <c r="AC20" i="60"/>
  <c r="AD20" i="5"/>
  <c r="Q34" i="60"/>
  <c r="V34" i="60" s="1"/>
  <c r="R34" i="60"/>
  <c r="Q22" i="60"/>
  <c r="W20" i="60"/>
  <c r="Y20" i="60"/>
  <c r="U20" i="60"/>
  <c r="A44" i="5"/>
  <c r="S20" i="60"/>
  <c r="AE20" i="60"/>
  <c r="Z20" i="60"/>
  <c r="AB20" i="60"/>
  <c r="X16" i="60"/>
  <c r="AD16" i="60"/>
  <c r="AE16" i="60"/>
  <c r="AB16" i="60"/>
  <c r="Y16" i="60"/>
  <c r="S16" i="60"/>
  <c r="U16" i="60"/>
  <c r="AC16" i="60"/>
  <c r="AA16" i="60"/>
  <c r="W16" i="60"/>
  <c r="Z16" i="60"/>
  <c r="T16" i="60"/>
  <c r="R11" i="60"/>
  <c r="Q11" i="60"/>
  <c r="V11" i="60" s="1"/>
  <c r="R22" i="60"/>
  <c r="AE38" i="60"/>
  <c r="AD38" i="60"/>
  <c r="AA38" i="60"/>
  <c r="AB38" i="60"/>
  <c r="T38" i="60"/>
  <c r="Y38" i="60"/>
  <c r="S38" i="60"/>
  <c r="AC38" i="60"/>
  <c r="Z38" i="60"/>
  <c r="O3" i="60" l="1"/>
  <c r="AC10" i="5" s="1"/>
  <c r="V43" i="60"/>
  <c r="Q151" i="70"/>
  <c r="R151" i="70" s="1"/>
  <c r="S151" i="70" s="1"/>
  <c r="N151" i="70"/>
  <c r="O151" i="70" s="1"/>
  <c r="P151" i="70" s="1"/>
  <c r="K150" i="70"/>
  <c r="L150" i="70" s="1"/>
  <c r="M150" i="70" s="1"/>
  <c r="O7" i="60"/>
  <c r="AC11" i="5" s="1"/>
  <c r="A59" i="5"/>
  <c r="X38" i="60"/>
  <c r="V38" i="60"/>
  <c r="U38" i="60"/>
  <c r="A64" i="5"/>
  <c r="V22" i="60"/>
  <c r="X151" i="70"/>
  <c r="V152" i="70" s="1"/>
  <c r="W152" i="70" s="1"/>
  <c r="A152" i="70"/>
  <c r="F151" i="70"/>
  <c r="G151" i="70" s="1"/>
  <c r="E152" i="70" s="1"/>
  <c r="I81" i="70"/>
  <c r="D150" i="70"/>
  <c r="B151" i="70" s="1"/>
  <c r="C151" i="70" s="1"/>
  <c r="AC43" i="60"/>
  <c r="W22" i="60"/>
  <c r="U11" i="60"/>
  <c r="W43" i="60"/>
  <c r="AA43" i="60"/>
  <c r="AD43" i="60"/>
  <c r="Y22" i="60"/>
  <c r="S43" i="60"/>
  <c r="AE43" i="60"/>
  <c r="Z43" i="60"/>
  <c r="Y43" i="60"/>
  <c r="T43" i="60"/>
  <c r="AB43" i="60"/>
  <c r="X43" i="60"/>
  <c r="U43" i="60"/>
  <c r="X22" i="60"/>
  <c r="T22" i="60"/>
  <c r="Z34" i="60"/>
  <c r="AE34" i="60"/>
  <c r="X34" i="60"/>
  <c r="AC34" i="60"/>
  <c r="AA34" i="60"/>
  <c r="Y34" i="60"/>
  <c r="U34" i="60"/>
  <c r="S34" i="60"/>
  <c r="T34" i="60"/>
  <c r="W34" i="60"/>
  <c r="AB34" i="60"/>
  <c r="AD34" i="60"/>
  <c r="U22" i="60"/>
  <c r="S22" i="60"/>
  <c r="AD22" i="60"/>
  <c r="AE22" i="60"/>
  <c r="AB22" i="60"/>
  <c r="Z22" i="60"/>
  <c r="AC22" i="60"/>
  <c r="AA22" i="60"/>
  <c r="AE11" i="60"/>
  <c r="S11" i="60"/>
  <c r="T11" i="60"/>
  <c r="X11" i="60"/>
  <c r="Y11" i="60"/>
  <c r="Z11" i="60"/>
  <c r="AA11" i="60"/>
  <c r="AC11" i="60"/>
  <c r="AB11" i="60"/>
  <c r="W11" i="60"/>
  <c r="AD11" i="60"/>
  <c r="P3" i="60" l="1"/>
  <c r="AD10" i="5" s="1"/>
  <c r="A13" i="5" s="1"/>
  <c r="Q152" i="70"/>
  <c r="R152" i="70" s="1"/>
  <c r="S152" i="70" s="1"/>
  <c r="N152" i="70"/>
  <c r="O152" i="70" s="1"/>
  <c r="P152" i="70" s="1"/>
  <c r="K151" i="70"/>
  <c r="L151" i="70" s="1"/>
  <c r="M151" i="70" s="1"/>
  <c r="P7" i="60"/>
  <c r="R7" i="60" s="1"/>
  <c r="A153" i="70"/>
  <c r="X152" i="70"/>
  <c r="V153" i="70" s="1"/>
  <c r="W153" i="70" s="1"/>
  <c r="F152" i="70"/>
  <c r="G152" i="70" s="1"/>
  <c r="E153" i="70" s="1"/>
  <c r="J81" i="70"/>
  <c r="H82" i="70" s="1"/>
  <c r="D151" i="70"/>
  <c r="B152" i="70" s="1"/>
  <c r="C152" i="70" s="1"/>
  <c r="R3" i="60" l="1"/>
  <c r="Q3" i="60"/>
  <c r="AE3" i="60" s="1"/>
  <c r="Q153" i="70"/>
  <c r="R153" i="70" s="1"/>
  <c r="S153" i="70" s="1"/>
  <c r="N153" i="70"/>
  <c r="O153" i="70" s="1"/>
  <c r="P153" i="70" s="1"/>
  <c r="K152" i="70"/>
  <c r="L152" i="70" s="1"/>
  <c r="M152" i="70" s="1"/>
  <c r="AD11" i="5"/>
  <c r="A19" i="5" s="1"/>
  <c r="Q7" i="60"/>
  <c r="AD7" i="60" s="1"/>
  <c r="D21" i="10"/>
  <c r="X153" i="70"/>
  <c r="V154" i="70" s="1"/>
  <c r="W154" i="70" s="1"/>
  <c r="A154" i="70"/>
  <c r="F153" i="70"/>
  <c r="G153" i="70" s="1"/>
  <c r="E154" i="70" s="1"/>
  <c r="I82" i="70"/>
  <c r="D152" i="70"/>
  <c r="B153" i="70" s="1"/>
  <c r="C153" i="70" s="1"/>
  <c r="V3" i="60" l="1"/>
  <c r="Z3" i="60"/>
  <c r="AA3" i="60"/>
  <c r="W3" i="60"/>
  <c r="AC3" i="60"/>
  <c r="AB3" i="60"/>
  <c r="T3" i="60"/>
  <c r="X3" i="60"/>
  <c r="AD3" i="60"/>
  <c r="AD48" i="60" s="1"/>
  <c r="S3" i="60"/>
  <c r="U3" i="60"/>
  <c r="Y3" i="60"/>
  <c r="Q154" i="70"/>
  <c r="R154" i="70" s="1"/>
  <c r="S154" i="70" s="1"/>
  <c r="N154" i="70"/>
  <c r="O154" i="70" s="1"/>
  <c r="P154" i="70" s="1"/>
  <c r="K153" i="70"/>
  <c r="L153" i="70" s="1"/>
  <c r="M153" i="70" s="1"/>
  <c r="Y7" i="60"/>
  <c r="U7" i="60"/>
  <c r="Z7" i="60"/>
  <c r="AB7" i="60"/>
  <c r="AE7" i="60"/>
  <c r="AE48" i="60" s="1"/>
  <c r="P73" i="5" s="1"/>
  <c r="P78" i="5" s="1"/>
  <c r="W7" i="60"/>
  <c r="S7" i="60"/>
  <c r="T7" i="60"/>
  <c r="AC7" i="60"/>
  <c r="AA7" i="60"/>
  <c r="V7" i="60"/>
  <c r="X7" i="60"/>
  <c r="B21" i="10"/>
  <c r="K21" i="10"/>
  <c r="F21" i="10"/>
  <c r="X154" i="70"/>
  <c r="V155" i="70" s="1"/>
  <c r="W155" i="70" s="1"/>
  <c r="A155" i="70"/>
  <c r="F154" i="70"/>
  <c r="G154" i="70" s="1"/>
  <c r="E155" i="70" s="1"/>
  <c r="J82" i="70"/>
  <c r="H83" i="70" s="1"/>
  <c r="D153" i="70"/>
  <c r="B154" i="70" s="1"/>
  <c r="C154" i="70" s="1"/>
  <c r="AC48" i="60" l="1"/>
  <c r="V48" i="60"/>
  <c r="G73" i="5" s="1"/>
  <c r="G78" i="5" s="1"/>
  <c r="G143" i="5" s="1"/>
  <c r="Z48" i="60"/>
  <c r="J73" i="5" s="1"/>
  <c r="J78" i="5" s="1"/>
  <c r="J143" i="5" s="1"/>
  <c r="H4" i="4" s="1"/>
  <c r="AA48" i="60"/>
  <c r="L73" i="5" s="1"/>
  <c r="L78" i="5" s="1"/>
  <c r="L143" i="5" s="1"/>
  <c r="D34" i="10" s="1"/>
  <c r="L4" i="4" s="1"/>
  <c r="W48" i="60"/>
  <c r="H73" i="5" s="1"/>
  <c r="H78" i="5" s="1"/>
  <c r="H143" i="5" s="1"/>
  <c r="M7" i="10" s="1"/>
  <c r="T48" i="60"/>
  <c r="E73" i="5" s="1"/>
  <c r="S48" i="60"/>
  <c r="D73" i="5" s="1"/>
  <c r="D78" i="5" s="1"/>
  <c r="D104" i="5" s="1"/>
  <c r="D143" i="5" s="1"/>
  <c r="X48" i="60"/>
  <c r="I73" i="5" s="1"/>
  <c r="AB48" i="60"/>
  <c r="U48" i="60"/>
  <c r="F73" i="5" s="1"/>
  <c r="F78" i="5" s="1"/>
  <c r="F104" i="5" s="1"/>
  <c r="F143" i="5" s="1"/>
  <c r="E4" i="5" s="1"/>
  <c r="H2" i="4" s="1"/>
  <c r="Y48" i="60"/>
  <c r="K73" i="5" s="1"/>
  <c r="K78" i="5" s="1"/>
  <c r="K143" i="5" s="1"/>
  <c r="L2" i="5" s="1"/>
  <c r="Q155" i="70"/>
  <c r="R155" i="70" s="1"/>
  <c r="S155" i="70" s="1"/>
  <c r="N155" i="70"/>
  <c r="O155" i="70" s="1"/>
  <c r="P155" i="70" s="1"/>
  <c r="K154" i="70"/>
  <c r="L154" i="70" s="1"/>
  <c r="M154" i="70" s="1"/>
  <c r="P143" i="5"/>
  <c r="F7" i="4"/>
  <c r="X155" i="70"/>
  <c r="V156" i="70" s="1"/>
  <c r="W156" i="70" s="1"/>
  <c r="A156" i="70"/>
  <c r="F155" i="70"/>
  <c r="G155" i="70" s="1"/>
  <c r="E156" i="70" s="1"/>
  <c r="I83" i="70"/>
  <c r="D154" i="70"/>
  <c r="B155" i="70" s="1"/>
  <c r="C155" i="70" s="1"/>
  <c r="AN43" i="70" l="1"/>
  <c r="AC38" i="70" s="1"/>
  <c r="AD38" i="70" s="1"/>
  <c r="G4" i="5"/>
  <c r="H5" i="4"/>
  <c r="Q8" i="10"/>
  <c r="B20" i="10" s="1"/>
  <c r="Q9" i="10"/>
  <c r="D20" i="10" s="1"/>
  <c r="Q156" i="70"/>
  <c r="R156" i="70" s="1"/>
  <c r="S156" i="70" s="1"/>
  <c r="N156" i="70"/>
  <c r="O156" i="70" s="1"/>
  <c r="P156" i="70" s="1"/>
  <c r="K155" i="70"/>
  <c r="L155" i="70" s="1"/>
  <c r="M155" i="70" s="1"/>
  <c r="K20" i="10"/>
  <c r="B19" i="10"/>
  <c r="K19" i="10"/>
  <c r="F19" i="10"/>
  <c r="D19" i="10"/>
  <c r="D35" i="10"/>
  <c r="X156" i="70"/>
  <c r="V157" i="70" s="1"/>
  <c r="W157" i="70" s="1"/>
  <c r="A157" i="70"/>
  <c r="F156" i="70"/>
  <c r="G156" i="70" s="1"/>
  <c r="E157" i="70" s="1"/>
  <c r="J83" i="70"/>
  <c r="H84" i="70" s="1"/>
  <c r="D155" i="70"/>
  <c r="B156" i="70" s="1"/>
  <c r="C156" i="70" s="1"/>
  <c r="AC44" i="70" l="1"/>
  <c r="AD44" i="70" s="1"/>
  <c r="AC52" i="70"/>
  <c r="AD52" i="70" s="1"/>
  <c r="AC61" i="70"/>
  <c r="AD61" i="70" s="1"/>
  <c r="AC39" i="70"/>
  <c r="AD39" i="70" s="1"/>
  <c r="AC76" i="70"/>
  <c r="AD76" i="70" s="1"/>
  <c r="AC35" i="70"/>
  <c r="AD35" i="70" s="1"/>
  <c r="AC51" i="70"/>
  <c r="AD51" i="70" s="1"/>
  <c r="AC58" i="70"/>
  <c r="AD58" i="70" s="1"/>
  <c r="AC64" i="70"/>
  <c r="AD64" i="70" s="1"/>
  <c r="AC36" i="70"/>
  <c r="AD36" i="70" s="1"/>
  <c r="AC37" i="70"/>
  <c r="AD37" i="70" s="1"/>
  <c r="AC48" i="70"/>
  <c r="AD48" i="70" s="1"/>
  <c r="AC67" i="70"/>
  <c r="AD67" i="70" s="1"/>
  <c r="AC65" i="70"/>
  <c r="AD65" i="70" s="1"/>
  <c r="AC79" i="70"/>
  <c r="AD79" i="70" s="1"/>
  <c r="AC49" i="70"/>
  <c r="AD49" i="70" s="1"/>
  <c r="AC74" i="70"/>
  <c r="AD74" i="70" s="1"/>
  <c r="AC62" i="70"/>
  <c r="AD62" i="70" s="1"/>
  <c r="AC75" i="70"/>
  <c r="AD75" i="70" s="1"/>
  <c r="AC78" i="70"/>
  <c r="AD78" i="70" s="1"/>
  <c r="AC33" i="70"/>
  <c r="AD33" i="70" s="1"/>
  <c r="AC81" i="70"/>
  <c r="AD81" i="70" s="1"/>
  <c r="AC54" i="70"/>
  <c r="AD54" i="70" s="1"/>
  <c r="AC34" i="70"/>
  <c r="AD34" i="70" s="1"/>
  <c r="AC72" i="70"/>
  <c r="AD72" i="70" s="1"/>
  <c r="AC42" i="70"/>
  <c r="AD42" i="70" s="1"/>
  <c r="AC66" i="70"/>
  <c r="AD66" i="70" s="1"/>
  <c r="AC57" i="70"/>
  <c r="AD57" i="70" s="1"/>
  <c r="AC56" i="70"/>
  <c r="AD56" i="70" s="1"/>
  <c r="AC63" i="70"/>
  <c r="AD63" i="70" s="1"/>
  <c r="AC71" i="70"/>
  <c r="AD71" i="70" s="1"/>
  <c r="AC43" i="70"/>
  <c r="AD43" i="70" s="1"/>
  <c r="AC41" i="70"/>
  <c r="AD41" i="70" s="1"/>
  <c r="AC40" i="70"/>
  <c r="AD40" i="70" s="1"/>
  <c r="AC53" i="70"/>
  <c r="AD53" i="70" s="1"/>
  <c r="AC70" i="70"/>
  <c r="AD70" i="70" s="1"/>
  <c r="AC69" i="70"/>
  <c r="AD69" i="70" s="1"/>
  <c r="AC82" i="70"/>
  <c r="AD82" i="70" s="1"/>
  <c r="AC68" i="70"/>
  <c r="AD68" i="70" s="1"/>
  <c r="AC77" i="70"/>
  <c r="AD77" i="70" s="1"/>
  <c r="AC55" i="70"/>
  <c r="AD55" i="70" s="1"/>
  <c r="AC73" i="70"/>
  <c r="AD73" i="70" s="1"/>
  <c r="AC46" i="70"/>
  <c r="AD46" i="70" s="1"/>
  <c r="AC60" i="70"/>
  <c r="AD60" i="70" s="1"/>
  <c r="AC50" i="70"/>
  <c r="AD50" i="70" s="1"/>
  <c r="AC59" i="70"/>
  <c r="AD59" i="70" s="1"/>
  <c r="AC45" i="70"/>
  <c r="AD45" i="70" s="1"/>
  <c r="AC47" i="70"/>
  <c r="AD47" i="70" s="1"/>
  <c r="AC80" i="70"/>
  <c r="AD80" i="70" s="1"/>
  <c r="F6" i="4"/>
  <c r="K6" i="5"/>
  <c r="F20" i="10"/>
  <c r="O1" i="11" s="1"/>
  <c r="O2" i="11" s="1"/>
  <c r="R13" i="10"/>
  <c r="Q157" i="70"/>
  <c r="R157" i="70" s="1"/>
  <c r="S157" i="70" s="1"/>
  <c r="N157" i="70"/>
  <c r="O157" i="70" s="1"/>
  <c r="P157" i="70" s="1"/>
  <c r="K156" i="70"/>
  <c r="L156" i="70" s="1"/>
  <c r="M156" i="70" s="1"/>
  <c r="P1" i="11"/>
  <c r="O4" i="11" s="1"/>
  <c r="E21" i="11" s="1"/>
  <c r="R12" i="10"/>
  <c r="B25" i="10"/>
  <c r="I6" i="5"/>
  <c r="G6" i="5" s="1"/>
  <c r="F4" i="4"/>
  <c r="X157" i="70"/>
  <c r="V158" i="70" s="1"/>
  <c r="W158" i="70" s="1"/>
  <c r="AC83" i="70"/>
  <c r="AD83" i="70" s="1"/>
  <c r="A158" i="70"/>
  <c r="F157" i="70"/>
  <c r="G157" i="70" s="1"/>
  <c r="E158" i="70" s="1"/>
  <c r="I84" i="70"/>
  <c r="D156" i="70"/>
  <c r="B157" i="70" s="1"/>
  <c r="C157" i="70" s="1"/>
  <c r="H102" i="10" l="1"/>
  <c r="L102" i="10" s="1"/>
  <c r="Q158" i="70"/>
  <c r="R158" i="70" s="1"/>
  <c r="S158" i="70" s="1"/>
  <c r="N158" i="70"/>
  <c r="O158" i="70" s="1"/>
  <c r="P158" i="70" s="1"/>
  <c r="K157" i="70"/>
  <c r="L157" i="70" s="1"/>
  <c r="M157" i="70" s="1"/>
  <c r="O3" i="11"/>
  <c r="E27" i="11" s="1"/>
  <c r="E36" i="11"/>
  <c r="E37" i="11"/>
  <c r="E38" i="11"/>
  <c r="E20" i="11"/>
  <c r="E24" i="11"/>
  <c r="E34" i="11"/>
  <c r="E23" i="11"/>
  <c r="E22" i="11"/>
  <c r="E35" i="11"/>
  <c r="H93" i="10"/>
  <c r="L93" i="10" s="1"/>
  <c r="W15" i="29"/>
  <c r="H75" i="10"/>
  <c r="L75" i="10" s="1"/>
  <c r="H42" i="10"/>
  <c r="H84" i="10"/>
  <c r="L84" i="10" s="1"/>
  <c r="H64" i="10"/>
  <c r="F3" i="4"/>
  <c r="L3" i="4"/>
  <c r="X158" i="70"/>
  <c r="V159" i="70" s="1"/>
  <c r="W159" i="70" s="1"/>
  <c r="A159" i="70"/>
  <c r="F158" i="70"/>
  <c r="G158" i="70" s="1"/>
  <c r="E159" i="70" s="1"/>
  <c r="J84" i="70"/>
  <c r="H85" i="70" s="1"/>
  <c r="D157" i="70"/>
  <c r="B158" i="70" s="1"/>
  <c r="C158" i="70" s="1"/>
  <c r="Q159" i="70" l="1"/>
  <c r="R159" i="70" s="1"/>
  <c r="S159" i="70" s="1"/>
  <c r="N159" i="70"/>
  <c r="O159" i="70" s="1"/>
  <c r="P159" i="70" s="1"/>
  <c r="K158" i="70"/>
  <c r="L158" i="70" s="1"/>
  <c r="M158" i="70" s="1"/>
  <c r="E45" i="11"/>
  <c r="E44" i="11"/>
  <c r="E31" i="11"/>
  <c r="E41" i="11"/>
  <c r="E29" i="11"/>
  <c r="E30" i="11"/>
  <c r="E42" i="11"/>
  <c r="E43" i="11"/>
  <c r="E28" i="11"/>
  <c r="L42" i="10"/>
  <c r="X159" i="70"/>
  <c r="V160" i="70" s="1"/>
  <c r="W160" i="70" s="1"/>
  <c r="AC84" i="70"/>
  <c r="AD84" i="70" s="1"/>
  <c r="A160" i="70"/>
  <c r="F159" i="70"/>
  <c r="G159" i="70" s="1"/>
  <c r="E160" i="70" s="1"/>
  <c r="I85" i="70"/>
  <c r="D158" i="70"/>
  <c r="B159" i="70" s="1"/>
  <c r="C159" i="70" s="1"/>
  <c r="Q160" i="70" l="1"/>
  <c r="R160" i="70" s="1"/>
  <c r="S160" i="70" s="1"/>
  <c r="N160" i="70"/>
  <c r="O160" i="70" s="1"/>
  <c r="P160" i="70" s="1"/>
  <c r="K159" i="70"/>
  <c r="L159" i="70" s="1"/>
  <c r="M159" i="70" s="1"/>
  <c r="X160" i="70"/>
  <c r="V161" i="70" s="1"/>
  <c r="W161" i="70" s="1"/>
  <c r="A161" i="70"/>
  <c r="F160" i="70"/>
  <c r="G160" i="70" s="1"/>
  <c r="E161" i="70" s="1"/>
  <c r="J85" i="70"/>
  <c r="H86" i="70" s="1"/>
  <c r="D159" i="70"/>
  <c r="B160" i="70" s="1"/>
  <c r="C160" i="70" s="1"/>
  <c r="Q161" i="70" l="1"/>
  <c r="R161" i="70" s="1"/>
  <c r="S161" i="70" s="1"/>
  <c r="N161" i="70"/>
  <c r="O161" i="70" s="1"/>
  <c r="P161" i="70" s="1"/>
  <c r="K160" i="70"/>
  <c r="L160" i="70" s="1"/>
  <c r="M160" i="70" s="1"/>
  <c r="X161" i="70"/>
  <c r="V162" i="70" s="1"/>
  <c r="W162" i="70" s="1"/>
  <c r="AC85" i="70"/>
  <c r="AD85" i="70" s="1"/>
  <c r="A162" i="70"/>
  <c r="F161" i="70"/>
  <c r="G161" i="70" s="1"/>
  <c r="E162" i="70" s="1"/>
  <c r="I86" i="70"/>
  <c r="D160" i="70"/>
  <c r="B161" i="70" s="1"/>
  <c r="C161" i="70" s="1"/>
  <c r="Q162" i="70" l="1"/>
  <c r="R162" i="70" s="1"/>
  <c r="S162" i="70" s="1"/>
  <c r="N162" i="70"/>
  <c r="O162" i="70" s="1"/>
  <c r="P162" i="70" s="1"/>
  <c r="K161" i="70"/>
  <c r="L161" i="70" s="1"/>
  <c r="M161" i="70" s="1"/>
  <c r="X162" i="70"/>
  <c r="V163" i="70" s="1"/>
  <c r="W163" i="70" s="1"/>
  <c r="A163" i="70"/>
  <c r="F162" i="70"/>
  <c r="G162" i="70" s="1"/>
  <c r="E163" i="70" s="1"/>
  <c r="J86" i="70"/>
  <c r="H87" i="70" s="1"/>
  <c r="D161" i="70"/>
  <c r="B162" i="70" s="1"/>
  <c r="C162" i="70" s="1"/>
  <c r="Q163" i="70" l="1"/>
  <c r="R163" i="70" s="1"/>
  <c r="S163" i="70" s="1"/>
  <c r="N163" i="70"/>
  <c r="O163" i="70" s="1"/>
  <c r="P163" i="70" s="1"/>
  <c r="K162" i="70"/>
  <c r="L162" i="70" s="1"/>
  <c r="M162" i="70" s="1"/>
  <c r="X163" i="70"/>
  <c r="V164" i="70" s="1"/>
  <c r="W164" i="70" s="1"/>
  <c r="AC86" i="70"/>
  <c r="AD86" i="70" s="1"/>
  <c r="A164" i="70"/>
  <c r="F163" i="70"/>
  <c r="G163" i="70" s="1"/>
  <c r="E164" i="70" s="1"/>
  <c r="I87" i="70"/>
  <c r="D162" i="70"/>
  <c r="B163" i="70" s="1"/>
  <c r="C163" i="70" s="1"/>
  <c r="Q164" i="70" l="1"/>
  <c r="R164" i="70" s="1"/>
  <c r="S164" i="70" s="1"/>
  <c r="N164" i="70"/>
  <c r="O164" i="70" s="1"/>
  <c r="P164" i="70" s="1"/>
  <c r="K163" i="70"/>
  <c r="L163" i="70" s="1"/>
  <c r="M163" i="70" s="1"/>
  <c r="X164" i="70"/>
  <c r="V165" i="70" s="1"/>
  <c r="W165" i="70" s="1"/>
  <c r="A165" i="70"/>
  <c r="F164" i="70"/>
  <c r="G164" i="70" s="1"/>
  <c r="E165" i="70" s="1"/>
  <c r="J87" i="70"/>
  <c r="H88" i="70" s="1"/>
  <c r="D163" i="70"/>
  <c r="B164" i="70" s="1"/>
  <c r="C164" i="70" s="1"/>
  <c r="Q165" i="70" l="1"/>
  <c r="R165" i="70" s="1"/>
  <c r="S165" i="70" s="1"/>
  <c r="N165" i="70"/>
  <c r="O165" i="70" s="1"/>
  <c r="P165" i="70" s="1"/>
  <c r="K164" i="70"/>
  <c r="L164" i="70" s="1"/>
  <c r="M164" i="70" s="1"/>
  <c r="X165" i="70"/>
  <c r="V166" i="70" s="1"/>
  <c r="W166" i="70" s="1"/>
  <c r="AC87" i="70"/>
  <c r="AD87" i="70" s="1"/>
  <c r="A166" i="70"/>
  <c r="F165" i="70"/>
  <c r="G165" i="70" s="1"/>
  <c r="E166" i="70" s="1"/>
  <c r="I88" i="70"/>
  <c r="D164" i="70"/>
  <c r="B165" i="70" s="1"/>
  <c r="C165" i="70" s="1"/>
  <c r="Q166" i="70" l="1"/>
  <c r="R166" i="70" s="1"/>
  <c r="S166" i="70" s="1"/>
  <c r="N166" i="70"/>
  <c r="O166" i="70" s="1"/>
  <c r="P166" i="70" s="1"/>
  <c r="K165" i="70"/>
  <c r="L165" i="70" s="1"/>
  <c r="M165" i="70" s="1"/>
  <c r="X166" i="70"/>
  <c r="V167" i="70" s="1"/>
  <c r="W167" i="70" s="1"/>
  <c r="A167" i="70"/>
  <c r="F166" i="70"/>
  <c r="G166" i="70" s="1"/>
  <c r="E167" i="70" s="1"/>
  <c r="J88" i="70"/>
  <c r="H89" i="70" s="1"/>
  <c r="D165" i="70"/>
  <c r="B166" i="70" s="1"/>
  <c r="C166" i="70" s="1"/>
  <c r="Q167" i="70" l="1"/>
  <c r="R167" i="70" s="1"/>
  <c r="S167" i="70" s="1"/>
  <c r="N167" i="70"/>
  <c r="O167" i="70" s="1"/>
  <c r="P167" i="70" s="1"/>
  <c r="K166" i="70"/>
  <c r="L166" i="70" s="1"/>
  <c r="M166" i="70" s="1"/>
  <c r="X167" i="70"/>
  <c r="V168" i="70" s="1"/>
  <c r="W168" i="70" s="1"/>
  <c r="AC88" i="70"/>
  <c r="AD88" i="70" s="1"/>
  <c r="A168" i="70"/>
  <c r="F167" i="70"/>
  <c r="G167" i="70" s="1"/>
  <c r="E168" i="70" s="1"/>
  <c r="I89" i="70"/>
  <c r="D166" i="70"/>
  <c r="B167" i="70" s="1"/>
  <c r="C167" i="70" s="1"/>
  <c r="Q168" i="70" l="1"/>
  <c r="R168" i="70" s="1"/>
  <c r="S168" i="70" s="1"/>
  <c r="N168" i="70"/>
  <c r="O168" i="70" s="1"/>
  <c r="P168" i="70" s="1"/>
  <c r="K167" i="70"/>
  <c r="L167" i="70" s="1"/>
  <c r="M167" i="70" s="1"/>
  <c r="X168" i="70"/>
  <c r="V169" i="70" s="1"/>
  <c r="W169" i="70" s="1"/>
  <c r="A169" i="70"/>
  <c r="F168" i="70"/>
  <c r="G168" i="70" s="1"/>
  <c r="E169" i="70" s="1"/>
  <c r="J89" i="70"/>
  <c r="H90" i="70" s="1"/>
  <c r="D167" i="70"/>
  <c r="B168" i="70" s="1"/>
  <c r="C168" i="70" s="1"/>
  <c r="Q169" i="70" l="1"/>
  <c r="R169" i="70" s="1"/>
  <c r="S169" i="70" s="1"/>
  <c r="N169" i="70"/>
  <c r="O169" i="70" s="1"/>
  <c r="P169" i="70" s="1"/>
  <c r="K168" i="70"/>
  <c r="L168" i="70" s="1"/>
  <c r="M168" i="70" s="1"/>
  <c r="X169" i="70"/>
  <c r="V170" i="70" s="1"/>
  <c r="W170" i="70" s="1"/>
  <c r="AC89" i="70"/>
  <c r="AD89" i="70" s="1"/>
  <c r="A170" i="70"/>
  <c r="F169" i="70"/>
  <c r="G169" i="70" s="1"/>
  <c r="E170" i="70" s="1"/>
  <c r="I90" i="70"/>
  <c r="D168" i="70"/>
  <c r="B169" i="70" s="1"/>
  <c r="C169" i="70" s="1"/>
  <c r="Q170" i="70" l="1"/>
  <c r="R170" i="70" s="1"/>
  <c r="S170" i="70" s="1"/>
  <c r="N170" i="70"/>
  <c r="O170" i="70" s="1"/>
  <c r="P170" i="70" s="1"/>
  <c r="K169" i="70"/>
  <c r="L169" i="70" s="1"/>
  <c r="M169" i="70" s="1"/>
  <c r="X170" i="70"/>
  <c r="V171" i="70" s="1"/>
  <c r="W171" i="70" s="1"/>
  <c r="A171" i="70"/>
  <c r="F170" i="70"/>
  <c r="G170" i="70" s="1"/>
  <c r="E171" i="70" s="1"/>
  <c r="J90" i="70"/>
  <c r="H91" i="70" s="1"/>
  <c r="D169" i="70"/>
  <c r="B170" i="70" s="1"/>
  <c r="C170" i="70" s="1"/>
  <c r="Q171" i="70" l="1"/>
  <c r="R171" i="70" s="1"/>
  <c r="S171" i="70" s="1"/>
  <c r="N171" i="70"/>
  <c r="O171" i="70" s="1"/>
  <c r="P171" i="70" s="1"/>
  <c r="K170" i="70"/>
  <c r="L170" i="70" s="1"/>
  <c r="M170" i="70" s="1"/>
  <c r="X171" i="70"/>
  <c r="V172" i="70" s="1"/>
  <c r="W172" i="70" s="1"/>
  <c r="AC90" i="70"/>
  <c r="AD90" i="70" s="1"/>
  <c r="A172" i="70"/>
  <c r="F171" i="70"/>
  <c r="G171" i="70" s="1"/>
  <c r="E172" i="70" s="1"/>
  <c r="I91" i="70"/>
  <c r="D170" i="70"/>
  <c r="B171" i="70" s="1"/>
  <c r="C171" i="70" s="1"/>
  <c r="Q172" i="70" l="1"/>
  <c r="R172" i="70" s="1"/>
  <c r="S172" i="70" s="1"/>
  <c r="N172" i="70"/>
  <c r="O172" i="70" s="1"/>
  <c r="P172" i="70" s="1"/>
  <c r="K171" i="70"/>
  <c r="L171" i="70" s="1"/>
  <c r="M171" i="70" s="1"/>
  <c r="X172" i="70"/>
  <c r="V173" i="70" s="1"/>
  <c r="W173" i="70" s="1"/>
  <c r="A173" i="70"/>
  <c r="F172" i="70"/>
  <c r="G172" i="70" s="1"/>
  <c r="E173" i="70" s="1"/>
  <c r="J91" i="70"/>
  <c r="H92" i="70" s="1"/>
  <c r="D171" i="70"/>
  <c r="B172" i="70" s="1"/>
  <c r="C172" i="70" s="1"/>
  <c r="Q173" i="70" l="1"/>
  <c r="R173" i="70" s="1"/>
  <c r="S173" i="70" s="1"/>
  <c r="N173" i="70"/>
  <c r="O173" i="70" s="1"/>
  <c r="P173" i="70" s="1"/>
  <c r="K172" i="70"/>
  <c r="L172" i="70" s="1"/>
  <c r="M172" i="70" s="1"/>
  <c r="X173" i="70"/>
  <c r="V174" i="70" s="1"/>
  <c r="W174" i="70" s="1"/>
  <c r="AC91" i="70"/>
  <c r="AD91" i="70" s="1"/>
  <c r="A174" i="70"/>
  <c r="F173" i="70"/>
  <c r="G173" i="70" s="1"/>
  <c r="E174" i="70" s="1"/>
  <c r="I92" i="70"/>
  <c r="D172" i="70"/>
  <c r="B173" i="70" s="1"/>
  <c r="C173" i="70" s="1"/>
  <c r="Q174" i="70" l="1"/>
  <c r="R174" i="70" s="1"/>
  <c r="S174" i="70" s="1"/>
  <c r="N174" i="70"/>
  <c r="O174" i="70" s="1"/>
  <c r="P174" i="70" s="1"/>
  <c r="K173" i="70"/>
  <c r="L173" i="70" s="1"/>
  <c r="M173" i="70" s="1"/>
  <c r="X174" i="70"/>
  <c r="V175" i="70" s="1"/>
  <c r="W175" i="70" s="1"/>
  <c r="A175" i="70"/>
  <c r="F174" i="70"/>
  <c r="G174" i="70" s="1"/>
  <c r="E175" i="70" s="1"/>
  <c r="J92" i="70"/>
  <c r="H93" i="70" s="1"/>
  <c r="D173" i="70"/>
  <c r="B174" i="70" s="1"/>
  <c r="C174" i="70" s="1"/>
  <c r="Q175" i="70" l="1"/>
  <c r="R175" i="70" s="1"/>
  <c r="S175" i="70" s="1"/>
  <c r="N175" i="70"/>
  <c r="O175" i="70" s="1"/>
  <c r="P175" i="70" s="1"/>
  <c r="K174" i="70"/>
  <c r="L174" i="70" s="1"/>
  <c r="M174" i="70" s="1"/>
  <c r="AC92" i="70"/>
  <c r="AD92" i="70" s="1"/>
  <c r="A176" i="70"/>
  <c r="X175" i="70"/>
  <c r="V176" i="70" s="1"/>
  <c r="W176" i="70" s="1"/>
  <c r="F175" i="70"/>
  <c r="G175" i="70" s="1"/>
  <c r="E176" i="70" s="1"/>
  <c r="I93" i="70"/>
  <c r="D174" i="70"/>
  <c r="B175" i="70" s="1"/>
  <c r="C175" i="70" s="1"/>
  <c r="X42" i="22"/>
  <c r="Q176" i="70" l="1"/>
  <c r="R176" i="70" s="1"/>
  <c r="S176" i="70" s="1"/>
  <c r="N176" i="70"/>
  <c r="O176" i="70" s="1"/>
  <c r="P176" i="70" s="1"/>
  <c r="K175" i="70"/>
  <c r="L175" i="70" s="1"/>
  <c r="M175" i="70" s="1"/>
  <c r="X176" i="70"/>
  <c r="V177" i="70" s="1"/>
  <c r="W177" i="70" s="1"/>
  <c r="A177" i="70"/>
  <c r="F176" i="70"/>
  <c r="G176" i="70" s="1"/>
  <c r="E177" i="70" s="1"/>
  <c r="J93" i="70"/>
  <c r="H94" i="70" s="1"/>
  <c r="D175" i="70"/>
  <c r="B176" i="70" s="1"/>
  <c r="C176" i="70" s="1"/>
  <c r="X44" i="22"/>
  <c r="Q177" i="70" l="1"/>
  <c r="R177" i="70" s="1"/>
  <c r="S177" i="70" s="1"/>
  <c r="N177" i="70"/>
  <c r="O177" i="70" s="1"/>
  <c r="P177" i="70" s="1"/>
  <c r="K176" i="70"/>
  <c r="L176" i="70" s="1"/>
  <c r="M176" i="70" s="1"/>
  <c r="X177" i="70"/>
  <c r="V178" i="70" s="1"/>
  <c r="W178" i="70" s="1"/>
  <c r="AC93" i="70"/>
  <c r="AD93" i="70" s="1"/>
  <c r="A178" i="70"/>
  <c r="F177" i="70"/>
  <c r="G177" i="70" s="1"/>
  <c r="E178" i="70" s="1"/>
  <c r="I94" i="70"/>
  <c r="D176" i="70"/>
  <c r="B177" i="70" s="1"/>
  <c r="C177" i="70" s="1"/>
  <c r="X43" i="22"/>
  <c r="X45" i="22"/>
  <c r="X42" i="24"/>
  <c r="Q178" i="70" l="1"/>
  <c r="R178" i="70" s="1"/>
  <c r="S178" i="70" s="1"/>
  <c r="N178" i="70"/>
  <c r="O178" i="70" s="1"/>
  <c r="P178" i="70" s="1"/>
  <c r="K177" i="70"/>
  <c r="L177" i="70" s="1"/>
  <c r="M177" i="70" s="1"/>
  <c r="X178" i="70"/>
  <c r="V179" i="70" s="1"/>
  <c r="W179" i="70" s="1"/>
  <c r="A179" i="70"/>
  <c r="F178" i="70"/>
  <c r="G178" i="70" s="1"/>
  <c r="E179" i="70" s="1"/>
  <c r="J94" i="70"/>
  <c r="H95" i="70" s="1"/>
  <c r="D177" i="70"/>
  <c r="B178" i="70" s="1"/>
  <c r="C178" i="70" s="1"/>
  <c r="X43" i="24"/>
  <c r="Q179" i="70" l="1"/>
  <c r="R179" i="70" s="1"/>
  <c r="S179" i="70" s="1"/>
  <c r="N179" i="70"/>
  <c r="O179" i="70" s="1"/>
  <c r="P179" i="70" s="1"/>
  <c r="K178" i="70"/>
  <c r="L178" i="70" s="1"/>
  <c r="M178" i="70" s="1"/>
  <c r="X179" i="70"/>
  <c r="V180" i="70" s="1"/>
  <c r="W180" i="70" s="1"/>
  <c r="AC94" i="70"/>
  <c r="AD94" i="70" s="1"/>
  <c r="A180" i="70"/>
  <c r="F179" i="70"/>
  <c r="G179" i="70" s="1"/>
  <c r="E180" i="70" s="1"/>
  <c r="I95" i="70"/>
  <c r="D178" i="70"/>
  <c r="B179" i="70" s="1"/>
  <c r="C179" i="70" s="1"/>
  <c r="X44" i="24"/>
  <c r="Q180" i="70" l="1"/>
  <c r="R180" i="70" s="1"/>
  <c r="S180" i="70" s="1"/>
  <c r="N180" i="70"/>
  <c r="O180" i="70" s="1"/>
  <c r="P180" i="70" s="1"/>
  <c r="K179" i="70"/>
  <c r="L179" i="70" s="1"/>
  <c r="M179" i="70" s="1"/>
  <c r="X180" i="70"/>
  <c r="V181" i="70" s="1"/>
  <c r="W181" i="70" s="1"/>
  <c r="A181" i="70"/>
  <c r="F180" i="70"/>
  <c r="G180" i="70" s="1"/>
  <c r="E181" i="70" s="1"/>
  <c r="J95" i="70"/>
  <c r="H96" i="70" s="1"/>
  <c r="D179" i="70"/>
  <c r="B180" i="70" s="1"/>
  <c r="C180" i="70" s="1"/>
  <c r="X45" i="24"/>
  <c r="X48" i="24"/>
  <c r="X46" i="24"/>
  <c r="Q181" i="70" l="1"/>
  <c r="R181" i="70" s="1"/>
  <c r="S181" i="70" s="1"/>
  <c r="N181" i="70"/>
  <c r="O181" i="70" s="1"/>
  <c r="P181" i="70" s="1"/>
  <c r="K180" i="70"/>
  <c r="L180" i="70" s="1"/>
  <c r="M180" i="70" s="1"/>
  <c r="X181" i="70"/>
  <c r="V182" i="70" s="1"/>
  <c r="W182" i="70" s="1"/>
  <c r="AC95" i="70"/>
  <c r="AD95" i="70" s="1"/>
  <c r="A182" i="70"/>
  <c r="F181" i="70"/>
  <c r="G181" i="70" s="1"/>
  <c r="E182" i="70" s="1"/>
  <c r="I96" i="70"/>
  <c r="D180" i="70"/>
  <c r="B181" i="70" s="1"/>
  <c r="C181" i="70" s="1"/>
  <c r="X47" i="24"/>
  <c r="X38" i="25"/>
  <c r="Q182" i="70" l="1"/>
  <c r="R182" i="70" s="1"/>
  <c r="S182" i="70" s="1"/>
  <c r="N182" i="70"/>
  <c r="O182" i="70" s="1"/>
  <c r="P182" i="70" s="1"/>
  <c r="K181" i="70"/>
  <c r="L181" i="70" s="1"/>
  <c r="M181" i="70" s="1"/>
  <c r="X182" i="70"/>
  <c r="V183" i="70" s="1"/>
  <c r="W183" i="70" s="1"/>
  <c r="A183" i="70"/>
  <c r="F182" i="70"/>
  <c r="G182" i="70" s="1"/>
  <c r="E183" i="70" s="1"/>
  <c r="J96" i="70"/>
  <c r="H97" i="70" s="1"/>
  <c r="D181" i="70"/>
  <c r="B182" i="70" s="1"/>
  <c r="C182" i="70" s="1"/>
  <c r="X39" i="25"/>
  <c r="Q183" i="70" l="1"/>
  <c r="R183" i="70" s="1"/>
  <c r="S183" i="70" s="1"/>
  <c r="N183" i="70"/>
  <c r="O183" i="70" s="1"/>
  <c r="P183" i="70" s="1"/>
  <c r="K182" i="70"/>
  <c r="L182" i="70" s="1"/>
  <c r="M182" i="70" s="1"/>
  <c r="X183" i="70"/>
  <c r="V184" i="70" s="1"/>
  <c r="W184" i="70" s="1"/>
  <c r="AC96" i="70"/>
  <c r="AD96" i="70" s="1"/>
  <c r="A184" i="70"/>
  <c r="F183" i="70"/>
  <c r="G183" i="70" s="1"/>
  <c r="E184" i="70" s="1"/>
  <c r="I97" i="70"/>
  <c r="D182" i="70"/>
  <c r="B183" i="70" s="1"/>
  <c r="C183" i="70" s="1"/>
  <c r="X40" i="25"/>
  <c r="Q184" i="70" l="1"/>
  <c r="R184" i="70" s="1"/>
  <c r="S184" i="70" s="1"/>
  <c r="N184" i="70"/>
  <c r="O184" i="70" s="1"/>
  <c r="P184" i="70" s="1"/>
  <c r="K183" i="70"/>
  <c r="L183" i="70" s="1"/>
  <c r="M183" i="70" s="1"/>
  <c r="X184" i="70"/>
  <c r="V185" i="70" s="1"/>
  <c r="W185" i="70" s="1"/>
  <c r="A185" i="70"/>
  <c r="F184" i="70"/>
  <c r="G184" i="70" s="1"/>
  <c r="E185" i="70" s="1"/>
  <c r="J97" i="70"/>
  <c r="H98" i="70" s="1"/>
  <c r="D183" i="70"/>
  <c r="B184" i="70" s="1"/>
  <c r="C184" i="70" s="1"/>
  <c r="X41" i="25"/>
  <c r="X42" i="25"/>
  <c r="Q185" i="70" l="1"/>
  <c r="R185" i="70" s="1"/>
  <c r="S185" i="70" s="1"/>
  <c r="N185" i="70"/>
  <c r="O185" i="70" s="1"/>
  <c r="P185" i="70" s="1"/>
  <c r="K184" i="70"/>
  <c r="L184" i="70" s="1"/>
  <c r="M184" i="70" s="1"/>
  <c r="X185" i="70"/>
  <c r="V186" i="70" s="1"/>
  <c r="W186" i="70" s="1"/>
  <c r="AC97" i="70"/>
  <c r="AD97" i="70" s="1"/>
  <c r="A186" i="70"/>
  <c r="F185" i="70"/>
  <c r="G185" i="70" s="1"/>
  <c r="E186" i="70" s="1"/>
  <c r="I98" i="70"/>
  <c r="D184" i="70"/>
  <c r="B185" i="70" s="1"/>
  <c r="C185" i="70" s="1"/>
  <c r="X43" i="25"/>
  <c r="X44" i="25"/>
  <c r="AF8" i="27"/>
  <c r="AH8" i="27" s="1"/>
  <c r="AF10" i="27"/>
  <c r="AF11" i="27"/>
  <c r="AG5" i="27"/>
  <c r="AE11" i="27" s="1"/>
  <c r="AF13" i="27"/>
  <c r="AF12" i="27"/>
  <c r="Q186" i="70" l="1"/>
  <c r="R186" i="70" s="1"/>
  <c r="S186" i="70" s="1"/>
  <c r="N186" i="70"/>
  <c r="O186" i="70" s="1"/>
  <c r="P186" i="70" s="1"/>
  <c r="K185" i="70"/>
  <c r="L185" i="70" s="1"/>
  <c r="M185" i="70" s="1"/>
  <c r="X186" i="70"/>
  <c r="V187" i="70" s="1"/>
  <c r="W187" i="70" s="1"/>
  <c r="A187" i="70"/>
  <c r="F186" i="70"/>
  <c r="G186" i="70" s="1"/>
  <c r="E187" i="70" s="1"/>
  <c r="J98" i="70"/>
  <c r="H99" i="70" s="1"/>
  <c r="D185" i="70"/>
  <c r="B186" i="70" s="1"/>
  <c r="C186" i="70" s="1"/>
  <c r="AH11" i="27"/>
  <c r="AE9" i="27"/>
  <c r="AH12" i="27"/>
  <c r="AE8" i="27"/>
  <c r="AE7" i="27"/>
  <c r="AE12" i="27"/>
  <c r="AE10" i="27"/>
  <c r="AF9" i="27"/>
  <c r="AH10" i="27" s="1"/>
  <c r="Q187" i="70" l="1"/>
  <c r="R187" i="70" s="1"/>
  <c r="S187" i="70" s="1"/>
  <c r="N187" i="70"/>
  <c r="O187" i="70" s="1"/>
  <c r="P187" i="70" s="1"/>
  <c r="K186" i="70"/>
  <c r="L186" i="70" s="1"/>
  <c r="M186" i="70" s="1"/>
  <c r="AE13" i="27"/>
  <c r="AE14" i="27" s="1"/>
  <c r="AC98" i="70"/>
  <c r="AD98" i="70" s="1"/>
  <c r="A188" i="70"/>
  <c r="X187" i="70"/>
  <c r="V188" i="70" s="1"/>
  <c r="W188" i="70" s="1"/>
  <c r="F187" i="70"/>
  <c r="G187" i="70" s="1"/>
  <c r="E188" i="70" s="1"/>
  <c r="I99" i="70"/>
  <c r="D186" i="70"/>
  <c r="B187" i="70" s="1"/>
  <c r="C187" i="70" s="1"/>
  <c r="AH9" i="27"/>
  <c r="Q188" i="70" l="1"/>
  <c r="R188" i="70" s="1"/>
  <c r="S188" i="70" s="1"/>
  <c r="N188" i="70"/>
  <c r="O188" i="70" s="1"/>
  <c r="P188" i="70" s="1"/>
  <c r="K187" i="70"/>
  <c r="L187" i="70" s="1"/>
  <c r="M187" i="70" s="1"/>
  <c r="X188" i="70"/>
  <c r="V189" i="70" s="1"/>
  <c r="W189" i="70" s="1"/>
  <c r="A189" i="70"/>
  <c r="F188" i="70"/>
  <c r="G188" i="70" s="1"/>
  <c r="E189" i="70" s="1"/>
  <c r="J99" i="70"/>
  <c r="H100" i="70" s="1"/>
  <c r="D187" i="70"/>
  <c r="B188" i="70" s="1"/>
  <c r="C188" i="70" s="1"/>
  <c r="AE15" i="27"/>
  <c r="AG15" i="27"/>
  <c r="AG14" i="27"/>
  <c r="Q189" i="70" l="1"/>
  <c r="R189" i="70" s="1"/>
  <c r="S189" i="70" s="1"/>
  <c r="N189" i="70"/>
  <c r="O189" i="70" s="1"/>
  <c r="P189" i="70" s="1"/>
  <c r="K188" i="70"/>
  <c r="L188" i="70" s="1"/>
  <c r="M188" i="70" s="1"/>
  <c r="X189" i="70"/>
  <c r="V190" i="70" s="1"/>
  <c r="W190" i="70" s="1"/>
  <c r="A190" i="70"/>
  <c r="AC99" i="70"/>
  <c r="AD99" i="70" s="1"/>
  <c r="F189" i="70"/>
  <c r="G189" i="70" s="1"/>
  <c r="E190" i="70" s="1"/>
  <c r="I100" i="70"/>
  <c r="D188" i="70"/>
  <c r="B189" i="70" s="1"/>
  <c r="C189" i="70" s="1"/>
  <c r="AF16" i="27"/>
  <c r="Q190" i="70" l="1"/>
  <c r="R190" i="70" s="1"/>
  <c r="S190" i="70" s="1"/>
  <c r="N190" i="70"/>
  <c r="O190" i="70" s="1"/>
  <c r="P190" i="70" s="1"/>
  <c r="K189" i="70"/>
  <c r="L189" i="70" s="1"/>
  <c r="M189" i="70" s="1"/>
  <c r="X190" i="70"/>
  <c r="V191" i="70" s="1"/>
  <c r="W191" i="70" s="1"/>
  <c r="A191" i="70"/>
  <c r="F190" i="70"/>
  <c r="G190" i="70" s="1"/>
  <c r="E191" i="70" s="1"/>
  <c r="J100" i="70"/>
  <c r="H101" i="70" s="1"/>
  <c r="D189" i="70"/>
  <c r="B190" i="70" s="1"/>
  <c r="C190" i="70" s="1"/>
  <c r="Q191" i="70" l="1"/>
  <c r="R191" i="70" s="1"/>
  <c r="S191" i="70" s="1"/>
  <c r="N191" i="70"/>
  <c r="O191" i="70" s="1"/>
  <c r="P191" i="70" s="1"/>
  <c r="K190" i="70"/>
  <c r="L190" i="70" s="1"/>
  <c r="M190" i="70" s="1"/>
  <c r="X191" i="70"/>
  <c r="V192" i="70" s="1"/>
  <c r="W192" i="70" s="1"/>
  <c r="AC100" i="70"/>
  <c r="AD100" i="70" s="1"/>
  <c r="A192" i="70"/>
  <c r="F191" i="70"/>
  <c r="G191" i="70" s="1"/>
  <c r="E192" i="70" s="1"/>
  <c r="I101" i="70"/>
  <c r="D190" i="70"/>
  <c r="B191" i="70" s="1"/>
  <c r="C191" i="70" s="1"/>
  <c r="Q192" i="70" l="1"/>
  <c r="R192" i="70" s="1"/>
  <c r="S192" i="70" s="1"/>
  <c r="N192" i="70"/>
  <c r="O192" i="70" s="1"/>
  <c r="P192" i="70" s="1"/>
  <c r="K191" i="70"/>
  <c r="L191" i="70" s="1"/>
  <c r="M191" i="70" s="1"/>
  <c r="X192" i="70"/>
  <c r="V193" i="70" s="1"/>
  <c r="W193" i="70" s="1"/>
  <c r="A193" i="70"/>
  <c r="F192" i="70"/>
  <c r="G192" i="70" s="1"/>
  <c r="E193" i="70" s="1"/>
  <c r="J101" i="70"/>
  <c r="H102" i="70" s="1"/>
  <c r="D191" i="70"/>
  <c r="B192" i="70" s="1"/>
  <c r="C192" i="70" s="1"/>
  <c r="Q193" i="70" l="1"/>
  <c r="R193" i="70" s="1"/>
  <c r="S193" i="70" s="1"/>
  <c r="N193" i="70"/>
  <c r="O193" i="70" s="1"/>
  <c r="P193" i="70" s="1"/>
  <c r="K192" i="70"/>
  <c r="L192" i="70" s="1"/>
  <c r="M192" i="70" s="1"/>
  <c r="X193" i="70"/>
  <c r="V194" i="70" s="1"/>
  <c r="W194" i="70" s="1"/>
  <c r="A194" i="70"/>
  <c r="AC101" i="70"/>
  <c r="AD101" i="70" s="1"/>
  <c r="F193" i="70"/>
  <c r="G193" i="70" s="1"/>
  <c r="E194" i="70" s="1"/>
  <c r="I102" i="70"/>
  <c r="D192" i="70"/>
  <c r="B193" i="70" s="1"/>
  <c r="C193" i="70" s="1"/>
  <c r="Q194" i="70" l="1"/>
  <c r="R194" i="70" s="1"/>
  <c r="S194" i="70" s="1"/>
  <c r="N194" i="70"/>
  <c r="O194" i="70" s="1"/>
  <c r="P194" i="70" s="1"/>
  <c r="K193" i="70"/>
  <c r="L193" i="70" s="1"/>
  <c r="M193" i="70" s="1"/>
  <c r="X194" i="70"/>
  <c r="V195" i="70" s="1"/>
  <c r="W195" i="70" s="1"/>
  <c r="A195" i="70"/>
  <c r="F194" i="70"/>
  <c r="G194" i="70" s="1"/>
  <c r="E195" i="70" s="1"/>
  <c r="J102" i="70"/>
  <c r="H103" i="70" s="1"/>
  <c r="D193" i="70"/>
  <c r="B194" i="70" s="1"/>
  <c r="C194" i="70" s="1"/>
  <c r="Q195" i="70" l="1"/>
  <c r="R195" i="70" s="1"/>
  <c r="S195" i="70" s="1"/>
  <c r="N195" i="70"/>
  <c r="O195" i="70" s="1"/>
  <c r="P195" i="70" s="1"/>
  <c r="K194" i="70"/>
  <c r="L194" i="70" s="1"/>
  <c r="M194" i="70" s="1"/>
  <c r="AC102" i="70"/>
  <c r="AD102" i="70" s="1"/>
  <c r="A196" i="70"/>
  <c r="X195" i="70"/>
  <c r="V196" i="70" s="1"/>
  <c r="W196" i="70" s="1"/>
  <c r="F195" i="70"/>
  <c r="G195" i="70" s="1"/>
  <c r="E196" i="70" s="1"/>
  <c r="I103" i="70"/>
  <c r="D194" i="70"/>
  <c r="B195" i="70" s="1"/>
  <c r="C195" i="70" s="1"/>
  <c r="Q196" i="70" l="1"/>
  <c r="R196" i="70" s="1"/>
  <c r="S196" i="70" s="1"/>
  <c r="N196" i="70"/>
  <c r="O196" i="70" s="1"/>
  <c r="P196" i="70" s="1"/>
  <c r="K195" i="70"/>
  <c r="L195" i="70" s="1"/>
  <c r="M195" i="70" s="1"/>
  <c r="X196" i="70"/>
  <c r="V197" i="70" s="1"/>
  <c r="W197" i="70" s="1"/>
  <c r="A197" i="70"/>
  <c r="F196" i="70"/>
  <c r="G196" i="70" s="1"/>
  <c r="E197" i="70" s="1"/>
  <c r="J103" i="70"/>
  <c r="H104" i="70" s="1"/>
  <c r="D195" i="70"/>
  <c r="B196" i="70" s="1"/>
  <c r="C196" i="70" s="1"/>
  <c r="Q197" i="70" l="1"/>
  <c r="R197" i="70" s="1"/>
  <c r="S197" i="70" s="1"/>
  <c r="N197" i="70"/>
  <c r="O197" i="70" s="1"/>
  <c r="P197" i="70" s="1"/>
  <c r="K196" i="70"/>
  <c r="L196" i="70" s="1"/>
  <c r="M196" i="70" s="1"/>
  <c r="X197" i="70"/>
  <c r="V198" i="70" s="1"/>
  <c r="W198" i="70" s="1"/>
  <c r="AC103" i="70"/>
  <c r="AD103" i="70" s="1"/>
  <c r="A198" i="70"/>
  <c r="F197" i="70"/>
  <c r="G197" i="70" s="1"/>
  <c r="E198" i="70" s="1"/>
  <c r="I104" i="70"/>
  <c r="D196" i="70"/>
  <c r="B197" i="70" s="1"/>
  <c r="C197" i="70" s="1"/>
  <c r="Q198" i="70" l="1"/>
  <c r="R198" i="70" s="1"/>
  <c r="S198" i="70" s="1"/>
  <c r="N198" i="70"/>
  <c r="O198" i="70" s="1"/>
  <c r="P198" i="70" s="1"/>
  <c r="K197" i="70"/>
  <c r="L197" i="70" s="1"/>
  <c r="M197" i="70" s="1"/>
  <c r="A199" i="70"/>
  <c r="X198" i="70"/>
  <c r="V199" i="70" s="1"/>
  <c r="W199" i="70" s="1"/>
  <c r="F198" i="70"/>
  <c r="G198" i="70" s="1"/>
  <c r="E199" i="70" s="1"/>
  <c r="J104" i="70"/>
  <c r="H105" i="70" s="1"/>
  <c r="D197" i="70"/>
  <c r="B198" i="70" s="1"/>
  <c r="C198" i="70" s="1"/>
  <c r="Q199" i="70" l="1"/>
  <c r="R199" i="70" s="1"/>
  <c r="S199" i="70" s="1"/>
  <c r="N199" i="70"/>
  <c r="O199" i="70" s="1"/>
  <c r="P199" i="70" s="1"/>
  <c r="K198" i="70"/>
  <c r="L198" i="70" s="1"/>
  <c r="M198" i="70" s="1"/>
  <c r="X199" i="70"/>
  <c r="V200" i="70" s="1"/>
  <c r="W200" i="70" s="1"/>
  <c r="AC104" i="70"/>
  <c r="AD104" i="70" s="1"/>
  <c r="A200" i="70"/>
  <c r="F199" i="70"/>
  <c r="G199" i="70" s="1"/>
  <c r="E200" i="70" s="1"/>
  <c r="I105" i="70"/>
  <c r="D198" i="70"/>
  <c r="B199" i="70" s="1"/>
  <c r="C199" i="70" s="1"/>
  <c r="Q200" i="70" l="1"/>
  <c r="R200" i="70" s="1"/>
  <c r="S200" i="70" s="1"/>
  <c r="N200" i="70"/>
  <c r="O200" i="70" s="1"/>
  <c r="P200" i="70" s="1"/>
  <c r="K199" i="70"/>
  <c r="L199" i="70" s="1"/>
  <c r="M199" i="70" s="1"/>
  <c r="X200" i="70"/>
  <c r="V201" i="70" s="1"/>
  <c r="W201" i="70" s="1"/>
  <c r="A201" i="70"/>
  <c r="F200" i="70"/>
  <c r="G200" i="70" s="1"/>
  <c r="E201" i="70" s="1"/>
  <c r="J105" i="70"/>
  <c r="H106" i="70" s="1"/>
  <c r="D199" i="70"/>
  <c r="B200" i="70" s="1"/>
  <c r="C200" i="70" s="1"/>
  <c r="Q201" i="70" l="1"/>
  <c r="R201" i="70" s="1"/>
  <c r="S201" i="70" s="1"/>
  <c r="N201" i="70"/>
  <c r="O201" i="70" s="1"/>
  <c r="P201" i="70" s="1"/>
  <c r="K200" i="70"/>
  <c r="L200" i="70" s="1"/>
  <c r="M200" i="70" s="1"/>
  <c r="X201" i="70"/>
  <c r="V202" i="70" s="1"/>
  <c r="W202" i="70" s="1"/>
  <c r="AC105" i="70"/>
  <c r="AD105" i="70" s="1"/>
  <c r="A202" i="70"/>
  <c r="F201" i="70"/>
  <c r="G201" i="70" s="1"/>
  <c r="E202" i="70" s="1"/>
  <c r="I106" i="70"/>
  <c r="D200" i="70"/>
  <c r="B201" i="70" s="1"/>
  <c r="C201" i="70" s="1"/>
  <c r="Q202" i="70" l="1"/>
  <c r="R202" i="70" s="1"/>
  <c r="S202" i="70" s="1"/>
  <c r="N202" i="70"/>
  <c r="O202" i="70" s="1"/>
  <c r="P202" i="70" s="1"/>
  <c r="K201" i="70"/>
  <c r="L201" i="70" s="1"/>
  <c r="M201" i="70" s="1"/>
  <c r="X202" i="70"/>
  <c r="V203" i="70" s="1"/>
  <c r="W203" i="70" s="1"/>
  <c r="A203" i="70"/>
  <c r="F202" i="70"/>
  <c r="G202" i="70" s="1"/>
  <c r="E203" i="70" s="1"/>
  <c r="J106" i="70"/>
  <c r="H107" i="70" s="1"/>
  <c r="D201" i="70"/>
  <c r="B202" i="70" s="1"/>
  <c r="C202" i="70" s="1"/>
  <c r="Q203" i="70" l="1"/>
  <c r="R203" i="70" s="1"/>
  <c r="S203" i="70" s="1"/>
  <c r="N203" i="70"/>
  <c r="O203" i="70" s="1"/>
  <c r="P203" i="70" s="1"/>
  <c r="K202" i="70"/>
  <c r="L202" i="70" s="1"/>
  <c r="M202" i="70" s="1"/>
  <c r="X203" i="70"/>
  <c r="V204" i="70" s="1"/>
  <c r="W204" i="70" s="1"/>
  <c r="AC106" i="70"/>
  <c r="AD106" i="70" s="1"/>
  <c r="A204" i="70"/>
  <c r="F203" i="70"/>
  <c r="G203" i="70" s="1"/>
  <c r="E204" i="70" s="1"/>
  <c r="I107" i="70"/>
  <c r="D202" i="70"/>
  <c r="B203" i="70" s="1"/>
  <c r="C203" i="70" s="1"/>
  <c r="Q204" i="70" l="1"/>
  <c r="R204" i="70" s="1"/>
  <c r="S204" i="70" s="1"/>
  <c r="N204" i="70"/>
  <c r="O204" i="70" s="1"/>
  <c r="P204" i="70" s="1"/>
  <c r="K203" i="70"/>
  <c r="L203" i="70" s="1"/>
  <c r="M203" i="70" s="1"/>
  <c r="X204" i="70"/>
  <c r="V205" i="70" s="1"/>
  <c r="W205" i="70" s="1"/>
  <c r="A205" i="70"/>
  <c r="F204" i="70"/>
  <c r="G204" i="70" s="1"/>
  <c r="E205" i="70" s="1"/>
  <c r="J107" i="70"/>
  <c r="H108" i="70" s="1"/>
  <c r="D203" i="70"/>
  <c r="B204" i="70" s="1"/>
  <c r="C204" i="70" s="1"/>
  <c r="Q205" i="70" l="1"/>
  <c r="R205" i="70" s="1"/>
  <c r="S205" i="70" s="1"/>
  <c r="N205" i="70"/>
  <c r="O205" i="70" s="1"/>
  <c r="P205" i="70" s="1"/>
  <c r="K204" i="70"/>
  <c r="L204" i="70" s="1"/>
  <c r="M204" i="70" s="1"/>
  <c r="X205" i="70"/>
  <c r="V206" i="70" s="1"/>
  <c r="W206" i="70" s="1"/>
  <c r="AC107" i="70"/>
  <c r="AD107" i="70" s="1"/>
  <c r="A206" i="70"/>
  <c r="F205" i="70"/>
  <c r="G205" i="70" s="1"/>
  <c r="E206" i="70" s="1"/>
  <c r="I108" i="70"/>
  <c r="J108" i="70" s="1"/>
  <c r="H109" i="70" s="1"/>
  <c r="D204" i="70"/>
  <c r="B205" i="70" s="1"/>
  <c r="C205" i="70" s="1"/>
  <c r="Q206" i="70" l="1"/>
  <c r="R206" i="70" s="1"/>
  <c r="S206" i="70" s="1"/>
  <c r="N206" i="70"/>
  <c r="O206" i="70" s="1"/>
  <c r="P206" i="70" s="1"/>
  <c r="K205" i="70"/>
  <c r="L205" i="70" s="1"/>
  <c r="M205" i="70" s="1"/>
  <c r="X206" i="70"/>
  <c r="V207" i="70" s="1"/>
  <c r="W207" i="70" s="1"/>
  <c r="A207" i="70"/>
  <c r="AC108" i="70"/>
  <c r="AD108" i="70" s="1"/>
  <c r="F206" i="70"/>
  <c r="G206" i="70" s="1"/>
  <c r="E207" i="70" s="1"/>
  <c r="D205" i="70"/>
  <c r="B206" i="70" s="1"/>
  <c r="C206" i="70" s="1"/>
  <c r="Q207" i="70" l="1"/>
  <c r="R207" i="70" s="1"/>
  <c r="S207" i="70" s="1"/>
  <c r="N207" i="70"/>
  <c r="O207" i="70" s="1"/>
  <c r="P207" i="70" s="1"/>
  <c r="K206" i="70"/>
  <c r="L206" i="70" s="1"/>
  <c r="M206" i="70" s="1"/>
  <c r="X207" i="70"/>
  <c r="V208" i="70" s="1"/>
  <c r="W208" i="70" s="1"/>
  <c r="A208" i="70"/>
  <c r="F207" i="70"/>
  <c r="G207" i="70" s="1"/>
  <c r="E208" i="70" s="1"/>
  <c r="I109" i="70"/>
  <c r="D206" i="70"/>
  <c r="B207" i="70" s="1"/>
  <c r="C207" i="70" s="1"/>
  <c r="R117" i="14"/>
  <c r="Q208" i="70" l="1"/>
  <c r="R208" i="70" s="1"/>
  <c r="S208" i="70" s="1"/>
  <c r="N208" i="70"/>
  <c r="O208" i="70" s="1"/>
  <c r="P208" i="70" s="1"/>
  <c r="K207" i="70"/>
  <c r="L207" i="70" s="1"/>
  <c r="M207" i="70" s="1"/>
  <c r="X208" i="70"/>
  <c r="V209" i="70" s="1"/>
  <c r="W209" i="70" s="1"/>
  <c r="A209" i="70"/>
  <c r="F208" i="70"/>
  <c r="G208" i="70" s="1"/>
  <c r="E209" i="70" s="1"/>
  <c r="J109" i="70"/>
  <c r="H110" i="70" s="1"/>
  <c r="D207" i="70"/>
  <c r="B208" i="70" s="1"/>
  <c r="C208" i="70" s="1"/>
  <c r="AF26" i="5"/>
  <c r="Q209" i="70" l="1"/>
  <c r="R209" i="70" s="1"/>
  <c r="S209" i="70" s="1"/>
  <c r="N209" i="70"/>
  <c r="O209" i="70" s="1"/>
  <c r="P209" i="70" s="1"/>
  <c r="K208" i="70"/>
  <c r="L208" i="70" s="1"/>
  <c r="M208" i="70" s="1"/>
  <c r="X209" i="70"/>
  <c r="V210" i="70" s="1"/>
  <c r="W210" i="70" s="1"/>
  <c r="AC109" i="70"/>
  <c r="AD109" i="70" s="1"/>
  <c r="A210" i="70"/>
  <c r="F209" i="70"/>
  <c r="G209" i="70" s="1"/>
  <c r="E210" i="70" s="1"/>
  <c r="I110" i="70"/>
  <c r="D208" i="70"/>
  <c r="B209" i="70" s="1"/>
  <c r="C209" i="70" s="1"/>
  <c r="Y26" i="15"/>
  <c r="Y12" i="15"/>
  <c r="Y25" i="15"/>
  <c r="Y14" i="15"/>
  <c r="Y13" i="15"/>
  <c r="Y17" i="15"/>
  <c r="Y11" i="15"/>
  <c r="Y29" i="15"/>
  <c r="Y18" i="15"/>
  <c r="Y10" i="15"/>
  <c r="Y22" i="15"/>
  <c r="Y7" i="15"/>
  <c r="Y3" i="15"/>
  <c r="Y16" i="15"/>
  <c r="Y23" i="15"/>
  <c r="Y8" i="15"/>
  <c r="Y9" i="15"/>
  <c r="Y28" i="15"/>
  <c r="Y20" i="15"/>
  <c r="Y4" i="15"/>
  <c r="Y2" i="15"/>
  <c r="Y27" i="15"/>
  <c r="Y6" i="15"/>
  <c r="Y21" i="15"/>
  <c r="Y19" i="15"/>
  <c r="Y15" i="15"/>
  <c r="Y5" i="15"/>
  <c r="Y24" i="15"/>
  <c r="Q210" i="70" l="1"/>
  <c r="R210" i="70" s="1"/>
  <c r="S210" i="70" s="1"/>
  <c r="N210" i="70"/>
  <c r="O210" i="70" s="1"/>
  <c r="P210" i="70" s="1"/>
  <c r="K209" i="70"/>
  <c r="L209" i="70" s="1"/>
  <c r="M209" i="70" s="1"/>
  <c r="X210" i="70"/>
  <c r="V211" i="70" s="1"/>
  <c r="W211" i="70" s="1"/>
  <c r="A211" i="70"/>
  <c r="F210" i="70"/>
  <c r="G210" i="70" s="1"/>
  <c r="E211" i="70" s="1"/>
  <c r="J110" i="70"/>
  <c r="H111" i="70" s="1"/>
  <c r="D209" i="70"/>
  <c r="B210" i="70" s="1"/>
  <c r="C210" i="70" s="1"/>
  <c r="Q211" i="70" l="1"/>
  <c r="R211" i="70" s="1"/>
  <c r="S211" i="70" s="1"/>
  <c r="N211" i="70"/>
  <c r="O211" i="70" s="1"/>
  <c r="P211" i="70" s="1"/>
  <c r="K210" i="70"/>
  <c r="L210" i="70" s="1"/>
  <c r="M210" i="70" s="1"/>
  <c r="X211" i="70"/>
  <c r="V212" i="70" s="1"/>
  <c r="W212" i="70" s="1"/>
  <c r="AC110" i="70"/>
  <c r="AD110" i="70" s="1"/>
  <c r="A212" i="70"/>
  <c r="F211" i="70"/>
  <c r="G211" i="70" s="1"/>
  <c r="E212" i="70" s="1"/>
  <c r="I111" i="70"/>
  <c r="D210" i="70"/>
  <c r="B211" i="70" s="1"/>
  <c r="C211" i="70" s="1"/>
  <c r="Q212" i="70" l="1"/>
  <c r="R212" i="70" s="1"/>
  <c r="S212" i="70" s="1"/>
  <c r="N212" i="70"/>
  <c r="O212" i="70" s="1"/>
  <c r="P212" i="70" s="1"/>
  <c r="K211" i="70"/>
  <c r="L211" i="70" s="1"/>
  <c r="M211" i="70" s="1"/>
  <c r="X212" i="70"/>
  <c r="V213" i="70" s="1"/>
  <c r="W213" i="70" s="1"/>
  <c r="A213" i="70"/>
  <c r="F212" i="70"/>
  <c r="G212" i="70" s="1"/>
  <c r="E213" i="70" s="1"/>
  <c r="J111" i="70"/>
  <c r="H112" i="70" s="1"/>
  <c r="D211" i="70"/>
  <c r="B212" i="70" s="1"/>
  <c r="C212" i="70" s="1"/>
  <c r="Q213" i="70" l="1"/>
  <c r="R213" i="70" s="1"/>
  <c r="S213" i="70" s="1"/>
  <c r="N213" i="70"/>
  <c r="O213" i="70" s="1"/>
  <c r="P213" i="70" s="1"/>
  <c r="K212" i="70"/>
  <c r="L212" i="70" s="1"/>
  <c r="M212" i="70" s="1"/>
  <c r="X213" i="70"/>
  <c r="V214" i="70" s="1"/>
  <c r="W214" i="70" s="1"/>
  <c r="A214" i="70"/>
  <c r="AC111" i="70"/>
  <c r="AD111" i="70" s="1"/>
  <c r="F213" i="70"/>
  <c r="G213" i="70" s="1"/>
  <c r="E214" i="70" s="1"/>
  <c r="I112" i="70"/>
  <c r="D212" i="70"/>
  <c r="B213" i="70" s="1"/>
  <c r="C213" i="70" s="1"/>
  <c r="Q214" i="70" l="1"/>
  <c r="R214" i="70" s="1"/>
  <c r="S214" i="70" s="1"/>
  <c r="N214" i="70"/>
  <c r="O214" i="70" s="1"/>
  <c r="P214" i="70" s="1"/>
  <c r="K213" i="70"/>
  <c r="L213" i="70" s="1"/>
  <c r="M213" i="70" s="1"/>
  <c r="X214" i="70"/>
  <c r="V215" i="70" s="1"/>
  <c r="W215" i="70" s="1"/>
  <c r="A215" i="70"/>
  <c r="F214" i="70"/>
  <c r="G214" i="70" s="1"/>
  <c r="E215" i="70" s="1"/>
  <c r="J112" i="70"/>
  <c r="H113" i="70" s="1"/>
  <c r="D213" i="70"/>
  <c r="B214" i="70" s="1"/>
  <c r="C214" i="70" s="1"/>
  <c r="Q215" i="70" l="1"/>
  <c r="R215" i="70" s="1"/>
  <c r="S215" i="70" s="1"/>
  <c r="N215" i="70"/>
  <c r="O215" i="70" s="1"/>
  <c r="P215" i="70" s="1"/>
  <c r="K214" i="70"/>
  <c r="L214" i="70" s="1"/>
  <c r="M214" i="70" s="1"/>
  <c r="X215" i="70"/>
  <c r="V216" i="70" s="1"/>
  <c r="W216" i="70" s="1"/>
  <c r="A216" i="70"/>
  <c r="AC112" i="70"/>
  <c r="AD112" i="70" s="1"/>
  <c r="F215" i="70"/>
  <c r="G215" i="70" s="1"/>
  <c r="E216" i="70" s="1"/>
  <c r="I113" i="70"/>
  <c r="D214" i="70"/>
  <c r="B215" i="70" s="1"/>
  <c r="C215" i="70" s="1"/>
  <c r="Q216" i="70" l="1"/>
  <c r="R216" i="70" s="1"/>
  <c r="S216" i="70" s="1"/>
  <c r="N216" i="70"/>
  <c r="O216" i="70" s="1"/>
  <c r="P216" i="70" s="1"/>
  <c r="K215" i="70"/>
  <c r="L215" i="70" s="1"/>
  <c r="M215" i="70" s="1"/>
  <c r="X216" i="70"/>
  <c r="V217" i="70" s="1"/>
  <c r="W217" i="70" s="1"/>
  <c r="A217" i="70"/>
  <c r="F216" i="70"/>
  <c r="G216" i="70" s="1"/>
  <c r="E217" i="70" s="1"/>
  <c r="J113" i="70"/>
  <c r="H114" i="70" s="1"/>
  <c r="D215" i="70"/>
  <c r="B216" i="70" s="1"/>
  <c r="C216" i="70" s="1"/>
  <c r="Q217" i="70" l="1"/>
  <c r="R217" i="70" s="1"/>
  <c r="S217" i="70" s="1"/>
  <c r="N217" i="70"/>
  <c r="O217" i="70" s="1"/>
  <c r="P217" i="70" s="1"/>
  <c r="K216" i="70"/>
  <c r="L216" i="70" s="1"/>
  <c r="M216" i="70" s="1"/>
  <c r="X217" i="70"/>
  <c r="V218" i="70" s="1"/>
  <c r="W218" i="70" s="1"/>
  <c r="A218" i="70"/>
  <c r="AC113" i="70"/>
  <c r="AD113" i="70" s="1"/>
  <c r="F217" i="70"/>
  <c r="G217" i="70" s="1"/>
  <c r="E218" i="70" s="1"/>
  <c r="I114" i="70"/>
  <c r="D216" i="70"/>
  <c r="B217" i="70" s="1"/>
  <c r="C217" i="70" s="1"/>
  <c r="Q218" i="70" l="1"/>
  <c r="R218" i="70" s="1"/>
  <c r="S218" i="70" s="1"/>
  <c r="N218" i="70"/>
  <c r="O218" i="70" s="1"/>
  <c r="P218" i="70" s="1"/>
  <c r="K217" i="70"/>
  <c r="L217" i="70" s="1"/>
  <c r="M217" i="70" s="1"/>
  <c r="X218" i="70"/>
  <c r="V219" i="70" s="1"/>
  <c r="W219" i="70" s="1"/>
  <c r="A219" i="70"/>
  <c r="F218" i="70"/>
  <c r="G218" i="70" s="1"/>
  <c r="E219" i="70" s="1"/>
  <c r="J114" i="70"/>
  <c r="H115" i="70" s="1"/>
  <c r="D217" i="70"/>
  <c r="B218" i="70" s="1"/>
  <c r="C218" i="70" s="1"/>
  <c r="Q219" i="70" l="1"/>
  <c r="R219" i="70" s="1"/>
  <c r="S219" i="70" s="1"/>
  <c r="N219" i="70"/>
  <c r="O219" i="70" s="1"/>
  <c r="P219" i="70" s="1"/>
  <c r="K218" i="70"/>
  <c r="L218" i="70" s="1"/>
  <c r="M218" i="70" s="1"/>
  <c r="X219" i="70"/>
  <c r="V220" i="70" s="1"/>
  <c r="W220" i="70" s="1"/>
  <c r="A220" i="70"/>
  <c r="AC114" i="70"/>
  <c r="AD114" i="70" s="1"/>
  <c r="F219" i="70"/>
  <c r="G219" i="70" s="1"/>
  <c r="E220" i="70" s="1"/>
  <c r="I115" i="70"/>
  <c r="D218" i="70"/>
  <c r="B219" i="70" s="1"/>
  <c r="C219" i="70" s="1"/>
  <c r="Q220" i="70" l="1"/>
  <c r="R220" i="70" s="1"/>
  <c r="S220" i="70" s="1"/>
  <c r="N220" i="70"/>
  <c r="O220" i="70" s="1"/>
  <c r="P220" i="70" s="1"/>
  <c r="K219" i="70"/>
  <c r="L219" i="70" s="1"/>
  <c r="M219" i="70" s="1"/>
  <c r="X220" i="70"/>
  <c r="V221" i="70" s="1"/>
  <c r="W221" i="70" s="1"/>
  <c r="A221" i="70"/>
  <c r="F220" i="70"/>
  <c r="G220" i="70" s="1"/>
  <c r="E221" i="70" s="1"/>
  <c r="J115" i="70"/>
  <c r="H116" i="70" s="1"/>
  <c r="D219" i="70"/>
  <c r="B220" i="70" s="1"/>
  <c r="C220" i="70" s="1"/>
  <c r="Q221" i="70" l="1"/>
  <c r="R221" i="70" s="1"/>
  <c r="S221" i="70" s="1"/>
  <c r="N221" i="70"/>
  <c r="O221" i="70" s="1"/>
  <c r="P221" i="70" s="1"/>
  <c r="K220" i="70"/>
  <c r="L220" i="70" s="1"/>
  <c r="M220" i="70" s="1"/>
  <c r="X221" i="70"/>
  <c r="V222" i="70" s="1"/>
  <c r="W222" i="70" s="1"/>
  <c r="A222" i="70"/>
  <c r="AC115" i="70"/>
  <c r="AD115" i="70" s="1"/>
  <c r="F221" i="70"/>
  <c r="G221" i="70" s="1"/>
  <c r="E222" i="70" s="1"/>
  <c r="I116" i="70"/>
  <c r="D220" i="70"/>
  <c r="B221" i="70" s="1"/>
  <c r="C221" i="70" s="1"/>
  <c r="Q222" i="70" l="1"/>
  <c r="R222" i="70" s="1"/>
  <c r="S222" i="70" s="1"/>
  <c r="N222" i="70"/>
  <c r="O222" i="70" s="1"/>
  <c r="P222" i="70" s="1"/>
  <c r="K221" i="70"/>
  <c r="L221" i="70" s="1"/>
  <c r="M221" i="70" s="1"/>
  <c r="X222" i="70"/>
  <c r="V223" i="70" s="1"/>
  <c r="W223" i="70" s="1"/>
  <c r="A223" i="70"/>
  <c r="F222" i="70"/>
  <c r="G222" i="70" s="1"/>
  <c r="E223" i="70" s="1"/>
  <c r="J116" i="70"/>
  <c r="H117" i="70" s="1"/>
  <c r="D221" i="70"/>
  <c r="B222" i="70" s="1"/>
  <c r="C222" i="70" s="1"/>
  <c r="Q223" i="70" l="1"/>
  <c r="R223" i="70" s="1"/>
  <c r="S223" i="70" s="1"/>
  <c r="N223" i="70"/>
  <c r="O223" i="70" s="1"/>
  <c r="P223" i="70" s="1"/>
  <c r="K222" i="70"/>
  <c r="L222" i="70" s="1"/>
  <c r="M222" i="70" s="1"/>
  <c r="X223" i="70"/>
  <c r="V224" i="70" s="1"/>
  <c r="W224" i="70" s="1"/>
  <c r="AC116" i="70"/>
  <c r="AD116" i="70" s="1"/>
  <c r="A224" i="70"/>
  <c r="F223" i="70"/>
  <c r="G223" i="70" s="1"/>
  <c r="E224" i="70" s="1"/>
  <c r="I117" i="70"/>
  <c r="D222" i="70"/>
  <c r="B223" i="70" s="1"/>
  <c r="C223" i="70" s="1"/>
  <c r="Q224" i="70" l="1"/>
  <c r="R224" i="70" s="1"/>
  <c r="S224" i="70" s="1"/>
  <c r="N224" i="70"/>
  <c r="O224" i="70" s="1"/>
  <c r="P224" i="70" s="1"/>
  <c r="K223" i="70"/>
  <c r="L223" i="70" s="1"/>
  <c r="M223" i="70" s="1"/>
  <c r="X224" i="70"/>
  <c r="V225" i="70" s="1"/>
  <c r="W225" i="70" s="1"/>
  <c r="A225" i="70"/>
  <c r="F224" i="70"/>
  <c r="G224" i="70" s="1"/>
  <c r="E225" i="70" s="1"/>
  <c r="J117" i="70"/>
  <c r="H118" i="70" s="1"/>
  <c r="D223" i="70"/>
  <c r="B224" i="70" s="1"/>
  <c r="C224" i="70" s="1"/>
  <c r="Q225" i="70" l="1"/>
  <c r="R225" i="70" s="1"/>
  <c r="S225" i="70" s="1"/>
  <c r="N225" i="70"/>
  <c r="O225" i="70" s="1"/>
  <c r="P225" i="70" s="1"/>
  <c r="K224" i="70"/>
  <c r="L224" i="70" s="1"/>
  <c r="M224" i="70" s="1"/>
  <c r="X225" i="70"/>
  <c r="V226" i="70" s="1"/>
  <c r="W226" i="70" s="1"/>
  <c r="AC117" i="70"/>
  <c r="AD117" i="70" s="1"/>
  <c r="A226" i="70"/>
  <c r="F225" i="70"/>
  <c r="G225" i="70" s="1"/>
  <c r="E226" i="70" s="1"/>
  <c r="I118" i="70"/>
  <c r="D224" i="70"/>
  <c r="B225" i="70" s="1"/>
  <c r="C225" i="70" s="1"/>
  <c r="Q226" i="70" l="1"/>
  <c r="R226" i="70" s="1"/>
  <c r="S226" i="70" s="1"/>
  <c r="N226" i="70"/>
  <c r="O226" i="70" s="1"/>
  <c r="P226" i="70" s="1"/>
  <c r="K225" i="70"/>
  <c r="L225" i="70" s="1"/>
  <c r="M225" i="70" s="1"/>
  <c r="X226" i="70"/>
  <c r="V227" i="70" s="1"/>
  <c r="W227" i="70" s="1"/>
  <c r="A227" i="70"/>
  <c r="F226" i="70"/>
  <c r="G226" i="70" s="1"/>
  <c r="E227" i="70" s="1"/>
  <c r="J118" i="70"/>
  <c r="H119" i="70" s="1"/>
  <c r="D225" i="70"/>
  <c r="B226" i="70" s="1"/>
  <c r="C226" i="70" s="1"/>
  <c r="Q227" i="70" l="1"/>
  <c r="R227" i="70" s="1"/>
  <c r="S227" i="70" s="1"/>
  <c r="N227" i="70"/>
  <c r="O227" i="70" s="1"/>
  <c r="P227" i="70" s="1"/>
  <c r="K226" i="70"/>
  <c r="L226" i="70" s="1"/>
  <c r="M226" i="70" s="1"/>
  <c r="X227" i="70"/>
  <c r="V228" i="70" s="1"/>
  <c r="W228" i="70" s="1"/>
  <c r="A228" i="70"/>
  <c r="AC118" i="70"/>
  <c r="AD118" i="70" s="1"/>
  <c r="F227" i="70"/>
  <c r="G227" i="70" s="1"/>
  <c r="E228" i="70" s="1"/>
  <c r="I119" i="70"/>
  <c r="D226" i="70"/>
  <c r="B227" i="70" s="1"/>
  <c r="C227" i="70" s="1"/>
  <c r="Q228" i="70" l="1"/>
  <c r="R228" i="70" s="1"/>
  <c r="S228" i="70" s="1"/>
  <c r="N228" i="70"/>
  <c r="O228" i="70" s="1"/>
  <c r="P228" i="70" s="1"/>
  <c r="K227" i="70"/>
  <c r="L227" i="70" s="1"/>
  <c r="M227" i="70" s="1"/>
  <c r="X228" i="70"/>
  <c r="V229" i="70" s="1"/>
  <c r="W229" i="70" s="1"/>
  <c r="A229" i="70"/>
  <c r="F228" i="70"/>
  <c r="G228" i="70" s="1"/>
  <c r="E229" i="70" s="1"/>
  <c r="J119" i="70"/>
  <c r="H120" i="70" s="1"/>
  <c r="D227" i="70"/>
  <c r="B228" i="70" s="1"/>
  <c r="C228" i="70" s="1"/>
  <c r="Q229" i="70" l="1"/>
  <c r="R229" i="70" s="1"/>
  <c r="S229" i="70" s="1"/>
  <c r="N229" i="70"/>
  <c r="O229" i="70" s="1"/>
  <c r="P229" i="70" s="1"/>
  <c r="K228" i="70"/>
  <c r="L228" i="70" s="1"/>
  <c r="M228" i="70" s="1"/>
  <c r="X229" i="70"/>
  <c r="V230" i="70" s="1"/>
  <c r="W230" i="70" s="1"/>
  <c r="AC119" i="70"/>
  <c r="AD119" i="70" s="1"/>
  <c r="A230" i="70"/>
  <c r="F229" i="70"/>
  <c r="G229" i="70" s="1"/>
  <c r="E230" i="70" s="1"/>
  <c r="I120" i="70"/>
  <c r="D228" i="70"/>
  <c r="B229" i="70" s="1"/>
  <c r="C229" i="70" s="1"/>
  <c r="Q230" i="70" l="1"/>
  <c r="R230" i="70" s="1"/>
  <c r="S230" i="70" s="1"/>
  <c r="N230" i="70"/>
  <c r="O230" i="70" s="1"/>
  <c r="P230" i="70" s="1"/>
  <c r="K229" i="70"/>
  <c r="L229" i="70" s="1"/>
  <c r="M229" i="70" s="1"/>
  <c r="X230" i="70"/>
  <c r="V231" i="70" s="1"/>
  <c r="W231" i="70" s="1"/>
  <c r="A231" i="70"/>
  <c r="F230" i="70"/>
  <c r="G230" i="70" s="1"/>
  <c r="E231" i="70" s="1"/>
  <c r="J120" i="70"/>
  <c r="H121" i="70" s="1"/>
  <c r="D229" i="70"/>
  <c r="B230" i="70" s="1"/>
  <c r="C230" i="70" s="1"/>
  <c r="Q231" i="70" l="1"/>
  <c r="R231" i="70" s="1"/>
  <c r="S231" i="70" s="1"/>
  <c r="N231" i="70"/>
  <c r="O231" i="70" s="1"/>
  <c r="P231" i="70" s="1"/>
  <c r="K230" i="70"/>
  <c r="L230" i="70" s="1"/>
  <c r="M230" i="70" s="1"/>
  <c r="X231" i="70"/>
  <c r="V232" i="70" s="1"/>
  <c r="W232" i="70" s="1"/>
  <c r="A232" i="70"/>
  <c r="AC120" i="70"/>
  <c r="AD120" i="70" s="1"/>
  <c r="F231" i="70"/>
  <c r="G231" i="70" s="1"/>
  <c r="E232" i="70" s="1"/>
  <c r="I121" i="70"/>
  <c r="D230" i="70"/>
  <c r="B231" i="70" s="1"/>
  <c r="C231" i="70" s="1"/>
  <c r="Q232" i="70" l="1"/>
  <c r="R232" i="70" s="1"/>
  <c r="S232" i="70" s="1"/>
  <c r="N232" i="70"/>
  <c r="O232" i="70" s="1"/>
  <c r="P232" i="70" s="1"/>
  <c r="K231" i="70"/>
  <c r="L231" i="70" s="1"/>
  <c r="M231" i="70" s="1"/>
  <c r="X232" i="70"/>
  <c r="V233" i="70" s="1"/>
  <c r="W233" i="70" s="1"/>
  <c r="A233" i="70"/>
  <c r="F232" i="70"/>
  <c r="G232" i="70" s="1"/>
  <c r="E233" i="70" s="1"/>
  <c r="J121" i="70"/>
  <c r="H122" i="70" s="1"/>
  <c r="D231" i="70"/>
  <c r="B232" i="70" s="1"/>
  <c r="C232" i="70" s="1"/>
  <c r="Q233" i="70" l="1"/>
  <c r="R233" i="70" s="1"/>
  <c r="S233" i="70" s="1"/>
  <c r="N233" i="70"/>
  <c r="O233" i="70" s="1"/>
  <c r="P233" i="70" s="1"/>
  <c r="K232" i="70"/>
  <c r="L232" i="70" s="1"/>
  <c r="M232" i="70" s="1"/>
  <c r="X233" i="70"/>
  <c r="V234" i="70" s="1"/>
  <c r="W234" i="70" s="1"/>
  <c r="A234" i="70"/>
  <c r="AC121" i="70"/>
  <c r="AD121" i="70" s="1"/>
  <c r="F233" i="70"/>
  <c r="G233" i="70" s="1"/>
  <c r="E234" i="70" s="1"/>
  <c r="I122" i="70"/>
  <c r="D232" i="70"/>
  <c r="B233" i="70" s="1"/>
  <c r="C233" i="70" s="1"/>
  <c r="Q234" i="70" l="1"/>
  <c r="R234" i="70" s="1"/>
  <c r="S234" i="70" s="1"/>
  <c r="N234" i="70"/>
  <c r="O234" i="70" s="1"/>
  <c r="P234" i="70" s="1"/>
  <c r="K233" i="70"/>
  <c r="L233" i="70" s="1"/>
  <c r="M233" i="70" s="1"/>
  <c r="X234" i="70"/>
  <c r="V235" i="70" s="1"/>
  <c r="W235" i="70" s="1"/>
  <c r="A235" i="70"/>
  <c r="F234" i="70"/>
  <c r="G234" i="70" s="1"/>
  <c r="E235" i="70" s="1"/>
  <c r="J122" i="70"/>
  <c r="H123" i="70" s="1"/>
  <c r="D233" i="70"/>
  <c r="B234" i="70" s="1"/>
  <c r="C234" i="70" s="1"/>
  <c r="Q235" i="70" l="1"/>
  <c r="R235" i="70" s="1"/>
  <c r="S235" i="70" s="1"/>
  <c r="N235" i="70"/>
  <c r="O235" i="70" s="1"/>
  <c r="P235" i="70" s="1"/>
  <c r="K234" i="70"/>
  <c r="L234" i="70" s="1"/>
  <c r="M234" i="70" s="1"/>
  <c r="X235" i="70"/>
  <c r="V236" i="70" s="1"/>
  <c r="W236" i="70" s="1"/>
  <c r="AC122" i="70"/>
  <c r="AD122" i="70" s="1"/>
  <c r="A236" i="70"/>
  <c r="F235" i="70"/>
  <c r="G235" i="70" s="1"/>
  <c r="E236" i="70" s="1"/>
  <c r="I123" i="70"/>
  <c r="D234" i="70"/>
  <c r="B235" i="70" s="1"/>
  <c r="C235" i="70" s="1"/>
  <c r="Q236" i="70" l="1"/>
  <c r="R236" i="70" s="1"/>
  <c r="S236" i="70" s="1"/>
  <c r="N236" i="70"/>
  <c r="O236" i="70" s="1"/>
  <c r="P236" i="70" s="1"/>
  <c r="K235" i="70"/>
  <c r="L235" i="70" s="1"/>
  <c r="M235" i="70" s="1"/>
  <c r="X236" i="70"/>
  <c r="V237" i="70" s="1"/>
  <c r="W237" i="70" s="1"/>
  <c r="A237" i="70"/>
  <c r="F236" i="70"/>
  <c r="G236" i="70" s="1"/>
  <c r="E237" i="70" s="1"/>
  <c r="J123" i="70"/>
  <c r="H124" i="70" s="1"/>
  <c r="D235" i="70"/>
  <c r="B236" i="70" s="1"/>
  <c r="C236" i="70" s="1"/>
  <c r="Q237" i="70" l="1"/>
  <c r="R237" i="70" s="1"/>
  <c r="S237" i="70" s="1"/>
  <c r="N237" i="70"/>
  <c r="O237" i="70" s="1"/>
  <c r="P237" i="70" s="1"/>
  <c r="K236" i="70"/>
  <c r="L236" i="70" s="1"/>
  <c r="M236" i="70" s="1"/>
  <c r="X237" i="70"/>
  <c r="V238" i="70" s="1"/>
  <c r="W238" i="70" s="1"/>
  <c r="A238" i="70"/>
  <c r="F237" i="70"/>
  <c r="G237" i="70" s="1"/>
  <c r="E238" i="70" s="1"/>
  <c r="I124" i="70"/>
  <c r="D236" i="70"/>
  <c r="B237" i="70" s="1"/>
  <c r="C237" i="70" s="1"/>
  <c r="Q238" i="70" l="1"/>
  <c r="R238" i="70" s="1"/>
  <c r="S238" i="70" s="1"/>
  <c r="N238" i="70"/>
  <c r="O238" i="70" s="1"/>
  <c r="P238" i="70" s="1"/>
  <c r="K237" i="70"/>
  <c r="L237" i="70" s="1"/>
  <c r="M237" i="70" s="1"/>
  <c r="X238" i="70"/>
  <c r="V239" i="70" s="1"/>
  <c r="W239" i="70" s="1"/>
  <c r="A239" i="70"/>
  <c r="F238" i="70"/>
  <c r="G238" i="70" s="1"/>
  <c r="E239" i="70" s="1"/>
  <c r="J124" i="70"/>
  <c r="H125" i="70" s="1"/>
  <c r="D237" i="70"/>
  <c r="B238" i="70" s="1"/>
  <c r="C238" i="70" s="1"/>
  <c r="Q239" i="70" l="1"/>
  <c r="R239" i="70" s="1"/>
  <c r="S239" i="70" s="1"/>
  <c r="N239" i="70"/>
  <c r="O239" i="70" s="1"/>
  <c r="P239" i="70" s="1"/>
  <c r="K238" i="70"/>
  <c r="L238" i="70" s="1"/>
  <c r="M238" i="70" s="1"/>
  <c r="X239" i="70"/>
  <c r="V240" i="70" s="1"/>
  <c r="W240" i="70" s="1"/>
  <c r="A240" i="70"/>
  <c r="F239" i="70"/>
  <c r="G239" i="70" s="1"/>
  <c r="E240" i="70" s="1"/>
  <c r="I125" i="70"/>
  <c r="D238" i="70"/>
  <c r="B239" i="70" s="1"/>
  <c r="C239" i="70" s="1"/>
  <c r="Q240" i="70" l="1"/>
  <c r="R240" i="70" s="1"/>
  <c r="S240" i="70" s="1"/>
  <c r="N240" i="70"/>
  <c r="O240" i="70" s="1"/>
  <c r="P240" i="70" s="1"/>
  <c r="K239" i="70"/>
  <c r="L239" i="70" s="1"/>
  <c r="M239" i="70" s="1"/>
  <c r="X240" i="70"/>
  <c r="V241" i="70" s="1"/>
  <c r="W241" i="70" s="1"/>
  <c r="A241" i="70"/>
  <c r="F240" i="70"/>
  <c r="G240" i="70" s="1"/>
  <c r="E241" i="70" s="1"/>
  <c r="J125" i="70"/>
  <c r="H126" i="70" s="1"/>
  <c r="D239" i="70"/>
  <c r="B240" i="70" s="1"/>
  <c r="C240" i="70" s="1"/>
  <c r="Q241" i="70" l="1"/>
  <c r="R241" i="70" s="1"/>
  <c r="S241" i="70" s="1"/>
  <c r="N241" i="70"/>
  <c r="O241" i="70" s="1"/>
  <c r="P241" i="70" s="1"/>
  <c r="K240" i="70"/>
  <c r="L240" i="70" s="1"/>
  <c r="M240" i="70" s="1"/>
  <c r="X241" i="70"/>
  <c r="V242" i="70" s="1"/>
  <c r="W242" i="70" s="1"/>
  <c r="A242" i="70"/>
  <c r="F241" i="70"/>
  <c r="G241" i="70" s="1"/>
  <c r="E242" i="70" s="1"/>
  <c r="I126" i="70"/>
  <c r="D240" i="70"/>
  <c r="B241" i="70" s="1"/>
  <c r="C241" i="70" s="1"/>
  <c r="Q242" i="70" l="1"/>
  <c r="R242" i="70" s="1"/>
  <c r="S242" i="70" s="1"/>
  <c r="N242" i="70"/>
  <c r="O242" i="70" s="1"/>
  <c r="P242" i="70" s="1"/>
  <c r="K241" i="70"/>
  <c r="L241" i="70" s="1"/>
  <c r="M241" i="70" s="1"/>
  <c r="X242" i="70"/>
  <c r="V243" i="70" s="1"/>
  <c r="W243" i="70" s="1"/>
  <c r="A243" i="70"/>
  <c r="F242" i="70"/>
  <c r="G242" i="70" s="1"/>
  <c r="E243" i="70" s="1"/>
  <c r="J126" i="70"/>
  <c r="H127" i="70" s="1"/>
  <c r="D241" i="70"/>
  <c r="B242" i="70" s="1"/>
  <c r="C242" i="70" s="1"/>
  <c r="Q243" i="70" l="1"/>
  <c r="R243" i="70" s="1"/>
  <c r="S243" i="70" s="1"/>
  <c r="N243" i="70"/>
  <c r="O243" i="70" s="1"/>
  <c r="P243" i="70" s="1"/>
  <c r="K242" i="70"/>
  <c r="L242" i="70" s="1"/>
  <c r="M242" i="70" s="1"/>
  <c r="X243" i="70"/>
  <c r="V244" i="70" s="1"/>
  <c r="W244" i="70" s="1"/>
  <c r="A244" i="70"/>
  <c r="F243" i="70"/>
  <c r="G243" i="70" s="1"/>
  <c r="E244" i="70" s="1"/>
  <c r="I127" i="70"/>
  <c r="D242" i="70"/>
  <c r="B243" i="70" s="1"/>
  <c r="C243" i="70" s="1"/>
  <c r="Q244" i="70" l="1"/>
  <c r="R244" i="70" s="1"/>
  <c r="S244" i="70" s="1"/>
  <c r="N244" i="70"/>
  <c r="O244" i="70" s="1"/>
  <c r="P244" i="70" s="1"/>
  <c r="K243" i="70"/>
  <c r="L243" i="70" s="1"/>
  <c r="M243" i="70" s="1"/>
  <c r="X244" i="70"/>
  <c r="V245" i="70" s="1"/>
  <c r="W245" i="70" s="1"/>
  <c r="A245" i="70"/>
  <c r="F244" i="70"/>
  <c r="G244" i="70" s="1"/>
  <c r="E245" i="70" s="1"/>
  <c r="J127" i="70"/>
  <c r="H128" i="70" s="1"/>
  <c r="D243" i="70"/>
  <c r="B244" i="70" s="1"/>
  <c r="C244" i="70" s="1"/>
  <c r="Q245" i="70" l="1"/>
  <c r="R245" i="70" s="1"/>
  <c r="S245" i="70" s="1"/>
  <c r="N245" i="70"/>
  <c r="O245" i="70" s="1"/>
  <c r="P245" i="70" s="1"/>
  <c r="K244" i="70"/>
  <c r="L244" i="70" s="1"/>
  <c r="M244" i="70" s="1"/>
  <c r="X245" i="70"/>
  <c r="V246" i="70" s="1"/>
  <c r="W246" i="70" s="1"/>
  <c r="A246" i="70"/>
  <c r="F245" i="70"/>
  <c r="G245" i="70" s="1"/>
  <c r="E246" i="70" s="1"/>
  <c r="I128" i="70"/>
  <c r="D244" i="70"/>
  <c r="B245" i="70" s="1"/>
  <c r="C245" i="70" s="1"/>
  <c r="Q246" i="70" l="1"/>
  <c r="R246" i="70" s="1"/>
  <c r="S246" i="70" s="1"/>
  <c r="N246" i="70"/>
  <c r="O246" i="70" s="1"/>
  <c r="P246" i="70" s="1"/>
  <c r="K245" i="70"/>
  <c r="L245" i="70" s="1"/>
  <c r="M245" i="70" s="1"/>
  <c r="X246" i="70"/>
  <c r="V247" i="70" s="1"/>
  <c r="W247" i="70" s="1"/>
  <c r="A247" i="70"/>
  <c r="F246" i="70"/>
  <c r="G246" i="70" s="1"/>
  <c r="E247" i="70" s="1"/>
  <c r="J128" i="70"/>
  <c r="H129" i="70" s="1"/>
  <c r="D245" i="70"/>
  <c r="B246" i="70" s="1"/>
  <c r="C246" i="70" s="1"/>
  <c r="Q247" i="70" l="1"/>
  <c r="R247" i="70" s="1"/>
  <c r="S247" i="70" s="1"/>
  <c r="N247" i="70"/>
  <c r="O247" i="70" s="1"/>
  <c r="P247" i="70" s="1"/>
  <c r="K246" i="70"/>
  <c r="L246" i="70" s="1"/>
  <c r="M246" i="70" s="1"/>
  <c r="X247" i="70"/>
  <c r="V248" i="70" s="1"/>
  <c r="W248" i="70" s="1"/>
  <c r="A248" i="70"/>
  <c r="F247" i="70"/>
  <c r="G247" i="70" s="1"/>
  <c r="E248" i="70" s="1"/>
  <c r="I129" i="70"/>
  <c r="D246" i="70"/>
  <c r="B247" i="70" s="1"/>
  <c r="C247" i="70" s="1"/>
  <c r="Q248" i="70" l="1"/>
  <c r="R248" i="70" s="1"/>
  <c r="S248" i="70" s="1"/>
  <c r="N248" i="70"/>
  <c r="O248" i="70" s="1"/>
  <c r="P248" i="70" s="1"/>
  <c r="K247" i="70"/>
  <c r="L247" i="70" s="1"/>
  <c r="M247" i="70" s="1"/>
  <c r="X248" i="70"/>
  <c r="V249" i="70" s="1"/>
  <c r="W249" i="70" s="1"/>
  <c r="A249" i="70"/>
  <c r="F248" i="70"/>
  <c r="G248" i="70" s="1"/>
  <c r="E249" i="70" s="1"/>
  <c r="J129" i="70"/>
  <c r="H130" i="70" s="1"/>
  <c r="D247" i="70"/>
  <c r="B248" i="70" s="1"/>
  <c r="C248" i="70" s="1"/>
  <c r="Q249" i="70" l="1"/>
  <c r="R249" i="70" s="1"/>
  <c r="S249" i="70" s="1"/>
  <c r="N249" i="70"/>
  <c r="O249" i="70" s="1"/>
  <c r="P249" i="70" s="1"/>
  <c r="K248" i="70"/>
  <c r="L248" i="70" s="1"/>
  <c r="M248" i="70" s="1"/>
  <c r="X249" i="70"/>
  <c r="V250" i="70" s="1"/>
  <c r="W250" i="70" s="1"/>
  <c r="A250" i="70"/>
  <c r="F249" i="70"/>
  <c r="G249" i="70" s="1"/>
  <c r="E250" i="70" s="1"/>
  <c r="I130" i="70"/>
  <c r="D248" i="70"/>
  <c r="B249" i="70" s="1"/>
  <c r="C249" i="70" s="1"/>
  <c r="Q250" i="70" l="1"/>
  <c r="R250" i="70" s="1"/>
  <c r="S250" i="70" s="1"/>
  <c r="N250" i="70"/>
  <c r="O250" i="70" s="1"/>
  <c r="P250" i="70" s="1"/>
  <c r="K249" i="70"/>
  <c r="L249" i="70" s="1"/>
  <c r="M249" i="70" s="1"/>
  <c r="A251" i="70"/>
  <c r="X250" i="70"/>
  <c r="V251" i="70" s="1"/>
  <c r="W251" i="70" s="1"/>
  <c r="F250" i="70"/>
  <c r="G250" i="70" s="1"/>
  <c r="E251" i="70" s="1"/>
  <c r="J130" i="70"/>
  <c r="H131" i="70" s="1"/>
  <c r="D249" i="70"/>
  <c r="B250" i="70" s="1"/>
  <c r="C250" i="70" s="1"/>
  <c r="Q251" i="70" l="1"/>
  <c r="R251" i="70" s="1"/>
  <c r="S251" i="70" s="1"/>
  <c r="N251" i="70"/>
  <c r="O251" i="70" s="1"/>
  <c r="P251" i="70" s="1"/>
  <c r="K250" i="70"/>
  <c r="L250" i="70" s="1"/>
  <c r="M250" i="70" s="1"/>
  <c r="X251" i="70"/>
  <c r="V252" i="70" s="1"/>
  <c r="W252" i="70" s="1"/>
  <c r="A252" i="70"/>
  <c r="F251" i="70"/>
  <c r="G251" i="70" s="1"/>
  <c r="E252" i="70" s="1"/>
  <c r="I131" i="70"/>
  <c r="D250" i="70"/>
  <c r="B251" i="70" s="1"/>
  <c r="C251" i="70" s="1"/>
  <c r="Q252" i="70" l="1"/>
  <c r="R252" i="70" s="1"/>
  <c r="S252" i="70" s="1"/>
  <c r="N252" i="70"/>
  <c r="O252" i="70" s="1"/>
  <c r="P252" i="70" s="1"/>
  <c r="K251" i="70"/>
  <c r="L251" i="70" s="1"/>
  <c r="M251" i="70" s="1"/>
  <c r="A253" i="70"/>
  <c r="X252" i="70"/>
  <c r="V253" i="70" s="1"/>
  <c r="W253" i="70" s="1"/>
  <c r="F252" i="70"/>
  <c r="G252" i="70" s="1"/>
  <c r="E253" i="70" s="1"/>
  <c r="J131" i="70"/>
  <c r="H132" i="70" s="1"/>
  <c r="D251" i="70"/>
  <c r="B252" i="70" s="1"/>
  <c r="C252" i="70" s="1"/>
  <c r="Q253" i="70" l="1"/>
  <c r="R253" i="70" s="1"/>
  <c r="S253" i="70" s="1"/>
  <c r="N253" i="70"/>
  <c r="O253" i="70" s="1"/>
  <c r="P253" i="70" s="1"/>
  <c r="K252" i="70"/>
  <c r="L252" i="70" s="1"/>
  <c r="M252" i="70" s="1"/>
  <c r="X253" i="70"/>
  <c r="V254" i="70" s="1"/>
  <c r="W254" i="70" s="1"/>
  <c r="A254" i="70"/>
  <c r="F253" i="70"/>
  <c r="G253" i="70" s="1"/>
  <c r="E254" i="70" s="1"/>
  <c r="I132" i="70"/>
  <c r="D252" i="70"/>
  <c r="B253" i="70" s="1"/>
  <c r="C253" i="70" s="1"/>
  <c r="Q254" i="70" l="1"/>
  <c r="R254" i="70" s="1"/>
  <c r="S254" i="70" s="1"/>
  <c r="N254" i="70"/>
  <c r="O254" i="70" s="1"/>
  <c r="P254" i="70" s="1"/>
  <c r="K253" i="70"/>
  <c r="L253" i="70" s="1"/>
  <c r="M253" i="70" s="1"/>
  <c r="X254" i="70"/>
  <c r="V255" i="70" s="1"/>
  <c r="W255" i="70" s="1"/>
  <c r="A255" i="70"/>
  <c r="F254" i="70"/>
  <c r="G254" i="70" s="1"/>
  <c r="E255" i="70" s="1"/>
  <c r="J132" i="70"/>
  <c r="H133" i="70" s="1"/>
  <c r="D253" i="70"/>
  <c r="B254" i="70" s="1"/>
  <c r="C254" i="70" s="1"/>
  <c r="Q255" i="70" l="1"/>
  <c r="R255" i="70" s="1"/>
  <c r="S255" i="70" s="1"/>
  <c r="N255" i="70"/>
  <c r="O255" i="70" s="1"/>
  <c r="P255" i="70" s="1"/>
  <c r="K254" i="70"/>
  <c r="L254" i="70" s="1"/>
  <c r="M254" i="70" s="1"/>
  <c r="X255" i="70"/>
  <c r="V256" i="70" s="1"/>
  <c r="W256" i="70" s="1"/>
  <c r="A256" i="70"/>
  <c r="F255" i="70"/>
  <c r="G255" i="70" s="1"/>
  <c r="E256" i="70" s="1"/>
  <c r="I133" i="70"/>
  <c r="D254" i="70"/>
  <c r="B255" i="70" s="1"/>
  <c r="C255" i="70" s="1"/>
  <c r="Q256" i="70" l="1"/>
  <c r="R256" i="70" s="1"/>
  <c r="S256" i="70" s="1"/>
  <c r="N256" i="70"/>
  <c r="O256" i="70" s="1"/>
  <c r="P256" i="70" s="1"/>
  <c r="K255" i="70"/>
  <c r="L255" i="70" s="1"/>
  <c r="M255" i="70" s="1"/>
  <c r="X256" i="70"/>
  <c r="V257" i="70" s="1"/>
  <c r="W257" i="70" s="1"/>
  <c r="A257" i="70"/>
  <c r="F256" i="70"/>
  <c r="G256" i="70" s="1"/>
  <c r="E257" i="70" s="1"/>
  <c r="J133" i="70"/>
  <c r="H134" i="70" s="1"/>
  <c r="D255" i="70"/>
  <c r="B256" i="70" s="1"/>
  <c r="C256" i="70" s="1"/>
  <c r="Q257" i="70" l="1"/>
  <c r="R257" i="70" s="1"/>
  <c r="S257" i="70" s="1"/>
  <c r="N257" i="70"/>
  <c r="O257" i="70" s="1"/>
  <c r="P257" i="70" s="1"/>
  <c r="K256" i="70"/>
  <c r="L256" i="70" s="1"/>
  <c r="M256" i="70" s="1"/>
  <c r="X257" i="70"/>
  <c r="V258" i="70" s="1"/>
  <c r="W258" i="70" s="1"/>
  <c r="A258" i="70"/>
  <c r="F257" i="70"/>
  <c r="G257" i="70" s="1"/>
  <c r="E258" i="70" s="1"/>
  <c r="I134" i="70"/>
  <c r="D256" i="70"/>
  <c r="B257" i="70" s="1"/>
  <c r="C257" i="70" s="1"/>
  <c r="Q258" i="70" l="1"/>
  <c r="R258" i="70" s="1"/>
  <c r="S258" i="70" s="1"/>
  <c r="N258" i="70"/>
  <c r="O258" i="70" s="1"/>
  <c r="P258" i="70" s="1"/>
  <c r="K257" i="70"/>
  <c r="L257" i="70" s="1"/>
  <c r="M257" i="70" s="1"/>
  <c r="X258" i="70"/>
  <c r="V259" i="70" s="1"/>
  <c r="W259" i="70" s="1"/>
  <c r="A259" i="70"/>
  <c r="F258" i="70"/>
  <c r="G258" i="70" s="1"/>
  <c r="E259" i="70" s="1"/>
  <c r="J134" i="70"/>
  <c r="H135" i="70" s="1"/>
  <c r="D257" i="70"/>
  <c r="B258" i="70" s="1"/>
  <c r="C258" i="70" s="1"/>
  <c r="Q259" i="70" l="1"/>
  <c r="R259" i="70" s="1"/>
  <c r="S259" i="70" s="1"/>
  <c r="N259" i="70"/>
  <c r="O259" i="70" s="1"/>
  <c r="P259" i="70" s="1"/>
  <c r="K258" i="70"/>
  <c r="L258" i="70" s="1"/>
  <c r="M258" i="70" s="1"/>
  <c r="X259" i="70"/>
  <c r="V260" i="70" s="1"/>
  <c r="W260" i="70" s="1"/>
  <c r="A260" i="70"/>
  <c r="F259" i="70"/>
  <c r="G259" i="70" s="1"/>
  <c r="E260" i="70" s="1"/>
  <c r="I135" i="70"/>
  <c r="D258" i="70"/>
  <c r="B259" i="70" s="1"/>
  <c r="C259" i="70" s="1"/>
  <c r="Q260" i="70" l="1"/>
  <c r="R260" i="70" s="1"/>
  <c r="S260" i="70" s="1"/>
  <c r="N260" i="70"/>
  <c r="O260" i="70" s="1"/>
  <c r="P260" i="70" s="1"/>
  <c r="K259" i="70"/>
  <c r="L259" i="70" s="1"/>
  <c r="M259" i="70" s="1"/>
  <c r="X260" i="70"/>
  <c r="V261" i="70" s="1"/>
  <c r="W261" i="70" s="1"/>
  <c r="A261" i="70"/>
  <c r="F260" i="70"/>
  <c r="G260" i="70" s="1"/>
  <c r="E261" i="70" s="1"/>
  <c r="J135" i="70"/>
  <c r="H136" i="70" s="1"/>
  <c r="D259" i="70"/>
  <c r="B260" i="70" s="1"/>
  <c r="C260" i="70" s="1"/>
  <c r="Q261" i="70" l="1"/>
  <c r="R261" i="70" s="1"/>
  <c r="S261" i="70" s="1"/>
  <c r="N261" i="70"/>
  <c r="O261" i="70" s="1"/>
  <c r="P261" i="70" s="1"/>
  <c r="K260" i="70"/>
  <c r="L260" i="70" s="1"/>
  <c r="M260" i="70" s="1"/>
  <c r="X261" i="70"/>
  <c r="V262" i="70" s="1"/>
  <c r="W262" i="70" s="1"/>
  <c r="A262" i="70"/>
  <c r="F261" i="70"/>
  <c r="G261" i="70" s="1"/>
  <c r="E262" i="70" s="1"/>
  <c r="I136" i="70"/>
  <c r="D260" i="70"/>
  <c r="B261" i="70" s="1"/>
  <c r="C261" i="70" s="1"/>
  <c r="Q262" i="70" l="1"/>
  <c r="R262" i="70" s="1"/>
  <c r="S262" i="70" s="1"/>
  <c r="N262" i="70"/>
  <c r="O262" i="70" s="1"/>
  <c r="P262" i="70" s="1"/>
  <c r="K261" i="70"/>
  <c r="L261" i="70" s="1"/>
  <c r="M261" i="70" s="1"/>
  <c r="X262" i="70"/>
  <c r="V263" i="70" s="1"/>
  <c r="W263" i="70" s="1"/>
  <c r="A263" i="70"/>
  <c r="F262" i="70"/>
  <c r="G262" i="70" s="1"/>
  <c r="E263" i="70" s="1"/>
  <c r="J136" i="70"/>
  <c r="H137" i="70" s="1"/>
  <c r="D261" i="70"/>
  <c r="B262" i="70" s="1"/>
  <c r="C262" i="70" s="1"/>
  <c r="Q263" i="70" l="1"/>
  <c r="R263" i="70" s="1"/>
  <c r="S263" i="70" s="1"/>
  <c r="N263" i="70"/>
  <c r="O263" i="70" s="1"/>
  <c r="P263" i="70" s="1"/>
  <c r="K262" i="70"/>
  <c r="L262" i="70" s="1"/>
  <c r="M262" i="70" s="1"/>
  <c r="X263" i="70"/>
  <c r="V264" i="70" s="1"/>
  <c r="W264" i="70" s="1"/>
  <c r="A264" i="70"/>
  <c r="F263" i="70"/>
  <c r="G263" i="70" s="1"/>
  <c r="E264" i="70" s="1"/>
  <c r="I137" i="70"/>
  <c r="D262" i="70"/>
  <c r="B263" i="70" s="1"/>
  <c r="C263" i="70" s="1"/>
  <c r="Q264" i="70" l="1"/>
  <c r="R264" i="70" s="1"/>
  <c r="S264" i="70" s="1"/>
  <c r="N264" i="70"/>
  <c r="O264" i="70" s="1"/>
  <c r="P264" i="70" s="1"/>
  <c r="K263" i="70"/>
  <c r="L263" i="70" s="1"/>
  <c r="M263" i="70" s="1"/>
  <c r="X264" i="70"/>
  <c r="V265" i="70" s="1"/>
  <c r="W265" i="70" s="1"/>
  <c r="A265" i="70"/>
  <c r="F264" i="70"/>
  <c r="G264" i="70" s="1"/>
  <c r="E265" i="70" s="1"/>
  <c r="J137" i="70"/>
  <c r="H138" i="70" s="1"/>
  <c r="D263" i="70"/>
  <c r="B264" i="70" s="1"/>
  <c r="C264" i="70" s="1"/>
  <c r="Q265" i="70" l="1"/>
  <c r="R265" i="70" s="1"/>
  <c r="S265" i="70" s="1"/>
  <c r="N265" i="70"/>
  <c r="O265" i="70" s="1"/>
  <c r="P265" i="70" s="1"/>
  <c r="K264" i="70"/>
  <c r="L264" i="70" s="1"/>
  <c r="M264" i="70" s="1"/>
  <c r="X265" i="70"/>
  <c r="V266" i="70" s="1"/>
  <c r="W266" i="70" s="1"/>
  <c r="A266" i="70"/>
  <c r="F265" i="70"/>
  <c r="G265" i="70" s="1"/>
  <c r="E266" i="70" s="1"/>
  <c r="I138" i="70"/>
  <c r="D264" i="70"/>
  <c r="B265" i="70" s="1"/>
  <c r="C265" i="70" s="1"/>
  <c r="Q266" i="70" l="1"/>
  <c r="R266" i="70" s="1"/>
  <c r="S266" i="70" s="1"/>
  <c r="N266" i="70"/>
  <c r="O266" i="70" s="1"/>
  <c r="P266" i="70" s="1"/>
  <c r="K265" i="70"/>
  <c r="L265" i="70" s="1"/>
  <c r="M265" i="70" s="1"/>
  <c r="X266" i="70"/>
  <c r="V267" i="70" s="1"/>
  <c r="W267" i="70" s="1"/>
  <c r="A267" i="70"/>
  <c r="F266" i="70"/>
  <c r="G266" i="70" s="1"/>
  <c r="E267" i="70" s="1"/>
  <c r="J138" i="70"/>
  <c r="H139" i="70" s="1"/>
  <c r="D265" i="70"/>
  <c r="B266" i="70" s="1"/>
  <c r="C266" i="70" s="1"/>
  <c r="Q267" i="70" l="1"/>
  <c r="R267" i="70" s="1"/>
  <c r="S267" i="70" s="1"/>
  <c r="N267" i="70"/>
  <c r="O267" i="70" s="1"/>
  <c r="P267" i="70" s="1"/>
  <c r="K266" i="70"/>
  <c r="L266" i="70" s="1"/>
  <c r="M266" i="70" s="1"/>
  <c r="X267" i="70"/>
  <c r="V268" i="70" s="1"/>
  <c r="W268" i="70" s="1"/>
  <c r="A268" i="70"/>
  <c r="F267" i="70"/>
  <c r="G267" i="70" s="1"/>
  <c r="E268" i="70" s="1"/>
  <c r="I139" i="70"/>
  <c r="D266" i="70"/>
  <c r="B267" i="70" s="1"/>
  <c r="C267" i="70" s="1"/>
  <c r="Q268" i="70" l="1"/>
  <c r="R268" i="70" s="1"/>
  <c r="S268" i="70" s="1"/>
  <c r="N268" i="70"/>
  <c r="O268" i="70" s="1"/>
  <c r="P268" i="70" s="1"/>
  <c r="K267" i="70"/>
  <c r="L267" i="70" s="1"/>
  <c r="M267" i="70" s="1"/>
  <c r="X268" i="70"/>
  <c r="V269" i="70" s="1"/>
  <c r="W269" i="70" s="1"/>
  <c r="A269" i="70"/>
  <c r="F268" i="70"/>
  <c r="G268" i="70" s="1"/>
  <c r="E269" i="70" s="1"/>
  <c r="J139" i="70"/>
  <c r="H140" i="70" s="1"/>
  <c r="D267" i="70"/>
  <c r="B268" i="70" s="1"/>
  <c r="C268" i="70" s="1"/>
  <c r="Q269" i="70" l="1"/>
  <c r="R269" i="70" s="1"/>
  <c r="S269" i="70" s="1"/>
  <c r="N269" i="70"/>
  <c r="O269" i="70" s="1"/>
  <c r="P269" i="70" s="1"/>
  <c r="K268" i="70"/>
  <c r="L268" i="70" s="1"/>
  <c r="M268" i="70" s="1"/>
  <c r="X269" i="70"/>
  <c r="V270" i="70" s="1"/>
  <c r="W270" i="70" s="1"/>
  <c r="A270" i="70"/>
  <c r="F269" i="70"/>
  <c r="G269" i="70" s="1"/>
  <c r="E270" i="70" s="1"/>
  <c r="I140" i="70"/>
  <c r="D268" i="70"/>
  <c r="B269" i="70" s="1"/>
  <c r="C269" i="70" s="1"/>
  <c r="Q270" i="70" l="1"/>
  <c r="R270" i="70" s="1"/>
  <c r="S270" i="70" s="1"/>
  <c r="N270" i="70"/>
  <c r="O270" i="70" s="1"/>
  <c r="P270" i="70" s="1"/>
  <c r="K269" i="70"/>
  <c r="L269" i="70" s="1"/>
  <c r="M269" i="70" s="1"/>
  <c r="X270" i="70"/>
  <c r="V271" i="70" s="1"/>
  <c r="W271" i="70" s="1"/>
  <c r="A271" i="70"/>
  <c r="F270" i="70"/>
  <c r="G270" i="70" s="1"/>
  <c r="E271" i="70" s="1"/>
  <c r="J140" i="70"/>
  <c r="H141" i="70" s="1"/>
  <c r="D269" i="70"/>
  <c r="B270" i="70" s="1"/>
  <c r="C270" i="70" s="1"/>
  <c r="Q271" i="70" l="1"/>
  <c r="R271" i="70" s="1"/>
  <c r="S271" i="70" s="1"/>
  <c r="N271" i="70"/>
  <c r="O271" i="70" s="1"/>
  <c r="P271" i="70" s="1"/>
  <c r="K270" i="70"/>
  <c r="L270" i="70" s="1"/>
  <c r="M270" i="70" s="1"/>
  <c r="X271" i="70"/>
  <c r="V272" i="70" s="1"/>
  <c r="W272" i="70" s="1"/>
  <c r="A272" i="70"/>
  <c r="F271" i="70"/>
  <c r="G271" i="70" s="1"/>
  <c r="E272" i="70" s="1"/>
  <c r="I141" i="70"/>
  <c r="D270" i="70"/>
  <c r="B271" i="70" s="1"/>
  <c r="C271" i="70" s="1"/>
  <c r="Q272" i="70" l="1"/>
  <c r="R272" i="70" s="1"/>
  <c r="S272" i="70" s="1"/>
  <c r="N272" i="70"/>
  <c r="O272" i="70" s="1"/>
  <c r="P272" i="70" s="1"/>
  <c r="K271" i="70"/>
  <c r="L271" i="70" s="1"/>
  <c r="M271" i="70" s="1"/>
  <c r="X272" i="70"/>
  <c r="V273" i="70" s="1"/>
  <c r="W273" i="70" s="1"/>
  <c r="A273" i="70"/>
  <c r="F272" i="70"/>
  <c r="G272" i="70" s="1"/>
  <c r="E273" i="70" s="1"/>
  <c r="J141" i="70"/>
  <c r="H142" i="70" s="1"/>
  <c r="D271" i="70"/>
  <c r="B272" i="70" s="1"/>
  <c r="C272" i="70" s="1"/>
  <c r="Q273" i="70" l="1"/>
  <c r="R273" i="70" s="1"/>
  <c r="S273" i="70" s="1"/>
  <c r="N273" i="70"/>
  <c r="O273" i="70" s="1"/>
  <c r="P273" i="70" s="1"/>
  <c r="K272" i="70"/>
  <c r="L272" i="70" s="1"/>
  <c r="M272" i="70" s="1"/>
  <c r="X273" i="70"/>
  <c r="V274" i="70" s="1"/>
  <c r="W274" i="70" s="1"/>
  <c r="A274" i="70"/>
  <c r="F273" i="70"/>
  <c r="G273" i="70" s="1"/>
  <c r="E274" i="70" s="1"/>
  <c r="I142" i="70"/>
  <c r="D272" i="70"/>
  <c r="B273" i="70" s="1"/>
  <c r="C273" i="70" s="1"/>
  <c r="Q274" i="70" l="1"/>
  <c r="R274" i="70" s="1"/>
  <c r="S274" i="70" s="1"/>
  <c r="N274" i="70"/>
  <c r="O274" i="70" s="1"/>
  <c r="P274" i="70" s="1"/>
  <c r="K273" i="70"/>
  <c r="L273" i="70" s="1"/>
  <c r="M273" i="70" s="1"/>
  <c r="X274" i="70"/>
  <c r="V275" i="70" s="1"/>
  <c r="W275" i="70" s="1"/>
  <c r="A275" i="70"/>
  <c r="F274" i="70"/>
  <c r="G274" i="70" s="1"/>
  <c r="E275" i="70" s="1"/>
  <c r="J142" i="70"/>
  <c r="H143" i="70" s="1"/>
  <c r="D273" i="70"/>
  <c r="B274" i="70" s="1"/>
  <c r="C274" i="70" s="1"/>
  <c r="Q275" i="70" l="1"/>
  <c r="R275" i="70" s="1"/>
  <c r="S275" i="70" s="1"/>
  <c r="N275" i="70"/>
  <c r="O275" i="70" s="1"/>
  <c r="P275" i="70" s="1"/>
  <c r="K274" i="70"/>
  <c r="L274" i="70" s="1"/>
  <c r="M274" i="70" s="1"/>
  <c r="X275" i="70"/>
  <c r="V276" i="70" s="1"/>
  <c r="W276" i="70" s="1"/>
  <c r="A276" i="70"/>
  <c r="F275" i="70"/>
  <c r="G275" i="70" s="1"/>
  <c r="E276" i="70" s="1"/>
  <c r="I143" i="70"/>
  <c r="D274" i="70"/>
  <c r="B275" i="70" s="1"/>
  <c r="C275" i="70" s="1"/>
  <c r="Q276" i="70" l="1"/>
  <c r="R276" i="70" s="1"/>
  <c r="S276" i="70" s="1"/>
  <c r="N276" i="70"/>
  <c r="O276" i="70" s="1"/>
  <c r="P276" i="70" s="1"/>
  <c r="K275" i="70"/>
  <c r="L275" i="70" s="1"/>
  <c r="M275" i="70" s="1"/>
  <c r="X276" i="70"/>
  <c r="V277" i="70" s="1"/>
  <c r="W277" i="70" s="1"/>
  <c r="A277" i="70"/>
  <c r="F276" i="70"/>
  <c r="G276" i="70" s="1"/>
  <c r="E277" i="70" s="1"/>
  <c r="J143" i="70"/>
  <c r="H144" i="70" s="1"/>
  <c r="D275" i="70"/>
  <c r="B276" i="70" s="1"/>
  <c r="C276" i="70" s="1"/>
  <c r="Q277" i="70" l="1"/>
  <c r="R277" i="70" s="1"/>
  <c r="S277" i="70" s="1"/>
  <c r="N277" i="70"/>
  <c r="O277" i="70" s="1"/>
  <c r="P277" i="70" s="1"/>
  <c r="K276" i="70"/>
  <c r="L276" i="70" s="1"/>
  <c r="M276" i="70" s="1"/>
  <c r="X277" i="70"/>
  <c r="V278" i="70" s="1"/>
  <c r="W278" i="70" s="1"/>
  <c r="A278" i="70"/>
  <c r="F277" i="70"/>
  <c r="G277" i="70" s="1"/>
  <c r="E278" i="70" s="1"/>
  <c r="I144" i="70"/>
  <c r="D276" i="70"/>
  <c r="B277" i="70" s="1"/>
  <c r="C277" i="70" s="1"/>
  <c r="Q278" i="70" l="1"/>
  <c r="R278" i="70" s="1"/>
  <c r="S278" i="70" s="1"/>
  <c r="N278" i="70"/>
  <c r="O278" i="70" s="1"/>
  <c r="P278" i="70" s="1"/>
  <c r="K277" i="70"/>
  <c r="L277" i="70" s="1"/>
  <c r="M277" i="70" s="1"/>
  <c r="X278" i="70"/>
  <c r="V279" i="70" s="1"/>
  <c r="W279" i="70" s="1"/>
  <c r="A279" i="70"/>
  <c r="F278" i="70"/>
  <c r="G278" i="70" s="1"/>
  <c r="E279" i="70" s="1"/>
  <c r="J144" i="70"/>
  <c r="H145" i="70" s="1"/>
  <c r="D277" i="70"/>
  <c r="B278" i="70" s="1"/>
  <c r="C278" i="70" s="1"/>
  <c r="Q279" i="70" l="1"/>
  <c r="R279" i="70" s="1"/>
  <c r="S279" i="70" s="1"/>
  <c r="N279" i="70"/>
  <c r="O279" i="70" s="1"/>
  <c r="P279" i="70" s="1"/>
  <c r="K278" i="70"/>
  <c r="L278" i="70" s="1"/>
  <c r="M278" i="70" s="1"/>
  <c r="X279" i="70"/>
  <c r="V280" i="70" s="1"/>
  <c r="W280" i="70" s="1"/>
  <c r="A280" i="70"/>
  <c r="F279" i="70"/>
  <c r="G279" i="70" s="1"/>
  <c r="E280" i="70" s="1"/>
  <c r="I145" i="70"/>
  <c r="D278" i="70"/>
  <c r="B279" i="70" s="1"/>
  <c r="C279" i="70" s="1"/>
  <c r="Q280" i="70" l="1"/>
  <c r="R280" i="70" s="1"/>
  <c r="S280" i="70" s="1"/>
  <c r="N280" i="70"/>
  <c r="O280" i="70" s="1"/>
  <c r="P280" i="70" s="1"/>
  <c r="K279" i="70"/>
  <c r="L279" i="70" s="1"/>
  <c r="M279" i="70" s="1"/>
  <c r="X280" i="70"/>
  <c r="V281" i="70" s="1"/>
  <c r="W281" i="70" s="1"/>
  <c r="A281" i="70"/>
  <c r="F280" i="70"/>
  <c r="G280" i="70" s="1"/>
  <c r="E281" i="70" s="1"/>
  <c r="J145" i="70"/>
  <c r="H146" i="70" s="1"/>
  <c r="D279" i="70"/>
  <c r="B280" i="70" s="1"/>
  <c r="C280" i="70" s="1"/>
  <c r="Q281" i="70" l="1"/>
  <c r="R281" i="70" s="1"/>
  <c r="S281" i="70" s="1"/>
  <c r="N281" i="70"/>
  <c r="O281" i="70" s="1"/>
  <c r="P281" i="70" s="1"/>
  <c r="K280" i="70"/>
  <c r="L280" i="70" s="1"/>
  <c r="M280" i="70" s="1"/>
  <c r="X281" i="70"/>
  <c r="V282" i="70" s="1"/>
  <c r="W282" i="70" s="1"/>
  <c r="A282" i="70"/>
  <c r="F281" i="70"/>
  <c r="G281" i="70" s="1"/>
  <c r="E282" i="70" s="1"/>
  <c r="I146" i="70"/>
  <c r="D280" i="70"/>
  <c r="B281" i="70" s="1"/>
  <c r="C281" i="70" s="1"/>
  <c r="Q282" i="70" l="1"/>
  <c r="R282" i="70" s="1"/>
  <c r="S282" i="70" s="1"/>
  <c r="N282" i="70"/>
  <c r="O282" i="70" s="1"/>
  <c r="P282" i="70" s="1"/>
  <c r="K281" i="70"/>
  <c r="L281" i="70" s="1"/>
  <c r="M281" i="70" s="1"/>
  <c r="X282" i="70"/>
  <c r="V283" i="70" s="1"/>
  <c r="W283" i="70" s="1"/>
  <c r="A283" i="70"/>
  <c r="F282" i="70"/>
  <c r="G282" i="70" s="1"/>
  <c r="E283" i="70" s="1"/>
  <c r="J146" i="70"/>
  <c r="H147" i="70" s="1"/>
  <c r="D281" i="70"/>
  <c r="B282" i="70" s="1"/>
  <c r="C282" i="70" s="1"/>
  <c r="Q283" i="70" l="1"/>
  <c r="R283" i="70" s="1"/>
  <c r="S283" i="70" s="1"/>
  <c r="N283" i="70"/>
  <c r="O283" i="70" s="1"/>
  <c r="P283" i="70" s="1"/>
  <c r="K282" i="70"/>
  <c r="L282" i="70" s="1"/>
  <c r="M282" i="70" s="1"/>
  <c r="X283" i="70"/>
  <c r="V284" i="70" s="1"/>
  <c r="W284" i="70" s="1"/>
  <c r="A284" i="70"/>
  <c r="F283" i="70"/>
  <c r="G283" i="70" s="1"/>
  <c r="E284" i="70" s="1"/>
  <c r="I147" i="70"/>
  <c r="D282" i="70"/>
  <c r="B283" i="70" s="1"/>
  <c r="C283" i="70" s="1"/>
  <c r="Q284" i="70" l="1"/>
  <c r="R284" i="70" s="1"/>
  <c r="S284" i="70" s="1"/>
  <c r="N284" i="70"/>
  <c r="O284" i="70" s="1"/>
  <c r="P284" i="70" s="1"/>
  <c r="K283" i="70"/>
  <c r="L283" i="70" s="1"/>
  <c r="M283" i="70" s="1"/>
  <c r="X284" i="70"/>
  <c r="V285" i="70" s="1"/>
  <c r="W285" i="70" s="1"/>
  <c r="A285" i="70"/>
  <c r="F284" i="70"/>
  <c r="G284" i="70" s="1"/>
  <c r="E285" i="70" s="1"/>
  <c r="J147" i="70"/>
  <c r="H148" i="70" s="1"/>
  <c r="D283" i="70"/>
  <c r="B284" i="70" s="1"/>
  <c r="C284" i="70" s="1"/>
  <c r="Q285" i="70" l="1"/>
  <c r="R285" i="70" s="1"/>
  <c r="S285" i="70" s="1"/>
  <c r="N285" i="70"/>
  <c r="O285" i="70" s="1"/>
  <c r="P285" i="70" s="1"/>
  <c r="K284" i="70"/>
  <c r="L284" i="70" s="1"/>
  <c r="M284" i="70" s="1"/>
  <c r="X285" i="70"/>
  <c r="V286" i="70" s="1"/>
  <c r="W286" i="70" s="1"/>
  <c r="A286" i="70"/>
  <c r="F285" i="70"/>
  <c r="G285" i="70" s="1"/>
  <c r="E286" i="70" s="1"/>
  <c r="D284" i="70"/>
  <c r="B285" i="70" s="1"/>
  <c r="C285" i="70" s="1"/>
  <c r="Q286" i="70" l="1"/>
  <c r="R286" i="70" s="1"/>
  <c r="S286" i="70" s="1"/>
  <c r="N286" i="70"/>
  <c r="O286" i="70" s="1"/>
  <c r="P286" i="70" s="1"/>
  <c r="K285" i="70"/>
  <c r="L285" i="70" s="1"/>
  <c r="M285" i="70" s="1"/>
  <c r="X286" i="70"/>
  <c r="V287" i="70" s="1"/>
  <c r="W287" i="70" s="1"/>
  <c r="A287" i="70"/>
  <c r="F286" i="70"/>
  <c r="G286" i="70" s="1"/>
  <c r="E287" i="70" s="1"/>
  <c r="I148" i="70"/>
  <c r="J148" i="70" s="1"/>
  <c r="H149" i="70" s="1"/>
  <c r="D285" i="70"/>
  <c r="B286" i="70" s="1"/>
  <c r="C286" i="70" s="1"/>
  <c r="Q287" i="70" l="1"/>
  <c r="R287" i="70" s="1"/>
  <c r="S287" i="70" s="1"/>
  <c r="N287" i="70"/>
  <c r="O287" i="70" s="1"/>
  <c r="P287" i="70" s="1"/>
  <c r="K286" i="70"/>
  <c r="L286" i="70" s="1"/>
  <c r="M286" i="70" s="1"/>
  <c r="X287" i="70"/>
  <c r="V288" i="70" s="1"/>
  <c r="W288" i="70" s="1"/>
  <c r="A288" i="70"/>
  <c r="F287" i="70"/>
  <c r="G287" i="70" s="1"/>
  <c r="E288" i="70" s="1"/>
  <c r="I149" i="70"/>
  <c r="J149" i="70" s="1"/>
  <c r="H150" i="70" s="1"/>
  <c r="D286" i="70"/>
  <c r="B287" i="70" s="1"/>
  <c r="C287" i="70" s="1"/>
  <c r="Q288" i="70" l="1"/>
  <c r="R288" i="70" s="1"/>
  <c r="S288" i="70" s="1"/>
  <c r="N288" i="70"/>
  <c r="O288" i="70" s="1"/>
  <c r="P288" i="70" s="1"/>
  <c r="K287" i="70"/>
  <c r="L287" i="70" s="1"/>
  <c r="M287" i="70" s="1"/>
  <c r="X288" i="70"/>
  <c r="V289" i="70" s="1"/>
  <c r="W289" i="70" s="1"/>
  <c r="A289" i="70"/>
  <c r="F288" i="70"/>
  <c r="G288" i="70" s="1"/>
  <c r="E289" i="70" s="1"/>
  <c r="I150" i="70"/>
  <c r="D287" i="70"/>
  <c r="B288" i="70" s="1"/>
  <c r="C288" i="70" s="1"/>
  <c r="Q289" i="70" l="1"/>
  <c r="R289" i="70" s="1"/>
  <c r="S289" i="70" s="1"/>
  <c r="N289" i="70"/>
  <c r="O289" i="70" s="1"/>
  <c r="P289" i="70" s="1"/>
  <c r="K288" i="70"/>
  <c r="L288" i="70" s="1"/>
  <c r="M288" i="70" s="1"/>
  <c r="X289" i="70"/>
  <c r="V290" i="70" s="1"/>
  <c r="W290" i="70" s="1"/>
  <c r="A290" i="70"/>
  <c r="F289" i="70"/>
  <c r="G289" i="70" s="1"/>
  <c r="E290" i="70" s="1"/>
  <c r="J150" i="70"/>
  <c r="H151" i="70" s="1"/>
  <c r="D288" i="70"/>
  <c r="B289" i="70" s="1"/>
  <c r="C289" i="70" s="1"/>
  <c r="Q290" i="70" l="1"/>
  <c r="R290" i="70" s="1"/>
  <c r="S290" i="70" s="1"/>
  <c r="N290" i="70"/>
  <c r="O290" i="70" s="1"/>
  <c r="P290" i="70" s="1"/>
  <c r="K289" i="70"/>
  <c r="L289" i="70" s="1"/>
  <c r="M289" i="70" s="1"/>
  <c r="X290" i="70"/>
  <c r="V291" i="70" s="1"/>
  <c r="W291" i="70" s="1"/>
  <c r="A291" i="70"/>
  <c r="F290" i="70"/>
  <c r="G290" i="70" s="1"/>
  <c r="E291" i="70" s="1"/>
  <c r="I151" i="70"/>
  <c r="D289" i="70"/>
  <c r="B290" i="70" s="1"/>
  <c r="C290" i="70" s="1"/>
  <c r="Q291" i="70" l="1"/>
  <c r="R291" i="70" s="1"/>
  <c r="S291" i="70" s="1"/>
  <c r="N291" i="70"/>
  <c r="O291" i="70" s="1"/>
  <c r="P291" i="70" s="1"/>
  <c r="K290" i="70"/>
  <c r="L290" i="70" s="1"/>
  <c r="M290" i="70" s="1"/>
  <c r="X291" i="70"/>
  <c r="V292" i="70" s="1"/>
  <c r="W292" i="70" s="1"/>
  <c r="A292" i="70"/>
  <c r="F291" i="70"/>
  <c r="G291" i="70" s="1"/>
  <c r="E292" i="70" s="1"/>
  <c r="J151" i="70"/>
  <c r="H152" i="70" s="1"/>
  <c r="D290" i="70"/>
  <c r="B291" i="70" s="1"/>
  <c r="C291" i="70" s="1"/>
  <c r="Q292" i="70" l="1"/>
  <c r="R292" i="70" s="1"/>
  <c r="S292" i="70" s="1"/>
  <c r="N292" i="70"/>
  <c r="O292" i="70" s="1"/>
  <c r="P292" i="70" s="1"/>
  <c r="K291" i="70"/>
  <c r="L291" i="70" s="1"/>
  <c r="M291" i="70" s="1"/>
  <c r="X292" i="70"/>
  <c r="V293" i="70" s="1"/>
  <c r="W293" i="70" s="1"/>
  <c r="A293" i="70"/>
  <c r="F292" i="70"/>
  <c r="G292" i="70" s="1"/>
  <c r="E293" i="70" s="1"/>
  <c r="D291" i="70"/>
  <c r="B292" i="70" s="1"/>
  <c r="C292" i="70" s="1"/>
  <c r="Q293" i="70" l="1"/>
  <c r="R293" i="70" s="1"/>
  <c r="S293" i="70" s="1"/>
  <c r="N293" i="70"/>
  <c r="O293" i="70" s="1"/>
  <c r="P293" i="70" s="1"/>
  <c r="K292" i="70"/>
  <c r="L292" i="70" s="1"/>
  <c r="M292" i="70" s="1"/>
  <c r="X293" i="70"/>
  <c r="V294" i="70" s="1"/>
  <c r="W294" i="70" s="1"/>
  <c r="A294" i="70"/>
  <c r="F293" i="70"/>
  <c r="G293" i="70" s="1"/>
  <c r="E294" i="70" s="1"/>
  <c r="I152" i="70"/>
  <c r="J152" i="70" s="1"/>
  <c r="H153" i="70" s="1"/>
  <c r="D292" i="70"/>
  <c r="B293" i="70" s="1"/>
  <c r="C293" i="70" s="1"/>
  <c r="Q294" i="70" l="1"/>
  <c r="R294" i="70" s="1"/>
  <c r="S294" i="70" s="1"/>
  <c r="N294" i="70"/>
  <c r="O294" i="70" s="1"/>
  <c r="P294" i="70" s="1"/>
  <c r="K293" i="70"/>
  <c r="L293" i="70" s="1"/>
  <c r="M293" i="70" s="1"/>
  <c r="X294" i="70"/>
  <c r="V295" i="70" s="1"/>
  <c r="W295" i="70" s="1"/>
  <c r="A295" i="70"/>
  <c r="F294" i="70"/>
  <c r="G294" i="70" s="1"/>
  <c r="E295" i="70" s="1"/>
  <c r="I153" i="70"/>
  <c r="J153" i="70" s="1"/>
  <c r="H154" i="70" s="1"/>
  <c r="D293" i="70"/>
  <c r="B294" i="70" s="1"/>
  <c r="C294" i="70" s="1"/>
  <c r="Q295" i="70" l="1"/>
  <c r="R295" i="70" s="1"/>
  <c r="S295" i="70" s="1"/>
  <c r="N295" i="70"/>
  <c r="O295" i="70" s="1"/>
  <c r="P295" i="70" s="1"/>
  <c r="K294" i="70"/>
  <c r="L294" i="70" s="1"/>
  <c r="M294" i="70" s="1"/>
  <c r="X295" i="70"/>
  <c r="V296" i="70" s="1"/>
  <c r="W296" i="70" s="1"/>
  <c r="AC153" i="70"/>
  <c r="AD153" i="70" s="1"/>
  <c r="A296" i="70"/>
  <c r="F295" i="70"/>
  <c r="G295" i="70" s="1"/>
  <c r="E296" i="70" s="1"/>
  <c r="I154" i="70"/>
  <c r="D294" i="70"/>
  <c r="B295" i="70" s="1"/>
  <c r="C295" i="70" s="1"/>
  <c r="Q296" i="70" l="1"/>
  <c r="R296" i="70" s="1"/>
  <c r="S296" i="70" s="1"/>
  <c r="N296" i="70"/>
  <c r="O296" i="70" s="1"/>
  <c r="P296" i="70" s="1"/>
  <c r="K295" i="70"/>
  <c r="L295" i="70" s="1"/>
  <c r="M295" i="70" s="1"/>
  <c r="X296" i="70"/>
  <c r="V297" i="70" s="1"/>
  <c r="W297" i="70" s="1"/>
  <c r="A297" i="70"/>
  <c r="F296" i="70"/>
  <c r="G296" i="70" s="1"/>
  <c r="E297" i="70" s="1"/>
  <c r="J154" i="70"/>
  <c r="H155" i="70" s="1"/>
  <c r="D295" i="70"/>
  <c r="B296" i="70" s="1"/>
  <c r="C296" i="70" s="1"/>
  <c r="Q297" i="70" l="1"/>
  <c r="R297" i="70" s="1"/>
  <c r="S297" i="70" s="1"/>
  <c r="N297" i="70"/>
  <c r="O297" i="70" s="1"/>
  <c r="P297" i="70" s="1"/>
  <c r="K296" i="70"/>
  <c r="L296" i="70" s="1"/>
  <c r="M296" i="70" s="1"/>
  <c r="X297" i="70"/>
  <c r="V298" i="70" s="1"/>
  <c r="W298" i="70" s="1"/>
  <c r="AC154" i="70"/>
  <c r="AD154" i="70" s="1"/>
  <c r="A298" i="70"/>
  <c r="F297" i="70"/>
  <c r="G297" i="70" s="1"/>
  <c r="E298" i="70" s="1"/>
  <c r="I155" i="70"/>
  <c r="D296" i="70"/>
  <c r="B297" i="70" s="1"/>
  <c r="C297" i="70" s="1"/>
  <c r="Q298" i="70" l="1"/>
  <c r="R298" i="70" s="1"/>
  <c r="S298" i="70" s="1"/>
  <c r="N298" i="70"/>
  <c r="O298" i="70" s="1"/>
  <c r="P298" i="70" s="1"/>
  <c r="K297" i="70"/>
  <c r="L297" i="70" s="1"/>
  <c r="M297" i="70" s="1"/>
  <c r="X298" i="70"/>
  <c r="V299" i="70" s="1"/>
  <c r="W299" i="70" s="1"/>
  <c r="A299" i="70"/>
  <c r="F298" i="70"/>
  <c r="G298" i="70" s="1"/>
  <c r="E299" i="70" s="1"/>
  <c r="J155" i="70"/>
  <c r="H156" i="70" s="1"/>
  <c r="D297" i="70"/>
  <c r="B298" i="70" s="1"/>
  <c r="C298" i="70" s="1"/>
  <c r="Q299" i="70" l="1"/>
  <c r="R299" i="70" s="1"/>
  <c r="S299" i="70" s="1"/>
  <c r="N299" i="70"/>
  <c r="O299" i="70" s="1"/>
  <c r="P299" i="70" s="1"/>
  <c r="K298" i="70"/>
  <c r="L298" i="70" s="1"/>
  <c r="M298" i="70" s="1"/>
  <c r="X299" i="70"/>
  <c r="V300" i="70" s="1"/>
  <c r="W300" i="70" s="1"/>
  <c r="AC155" i="70"/>
  <c r="AD155" i="70" s="1"/>
  <c r="A300" i="70"/>
  <c r="F299" i="70"/>
  <c r="G299" i="70" s="1"/>
  <c r="E300" i="70" s="1"/>
  <c r="I156" i="70"/>
  <c r="D298" i="70"/>
  <c r="B299" i="70" s="1"/>
  <c r="C299" i="70" s="1"/>
  <c r="Q300" i="70" l="1"/>
  <c r="R300" i="70" s="1"/>
  <c r="S300" i="70" s="1"/>
  <c r="N300" i="70"/>
  <c r="O300" i="70" s="1"/>
  <c r="P300" i="70" s="1"/>
  <c r="K299" i="70"/>
  <c r="L299" i="70" s="1"/>
  <c r="M299" i="70" s="1"/>
  <c r="X300" i="70"/>
  <c r="V301" i="70" s="1"/>
  <c r="W301" i="70" s="1"/>
  <c r="A301" i="70"/>
  <c r="F300" i="70"/>
  <c r="G300" i="70" s="1"/>
  <c r="E301" i="70" s="1"/>
  <c r="J156" i="70"/>
  <c r="H157" i="70" s="1"/>
  <c r="D299" i="70"/>
  <c r="B300" i="70" s="1"/>
  <c r="C300" i="70" s="1"/>
  <c r="Q301" i="70" l="1"/>
  <c r="R301" i="70" s="1"/>
  <c r="S301" i="70" s="1"/>
  <c r="N301" i="70"/>
  <c r="O301" i="70" s="1"/>
  <c r="P301" i="70" s="1"/>
  <c r="K300" i="70"/>
  <c r="L300" i="70" s="1"/>
  <c r="M300" i="70" s="1"/>
  <c r="X301" i="70"/>
  <c r="V302" i="70" s="1"/>
  <c r="W302" i="70" s="1"/>
  <c r="AC156" i="70"/>
  <c r="AD156" i="70" s="1"/>
  <c r="A302" i="70"/>
  <c r="F301" i="70"/>
  <c r="G301" i="70" s="1"/>
  <c r="E302" i="70" s="1"/>
  <c r="I157" i="70"/>
  <c r="D300" i="70"/>
  <c r="B301" i="70" s="1"/>
  <c r="C301" i="70" s="1"/>
  <c r="Q302" i="70" l="1"/>
  <c r="R302" i="70" s="1"/>
  <c r="S302" i="70" s="1"/>
  <c r="N302" i="70"/>
  <c r="O302" i="70" s="1"/>
  <c r="P302" i="70" s="1"/>
  <c r="K301" i="70"/>
  <c r="L301" i="70" s="1"/>
  <c r="M301" i="70" s="1"/>
  <c r="X302" i="70"/>
  <c r="V303" i="70" s="1"/>
  <c r="W303" i="70" s="1"/>
  <c r="A303" i="70"/>
  <c r="F302" i="70"/>
  <c r="G302" i="70" s="1"/>
  <c r="E303" i="70" s="1"/>
  <c r="J157" i="70"/>
  <c r="H158" i="70" s="1"/>
  <c r="D301" i="70"/>
  <c r="B302" i="70" s="1"/>
  <c r="C302" i="70" s="1"/>
  <c r="Q303" i="70" l="1"/>
  <c r="R303" i="70" s="1"/>
  <c r="S303" i="70" s="1"/>
  <c r="N303" i="70"/>
  <c r="O303" i="70" s="1"/>
  <c r="P303" i="70" s="1"/>
  <c r="K302" i="70"/>
  <c r="L302" i="70" s="1"/>
  <c r="M302" i="70" s="1"/>
  <c r="X303" i="70"/>
  <c r="V304" i="70" s="1"/>
  <c r="W304" i="70" s="1"/>
  <c r="AC157" i="70"/>
  <c r="AD157" i="70" s="1"/>
  <c r="A304" i="70"/>
  <c r="F303" i="70"/>
  <c r="G303" i="70" s="1"/>
  <c r="E304" i="70" s="1"/>
  <c r="I158" i="70"/>
  <c r="D302" i="70"/>
  <c r="B303" i="70" s="1"/>
  <c r="C303" i="70" s="1"/>
  <c r="Q304" i="70" l="1"/>
  <c r="R304" i="70" s="1"/>
  <c r="S304" i="70" s="1"/>
  <c r="N304" i="70"/>
  <c r="O304" i="70" s="1"/>
  <c r="P304" i="70" s="1"/>
  <c r="K303" i="70"/>
  <c r="L303" i="70" s="1"/>
  <c r="M303" i="70" s="1"/>
  <c r="X304" i="70"/>
  <c r="V305" i="70" s="1"/>
  <c r="W305" i="70" s="1"/>
  <c r="A305" i="70"/>
  <c r="F304" i="70"/>
  <c r="G304" i="70" s="1"/>
  <c r="E305" i="70" s="1"/>
  <c r="J158" i="70"/>
  <c r="H159" i="70" s="1"/>
  <c r="D303" i="70"/>
  <c r="Q305" i="70" l="1"/>
  <c r="R305" i="70" s="1"/>
  <c r="S305" i="70" s="1"/>
  <c r="N305" i="70"/>
  <c r="O305" i="70" s="1"/>
  <c r="P305" i="70" s="1"/>
  <c r="K304" i="70"/>
  <c r="L304" i="70" s="1"/>
  <c r="M304" i="70" s="1"/>
  <c r="X305" i="70"/>
  <c r="V306" i="70" s="1"/>
  <c r="W306" i="70" s="1"/>
  <c r="B304" i="70"/>
  <c r="C304" i="70" s="1"/>
  <c r="D304" i="70" s="1"/>
  <c r="AC158" i="70"/>
  <c r="AD158" i="70" s="1"/>
  <c r="A306" i="70"/>
  <c r="F305" i="70"/>
  <c r="G305" i="70" s="1"/>
  <c r="E306" i="70" s="1"/>
  <c r="I159" i="70"/>
  <c r="Q306" i="70" l="1"/>
  <c r="R306" i="70" s="1"/>
  <c r="S306" i="70" s="1"/>
  <c r="N306" i="70"/>
  <c r="O306" i="70" s="1"/>
  <c r="P306" i="70" s="1"/>
  <c r="K305" i="70"/>
  <c r="L305" i="70" s="1"/>
  <c r="M305" i="70" s="1"/>
  <c r="X306" i="70"/>
  <c r="V307" i="70" s="1"/>
  <c r="W307" i="70" s="1"/>
  <c r="B305" i="70"/>
  <c r="C305" i="70" s="1"/>
  <c r="D305" i="70" s="1"/>
  <c r="A307" i="70"/>
  <c r="F306" i="70"/>
  <c r="G306" i="70" s="1"/>
  <c r="E307" i="70" s="1"/>
  <c r="J159" i="70"/>
  <c r="H160" i="70" s="1"/>
  <c r="Q307" i="70" l="1"/>
  <c r="R307" i="70" s="1"/>
  <c r="S307" i="70" s="1"/>
  <c r="N307" i="70"/>
  <c r="O307" i="70" s="1"/>
  <c r="P307" i="70" s="1"/>
  <c r="K306" i="70"/>
  <c r="L306" i="70" s="1"/>
  <c r="M306" i="70" s="1"/>
  <c r="X307" i="70"/>
  <c r="V308" i="70" s="1"/>
  <c r="W308" i="70" s="1"/>
  <c r="B306" i="70"/>
  <c r="C306" i="70" s="1"/>
  <c r="D306" i="70" s="1"/>
  <c r="AC159" i="70"/>
  <c r="AD159" i="70" s="1"/>
  <c r="A308" i="70"/>
  <c r="F307" i="70"/>
  <c r="G307" i="70" s="1"/>
  <c r="E308" i="70" s="1"/>
  <c r="I160" i="70"/>
  <c r="Q308" i="70" l="1"/>
  <c r="R308" i="70" s="1"/>
  <c r="S308" i="70" s="1"/>
  <c r="N308" i="70"/>
  <c r="O308" i="70" s="1"/>
  <c r="P308" i="70" s="1"/>
  <c r="K307" i="70"/>
  <c r="L307" i="70" s="1"/>
  <c r="M307" i="70" s="1"/>
  <c r="B307" i="70"/>
  <c r="C307" i="70" s="1"/>
  <c r="D307" i="70" s="1"/>
  <c r="A309" i="70"/>
  <c r="X308" i="70"/>
  <c r="V309" i="70" s="1"/>
  <c r="W309" i="70" s="1"/>
  <c r="F308" i="70"/>
  <c r="G308" i="70" s="1"/>
  <c r="E309" i="70" s="1"/>
  <c r="J160" i="70"/>
  <c r="H161" i="70" s="1"/>
  <c r="Q309" i="70" l="1"/>
  <c r="R309" i="70" s="1"/>
  <c r="S309" i="70" s="1"/>
  <c r="N309" i="70"/>
  <c r="O309" i="70" s="1"/>
  <c r="P309" i="70" s="1"/>
  <c r="K308" i="70"/>
  <c r="L308" i="70" s="1"/>
  <c r="M308" i="70" s="1"/>
  <c r="B308" i="70"/>
  <c r="C308" i="70" s="1"/>
  <c r="D308" i="70" s="1"/>
  <c r="X309" i="70"/>
  <c r="V310" i="70" s="1"/>
  <c r="W310" i="70" s="1"/>
  <c r="A310" i="70"/>
  <c r="AC160" i="70"/>
  <c r="AD160" i="70" s="1"/>
  <c r="F309" i="70"/>
  <c r="G309" i="70" s="1"/>
  <c r="E310" i="70" s="1"/>
  <c r="I161" i="70"/>
  <c r="Q310" i="70" l="1"/>
  <c r="R310" i="70" s="1"/>
  <c r="S310" i="70" s="1"/>
  <c r="N310" i="70"/>
  <c r="O310" i="70" s="1"/>
  <c r="P310" i="70" s="1"/>
  <c r="K309" i="70"/>
  <c r="L309" i="70" s="1"/>
  <c r="M309" i="70" s="1"/>
  <c r="B309" i="70"/>
  <c r="C309" i="70" s="1"/>
  <c r="D309" i="70" s="1"/>
  <c r="A311" i="70"/>
  <c r="X310" i="70"/>
  <c r="V311" i="70" s="1"/>
  <c r="W311" i="70" s="1"/>
  <c r="F310" i="70"/>
  <c r="G310" i="70" s="1"/>
  <c r="E311" i="70" s="1"/>
  <c r="J161" i="70"/>
  <c r="H162" i="70" s="1"/>
  <c r="Q311" i="70" l="1"/>
  <c r="R311" i="70" s="1"/>
  <c r="S311" i="70" s="1"/>
  <c r="N311" i="70"/>
  <c r="O311" i="70" s="1"/>
  <c r="P311" i="70" s="1"/>
  <c r="K310" i="70"/>
  <c r="L310" i="70" s="1"/>
  <c r="M310" i="70" s="1"/>
  <c r="B310" i="70"/>
  <c r="C310" i="70" s="1"/>
  <c r="D310" i="70" s="1"/>
  <c r="X311" i="70"/>
  <c r="V312" i="70" s="1"/>
  <c r="W312" i="70" s="1"/>
  <c r="AC161" i="70"/>
  <c r="AD161" i="70" s="1"/>
  <c r="A312" i="70"/>
  <c r="F311" i="70"/>
  <c r="G311" i="70" s="1"/>
  <c r="E312" i="70" s="1"/>
  <c r="I162" i="70"/>
  <c r="Q312" i="70" l="1"/>
  <c r="R312" i="70" s="1"/>
  <c r="S312" i="70" s="1"/>
  <c r="N312" i="70"/>
  <c r="O312" i="70" s="1"/>
  <c r="P312" i="70" s="1"/>
  <c r="K311" i="70"/>
  <c r="L311" i="70" s="1"/>
  <c r="M311" i="70" s="1"/>
  <c r="B311" i="70"/>
  <c r="C311" i="70" s="1"/>
  <c r="D311" i="70" s="1"/>
  <c r="A313" i="70"/>
  <c r="X312" i="70"/>
  <c r="V313" i="70" s="1"/>
  <c r="W313" i="70" s="1"/>
  <c r="F312" i="70"/>
  <c r="G312" i="70" s="1"/>
  <c r="E313" i="70" s="1"/>
  <c r="J162" i="70"/>
  <c r="H163" i="70" s="1"/>
  <c r="Q313" i="70" l="1"/>
  <c r="R313" i="70" s="1"/>
  <c r="S313" i="70" s="1"/>
  <c r="N313" i="70"/>
  <c r="O313" i="70" s="1"/>
  <c r="P313" i="70" s="1"/>
  <c r="K312" i="70"/>
  <c r="L312" i="70" s="1"/>
  <c r="M312" i="70" s="1"/>
  <c r="B312" i="70"/>
  <c r="C312" i="70" s="1"/>
  <c r="D312" i="70" s="1"/>
  <c r="X313" i="70"/>
  <c r="V314" i="70" s="1"/>
  <c r="W314" i="70" s="1"/>
  <c r="AC162" i="70"/>
  <c r="AD162" i="70" s="1"/>
  <c r="A314" i="70"/>
  <c r="F313" i="70"/>
  <c r="G313" i="70" s="1"/>
  <c r="E314" i="70" s="1"/>
  <c r="I163" i="70"/>
  <c r="Q314" i="70" l="1"/>
  <c r="R314" i="70" s="1"/>
  <c r="S314" i="70" s="1"/>
  <c r="N314" i="70"/>
  <c r="O314" i="70" s="1"/>
  <c r="P314" i="70" s="1"/>
  <c r="K313" i="70"/>
  <c r="L313" i="70" s="1"/>
  <c r="M313" i="70" s="1"/>
  <c r="B313" i="70"/>
  <c r="C313" i="70" s="1"/>
  <c r="D313" i="70" s="1"/>
  <c r="A315" i="70"/>
  <c r="X314" i="70"/>
  <c r="V315" i="70" s="1"/>
  <c r="W315" i="70" s="1"/>
  <c r="F314" i="70"/>
  <c r="G314" i="70" s="1"/>
  <c r="E315" i="70" s="1"/>
  <c r="J163" i="70"/>
  <c r="H164" i="70" s="1"/>
  <c r="Q315" i="70" l="1"/>
  <c r="R315" i="70" s="1"/>
  <c r="S315" i="70" s="1"/>
  <c r="N315" i="70"/>
  <c r="O315" i="70" s="1"/>
  <c r="P315" i="70" s="1"/>
  <c r="K314" i="70"/>
  <c r="L314" i="70" s="1"/>
  <c r="M314" i="70" s="1"/>
  <c r="B314" i="70"/>
  <c r="C314" i="70" s="1"/>
  <c r="D314" i="70" s="1"/>
  <c r="X315" i="70"/>
  <c r="V316" i="70" s="1"/>
  <c r="W316" i="70" s="1"/>
  <c r="AC163" i="70"/>
  <c r="AD163" i="70" s="1"/>
  <c r="A316" i="70"/>
  <c r="F315" i="70"/>
  <c r="G315" i="70" s="1"/>
  <c r="E316" i="70" s="1"/>
  <c r="I164" i="70"/>
  <c r="Q316" i="70" l="1"/>
  <c r="R316" i="70" s="1"/>
  <c r="S316" i="70" s="1"/>
  <c r="N316" i="70"/>
  <c r="O316" i="70" s="1"/>
  <c r="P316" i="70" s="1"/>
  <c r="K315" i="70"/>
  <c r="L315" i="70" s="1"/>
  <c r="M315" i="70" s="1"/>
  <c r="B315" i="70"/>
  <c r="C315" i="70" s="1"/>
  <c r="D315" i="70" s="1"/>
  <c r="A317" i="70"/>
  <c r="X316" i="70"/>
  <c r="V317" i="70" s="1"/>
  <c r="W317" i="70" s="1"/>
  <c r="F316" i="70"/>
  <c r="G316" i="70" s="1"/>
  <c r="E317" i="70" s="1"/>
  <c r="J164" i="70"/>
  <c r="H165" i="70" s="1"/>
  <c r="Q317" i="70" l="1"/>
  <c r="R317" i="70" s="1"/>
  <c r="S317" i="70" s="1"/>
  <c r="N317" i="70"/>
  <c r="O317" i="70" s="1"/>
  <c r="P317" i="70" s="1"/>
  <c r="K316" i="70"/>
  <c r="L316" i="70" s="1"/>
  <c r="M316" i="70" s="1"/>
  <c r="B316" i="70"/>
  <c r="C316" i="70" s="1"/>
  <c r="D316" i="70" s="1"/>
  <c r="X317" i="70"/>
  <c r="V318" i="70" s="1"/>
  <c r="W318" i="70" s="1"/>
  <c r="A318" i="70"/>
  <c r="AC164" i="70"/>
  <c r="AD164" i="70" s="1"/>
  <c r="F317" i="70"/>
  <c r="G317" i="70" s="1"/>
  <c r="E318" i="70" s="1"/>
  <c r="I165" i="70"/>
  <c r="Q318" i="70" l="1"/>
  <c r="R318" i="70" s="1"/>
  <c r="S318" i="70" s="1"/>
  <c r="N318" i="70"/>
  <c r="O318" i="70" s="1"/>
  <c r="P318" i="70" s="1"/>
  <c r="K317" i="70"/>
  <c r="L317" i="70" s="1"/>
  <c r="M317" i="70" s="1"/>
  <c r="B317" i="70"/>
  <c r="C317" i="70" s="1"/>
  <c r="D317" i="70" s="1"/>
  <c r="A319" i="70"/>
  <c r="X318" i="70"/>
  <c r="V319" i="70" s="1"/>
  <c r="W319" i="70" s="1"/>
  <c r="F318" i="70"/>
  <c r="G318" i="70" s="1"/>
  <c r="E319" i="70" s="1"/>
  <c r="J165" i="70"/>
  <c r="H166" i="70" s="1"/>
  <c r="Q319" i="70" l="1"/>
  <c r="R319" i="70" s="1"/>
  <c r="S319" i="70" s="1"/>
  <c r="N319" i="70"/>
  <c r="O319" i="70" s="1"/>
  <c r="P319" i="70" s="1"/>
  <c r="K318" i="70"/>
  <c r="L318" i="70" s="1"/>
  <c r="M318" i="70" s="1"/>
  <c r="B318" i="70"/>
  <c r="C318" i="70" s="1"/>
  <c r="D318" i="70" s="1"/>
  <c r="X319" i="70"/>
  <c r="V320" i="70" s="1"/>
  <c r="W320" i="70" s="1"/>
  <c r="A320" i="70"/>
  <c r="AC165" i="70"/>
  <c r="AD165" i="70" s="1"/>
  <c r="F319" i="70"/>
  <c r="G319" i="70" s="1"/>
  <c r="E320" i="70" s="1"/>
  <c r="I166" i="70"/>
  <c r="Q320" i="70" l="1"/>
  <c r="R320" i="70" s="1"/>
  <c r="S320" i="70" s="1"/>
  <c r="N320" i="70"/>
  <c r="O320" i="70" s="1"/>
  <c r="P320" i="70" s="1"/>
  <c r="K319" i="70"/>
  <c r="L319" i="70" s="1"/>
  <c r="M319" i="70" s="1"/>
  <c r="B319" i="70"/>
  <c r="C319" i="70" s="1"/>
  <c r="D319" i="70" s="1"/>
  <c r="X320" i="70"/>
  <c r="V321" i="70" s="1"/>
  <c r="W321" i="70" s="1"/>
  <c r="A321" i="70"/>
  <c r="F320" i="70"/>
  <c r="G320" i="70" s="1"/>
  <c r="E321" i="70" s="1"/>
  <c r="J166" i="70"/>
  <c r="H167" i="70" s="1"/>
  <c r="Q321" i="70" l="1"/>
  <c r="R321" i="70" s="1"/>
  <c r="S321" i="70" s="1"/>
  <c r="N321" i="70"/>
  <c r="O321" i="70" s="1"/>
  <c r="P321" i="70" s="1"/>
  <c r="K320" i="70"/>
  <c r="L320" i="70" s="1"/>
  <c r="M320" i="70" s="1"/>
  <c r="X321" i="70"/>
  <c r="V322" i="70" s="1"/>
  <c r="W322" i="70" s="1"/>
  <c r="B320" i="70"/>
  <c r="C320" i="70" s="1"/>
  <c r="D320" i="70" s="1"/>
  <c r="A322" i="70"/>
  <c r="AC166" i="70"/>
  <c r="AD166" i="70" s="1"/>
  <c r="F321" i="70"/>
  <c r="G321" i="70" s="1"/>
  <c r="E322" i="70" s="1"/>
  <c r="I167" i="70"/>
  <c r="Q322" i="70" l="1"/>
  <c r="R322" i="70" s="1"/>
  <c r="S322" i="70" s="1"/>
  <c r="N322" i="70"/>
  <c r="O322" i="70" s="1"/>
  <c r="P322" i="70" s="1"/>
  <c r="K321" i="70"/>
  <c r="L321" i="70" s="1"/>
  <c r="M321" i="70" s="1"/>
  <c r="B321" i="70"/>
  <c r="C321" i="70" s="1"/>
  <c r="D321" i="70" s="1"/>
  <c r="X322" i="70"/>
  <c r="V323" i="70" s="1"/>
  <c r="W323" i="70" s="1"/>
  <c r="A323" i="70"/>
  <c r="F322" i="70"/>
  <c r="G322" i="70" s="1"/>
  <c r="E323" i="70" s="1"/>
  <c r="J167" i="70"/>
  <c r="H168" i="70" s="1"/>
  <c r="Q323" i="70" l="1"/>
  <c r="R323" i="70" s="1"/>
  <c r="S323" i="70" s="1"/>
  <c r="N323" i="70"/>
  <c r="O323" i="70" s="1"/>
  <c r="P323" i="70" s="1"/>
  <c r="K322" i="70"/>
  <c r="L322" i="70" s="1"/>
  <c r="M322" i="70" s="1"/>
  <c r="B322" i="70"/>
  <c r="C322" i="70" s="1"/>
  <c r="D322" i="70" s="1"/>
  <c r="X323" i="70"/>
  <c r="V324" i="70" s="1"/>
  <c r="W324" i="70" s="1"/>
  <c r="A324" i="70"/>
  <c r="AC167" i="70"/>
  <c r="AD167" i="70" s="1"/>
  <c r="F323" i="70"/>
  <c r="G323" i="70" s="1"/>
  <c r="E324" i="70" s="1"/>
  <c r="I168" i="70"/>
  <c r="Q324" i="70" l="1"/>
  <c r="R324" i="70" s="1"/>
  <c r="S324" i="70" s="1"/>
  <c r="N324" i="70"/>
  <c r="O324" i="70" s="1"/>
  <c r="P324" i="70" s="1"/>
  <c r="K323" i="70"/>
  <c r="L323" i="70" s="1"/>
  <c r="M323" i="70" s="1"/>
  <c r="B323" i="70"/>
  <c r="C323" i="70" s="1"/>
  <c r="D323" i="70" s="1"/>
  <c r="A325" i="70"/>
  <c r="X324" i="70"/>
  <c r="V325" i="70" s="1"/>
  <c r="W325" i="70" s="1"/>
  <c r="F324" i="70"/>
  <c r="G324" i="70" s="1"/>
  <c r="E325" i="70" s="1"/>
  <c r="J168" i="70"/>
  <c r="H169" i="70" s="1"/>
  <c r="Q325" i="70" l="1"/>
  <c r="R325" i="70" s="1"/>
  <c r="S325" i="70" s="1"/>
  <c r="N325" i="70"/>
  <c r="O325" i="70" s="1"/>
  <c r="P325" i="70" s="1"/>
  <c r="K324" i="70"/>
  <c r="L324" i="70" s="1"/>
  <c r="M324" i="70" s="1"/>
  <c r="B324" i="70"/>
  <c r="C324" i="70" s="1"/>
  <c r="D324" i="70" s="1"/>
  <c r="X325" i="70"/>
  <c r="V326" i="70" s="1"/>
  <c r="W326" i="70" s="1"/>
  <c r="AC168" i="70"/>
  <c r="AD168" i="70" s="1"/>
  <c r="A326" i="70"/>
  <c r="F325" i="70"/>
  <c r="G325" i="70" s="1"/>
  <c r="E326" i="70" s="1"/>
  <c r="I169" i="70"/>
  <c r="Q326" i="70" l="1"/>
  <c r="R326" i="70" s="1"/>
  <c r="S326" i="70" s="1"/>
  <c r="N326" i="70"/>
  <c r="O326" i="70" s="1"/>
  <c r="P326" i="70" s="1"/>
  <c r="K325" i="70"/>
  <c r="L325" i="70" s="1"/>
  <c r="M325" i="70" s="1"/>
  <c r="B325" i="70"/>
  <c r="C325" i="70" s="1"/>
  <c r="D325" i="70" s="1"/>
  <c r="X326" i="70"/>
  <c r="V327" i="70" s="1"/>
  <c r="W327" i="70" s="1"/>
  <c r="A327" i="70"/>
  <c r="F326" i="70"/>
  <c r="G326" i="70" s="1"/>
  <c r="E327" i="70" s="1"/>
  <c r="J169" i="70"/>
  <c r="H170" i="70" s="1"/>
  <c r="Q327" i="70" l="1"/>
  <c r="R327" i="70" s="1"/>
  <c r="S327" i="70" s="1"/>
  <c r="N327" i="70"/>
  <c r="O327" i="70" s="1"/>
  <c r="P327" i="70" s="1"/>
  <c r="K326" i="70"/>
  <c r="L326" i="70" s="1"/>
  <c r="M326" i="70" s="1"/>
  <c r="B326" i="70"/>
  <c r="C326" i="70" s="1"/>
  <c r="D326" i="70" s="1"/>
  <c r="X327" i="70"/>
  <c r="V328" i="70" s="1"/>
  <c r="W328" i="70" s="1"/>
  <c r="AC169" i="70"/>
  <c r="AD169" i="70" s="1"/>
  <c r="A328" i="70"/>
  <c r="F327" i="70"/>
  <c r="G327" i="70" s="1"/>
  <c r="E328" i="70" s="1"/>
  <c r="I170" i="70"/>
  <c r="Q328" i="70" l="1"/>
  <c r="R328" i="70" s="1"/>
  <c r="S328" i="70" s="1"/>
  <c r="N328" i="70"/>
  <c r="O328" i="70" s="1"/>
  <c r="P328" i="70" s="1"/>
  <c r="K327" i="70"/>
  <c r="L327" i="70" s="1"/>
  <c r="M327" i="70" s="1"/>
  <c r="X328" i="70"/>
  <c r="V329" i="70" s="1"/>
  <c r="W329" i="70" s="1"/>
  <c r="B327" i="70"/>
  <c r="C327" i="70" s="1"/>
  <c r="D327" i="70" s="1"/>
  <c r="A329" i="70"/>
  <c r="F328" i="70"/>
  <c r="G328" i="70" s="1"/>
  <c r="E329" i="70" s="1"/>
  <c r="J170" i="70"/>
  <c r="H171" i="70" s="1"/>
  <c r="Q329" i="70" l="1"/>
  <c r="R329" i="70" s="1"/>
  <c r="S329" i="70" s="1"/>
  <c r="N329" i="70"/>
  <c r="O329" i="70" s="1"/>
  <c r="P329" i="70" s="1"/>
  <c r="K328" i="70"/>
  <c r="L328" i="70" s="1"/>
  <c r="M328" i="70" s="1"/>
  <c r="B328" i="70"/>
  <c r="C328" i="70" s="1"/>
  <c r="D328" i="70" s="1"/>
  <c r="X329" i="70"/>
  <c r="V330" i="70" s="1"/>
  <c r="W330" i="70" s="1"/>
  <c r="AC170" i="70"/>
  <c r="AD170" i="70" s="1"/>
  <c r="A330" i="70"/>
  <c r="F329" i="70"/>
  <c r="G329" i="70" s="1"/>
  <c r="E330" i="70" s="1"/>
  <c r="I171" i="70"/>
  <c r="Q330" i="70" l="1"/>
  <c r="R330" i="70" s="1"/>
  <c r="S330" i="70" s="1"/>
  <c r="N330" i="70"/>
  <c r="O330" i="70" s="1"/>
  <c r="P330" i="70" s="1"/>
  <c r="K329" i="70"/>
  <c r="L329" i="70" s="1"/>
  <c r="M329" i="70" s="1"/>
  <c r="B329" i="70"/>
  <c r="C329" i="70" s="1"/>
  <c r="D329" i="70" s="1"/>
  <c r="A331" i="70"/>
  <c r="X330" i="70"/>
  <c r="V331" i="70" s="1"/>
  <c r="W331" i="70" s="1"/>
  <c r="F330" i="70"/>
  <c r="G330" i="70" s="1"/>
  <c r="E331" i="70" s="1"/>
  <c r="J171" i="70"/>
  <c r="H172" i="70" s="1"/>
  <c r="Q331" i="70" l="1"/>
  <c r="R331" i="70" s="1"/>
  <c r="S331" i="70" s="1"/>
  <c r="N331" i="70"/>
  <c r="O331" i="70" s="1"/>
  <c r="P331" i="70" s="1"/>
  <c r="K330" i="70"/>
  <c r="L330" i="70" s="1"/>
  <c r="M330" i="70" s="1"/>
  <c r="B330" i="70"/>
  <c r="C330" i="70" s="1"/>
  <c r="D330" i="70" s="1"/>
  <c r="X331" i="70"/>
  <c r="V332" i="70" s="1"/>
  <c r="W332" i="70" s="1"/>
  <c r="A332" i="70"/>
  <c r="AC171" i="70"/>
  <c r="AD171" i="70" s="1"/>
  <c r="F331" i="70"/>
  <c r="G331" i="70" s="1"/>
  <c r="E332" i="70" s="1"/>
  <c r="I172" i="70"/>
  <c r="Q332" i="70" l="1"/>
  <c r="R332" i="70" s="1"/>
  <c r="S332" i="70" s="1"/>
  <c r="N332" i="70"/>
  <c r="O332" i="70" s="1"/>
  <c r="P332" i="70" s="1"/>
  <c r="K331" i="70"/>
  <c r="L331" i="70" s="1"/>
  <c r="M331" i="70" s="1"/>
  <c r="B331" i="70"/>
  <c r="C331" i="70" s="1"/>
  <c r="D331" i="70" s="1"/>
  <c r="X332" i="70"/>
  <c r="V333" i="70" s="1"/>
  <c r="W333" i="70" s="1"/>
  <c r="A333" i="70"/>
  <c r="F332" i="70"/>
  <c r="G332" i="70" s="1"/>
  <c r="E333" i="70" s="1"/>
  <c r="J172" i="70"/>
  <c r="H173" i="70" s="1"/>
  <c r="Q333" i="70" l="1"/>
  <c r="R333" i="70" s="1"/>
  <c r="S333" i="70" s="1"/>
  <c r="N333" i="70"/>
  <c r="O333" i="70" s="1"/>
  <c r="P333" i="70" s="1"/>
  <c r="K332" i="70"/>
  <c r="L332" i="70" s="1"/>
  <c r="M332" i="70" s="1"/>
  <c r="B332" i="70"/>
  <c r="C332" i="70" s="1"/>
  <c r="D332" i="70" s="1"/>
  <c r="X333" i="70"/>
  <c r="V334" i="70" s="1"/>
  <c r="W334" i="70" s="1"/>
  <c r="A334" i="70"/>
  <c r="AC172" i="70"/>
  <c r="AD172" i="70" s="1"/>
  <c r="F333" i="70"/>
  <c r="G333" i="70" s="1"/>
  <c r="E334" i="70" s="1"/>
  <c r="I173" i="70"/>
  <c r="Q334" i="70" l="1"/>
  <c r="R334" i="70" s="1"/>
  <c r="S334" i="70" s="1"/>
  <c r="N334" i="70"/>
  <c r="O334" i="70" s="1"/>
  <c r="P334" i="70" s="1"/>
  <c r="K333" i="70"/>
  <c r="L333" i="70" s="1"/>
  <c r="M333" i="70" s="1"/>
  <c r="B333" i="70"/>
  <c r="C333" i="70" s="1"/>
  <c r="D333" i="70" s="1"/>
  <c r="A335" i="70"/>
  <c r="X334" i="70"/>
  <c r="V335" i="70" s="1"/>
  <c r="W335" i="70" s="1"/>
  <c r="F334" i="70"/>
  <c r="G334" i="70" s="1"/>
  <c r="E335" i="70" s="1"/>
  <c r="J173" i="70"/>
  <c r="H174" i="70" s="1"/>
  <c r="Q335" i="70" l="1"/>
  <c r="R335" i="70" s="1"/>
  <c r="S335" i="70" s="1"/>
  <c r="N335" i="70"/>
  <c r="O335" i="70" s="1"/>
  <c r="P335" i="70" s="1"/>
  <c r="K334" i="70"/>
  <c r="L334" i="70" s="1"/>
  <c r="M334" i="70" s="1"/>
  <c r="B334" i="70"/>
  <c r="C334" i="70" s="1"/>
  <c r="D334" i="70" s="1"/>
  <c r="X335" i="70"/>
  <c r="V336" i="70" s="1"/>
  <c r="W336" i="70" s="1"/>
  <c r="A336" i="70"/>
  <c r="AC173" i="70"/>
  <c r="AD173" i="70" s="1"/>
  <c r="F335" i="70"/>
  <c r="G335" i="70" s="1"/>
  <c r="E336" i="70" s="1"/>
  <c r="I174" i="70"/>
  <c r="Q336" i="70" l="1"/>
  <c r="R336" i="70" s="1"/>
  <c r="S336" i="70" s="1"/>
  <c r="N336" i="70"/>
  <c r="O336" i="70" s="1"/>
  <c r="P336" i="70" s="1"/>
  <c r="K335" i="70"/>
  <c r="L335" i="70" s="1"/>
  <c r="M335" i="70" s="1"/>
  <c r="B335" i="70"/>
  <c r="C335" i="70" s="1"/>
  <c r="D335" i="70" s="1"/>
  <c r="A337" i="70"/>
  <c r="X336" i="70"/>
  <c r="V337" i="70" s="1"/>
  <c r="W337" i="70" s="1"/>
  <c r="F336" i="70"/>
  <c r="G336" i="70" s="1"/>
  <c r="E337" i="70" s="1"/>
  <c r="J174" i="70"/>
  <c r="H175" i="70" s="1"/>
  <c r="X337" i="70" l="1"/>
  <c r="V338" i="70" s="1"/>
  <c r="W338" i="70" s="1"/>
  <c r="Q337" i="70"/>
  <c r="R337" i="70" s="1"/>
  <c r="S337" i="70" s="1"/>
  <c r="N337" i="70"/>
  <c r="O337" i="70" s="1"/>
  <c r="P337" i="70" s="1"/>
  <c r="K336" i="70"/>
  <c r="L336" i="70" s="1"/>
  <c r="M336" i="70" s="1"/>
  <c r="B336" i="70"/>
  <c r="C336" i="70" s="1"/>
  <c r="D336" i="70" s="1"/>
  <c r="AC174" i="70"/>
  <c r="AD174" i="70" s="1"/>
  <c r="A338" i="70"/>
  <c r="F337" i="70"/>
  <c r="G337" i="70" s="1"/>
  <c r="E338" i="70" s="1"/>
  <c r="I175" i="70"/>
  <c r="Q338" i="70" l="1"/>
  <c r="R338" i="70" s="1"/>
  <c r="S338" i="70" s="1"/>
  <c r="N338" i="70"/>
  <c r="O338" i="70" s="1"/>
  <c r="P338" i="70" s="1"/>
  <c r="K337" i="70"/>
  <c r="L337" i="70" s="1"/>
  <c r="M337" i="70" s="1"/>
  <c r="B337" i="70"/>
  <c r="C337" i="70" s="1"/>
  <c r="D337" i="70" s="1"/>
  <c r="A339" i="70"/>
  <c r="X338" i="70"/>
  <c r="V339" i="70" s="1"/>
  <c r="W339" i="70" s="1"/>
  <c r="X339" i="70" s="1"/>
  <c r="V340" i="70" s="1"/>
  <c r="F338" i="70"/>
  <c r="G338" i="70" s="1"/>
  <c r="E339" i="70" s="1"/>
  <c r="J175" i="70"/>
  <c r="H176" i="70" s="1"/>
  <c r="Q339" i="70" l="1"/>
  <c r="R339" i="70" s="1"/>
  <c r="S339" i="70" s="1"/>
  <c r="N339" i="70"/>
  <c r="O339" i="70" s="1"/>
  <c r="P339" i="70" s="1"/>
  <c r="K338" i="70"/>
  <c r="L338" i="70" s="1"/>
  <c r="M338" i="70" s="1"/>
  <c r="B338" i="70"/>
  <c r="C338" i="70" s="1"/>
  <c r="D338" i="70" s="1"/>
  <c r="A340" i="70"/>
  <c r="AC175" i="70"/>
  <c r="AD175" i="70" s="1"/>
  <c r="F339" i="70"/>
  <c r="G339" i="70" s="1"/>
  <c r="E340" i="70" s="1"/>
  <c r="I176" i="70"/>
  <c r="W340" i="70"/>
  <c r="Q340" i="70" l="1"/>
  <c r="R340" i="70" s="1"/>
  <c r="S340" i="70" s="1"/>
  <c r="N340" i="70"/>
  <c r="O340" i="70" s="1"/>
  <c r="P340" i="70" s="1"/>
  <c r="K339" i="70"/>
  <c r="L339" i="70" s="1"/>
  <c r="M339" i="70" s="1"/>
  <c r="B339" i="70"/>
  <c r="C339" i="70" s="1"/>
  <c r="D339" i="70" s="1"/>
  <c r="A341" i="70"/>
  <c r="X340" i="70"/>
  <c r="V341" i="70" s="1"/>
  <c r="W341" i="70" s="1"/>
  <c r="F340" i="70"/>
  <c r="G340" i="70" s="1"/>
  <c r="E341" i="70" s="1"/>
  <c r="J176" i="70"/>
  <c r="H177" i="70" s="1"/>
  <c r="Q341" i="70" l="1"/>
  <c r="R341" i="70" s="1"/>
  <c r="S341" i="70" s="1"/>
  <c r="N341" i="70"/>
  <c r="O341" i="70" s="1"/>
  <c r="P341" i="70" s="1"/>
  <c r="K340" i="70"/>
  <c r="L340" i="70" s="1"/>
  <c r="M340" i="70" s="1"/>
  <c r="B340" i="70"/>
  <c r="C340" i="70" s="1"/>
  <c r="D340" i="70" s="1"/>
  <c r="X341" i="70"/>
  <c r="V342" i="70" s="1"/>
  <c r="W342" i="70" s="1"/>
  <c r="A342" i="70"/>
  <c r="AC176" i="70"/>
  <c r="AD176" i="70" s="1"/>
  <c r="F341" i="70"/>
  <c r="G341" i="70" s="1"/>
  <c r="E342" i="70" s="1"/>
  <c r="I177" i="70"/>
  <c r="Q342" i="70" l="1"/>
  <c r="R342" i="70" s="1"/>
  <c r="S342" i="70" s="1"/>
  <c r="N342" i="70"/>
  <c r="O342" i="70" s="1"/>
  <c r="P342" i="70" s="1"/>
  <c r="K341" i="70"/>
  <c r="L341" i="70" s="1"/>
  <c r="M341" i="70" s="1"/>
  <c r="B341" i="70"/>
  <c r="C341" i="70" s="1"/>
  <c r="D341" i="70" s="1"/>
  <c r="X342" i="70"/>
  <c r="V343" i="70" s="1"/>
  <c r="W343" i="70" s="1"/>
  <c r="A343" i="70"/>
  <c r="F342" i="70"/>
  <c r="G342" i="70" s="1"/>
  <c r="E343" i="70" s="1"/>
  <c r="J177" i="70"/>
  <c r="H178" i="70" s="1"/>
  <c r="Q343" i="70" l="1"/>
  <c r="R343" i="70" s="1"/>
  <c r="S343" i="70" s="1"/>
  <c r="N343" i="70"/>
  <c r="O343" i="70" s="1"/>
  <c r="P343" i="70" s="1"/>
  <c r="K342" i="70"/>
  <c r="L342" i="70" s="1"/>
  <c r="M342" i="70" s="1"/>
  <c r="B342" i="70"/>
  <c r="C342" i="70" s="1"/>
  <c r="D342" i="70" s="1"/>
  <c r="X343" i="70"/>
  <c r="V344" i="70" s="1"/>
  <c r="W344" i="70" s="1"/>
  <c r="A344" i="70"/>
  <c r="AC177" i="70"/>
  <c r="AD177" i="70" s="1"/>
  <c r="F343" i="70"/>
  <c r="G343" i="70" s="1"/>
  <c r="E344" i="70" s="1"/>
  <c r="I178" i="70"/>
  <c r="Q344" i="70" l="1"/>
  <c r="R344" i="70" s="1"/>
  <c r="S344" i="70" s="1"/>
  <c r="N344" i="70"/>
  <c r="O344" i="70" s="1"/>
  <c r="P344" i="70" s="1"/>
  <c r="K343" i="70"/>
  <c r="L343" i="70" s="1"/>
  <c r="M343" i="70" s="1"/>
  <c r="B343" i="70"/>
  <c r="C343" i="70" s="1"/>
  <c r="D343" i="70" s="1"/>
  <c r="X344" i="70"/>
  <c r="V345" i="70" s="1"/>
  <c r="W345" i="70" s="1"/>
  <c r="A345" i="70"/>
  <c r="F344" i="70"/>
  <c r="G344" i="70" s="1"/>
  <c r="E345" i="70" s="1"/>
  <c r="J178" i="70"/>
  <c r="H179" i="70" s="1"/>
  <c r="Q345" i="70" l="1"/>
  <c r="R345" i="70" s="1"/>
  <c r="S345" i="70" s="1"/>
  <c r="N345" i="70"/>
  <c r="O345" i="70" s="1"/>
  <c r="P345" i="70" s="1"/>
  <c r="K344" i="70"/>
  <c r="L344" i="70" s="1"/>
  <c r="M344" i="70" s="1"/>
  <c r="B344" i="70"/>
  <c r="C344" i="70" s="1"/>
  <c r="D344" i="70" s="1"/>
  <c r="X345" i="70"/>
  <c r="V346" i="70" s="1"/>
  <c r="W346" i="70" s="1"/>
  <c r="A346" i="70"/>
  <c r="AC178" i="70"/>
  <c r="AD178" i="70" s="1"/>
  <c r="F345" i="70"/>
  <c r="G345" i="70" s="1"/>
  <c r="E346" i="70" s="1"/>
  <c r="I179" i="70"/>
  <c r="Q346" i="70" l="1"/>
  <c r="R346" i="70" s="1"/>
  <c r="S346" i="70" s="1"/>
  <c r="N346" i="70"/>
  <c r="O346" i="70" s="1"/>
  <c r="P346" i="70" s="1"/>
  <c r="K345" i="70"/>
  <c r="L345" i="70" s="1"/>
  <c r="M345" i="70" s="1"/>
  <c r="B345" i="70"/>
  <c r="C345" i="70" s="1"/>
  <c r="D345" i="70" s="1"/>
  <c r="A347" i="70"/>
  <c r="X346" i="70"/>
  <c r="V347" i="70" s="1"/>
  <c r="W347" i="70" s="1"/>
  <c r="X347" i="70" s="1"/>
  <c r="V348" i="70" s="1"/>
  <c r="F346" i="70"/>
  <c r="G346" i="70" s="1"/>
  <c r="E347" i="70" s="1"/>
  <c r="J179" i="70"/>
  <c r="H180" i="70" s="1"/>
  <c r="Q347" i="70" l="1"/>
  <c r="R347" i="70" s="1"/>
  <c r="S347" i="70" s="1"/>
  <c r="N347" i="70"/>
  <c r="O347" i="70" s="1"/>
  <c r="P347" i="70" s="1"/>
  <c r="K346" i="70"/>
  <c r="L346" i="70" s="1"/>
  <c r="M346" i="70" s="1"/>
  <c r="B346" i="70"/>
  <c r="C346" i="70" s="1"/>
  <c r="D346" i="70" s="1"/>
  <c r="AC179" i="70"/>
  <c r="AD179" i="70" s="1"/>
  <c r="A348" i="70"/>
  <c r="F347" i="70"/>
  <c r="G347" i="70" s="1"/>
  <c r="E348" i="70" s="1"/>
  <c r="I180" i="70"/>
  <c r="W348" i="70"/>
  <c r="Q348" i="70" l="1"/>
  <c r="R348" i="70" s="1"/>
  <c r="S348" i="70" s="1"/>
  <c r="N348" i="70"/>
  <c r="O348" i="70" s="1"/>
  <c r="P348" i="70" s="1"/>
  <c r="K347" i="70"/>
  <c r="L347" i="70" s="1"/>
  <c r="M347" i="70" s="1"/>
  <c r="B347" i="70"/>
  <c r="C347" i="70" s="1"/>
  <c r="D347" i="70" s="1"/>
  <c r="X348" i="70"/>
  <c r="V349" i="70" s="1"/>
  <c r="W349" i="70" s="1"/>
  <c r="A349" i="70"/>
  <c r="F348" i="70"/>
  <c r="G348" i="70" s="1"/>
  <c r="E349" i="70" s="1"/>
  <c r="J180" i="70"/>
  <c r="H181" i="70" s="1"/>
  <c r="Q349" i="70" l="1"/>
  <c r="R349" i="70" s="1"/>
  <c r="S349" i="70" s="1"/>
  <c r="N349" i="70"/>
  <c r="O349" i="70" s="1"/>
  <c r="P349" i="70" s="1"/>
  <c r="K348" i="70"/>
  <c r="L348" i="70" s="1"/>
  <c r="M348" i="70" s="1"/>
  <c r="B348" i="70"/>
  <c r="C348" i="70" s="1"/>
  <c r="D348" i="70" s="1"/>
  <c r="A350" i="70"/>
  <c r="X349" i="70"/>
  <c r="V350" i="70" s="1"/>
  <c r="W350" i="70" s="1"/>
  <c r="AC180" i="70"/>
  <c r="AD180" i="70" s="1"/>
  <c r="F349" i="70"/>
  <c r="G349" i="70" s="1"/>
  <c r="E350" i="70" s="1"/>
  <c r="I181" i="70"/>
  <c r="Q350" i="70" l="1"/>
  <c r="R350" i="70" s="1"/>
  <c r="S350" i="70" s="1"/>
  <c r="N350" i="70"/>
  <c r="O350" i="70" s="1"/>
  <c r="P350" i="70" s="1"/>
  <c r="K349" i="70"/>
  <c r="L349" i="70" s="1"/>
  <c r="M349" i="70" s="1"/>
  <c r="B349" i="70"/>
  <c r="C349" i="70" s="1"/>
  <c r="D349" i="70" s="1"/>
  <c r="X350" i="70"/>
  <c r="V351" i="70" s="1"/>
  <c r="W351" i="70" s="1"/>
  <c r="A351" i="70"/>
  <c r="F350" i="70"/>
  <c r="G350" i="70" s="1"/>
  <c r="E351" i="70" s="1"/>
  <c r="J181" i="70"/>
  <c r="H182" i="70" s="1"/>
  <c r="Q351" i="70" l="1"/>
  <c r="R351" i="70" s="1"/>
  <c r="S351" i="70" s="1"/>
  <c r="N351" i="70"/>
  <c r="O351" i="70" s="1"/>
  <c r="P351" i="70" s="1"/>
  <c r="K350" i="70"/>
  <c r="L350" i="70" s="1"/>
  <c r="M350" i="70" s="1"/>
  <c r="X351" i="70"/>
  <c r="V352" i="70" s="1"/>
  <c r="W352" i="70" s="1"/>
  <c r="B350" i="70"/>
  <c r="C350" i="70" s="1"/>
  <c r="D350" i="70" s="1"/>
  <c r="A352" i="70"/>
  <c r="AC181" i="70"/>
  <c r="AD181" i="70" s="1"/>
  <c r="F351" i="70"/>
  <c r="G351" i="70" s="1"/>
  <c r="E352" i="70" s="1"/>
  <c r="I182" i="70"/>
  <c r="Q352" i="70" l="1"/>
  <c r="R352" i="70" s="1"/>
  <c r="S352" i="70" s="1"/>
  <c r="N352" i="70"/>
  <c r="O352" i="70" s="1"/>
  <c r="P352" i="70" s="1"/>
  <c r="K351" i="70"/>
  <c r="L351" i="70" s="1"/>
  <c r="M351" i="70" s="1"/>
  <c r="B351" i="70"/>
  <c r="C351" i="70" s="1"/>
  <c r="D351" i="70" s="1"/>
  <c r="X352" i="70"/>
  <c r="V353" i="70" s="1"/>
  <c r="W353" i="70" s="1"/>
  <c r="A353" i="70"/>
  <c r="F352" i="70"/>
  <c r="G352" i="70" s="1"/>
  <c r="E353" i="70" s="1"/>
  <c r="J182" i="70"/>
  <c r="H183" i="70" s="1"/>
  <c r="Q353" i="70" l="1"/>
  <c r="R353" i="70" s="1"/>
  <c r="S353" i="70" s="1"/>
  <c r="N353" i="70"/>
  <c r="O353" i="70" s="1"/>
  <c r="P353" i="70" s="1"/>
  <c r="K352" i="70"/>
  <c r="L352" i="70" s="1"/>
  <c r="M352" i="70" s="1"/>
  <c r="B352" i="70"/>
  <c r="C352" i="70" s="1"/>
  <c r="D352" i="70" s="1"/>
  <c r="X353" i="70"/>
  <c r="V354" i="70" s="1"/>
  <c r="W354" i="70" s="1"/>
  <c r="A354" i="70"/>
  <c r="AC182" i="70"/>
  <c r="AD182" i="70" s="1"/>
  <c r="F353" i="70"/>
  <c r="G353" i="70" s="1"/>
  <c r="E354" i="70" s="1"/>
  <c r="I183" i="70"/>
  <c r="Q354" i="70" l="1"/>
  <c r="R354" i="70" s="1"/>
  <c r="S354" i="70" s="1"/>
  <c r="N354" i="70"/>
  <c r="O354" i="70" s="1"/>
  <c r="P354" i="70" s="1"/>
  <c r="K353" i="70"/>
  <c r="L353" i="70" s="1"/>
  <c r="M353" i="70" s="1"/>
  <c r="B353" i="70"/>
  <c r="C353" i="70" s="1"/>
  <c r="D353" i="70" s="1"/>
  <c r="X354" i="70"/>
  <c r="V355" i="70" s="1"/>
  <c r="W355" i="70" s="1"/>
  <c r="A355" i="70"/>
  <c r="F354" i="70"/>
  <c r="G354" i="70" s="1"/>
  <c r="E355" i="70" s="1"/>
  <c r="J183" i="70"/>
  <c r="H184" i="70" s="1"/>
  <c r="Q355" i="70" l="1"/>
  <c r="R355" i="70" s="1"/>
  <c r="S355" i="70" s="1"/>
  <c r="N355" i="70"/>
  <c r="O355" i="70" s="1"/>
  <c r="P355" i="70" s="1"/>
  <c r="K354" i="70"/>
  <c r="L354" i="70" s="1"/>
  <c r="M354" i="70" s="1"/>
  <c r="B354" i="70"/>
  <c r="C354" i="70" s="1"/>
  <c r="D354" i="70" s="1"/>
  <c r="X355" i="70"/>
  <c r="V356" i="70" s="1"/>
  <c r="W356" i="70" s="1"/>
  <c r="A356" i="70"/>
  <c r="AC183" i="70"/>
  <c r="AD183" i="70" s="1"/>
  <c r="F355" i="70"/>
  <c r="G355" i="70" s="1"/>
  <c r="E356" i="70" s="1"/>
  <c r="I184" i="70"/>
  <c r="Q356" i="70" l="1"/>
  <c r="R356" i="70" s="1"/>
  <c r="S356" i="70" s="1"/>
  <c r="N356" i="70"/>
  <c r="O356" i="70" s="1"/>
  <c r="P356" i="70" s="1"/>
  <c r="K355" i="70"/>
  <c r="L355" i="70" s="1"/>
  <c r="M355" i="70" s="1"/>
  <c r="B355" i="70"/>
  <c r="C355" i="70" s="1"/>
  <c r="D355" i="70" s="1"/>
  <c r="A357" i="70"/>
  <c r="X356" i="70"/>
  <c r="V357" i="70" s="1"/>
  <c r="W357" i="70" s="1"/>
  <c r="F356" i="70"/>
  <c r="G356" i="70" s="1"/>
  <c r="E357" i="70" s="1"/>
  <c r="J184" i="70"/>
  <c r="H185" i="70" s="1"/>
  <c r="Q357" i="70" l="1"/>
  <c r="R357" i="70" s="1"/>
  <c r="S357" i="70" s="1"/>
  <c r="N357" i="70"/>
  <c r="O357" i="70" s="1"/>
  <c r="P357" i="70" s="1"/>
  <c r="K356" i="70"/>
  <c r="L356" i="70" s="1"/>
  <c r="M356" i="70" s="1"/>
  <c r="B356" i="70"/>
  <c r="C356" i="70" s="1"/>
  <c r="D356" i="70" s="1"/>
  <c r="X357" i="70"/>
  <c r="V358" i="70" s="1"/>
  <c r="W358" i="70" s="1"/>
  <c r="A358" i="70"/>
  <c r="AC184" i="70"/>
  <c r="AD184" i="70" s="1"/>
  <c r="F357" i="70"/>
  <c r="G357" i="70" s="1"/>
  <c r="E358" i="70" s="1"/>
  <c r="I185" i="70"/>
  <c r="Q358" i="70" l="1"/>
  <c r="R358" i="70" s="1"/>
  <c r="S358" i="70" s="1"/>
  <c r="N358" i="70"/>
  <c r="O358" i="70" s="1"/>
  <c r="P358" i="70" s="1"/>
  <c r="K357" i="70"/>
  <c r="L357" i="70" s="1"/>
  <c r="M357" i="70" s="1"/>
  <c r="X358" i="70"/>
  <c r="V359" i="70" s="1"/>
  <c r="W359" i="70" s="1"/>
  <c r="B357" i="70"/>
  <c r="C357" i="70" s="1"/>
  <c r="D357" i="70" s="1"/>
  <c r="A359" i="70"/>
  <c r="F358" i="70"/>
  <c r="G358" i="70" s="1"/>
  <c r="E359" i="70" s="1"/>
  <c r="J185" i="70"/>
  <c r="H186" i="70" s="1"/>
  <c r="Q359" i="70" l="1"/>
  <c r="R359" i="70" s="1"/>
  <c r="S359" i="70" s="1"/>
  <c r="N359" i="70"/>
  <c r="O359" i="70" s="1"/>
  <c r="P359" i="70" s="1"/>
  <c r="K358" i="70"/>
  <c r="L358" i="70" s="1"/>
  <c r="M358" i="70" s="1"/>
  <c r="B358" i="70"/>
  <c r="C358" i="70" s="1"/>
  <c r="D358" i="70" s="1"/>
  <c r="A360" i="70"/>
  <c r="X359" i="70"/>
  <c r="V360" i="70" s="1"/>
  <c r="W360" i="70" s="1"/>
  <c r="AC185" i="70"/>
  <c r="AD185" i="70" s="1"/>
  <c r="F359" i="70"/>
  <c r="G359" i="70" s="1"/>
  <c r="E360" i="70" s="1"/>
  <c r="I186" i="70"/>
  <c r="Q360" i="70" l="1"/>
  <c r="R360" i="70" s="1"/>
  <c r="S360" i="70" s="1"/>
  <c r="N360" i="70"/>
  <c r="O360" i="70" s="1"/>
  <c r="P360" i="70" s="1"/>
  <c r="K359" i="70"/>
  <c r="L359" i="70" s="1"/>
  <c r="M359" i="70" s="1"/>
  <c r="B359" i="70"/>
  <c r="C359" i="70" s="1"/>
  <c r="D359" i="70" s="1"/>
  <c r="A361" i="70"/>
  <c r="X360" i="70"/>
  <c r="V361" i="70" s="1"/>
  <c r="W361" i="70" s="1"/>
  <c r="F360" i="70"/>
  <c r="G360" i="70" s="1"/>
  <c r="E361" i="70" s="1"/>
  <c r="J186" i="70"/>
  <c r="H187" i="70" s="1"/>
  <c r="X361" i="70" l="1"/>
  <c r="V362" i="70" s="1"/>
  <c r="W362" i="70" s="1"/>
  <c r="Q361" i="70"/>
  <c r="R361" i="70" s="1"/>
  <c r="S361" i="70" s="1"/>
  <c r="N361" i="70"/>
  <c r="O361" i="70" s="1"/>
  <c r="P361" i="70" s="1"/>
  <c r="K360" i="70"/>
  <c r="L360" i="70" s="1"/>
  <c r="M360" i="70" s="1"/>
  <c r="B360" i="70"/>
  <c r="C360" i="70" s="1"/>
  <c r="D360" i="70" s="1"/>
  <c r="AC186" i="70"/>
  <c r="AD186" i="70" s="1"/>
  <c r="A362" i="70"/>
  <c r="F361" i="70"/>
  <c r="G361" i="70" s="1"/>
  <c r="E362" i="70" s="1"/>
  <c r="I187" i="70"/>
  <c r="Q362" i="70" l="1"/>
  <c r="R362" i="70" s="1"/>
  <c r="S362" i="70" s="1"/>
  <c r="N362" i="70"/>
  <c r="O362" i="70" s="1"/>
  <c r="P362" i="70" s="1"/>
  <c r="K361" i="70"/>
  <c r="L361" i="70" s="1"/>
  <c r="M361" i="70" s="1"/>
  <c r="B361" i="70"/>
  <c r="C361" i="70" s="1"/>
  <c r="D361" i="70" s="1"/>
  <c r="X362" i="70"/>
  <c r="V363" i="70" s="1"/>
  <c r="W363" i="70" s="1"/>
  <c r="A363" i="70"/>
  <c r="F362" i="70"/>
  <c r="G362" i="70" s="1"/>
  <c r="E363" i="70" s="1"/>
  <c r="J187" i="70"/>
  <c r="H188" i="70" s="1"/>
  <c r="Q363" i="70" l="1"/>
  <c r="R363" i="70" s="1"/>
  <c r="S363" i="70" s="1"/>
  <c r="N363" i="70"/>
  <c r="O363" i="70" s="1"/>
  <c r="P363" i="70" s="1"/>
  <c r="K362" i="70"/>
  <c r="L362" i="70" s="1"/>
  <c r="M362" i="70" s="1"/>
  <c r="X363" i="70"/>
  <c r="V364" i="70" s="1"/>
  <c r="W364" i="70" s="1"/>
  <c r="B362" i="70"/>
  <c r="C362" i="70" s="1"/>
  <c r="D362" i="70" s="1"/>
  <c r="AC187" i="70"/>
  <c r="AD187" i="70" s="1"/>
  <c r="A364" i="70"/>
  <c r="F363" i="70"/>
  <c r="G363" i="70" s="1"/>
  <c r="E364" i="70" s="1"/>
  <c r="I188" i="70"/>
  <c r="Q364" i="70" l="1"/>
  <c r="R364" i="70" s="1"/>
  <c r="S364" i="70" s="1"/>
  <c r="N364" i="70"/>
  <c r="O364" i="70" s="1"/>
  <c r="P364" i="70" s="1"/>
  <c r="K363" i="70"/>
  <c r="L363" i="70" s="1"/>
  <c r="M363" i="70" s="1"/>
  <c r="B363" i="70"/>
  <c r="C363" i="70" s="1"/>
  <c r="D363" i="70" s="1"/>
  <c r="X364" i="70"/>
  <c r="V365" i="70" s="1"/>
  <c r="W365" i="70" s="1"/>
  <c r="A365" i="70"/>
  <c r="F364" i="70"/>
  <c r="G364" i="70" s="1"/>
  <c r="E365" i="70" s="1"/>
  <c r="J188" i="70"/>
  <c r="H189" i="70" s="1"/>
  <c r="Q365" i="70" l="1"/>
  <c r="R365" i="70" s="1"/>
  <c r="S365" i="70" s="1"/>
  <c r="N365" i="70"/>
  <c r="O365" i="70" s="1"/>
  <c r="P365" i="70" s="1"/>
  <c r="K364" i="70"/>
  <c r="L364" i="70" s="1"/>
  <c r="M364" i="70" s="1"/>
  <c r="X365" i="70"/>
  <c r="V366" i="70" s="1"/>
  <c r="W366" i="70" s="1"/>
  <c r="B364" i="70"/>
  <c r="C364" i="70" s="1"/>
  <c r="D364" i="70" s="1"/>
  <c r="A366" i="70"/>
  <c r="AC188" i="70"/>
  <c r="AD188" i="70" s="1"/>
  <c r="F365" i="70"/>
  <c r="G365" i="70" s="1"/>
  <c r="E366" i="70" s="1"/>
  <c r="I189" i="70"/>
  <c r="Q366" i="70" l="1"/>
  <c r="R366" i="70" s="1"/>
  <c r="S366" i="70" s="1"/>
  <c r="N366" i="70"/>
  <c r="O366" i="70" s="1"/>
  <c r="P366" i="70" s="1"/>
  <c r="K365" i="70"/>
  <c r="L365" i="70" s="1"/>
  <c r="M365" i="70" s="1"/>
  <c r="B365" i="70"/>
  <c r="C365" i="70" s="1"/>
  <c r="D365" i="70" s="1"/>
  <c r="A367" i="70"/>
  <c r="X366" i="70"/>
  <c r="V367" i="70" s="1"/>
  <c r="W367" i="70" s="1"/>
  <c r="F366" i="70"/>
  <c r="G366" i="70" s="1"/>
  <c r="E367" i="70" s="1"/>
  <c r="J189" i="70"/>
  <c r="H190" i="70" s="1"/>
  <c r="Q367" i="70" l="1"/>
  <c r="R367" i="70" s="1"/>
  <c r="S367" i="70" s="1"/>
  <c r="N367" i="70"/>
  <c r="O367" i="70" s="1"/>
  <c r="P367" i="70" s="1"/>
  <c r="K366" i="70"/>
  <c r="L366" i="70" s="1"/>
  <c r="M366" i="70" s="1"/>
  <c r="X367" i="70"/>
  <c r="V368" i="70" s="1"/>
  <c r="W368" i="70" s="1"/>
  <c r="B366" i="70"/>
  <c r="C366" i="70" s="1"/>
  <c r="D366" i="70" s="1"/>
  <c r="AC189" i="70"/>
  <c r="AD189" i="70" s="1"/>
  <c r="A368" i="70"/>
  <c r="F367" i="70"/>
  <c r="G367" i="70" s="1"/>
  <c r="E368" i="70" s="1"/>
  <c r="I190" i="70"/>
  <c r="Q368" i="70" l="1"/>
  <c r="R368" i="70" s="1"/>
  <c r="S368" i="70" s="1"/>
  <c r="N368" i="70"/>
  <c r="O368" i="70" s="1"/>
  <c r="P368" i="70" s="1"/>
  <c r="K367" i="70"/>
  <c r="L367" i="70" s="1"/>
  <c r="M367" i="70" s="1"/>
  <c r="B367" i="70"/>
  <c r="C367" i="70" s="1"/>
  <c r="D367" i="70" s="1"/>
  <c r="A369" i="70"/>
  <c r="X368" i="70"/>
  <c r="V369" i="70" s="1"/>
  <c r="W369" i="70" s="1"/>
  <c r="X369" i="70" s="1"/>
  <c r="V370" i="70" s="1"/>
  <c r="F368" i="70"/>
  <c r="G368" i="70" s="1"/>
  <c r="E369" i="70" s="1"/>
  <c r="J190" i="70"/>
  <c r="H191" i="70" s="1"/>
  <c r="Q369" i="70" l="1"/>
  <c r="R369" i="70" s="1"/>
  <c r="S369" i="70" s="1"/>
  <c r="N369" i="70"/>
  <c r="O369" i="70" s="1"/>
  <c r="P369" i="70" s="1"/>
  <c r="K368" i="70"/>
  <c r="L368" i="70" s="1"/>
  <c r="M368" i="70" s="1"/>
  <c r="B368" i="70"/>
  <c r="C368" i="70" s="1"/>
  <c r="D368" i="70" s="1"/>
  <c r="A370" i="70"/>
  <c r="AC190" i="70"/>
  <c r="AD190" i="70" s="1"/>
  <c r="F369" i="70"/>
  <c r="G369" i="70" s="1"/>
  <c r="E370" i="70" s="1"/>
  <c r="I191" i="70"/>
  <c r="W370" i="70"/>
  <c r="Q370" i="70" l="1"/>
  <c r="R370" i="70" s="1"/>
  <c r="S370" i="70" s="1"/>
  <c r="N370" i="70"/>
  <c r="O370" i="70" s="1"/>
  <c r="P370" i="70" s="1"/>
  <c r="K369" i="70"/>
  <c r="L369" i="70" s="1"/>
  <c r="M369" i="70" s="1"/>
  <c r="B369" i="70"/>
  <c r="C369" i="70" s="1"/>
  <c r="D369" i="70" s="1"/>
  <c r="A371" i="70"/>
  <c r="X370" i="70"/>
  <c r="V371" i="70" s="1"/>
  <c r="W371" i="70" s="1"/>
  <c r="F370" i="70"/>
  <c r="G370" i="70" s="1"/>
  <c r="E371" i="70" s="1"/>
  <c r="J191" i="70"/>
  <c r="H192" i="70" s="1"/>
  <c r="Q371" i="70" l="1"/>
  <c r="R371" i="70" s="1"/>
  <c r="S371" i="70" s="1"/>
  <c r="N371" i="70"/>
  <c r="O371" i="70" s="1"/>
  <c r="P371" i="70" s="1"/>
  <c r="K370" i="70"/>
  <c r="L370" i="70" s="1"/>
  <c r="M370" i="70" s="1"/>
  <c r="B370" i="70"/>
  <c r="C370" i="70" s="1"/>
  <c r="D370" i="70" s="1"/>
  <c r="X371" i="70"/>
  <c r="V372" i="70" s="1"/>
  <c r="W372" i="70" s="1"/>
  <c r="A372" i="70"/>
  <c r="AC191" i="70"/>
  <c r="AD191" i="70" s="1"/>
  <c r="F371" i="70"/>
  <c r="G371" i="70" s="1"/>
  <c r="E372" i="70" s="1"/>
  <c r="I192" i="70"/>
  <c r="Q372" i="70" l="1"/>
  <c r="R372" i="70" s="1"/>
  <c r="S372" i="70" s="1"/>
  <c r="N372" i="70"/>
  <c r="O372" i="70" s="1"/>
  <c r="P372" i="70" s="1"/>
  <c r="K371" i="70"/>
  <c r="L371" i="70" s="1"/>
  <c r="M371" i="70" s="1"/>
  <c r="B371" i="70"/>
  <c r="C371" i="70" s="1"/>
  <c r="D371" i="70" s="1"/>
  <c r="A373" i="70"/>
  <c r="X372" i="70"/>
  <c r="V373" i="70" s="1"/>
  <c r="W373" i="70" s="1"/>
  <c r="F372" i="70"/>
  <c r="G372" i="70" s="1"/>
  <c r="E373" i="70" s="1"/>
  <c r="J192" i="70"/>
  <c r="H193" i="70" s="1"/>
  <c r="X373" i="70" l="1"/>
  <c r="V374" i="70" s="1"/>
  <c r="W374" i="70" s="1"/>
  <c r="Q373" i="70"/>
  <c r="R373" i="70" s="1"/>
  <c r="S373" i="70" s="1"/>
  <c r="N373" i="70"/>
  <c r="O373" i="70" s="1"/>
  <c r="P373" i="70" s="1"/>
  <c r="K372" i="70"/>
  <c r="L372" i="70" s="1"/>
  <c r="M372" i="70" s="1"/>
  <c r="B372" i="70"/>
  <c r="C372" i="70" s="1"/>
  <c r="D372" i="70" s="1"/>
  <c r="AC192" i="70"/>
  <c r="AD192" i="70" s="1"/>
  <c r="A374" i="70"/>
  <c r="F373" i="70"/>
  <c r="G373" i="70" s="1"/>
  <c r="E374" i="70" s="1"/>
  <c r="I193" i="70"/>
  <c r="Q374" i="70" l="1"/>
  <c r="R374" i="70" s="1"/>
  <c r="S374" i="70" s="1"/>
  <c r="N374" i="70"/>
  <c r="O374" i="70" s="1"/>
  <c r="P374" i="70" s="1"/>
  <c r="K373" i="70"/>
  <c r="L373" i="70" s="1"/>
  <c r="M373" i="70" s="1"/>
  <c r="B373" i="70"/>
  <c r="C373" i="70" s="1"/>
  <c r="D373" i="70" s="1"/>
  <c r="X374" i="70"/>
  <c r="V375" i="70" s="1"/>
  <c r="W375" i="70" s="1"/>
  <c r="A375" i="70"/>
  <c r="F374" i="70"/>
  <c r="G374" i="70" s="1"/>
  <c r="E375" i="70" s="1"/>
  <c r="J193" i="70"/>
  <c r="H194" i="70" s="1"/>
  <c r="Q375" i="70" l="1"/>
  <c r="R375" i="70" s="1"/>
  <c r="S375" i="70" s="1"/>
  <c r="N375" i="70"/>
  <c r="O375" i="70" s="1"/>
  <c r="P375" i="70" s="1"/>
  <c r="K374" i="70"/>
  <c r="L374" i="70" s="1"/>
  <c r="M374" i="70" s="1"/>
  <c r="B374" i="70"/>
  <c r="C374" i="70" s="1"/>
  <c r="D374" i="70" s="1"/>
  <c r="X375" i="70"/>
  <c r="V376" i="70" s="1"/>
  <c r="W376" i="70" s="1"/>
  <c r="AC193" i="70"/>
  <c r="AD193" i="70" s="1"/>
  <c r="A376" i="70"/>
  <c r="F375" i="70"/>
  <c r="G375" i="70" s="1"/>
  <c r="E376" i="70" s="1"/>
  <c r="I194" i="70"/>
  <c r="Q376" i="70" l="1"/>
  <c r="R376" i="70" s="1"/>
  <c r="S376" i="70" s="1"/>
  <c r="N376" i="70"/>
  <c r="O376" i="70" s="1"/>
  <c r="P376" i="70" s="1"/>
  <c r="K375" i="70"/>
  <c r="L375" i="70" s="1"/>
  <c r="M375" i="70" s="1"/>
  <c r="B375" i="70"/>
  <c r="C375" i="70" s="1"/>
  <c r="D375" i="70" s="1"/>
  <c r="A377" i="70"/>
  <c r="X376" i="70"/>
  <c r="V377" i="70" s="1"/>
  <c r="W377" i="70" s="1"/>
  <c r="F376" i="70"/>
  <c r="G376" i="70" s="1"/>
  <c r="E377" i="70" s="1"/>
  <c r="J194" i="70"/>
  <c r="H195" i="70" s="1"/>
  <c r="Q377" i="70" l="1"/>
  <c r="R377" i="70" s="1"/>
  <c r="S377" i="70" s="1"/>
  <c r="N377" i="70"/>
  <c r="O377" i="70" s="1"/>
  <c r="P377" i="70" s="1"/>
  <c r="K376" i="70"/>
  <c r="L376" i="70" s="1"/>
  <c r="M376" i="70" s="1"/>
  <c r="X377" i="70"/>
  <c r="V378" i="70" s="1"/>
  <c r="W378" i="70" s="1"/>
  <c r="B376" i="70"/>
  <c r="C376" i="70" s="1"/>
  <c r="D376" i="70" s="1"/>
  <c r="AC194" i="70"/>
  <c r="AD194" i="70" s="1"/>
  <c r="A378" i="70"/>
  <c r="F377" i="70"/>
  <c r="G377" i="70" s="1"/>
  <c r="E378" i="70" s="1"/>
  <c r="I195" i="70"/>
  <c r="Q378" i="70" l="1"/>
  <c r="R378" i="70" s="1"/>
  <c r="S378" i="70" s="1"/>
  <c r="N378" i="70"/>
  <c r="O378" i="70" s="1"/>
  <c r="P378" i="70" s="1"/>
  <c r="K377" i="70"/>
  <c r="L377" i="70" s="1"/>
  <c r="M377" i="70" s="1"/>
  <c r="B377" i="70"/>
  <c r="C377" i="70" s="1"/>
  <c r="D377" i="70" s="1"/>
  <c r="X378" i="70"/>
  <c r="V379" i="70" s="1"/>
  <c r="W379" i="70" s="1"/>
  <c r="A379" i="70"/>
  <c r="F378" i="70"/>
  <c r="G378" i="70" s="1"/>
  <c r="E379" i="70" s="1"/>
  <c r="J195" i="70"/>
  <c r="H196" i="70" s="1"/>
  <c r="Q379" i="70" l="1"/>
  <c r="R379" i="70" s="1"/>
  <c r="S379" i="70" s="1"/>
  <c r="N379" i="70"/>
  <c r="O379" i="70" s="1"/>
  <c r="P379" i="70" s="1"/>
  <c r="K378" i="70"/>
  <c r="L378" i="70" s="1"/>
  <c r="M378" i="70" s="1"/>
  <c r="B378" i="70"/>
  <c r="C378" i="70" s="1"/>
  <c r="D378" i="70" s="1"/>
  <c r="X379" i="70"/>
  <c r="V380" i="70" s="1"/>
  <c r="W380" i="70" s="1"/>
  <c r="A380" i="70"/>
  <c r="AC195" i="70"/>
  <c r="AD195" i="70" s="1"/>
  <c r="F379" i="70"/>
  <c r="G379" i="70" s="1"/>
  <c r="E380" i="70" s="1"/>
  <c r="I196" i="70"/>
  <c r="Q380" i="70" l="1"/>
  <c r="R380" i="70" s="1"/>
  <c r="S380" i="70" s="1"/>
  <c r="N380" i="70"/>
  <c r="O380" i="70" s="1"/>
  <c r="P380" i="70" s="1"/>
  <c r="K379" i="70"/>
  <c r="L379" i="70" s="1"/>
  <c r="M379" i="70" s="1"/>
  <c r="B379" i="70"/>
  <c r="C379" i="70" s="1"/>
  <c r="D379" i="70" s="1"/>
  <c r="X380" i="70"/>
  <c r="V381" i="70" s="1"/>
  <c r="W381" i="70" s="1"/>
  <c r="A381" i="70"/>
  <c r="F380" i="70"/>
  <c r="G380" i="70" s="1"/>
  <c r="E381" i="70" s="1"/>
  <c r="J196" i="70"/>
  <c r="H197" i="70" s="1"/>
  <c r="Q381" i="70" l="1"/>
  <c r="R381" i="70" s="1"/>
  <c r="S381" i="70" s="1"/>
  <c r="N381" i="70"/>
  <c r="O381" i="70" s="1"/>
  <c r="P381" i="70" s="1"/>
  <c r="K380" i="70"/>
  <c r="L380" i="70" s="1"/>
  <c r="M380" i="70" s="1"/>
  <c r="B380" i="70"/>
  <c r="C380" i="70" s="1"/>
  <c r="D380" i="70" s="1"/>
  <c r="X381" i="70"/>
  <c r="V382" i="70" s="1"/>
  <c r="W382" i="70" s="1"/>
  <c r="AC196" i="70"/>
  <c r="AD196" i="70" s="1"/>
  <c r="A382" i="70"/>
  <c r="F381" i="70"/>
  <c r="G381" i="70" s="1"/>
  <c r="E382" i="70" s="1"/>
  <c r="I197" i="70"/>
  <c r="Q382" i="70" l="1"/>
  <c r="R382" i="70" s="1"/>
  <c r="S382" i="70" s="1"/>
  <c r="N382" i="70"/>
  <c r="O382" i="70" s="1"/>
  <c r="P382" i="70" s="1"/>
  <c r="K381" i="70"/>
  <c r="L381" i="70" s="1"/>
  <c r="M381" i="70" s="1"/>
  <c r="X382" i="70"/>
  <c r="V383" i="70" s="1"/>
  <c r="W383" i="70" s="1"/>
  <c r="B381" i="70"/>
  <c r="C381" i="70" s="1"/>
  <c r="D381" i="70" s="1"/>
  <c r="A383" i="70"/>
  <c r="F382" i="70"/>
  <c r="G382" i="70" s="1"/>
  <c r="E383" i="70" s="1"/>
  <c r="J197" i="70"/>
  <c r="H198" i="70" s="1"/>
  <c r="Q383" i="70" l="1"/>
  <c r="R383" i="70" s="1"/>
  <c r="S383" i="70" s="1"/>
  <c r="N383" i="70"/>
  <c r="O383" i="70" s="1"/>
  <c r="P383" i="70" s="1"/>
  <c r="K382" i="70"/>
  <c r="L382" i="70" s="1"/>
  <c r="M382" i="70" s="1"/>
  <c r="B382" i="70"/>
  <c r="C382" i="70" s="1"/>
  <c r="D382" i="70" s="1"/>
  <c r="X383" i="70"/>
  <c r="V384" i="70" s="1"/>
  <c r="W384" i="70" s="1"/>
  <c r="A384" i="70"/>
  <c r="AC197" i="70"/>
  <c r="AD197" i="70" s="1"/>
  <c r="F383" i="70"/>
  <c r="G383" i="70" s="1"/>
  <c r="E384" i="70" s="1"/>
  <c r="I198" i="70"/>
  <c r="Q384" i="70" l="1"/>
  <c r="R384" i="70" s="1"/>
  <c r="S384" i="70" s="1"/>
  <c r="N384" i="70"/>
  <c r="O384" i="70" s="1"/>
  <c r="P384" i="70" s="1"/>
  <c r="K383" i="70"/>
  <c r="L383" i="70" s="1"/>
  <c r="M383" i="70" s="1"/>
  <c r="B383" i="70"/>
  <c r="C383" i="70" s="1"/>
  <c r="D383" i="70" s="1"/>
  <c r="A385" i="70"/>
  <c r="X384" i="70"/>
  <c r="V385" i="70" s="1"/>
  <c r="W385" i="70" s="1"/>
  <c r="F384" i="70"/>
  <c r="G384" i="70" s="1"/>
  <c r="E385" i="70" s="1"/>
  <c r="J198" i="70"/>
  <c r="H199" i="70" s="1"/>
  <c r="Q385" i="70" l="1"/>
  <c r="R385" i="70" s="1"/>
  <c r="S385" i="70" s="1"/>
  <c r="N385" i="70"/>
  <c r="O385" i="70" s="1"/>
  <c r="P385" i="70" s="1"/>
  <c r="K384" i="70"/>
  <c r="L384" i="70" s="1"/>
  <c r="M384" i="70" s="1"/>
  <c r="B384" i="70"/>
  <c r="C384" i="70" s="1"/>
  <c r="D384" i="70" s="1"/>
  <c r="X385" i="70"/>
  <c r="V386" i="70" s="1"/>
  <c r="W386" i="70" s="1"/>
  <c r="A386" i="70"/>
  <c r="AC198" i="70"/>
  <c r="AD198" i="70" s="1"/>
  <c r="F385" i="70"/>
  <c r="G385" i="70" s="1"/>
  <c r="E386" i="70" s="1"/>
  <c r="I199" i="70"/>
  <c r="Q386" i="70" l="1"/>
  <c r="R386" i="70" s="1"/>
  <c r="S386" i="70" s="1"/>
  <c r="N386" i="70"/>
  <c r="O386" i="70" s="1"/>
  <c r="P386" i="70" s="1"/>
  <c r="K385" i="70"/>
  <c r="L385" i="70" s="1"/>
  <c r="M385" i="70" s="1"/>
  <c r="B385" i="70"/>
  <c r="C385" i="70" s="1"/>
  <c r="D385" i="70" s="1"/>
  <c r="A387" i="70"/>
  <c r="X386" i="70"/>
  <c r="V387" i="70" s="1"/>
  <c r="W387" i="70" s="1"/>
  <c r="F386" i="70"/>
  <c r="G386" i="70" s="1"/>
  <c r="E387" i="70" s="1"/>
  <c r="J199" i="70"/>
  <c r="H200" i="70" s="1"/>
  <c r="Q387" i="70" l="1"/>
  <c r="R387" i="70" s="1"/>
  <c r="S387" i="70" s="1"/>
  <c r="N387" i="70"/>
  <c r="O387" i="70" s="1"/>
  <c r="P387" i="70" s="1"/>
  <c r="K386" i="70"/>
  <c r="L386" i="70" s="1"/>
  <c r="M386" i="70" s="1"/>
  <c r="B386" i="70"/>
  <c r="C386" i="70" s="1"/>
  <c r="D386" i="70" s="1"/>
  <c r="X387" i="70"/>
  <c r="V388" i="70" s="1"/>
  <c r="W388" i="70" s="1"/>
  <c r="A388" i="70"/>
  <c r="AC199" i="70"/>
  <c r="AD199" i="70" s="1"/>
  <c r="F387" i="70"/>
  <c r="G387" i="70" s="1"/>
  <c r="E388" i="70" s="1"/>
  <c r="I200" i="70"/>
  <c r="Q388" i="70" l="1"/>
  <c r="R388" i="70" s="1"/>
  <c r="S388" i="70" s="1"/>
  <c r="N388" i="70"/>
  <c r="O388" i="70" s="1"/>
  <c r="P388" i="70" s="1"/>
  <c r="K387" i="70"/>
  <c r="L387" i="70" s="1"/>
  <c r="M387" i="70" s="1"/>
  <c r="B387" i="70"/>
  <c r="C387" i="70" s="1"/>
  <c r="D387" i="70" s="1"/>
  <c r="A389" i="70"/>
  <c r="X388" i="70"/>
  <c r="V389" i="70" s="1"/>
  <c r="W389" i="70" s="1"/>
  <c r="F388" i="70"/>
  <c r="G388" i="70" s="1"/>
  <c r="E389" i="70" s="1"/>
  <c r="J200" i="70"/>
  <c r="H201" i="70" s="1"/>
  <c r="Q389" i="70" l="1"/>
  <c r="R389" i="70" s="1"/>
  <c r="S389" i="70" s="1"/>
  <c r="N389" i="70"/>
  <c r="O389" i="70" s="1"/>
  <c r="P389" i="70" s="1"/>
  <c r="K388" i="70"/>
  <c r="L388" i="70" s="1"/>
  <c r="M388" i="70" s="1"/>
  <c r="B388" i="70"/>
  <c r="C388" i="70" s="1"/>
  <c r="D388" i="70" s="1"/>
  <c r="X389" i="70"/>
  <c r="V390" i="70" s="1"/>
  <c r="W390" i="70" s="1"/>
  <c r="AC200" i="70"/>
  <c r="AD200" i="70" s="1"/>
  <c r="A390" i="70"/>
  <c r="F389" i="70"/>
  <c r="G389" i="70" s="1"/>
  <c r="E390" i="70" s="1"/>
  <c r="I201" i="70"/>
  <c r="Q390" i="70" l="1"/>
  <c r="R390" i="70" s="1"/>
  <c r="S390" i="70" s="1"/>
  <c r="N390" i="70"/>
  <c r="O390" i="70" s="1"/>
  <c r="P390" i="70" s="1"/>
  <c r="K389" i="70"/>
  <c r="L389" i="70" s="1"/>
  <c r="M389" i="70" s="1"/>
  <c r="B389" i="70"/>
  <c r="C389" i="70" s="1"/>
  <c r="D389" i="70" s="1"/>
  <c r="X390" i="70"/>
  <c r="V391" i="70" s="1"/>
  <c r="W391" i="70" s="1"/>
  <c r="A391" i="70"/>
  <c r="F390" i="70"/>
  <c r="G390" i="70" s="1"/>
  <c r="E391" i="70" s="1"/>
  <c r="J201" i="70"/>
  <c r="H202" i="70" s="1"/>
  <c r="Q391" i="70" l="1"/>
  <c r="R391" i="70" s="1"/>
  <c r="S391" i="70" s="1"/>
  <c r="N391" i="70"/>
  <c r="O391" i="70" s="1"/>
  <c r="P391" i="70" s="1"/>
  <c r="K390" i="70"/>
  <c r="L390" i="70" s="1"/>
  <c r="M390" i="70" s="1"/>
  <c r="X391" i="70"/>
  <c r="V392" i="70" s="1"/>
  <c r="W392" i="70" s="1"/>
  <c r="B390" i="70"/>
  <c r="C390" i="70" s="1"/>
  <c r="D390" i="70" s="1"/>
  <c r="AC201" i="70"/>
  <c r="AD201" i="70" s="1"/>
  <c r="A392" i="70"/>
  <c r="F391" i="70"/>
  <c r="G391" i="70" s="1"/>
  <c r="E392" i="70" s="1"/>
  <c r="I202" i="70"/>
  <c r="Q392" i="70" l="1"/>
  <c r="R392" i="70" s="1"/>
  <c r="S392" i="70" s="1"/>
  <c r="N392" i="70"/>
  <c r="O392" i="70" s="1"/>
  <c r="P392" i="70" s="1"/>
  <c r="K391" i="70"/>
  <c r="L391" i="70" s="1"/>
  <c r="M391" i="70" s="1"/>
  <c r="B391" i="70"/>
  <c r="C391" i="70" s="1"/>
  <c r="D391" i="70" s="1"/>
  <c r="X392" i="70"/>
  <c r="V393" i="70" s="1"/>
  <c r="W393" i="70" s="1"/>
  <c r="A393" i="70"/>
  <c r="F392" i="70"/>
  <c r="G392" i="70" s="1"/>
  <c r="E393" i="70" s="1"/>
  <c r="J202" i="70"/>
  <c r="H203" i="70" s="1"/>
  <c r="Q393" i="70" l="1"/>
  <c r="R393" i="70" s="1"/>
  <c r="S393" i="70" s="1"/>
  <c r="N393" i="70"/>
  <c r="O393" i="70" s="1"/>
  <c r="P393" i="70" s="1"/>
  <c r="K392" i="70"/>
  <c r="L392" i="70" s="1"/>
  <c r="M392" i="70" s="1"/>
  <c r="X393" i="70"/>
  <c r="V394" i="70" s="1"/>
  <c r="W394" i="70" s="1"/>
  <c r="B392" i="70"/>
  <c r="C392" i="70" s="1"/>
  <c r="D392" i="70" s="1"/>
  <c r="A394" i="70"/>
  <c r="AC202" i="70"/>
  <c r="AD202" i="70" s="1"/>
  <c r="F393" i="70"/>
  <c r="G393" i="70" s="1"/>
  <c r="E394" i="70" s="1"/>
  <c r="I203" i="70"/>
  <c r="Q394" i="70" l="1"/>
  <c r="R394" i="70" s="1"/>
  <c r="S394" i="70" s="1"/>
  <c r="N394" i="70"/>
  <c r="O394" i="70" s="1"/>
  <c r="P394" i="70" s="1"/>
  <c r="K393" i="70"/>
  <c r="L393" i="70" s="1"/>
  <c r="M393" i="70" s="1"/>
  <c r="B393" i="70"/>
  <c r="C393" i="70" s="1"/>
  <c r="D393" i="70" s="1"/>
  <c r="X394" i="70"/>
  <c r="V395" i="70" s="1"/>
  <c r="W395" i="70" s="1"/>
  <c r="A395" i="70"/>
  <c r="F394" i="70"/>
  <c r="G394" i="70" s="1"/>
  <c r="E395" i="70" s="1"/>
  <c r="J203" i="70"/>
  <c r="H204" i="70" s="1"/>
  <c r="Q395" i="70" l="1"/>
  <c r="R395" i="70" s="1"/>
  <c r="S395" i="70" s="1"/>
  <c r="N395" i="70"/>
  <c r="O395" i="70" s="1"/>
  <c r="P395" i="70" s="1"/>
  <c r="K394" i="70"/>
  <c r="L394" i="70" s="1"/>
  <c r="M394" i="70" s="1"/>
  <c r="X395" i="70"/>
  <c r="V396" i="70" s="1"/>
  <c r="W396" i="70" s="1"/>
  <c r="B394" i="70"/>
  <c r="C394" i="70" s="1"/>
  <c r="D394" i="70" s="1"/>
  <c r="AC203" i="70"/>
  <c r="AD203" i="70" s="1"/>
  <c r="A396" i="70"/>
  <c r="F395" i="70"/>
  <c r="G395" i="70" s="1"/>
  <c r="E396" i="70" s="1"/>
  <c r="I204" i="70"/>
  <c r="Q396" i="70" l="1"/>
  <c r="R396" i="70" s="1"/>
  <c r="S396" i="70" s="1"/>
  <c r="N396" i="70"/>
  <c r="O396" i="70" s="1"/>
  <c r="P396" i="70" s="1"/>
  <c r="K395" i="70"/>
  <c r="L395" i="70" s="1"/>
  <c r="M395" i="70" s="1"/>
  <c r="B395" i="70"/>
  <c r="C395" i="70" s="1"/>
  <c r="D395" i="70" s="1"/>
  <c r="X396" i="70"/>
  <c r="V397" i="70" s="1"/>
  <c r="W397" i="70" s="1"/>
  <c r="A397" i="70"/>
  <c r="F396" i="70"/>
  <c r="G396" i="70" s="1"/>
  <c r="E397" i="70" s="1"/>
  <c r="J204" i="70"/>
  <c r="H205" i="70" s="1"/>
  <c r="Q397" i="70" l="1"/>
  <c r="R397" i="70" s="1"/>
  <c r="S397" i="70" s="1"/>
  <c r="N397" i="70"/>
  <c r="O397" i="70" s="1"/>
  <c r="P397" i="70" s="1"/>
  <c r="K396" i="70"/>
  <c r="L396" i="70" s="1"/>
  <c r="M396" i="70" s="1"/>
  <c r="X397" i="70"/>
  <c r="V398" i="70" s="1"/>
  <c r="W398" i="70" s="1"/>
  <c r="B396" i="70"/>
  <c r="C396" i="70" s="1"/>
  <c r="D396" i="70" s="1"/>
  <c r="A398" i="70"/>
  <c r="AC204" i="70"/>
  <c r="AD204" i="70" s="1"/>
  <c r="F397" i="70"/>
  <c r="G397" i="70" s="1"/>
  <c r="E398" i="70" s="1"/>
  <c r="I205" i="70"/>
  <c r="Q398" i="70" l="1"/>
  <c r="R398" i="70" s="1"/>
  <c r="S398" i="70" s="1"/>
  <c r="N398" i="70"/>
  <c r="O398" i="70" s="1"/>
  <c r="P398" i="70" s="1"/>
  <c r="K397" i="70"/>
  <c r="L397" i="70" s="1"/>
  <c r="M397" i="70" s="1"/>
  <c r="B397" i="70"/>
  <c r="C397" i="70" s="1"/>
  <c r="D397" i="70" s="1"/>
  <c r="A399" i="70"/>
  <c r="X398" i="70"/>
  <c r="V399" i="70" s="1"/>
  <c r="W399" i="70" s="1"/>
  <c r="F398" i="70"/>
  <c r="G398" i="70" s="1"/>
  <c r="E399" i="70" s="1"/>
  <c r="J205" i="70"/>
  <c r="H206" i="70" s="1"/>
  <c r="Q399" i="70" l="1"/>
  <c r="R399" i="70" s="1"/>
  <c r="S399" i="70" s="1"/>
  <c r="N399" i="70"/>
  <c r="O399" i="70" s="1"/>
  <c r="P399" i="70" s="1"/>
  <c r="K398" i="70"/>
  <c r="L398" i="70" s="1"/>
  <c r="M398" i="70" s="1"/>
  <c r="B398" i="70"/>
  <c r="C398" i="70" s="1"/>
  <c r="D398" i="70" s="1"/>
  <c r="X399" i="70"/>
  <c r="V400" i="70" s="1"/>
  <c r="W400" i="70" s="1"/>
  <c r="A400" i="70"/>
  <c r="AC205" i="70"/>
  <c r="AD205" i="70" s="1"/>
  <c r="F399" i="70"/>
  <c r="G399" i="70" s="1"/>
  <c r="E400" i="70" s="1"/>
  <c r="I206" i="70"/>
  <c r="Q400" i="70" l="1"/>
  <c r="R400" i="70" s="1"/>
  <c r="S400" i="70" s="1"/>
  <c r="N400" i="70"/>
  <c r="O400" i="70" s="1"/>
  <c r="P400" i="70" s="1"/>
  <c r="K399" i="70"/>
  <c r="L399" i="70" s="1"/>
  <c r="M399" i="70" s="1"/>
  <c r="B399" i="70"/>
  <c r="C399" i="70" s="1"/>
  <c r="D399" i="70" s="1"/>
  <c r="A401" i="70"/>
  <c r="X400" i="70"/>
  <c r="V401" i="70" s="1"/>
  <c r="W401" i="70" s="1"/>
  <c r="X401" i="70" s="1"/>
  <c r="V402" i="70" s="1"/>
  <c r="F400" i="70"/>
  <c r="G400" i="70" s="1"/>
  <c r="E401" i="70" s="1"/>
  <c r="J206" i="70"/>
  <c r="H207" i="70" s="1"/>
  <c r="Q401" i="70" l="1"/>
  <c r="R401" i="70" s="1"/>
  <c r="S401" i="70" s="1"/>
  <c r="N401" i="70"/>
  <c r="O401" i="70" s="1"/>
  <c r="P401" i="70" s="1"/>
  <c r="K400" i="70"/>
  <c r="L400" i="70" s="1"/>
  <c r="M400" i="70" s="1"/>
  <c r="B400" i="70"/>
  <c r="C400" i="70" s="1"/>
  <c r="D400" i="70" s="1"/>
  <c r="AC206" i="70"/>
  <c r="AD206" i="70" s="1"/>
  <c r="A402" i="70"/>
  <c r="F401" i="70"/>
  <c r="G401" i="70" s="1"/>
  <c r="E402" i="70" s="1"/>
  <c r="I207" i="70"/>
  <c r="W402" i="70"/>
  <c r="Q402" i="70" l="1"/>
  <c r="R402" i="70" s="1"/>
  <c r="S402" i="70" s="1"/>
  <c r="N402" i="70"/>
  <c r="O402" i="70" s="1"/>
  <c r="P402" i="70" s="1"/>
  <c r="K401" i="70"/>
  <c r="L401" i="70" s="1"/>
  <c r="M401" i="70" s="1"/>
  <c r="B401" i="70"/>
  <c r="C401" i="70" s="1"/>
  <c r="D401" i="70" s="1"/>
  <c r="A403" i="70"/>
  <c r="X402" i="70"/>
  <c r="V403" i="70" s="1"/>
  <c r="W403" i="70" s="1"/>
  <c r="F402" i="70"/>
  <c r="G402" i="70" s="1"/>
  <c r="E403" i="70" s="1"/>
  <c r="J207" i="70"/>
  <c r="H208" i="70" s="1"/>
  <c r="Q403" i="70" l="1"/>
  <c r="R403" i="70" s="1"/>
  <c r="S403" i="70" s="1"/>
  <c r="N403" i="70"/>
  <c r="O403" i="70" s="1"/>
  <c r="P403" i="70" s="1"/>
  <c r="K402" i="70"/>
  <c r="L402" i="70" s="1"/>
  <c r="M402" i="70" s="1"/>
  <c r="X403" i="70"/>
  <c r="V404" i="70" s="1"/>
  <c r="W404" i="70" s="1"/>
  <c r="B402" i="70"/>
  <c r="C402" i="70" s="1"/>
  <c r="D402" i="70" s="1"/>
  <c r="A404" i="70"/>
  <c r="AC207" i="70"/>
  <c r="AD207" i="70" s="1"/>
  <c r="F403" i="70"/>
  <c r="G403" i="70" s="1"/>
  <c r="E404" i="70" s="1"/>
  <c r="I208" i="70"/>
  <c r="Q404" i="70" l="1"/>
  <c r="R404" i="70" s="1"/>
  <c r="S404" i="70" s="1"/>
  <c r="N404" i="70"/>
  <c r="O404" i="70" s="1"/>
  <c r="P404" i="70" s="1"/>
  <c r="K403" i="70"/>
  <c r="L403" i="70" s="1"/>
  <c r="M403" i="70" s="1"/>
  <c r="B403" i="70"/>
  <c r="C403" i="70" s="1"/>
  <c r="D403" i="70" s="1"/>
  <c r="X404" i="70"/>
  <c r="V405" i="70" s="1"/>
  <c r="W405" i="70" s="1"/>
  <c r="A405" i="70"/>
  <c r="F404" i="70"/>
  <c r="G404" i="70" s="1"/>
  <c r="E405" i="70" s="1"/>
  <c r="J208" i="70"/>
  <c r="H209" i="70" s="1"/>
  <c r="Q405" i="70" l="1"/>
  <c r="R405" i="70" s="1"/>
  <c r="S405" i="70" s="1"/>
  <c r="N405" i="70"/>
  <c r="O405" i="70" s="1"/>
  <c r="P405" i="70" s="1"/>
  <c r="K404" i="70"/>
  <c r="L404" i="70" s="1"/>
  <c r="M404" i="70" s="1"/>
  <c r="B404" i="70"/>
  <c r="C404" i="70" s="1"/>
  <c r="D404" i="70" s="1"/>
  <c r="X405" i="70"/>
  <c r="V406" i="70" s="1"/>
  <c r="W406" i="70" s="1"/>
  <c r="AC208" i="70"/>
  <c r="AD208" i="70" s="1"/>
  <c r="A406" i="70"/>
  <c r="F405" i="70"/>
  <c r="G405" i="70" s="1"/>
  <c r="E406" i="70" s="1"/>
  <c r="I209" i="70"/>
  <c r="Q406" i="70" l="1"/>
  <c r="R406" i="70" s="1"/>
  <c r="S406" i="70" s="1"/>
  <c r="N406" i="70"/>
  <c r="O406" i="70" s="1"/>
  <c r="P406" i="70" s="1"/>
  <c r="K405" i="70"/>
  <c r="L405" i="70" s="1"/>
  <c r="M405" i="70" s="1"/>
  <c r="B405" i="70"/>
  <c r="C405" i="70" s="1"/>
  <c r="D405" i="70" s="1"/>
  <c r="A407" i="70"/>
  <c r="X406" i="70"/>
  <c r="V407" i="70" s="1"/>
  <c r="W407" i="70" s="1"/>
  <c r="F406" i="70"/>
  <c r="G406" i="70" s="1"/>
  <c r="E407" i="70" s="1"/>
  <c r="J209" i="70"/>
  <c r="H210" i="70" s="1"/>
  <c r="X407" i="70" l="1"/>
  <c r="V408" i="70" s="1"/>
  <c r="W408" i="70" s="1"/>
  <c r="Q407" i="70"/>
  <c r="R407" i="70" s="1"/>
  <c r="S407" i="70" s="1"/>
  <c r="N407" i="70"/>
  <c r="O407" i="70" s="1"/>
  <c r="P407" i="70" s="1"/>
  <c r="K406" i="70"/>
  <c r="L406" i="70" s="1"/>
  <c r="M406" i="70" s="1"/>
  <c r="B406" i="70"/>
  <c r="C406" i="70" s="1"/>
  <c r="D406" i="70" s="1"/>
  <c r="AC209" i="70"/>
  <c r="AD209" i="70" s="1"/>
  <c r="A408" i="70"/>
  <c r="F407" i="70"/>
  <c r="G407" i="70" s="1"/>
  <c r="E408" i="70" s="1"/>
  <c r="I210" i="70"/>
  <c r="Q408" i="70" l="1"/>
  <c r="R408" i="70" s="1"/>
  <c r="S408" i="70" s="1"/>
  <c r="N408" i="70"/>
  <c r="O408" i="70" s="1"/>
  <c r="P408" i="70" s="1"/>
  <c r="K407" i="70"/>
  <c r="L407" i="70" s="1"/>
  <c r="M407" i="70" s="1"/>
  <c r="B407" i="70"/>
  <c r="C407" i="70" s="1"/>
  <c r="D407" i="70" s="1"/>
  <c r="A409" i="70"/>
  <c r="X408" i="70"/>
  <c r="V409" i="70" s="1"/>
  <c r="W409" i="70" s="1"/>
  <c r="F408" i="70"/>
  <c r="G408" i="70" s="1"/>
  <c r="E409" i="70" s="1"/>
  <c r="J210" i="70"/>
  <c r="H211" i="70" s="1"/>
  <c r="Q409" i="70" l="1"/>
  <c r="R409" i="70" s="1"/>
  <c r="S409" i="70" s="1"/>
  <c r="N409" i="70"/>
  <c r="O409" i="70" s="1"/>
  <c r="P409" i="70" s="1"/>
  <c r="K408" i="70"/>
  <c r="L408" i="70" s="1"/>
  <c r="M408" i="70" s="1"/>
  <c r="B408" i="70"/>
  <c r="C408" i="70" s="1"/>
  <c r="D408" i="70" s="1"/>
  <c r="X409" i="70"/>
  <c r="V410" i="70" s="1"/>
  <c r="W410" i="70" s="1"/>
  <c r="AC210" i="70"/>
  <c r="AD210" i="70" s="1"/>
  <c r="A410" i="70"/>
  <c r="F409" i="70"/>
  <c r="G409" i="70" s="1"/>
  <c r="E410" i="70" s="1"/>
  <c r="I211" i="70"/>
  <c r="Q410" i="70" l="1"/>
  <c r="R410" i="70" s="1"/>
  <c r="S410" i="70" s="1"/>
  <c r="N410" i="70"/>
  <c r="O410" i="70" s="1"/>
  <c r="P410" i="70" s="1"/>
  <c r="K409" i="70"/>
  <c r="L409" i="70" s="1"/>
  <c r="M409" i="70" s="1"/>
  <c r="B409" i="70"/>
  <c r="C409" i="70" s="1"/>
  <c r="D409" i="70" s="1"/>
  <c r="X410" i="70"/>
  <c r="V411" i="70" s="1"/>
  <c r="W411" i="70" s="1"/>
  <c r="A411" i="70"/>
  <c r="F410" i="70"/>
  <c r="G410" i="70" s="1"/>
  <c r="E411" i="70" s="1"/>
  <c r="J211" i="70"/>
  <c r="H212" i="70" s="1"/>
  <c r="Q411" i="70" l="1"/>
  <c r="R411" i="70" s="1"/>
  <c r="S411" i="70" s="1"/>
  <c r="N411" i="70"/>
  <c r="O411" i="70" s="1"/>
  <c r="P411" i="70" s="1"/>
  <c r="K410" i="70"/>
  <c r="L410" i="70" s="1"/>
  <c r="M410" i="70" s="1"/>
  <c r="X411" i="70"/>
  <c r="V412" i="70" s="1"/>
  <c r="W412" i="70" s="1"/>
  <c r="B410" i="70"/>
  <c r="C410" i="70" s="1"/>
  <c r="D410" i="70" s="1"/>
  <c r="AC211" i="70"/>
  <c r="AD211" i="70" s="1"/>
  <c r="A412" i="70"/>
  <c r="F411" i="70"/>
  <c r="G411" i="70" s="1"/>
  <c r="E412" i="70" s="1"/>
  <c r="I212" i="70"/>
  <c r="Q412" i="70" l="1"/>
  <c r="R412" i="70" s="1"/>
  <c r="S412" i="70" s="1"/>
  <c r="N412" i="70"/>
  <c r="O412" i="70" s="1"/>
  <c r="P412" i="70" s="1"/>
  <c r="K411" i="70"/>
  <c r="L411" i="70" s="1"/>
  <c r="M411" i="70" s="1"/>
  <c r="B411" i="70"/>
  <c r="C411" i="70" s="1"/>
  <c r="D411" i="70" s="1"/>
  <c r="A413" i="70"/>
  <c r="X412" i="70"/>
  <c r="V413" i="70" s="1"/>
  <c r="W413" i="70" s="1"/>
  <c r="F412" i="70"/>
  <c r="G412" i="70" s="1"/>
  <c r="E413" i="70" s="1"/>
  <c r="J212" i="70"/>
  <c r="H213" i="70" s="1"/>
  <c r="X413" i="70" l="1"/>
  <c r="V414" i="70" s="1"/>
  <c r="W414" i="70" s="1"/>
  <c r="Q413" i="70"/>
  <c r="R413" i="70" s="1"/>
  <c r="S413" i="70" s="1"/>
  <c r="N413" i="70"/>
  <c r="O413" i="70" s="1"/>
  <c r="P413" i="70" s="1"/>
  <c r="K412" i="70"/>
  <c r="L412" i="70" s="1"/>
  <c r="M412" i="70" s="1"/>
  <c r="B412" i="70"/>
  <c r="C412" i="70" s="1"/>
  <c r="D412" i="70" s="1"/>
  <c r="A414" i="70"/>
  <c r="AC212" i="70"/>
  <c r="AD212" i="70" s="1"/>
  <c r="F413" i="70"/>
  <c r="G413" i="70" s="1"/>
  <c r="E414" i="70" s="1"/>
  <c r="I213" i="70"/>
  <c r="Q414" i="70" l="1"/>
  <c r="R414" i="70" s="1"/>
  <c r="S414" i="70" s="1"/>
  <c r="N414" i="70"/>
  <c r="O414" i="70" s="1"/>
  <c r="P414" i="70" s="1"/>
  <c r="K413" i="70"/>
  <c r="L413" i="70" s="1"/>
  <c r="M413" i="70" s="1"/>
  <c r="B413" i="70"/>
  <c r="C413" i="70" s="1"/>
  <c r="D413" i="70" s="1"/>
  <c r="A415" i="70"/>
  <c r="X414" i="70"/>
  <c r="V415" i="70" s="1"/>
  <c r="W415" i="70" s="1"/>
  <c r="F414" i="70"/>
  <c r="G414" i="70" s="1"/>
  <c r="E415" i="70" s="1"/>
  <c r="J213" i="70"/>
  <c r="H214" i="70" s="1"/>
  <c r="Q415" i="70" l="1"/>
  <c r="R415" i="70" s="1"/>
  <c r="S415" i="70" s="1"/>
  <c r="N415" i="70"/>
  <c r="O415" i="70" s="1"/>
  <c r="P415" i="70" s="1"/>
  <c r="K414" i="70"/>
  <c r="L414" i="70" s="1"/>
  <c r="M414" i="70" s="1"/>
  <c r="X415" i="70"/>
  <c r="V416" i="70" s="1"/>
  <c r="W416" i="70" s="1"/>
  <c r="B414" i="70"/>
  <c r="C414" i="70" s="1"/>
  <c r="D414" i="70" s="1"/>
  <c r="A416" i="70"/>
  <c r="AC213" i="70"/>
  <c r="AD213" i="70" s="1"/>
  <c r="F415" i="70"/>
  <c r="G415" i="70" s="1"/>
  <c r="E416" i="70" s="1"/>
  <c r="I214" i="70"/>
  <c r="Q416" i="70" l="1"/>
  <c r="R416" i="70" s="1"/>
  <c r="S416" i="70" s="1"/>
  <c r="N416" i="70"/>
  <c r="O416" i="70" s="1"/>
  <c r="P416" i="70" s="1"/>
  <c r="K415" i="70"/>
  <c r="L415" i="70" s="1"/>
  <c r="M415" i="70" s="1"/>
  <c r="B415" i="70"/>
  <c r="C415" i="70" s="1"/>
  <c r="D415" i="70" s="1"/>
  <c r="A417" i="70"/>
  <c r="X416" i="70"/>
  <c r="V417" i="70" s="1"/>
  <c r="W417" i="70" s="1"/>
  <c r="X417" i="70" s="1"/>
  <c r="V418" i="70" s="1"/>
  <c r="F416" i="70"/>
  <c r="G416" i="70" s="1"/>
  <c r="E417" i="70" s="1"/>
  <c r="J214" i="70"/>
  <c r="H215" i="70" s="1"/>
  <c r="Q417" i="70" l="1"/>
  <c r="R417" i="70" s="1"/>
  <c r="S417" i="70" s="1"/>
  <c r="N417" i="70"/>
  <c r="O417" i="70" s="1"/>
  <c r="P417" i="70" s="1"/>
  <c r="K416" i="70"/>
  <c r="L416" i="70" s="1"/>
  <c r="M416" i="70" s="1"/>
  <c r="B416" i="70"/>
  <c r="C416" i="70" s="1"/>
  <c r="D416" i="70" s="1"/>
  <c r="A418" i="70"/>
  <c r="AC214" i="70"/>
  <c r="AD214" i="70" s="1"/>
  <c r="F417" i="70"/>
  <c r="G417" i="70" s="1"/>
  <c r="E418" i="70" s="1"/>
  <c r="I215" i="70"/>
  <c r="W418" i="70"/>
  <c r="Q418" i="70" l="1"/>
  <c r="R418" i="70" s="1"/>
  <c r="S418" i="70" s="1"/>
  <c r="N418" i="70"/>
  <c r="O418" i="70" s="1"/>
  <c r="P418" i="70" s="1"/>
  <c r="K417" i="70"/>
  <c r="L417" i="70" s="1"/>
  <c r="M417" i="70" s="1"/>
  <c r="B417" i="70"/>
  <c r="C417" i="70" s="1"/>
  <c r="D417" i="70" s="1"/>
  <c r="A419" i="70"/>
  <c r="X418" i="70"/>
  <c r="V419" i="70" s="1"/>
  <c r="W419" i="70" s="1"/>
  <c r="F418" i="70"/>
  <c r="G418" i="70" s="1"/>
  <c r="E419" i="70" s="1"/>
  <c r="J215" i="70"/>
  <c r="H216" i="70" s="1"/>
  <c r="Q419" i="70" l="1"/>
  <c r="R419" i="70" s="1"/>
  <c r="S419" i="70" s="1"/>
  <c r="N419" i="70"/>
  <c r="O419" i="70" s="1"/>
  <c r="P419" i="70" s="1"/>
  <c r="K418" i="70"/>
  <c r="L418" i="70" s="1"/>
  <c r="M418" i="70" s="1"/>
  <c r="B418" i="70"/>
  <c r="C418" i="70" s="1"/>
  <c r="D418" i="70" s="1"/>
  <c r="X419" i="70"/>
  <c r="V420" i="70" s="1"/>
  <c r="W420" i="70" s="1"/>
  <c r="A420" i="70"/>
  <c r="AC215" i="70"/>
  <c r="AD215" i="70" s="1"/>
  <c r="F419" i="70"/>
  <c r="G419" i="70" s="1"/>
  <c r="E420" i="70" s="1"/>
  <c r="I216" i="70"/>
  <c r="Q420" i="70" l="1"/>
  <c r="R420" i="70" s="1"/>
  <c r="S420" i="70" s="1"/>
  <c r="N420" i="70"/>
  <c r="O420" i="70" s="1"/>
  <c r="P420" i="70" s="1"/>
  <c r="K419" i="70"/>
  <c r="L419" i="70" s="1"/>
  <c r="M419" i="70" s="1"/>
  <c r="B419" i="70"/>
  <c r="C419" i="70" s="1"/>
  <c r="D419" i="70" s="1"/>
  <c r="X420" i="70"/>
  <c r="V421" i="70" s="1"/>
  <c r="W421" i="70" s="1"/>
  <c r="A421" i="70"/>
  <c r="F420" i="70"/>
  <c r="G420" i="70" s="1"/>
  <c r="E421" i="70" s="1"/>
  <c r="J216" i="70"/>
  <c r="H217" i="70" s="1"/>
  <c r="Q421" i="70" l="1"/>
  <c r="R421" i="70" s="1"/>
  <c r="S421" i="70" s="1"/>
  <c r="N421" i="70"/>
  <c r="O421" i="70" s="1"/>
  <c r="P421" i="70" s="1"/>
  <c r="K420" i="70"/>
  <c r="L420" i="70" s="1"/>
  <c r="M420" i="70" s="1"/>
  <c r="X421" i="70"/>
  <c r="V422" i="70" s="1"/>
  <c r="W422" i="70" s="1"/>
  <c r="B420" i="70"/>
  <c r="C420" i="70" s="1"/>
  <c r="D420" i="70" s="1"/>
  <c r="A422" i="70"/>
  <c r="AC216" i="70"/>
  <c r="AD216" i="70" s="1"/>
  <c r="F421" i="70"/>
  <c r="G421" i="70" s="1"/>
  <c r="E422" i="70" s="1"/>
  <c r="I217" i="70"/>
  <c r="Q422" i="70" l="1"/>
  <c r="R422" i="70" s="1"/>
  <c r="S422" i="70" s="1"/>
  <c r="N422" i="70"/>
  <c r="O422" i="70" s="1"/>
  <c r="P422" i="70" s="1"/>
  <c r="K421" i="70"/>
  <c r="L421" i="70" s="1"/>
  <c r="M421" i="70" s="1"/>
  <c r="B421" i="70"/>
  <c r="C421" i="70" s="1"/>
  <c r="D421" i="70" s="1"/>
  <c r="A423" i="70"/>
  <c r="X422" i="70"/>
  <c r="V423" i="70" s="1"/>
  <c r="W423" i="70" s="1"/>
  <c r="F422" i="70"/>
  <c r="G422" i="70" s="1"/>
  <c r="E423" i="70" s="1"/>
  <c r="J217" i="70"/>
  <c r="H218" i="70" s="1"/>
  <c r="X423" i="70" l="1"/>
  <c r="V424" i="70" s="1"/>
  <c r="W424" i="70" s="1"/>
  <c r="Q423" i="70"/>
  <c r="R423" i="70" s="1"/>
  <c r="S423" i="70" s="1"/>
  <c r="N423" i="70"/>
  <c r="O423" i="70" s="1"/>
  <c r="P423" i="70" s="1"/>
  <c r="K422" i="70"/>
  <c r="L422" i="70" s="1"/>
  <c r="M422" i="70" s="1"/>
  <c r="B422" i="70"/>
  <c r="C422" i="70" s="1"/>
  <c r="D422" i="70" s="1"/>
  <c r="AC217" i="70"/>
  <c r="AD217" i="70" s="1"/>
  <c r="A424" i="70"/>
  <c r="F423" i="70"/>
  <c r="G423" i="70" s="1"/>
  <c r="E424" i="70" s="1"/>
  <c r="I218" i="70"/>
  <c r="Q424" i="70" l="1"/>
  <c r="R424" i="70" s="1"/>
  <c r="S424" i="70" s="1"/>
  <c r="N424" i="70"/>
  <c r="O424" i="70" s="1"/>
  <c r="P424" i="70" s="1"/>
  <c r="K423" i="70"/>
  <c r="L423" i="70" s="1"/>
  <c r="M423" i="70" s="1"/>
  <c r="B423" i="70"/>
  <c r="C423" i="70" s="1"/>
  <c r="D423" i="70" s="1"/>
  <c r="X424" i="70"/>
  <c r="V425" i="70" s="1"/>
  <c r="W425" i="70" s="1"/>
  <c r="A425" i="70"/>
  <c r="F424" i="70"/>
  <c r="G424" i="70" s="1"/>
  <c r="E425" i="70" s="1"/>
  <c r="J218" i="70"/>
  <c r="H219" i="70" s="1"/>
  <c r="Q425" i="70" l="1"/>
  <c r="R425" i="70" s="1"/>
  <c r="S425" i="70" s="1"/>
  <c r="N425" i="70"/>
  <c r="O425" i="70" s="1"/>
  <c r="P425" i="70" s="1"/>
  <c r="K424" i="70"/>
  <c r="L424" i="70" s="1"/>
  <c r="M424" i="70" s="1"/>
  <c r="B424" i="70"/>
  <c r="C424" i="70" s="1"/>
  <c r="D424" i="70" s="1"/>
  <c r="X425" i="70"/>
  <c r="V426" i="70" s="1"/>
  <c r="W426" i="70" s="1"/>
  <c r="A426" i="70"/>
  <c r="AC218" i="70"/>
  <c r="AD218" i="70" s="1"/>
  <c r="F425" i="70"/>
  <c r="G425" i="70" s="1"/>
  <c r="E426" i="70" s="1"/>
  <c r="I219" i="70"/>
  <c r="Q426" i="70" l="1"/>
  <c r="R426" i="70" s="1"/>
  <c r="S426" i="70" s="1"/>
  <c r="N426" i="70"/>
  <c r="O426" i="70" s="1"/>
  <c r="P426" i="70" s="1"/>
  <c r="K425" i="70"/>
  <c r="L425" i="70" s="1"/>
  <c r="M425" i="70" s="1"/>
  <c r="X426" i="70"/>
  <c r="V427" i="70" s="1"/>
  <c r="W427" i="70" s="1"/>
  <c r="B425" i="70"/>
  <c r="C425" i="70" s="1"/>
  <c r="D425" i="70" s="1"/>
  <c r="A427" i="70"/>
  <c r="F426" i="70"/>
  <c r="G426" i="70" s="1"/>
  <c r="E427" i="70" s="1"/>
  <c r="J219" i="70"/>
  <c r="H220" i="70" s="1"/>
  <c r="Q427" i="70" l="1"/>
  <c r="R427" i="70" s="1"/>
  <c r="S427" i="70" s="1"/>
  <c r="N427" i="70"/>
  <c r="O427" i="70" s="1"/>
  <c r="P427" i="70" s="1"/>
  <c r="K426" i="70"/>
  <c r="L426" i="70" s="1"/>
  <c r="M426" i="70" s="1"/>
  <c r="B426" i="70"/>
  <c r="C426" i="70" s="1"/>
  <c r="D426" i="70" s="1"/>
  <c r="X427" i="70"/>
  <c r="V428" i="70" s="1"/>
  <c r="W428" i="70" s="1"/>
  <c r="AC219" i="70"/>
  <c r="AD219" i="70" s="1"/>
  <c r="A428" i="70"/>
  <c r="F427" i="70"/>
  <c r="G427" i="70" s="1"/>
  <c r="E428" i="70" s="1"/>
  <c r="I220" i="70"/>
  <c r="Q428" i="70" l="1"/>
  <c r="R428" i="70" s="1"/>
  <c r="S428" i="70" s="1"/>
  <c r="N428" i="70"/>
  <c r="O428" i="70" s="1"/>
  <c r="P428" i="70" s="1"/>
  <c r="K427" i="70"/>
  <c r="L427" i="70" s="1"/>
  <c r="M427" i="70" s="1"/>
  <c r="B427" i="70"/>
  <c r="C427" i="70" s="1"/>
  <c r="D427" i="70" s="1"/>
  <c r="A429" i="70"/>
  <c r="X428" i="70"/>
  <c r="V429" i="70" s="1"/>
  <c r="W429" i="70" s="1"/>
  <c r="F428" i="70"/>
  <c r="G428" i="70" s="1"/>
  <c r="E429" i="70" s="1"/>
  <c r="J220" i="70"/>
  <c r="H221" i="70" s="1"/>
  <c r="Q429" i="70" l="1"/>
  <c r="R429" i="70" s="1"/>
  <c r="S429" i="70" s="1"/>
  <c r="N429" i="70"/>
  <c r="O429" i="70" s="1"/>
  <c r="P429" i="70" s="1"/>
  <c r="K428" i="70"/>
  <c r="L428" i="70" s="1"/>
  <c r="M428" i="70" s="1"/>
  <c r="B428" i="70"/>
  <c r="C428" i="70" s="1"/>
  <c r="D428" i="70" s="1"/>
  <c r="X429" i="70"/>
  <c r="V430" i="70" s="1"/>
  <c r="W430" i="70" s="1"/>
  <c r="AC220" i="70"/>
  <c r="AD220" i="70" s="1"/>
  <c r="A430" i="70"/>
  <c r="F429" i="70"/>
  <c r="G429" i="70" s="1"/>
  <c r="E430" i="70" s="1"/>
  <c r="I221" i="70"/>
  <c r="Q430" i="70" l="1"/>
  <c r="R430" i="70" s="1"/>
  <c r="S430" i="70" s="1"/>
  <c r="N430" i="70"/>
  <c r="O430" i="70" s="1"/>
  <c r="P430" i="70" s="1"/>
  <c r="K429" i="70"/>
  <c r="L429" i="70" s="1"/>
  <c r="M429" i="70" s="1"/>
  <c r="B429" i="70"/>
  <c r="C429" i="70" s="1"/>
  <c r="D429" i="70" s="1"/>
  <c r="A431" i="70"/>
  <c r="X430" i="70"/>
  <c r="V431" i="70" s="1"/>
  <c r="W431" i="70" s="1"/>
  <c r="X431" i="70" s="1"/>
  <c r="V432" i="70" s="1"/>
  <c r="F430" i="70"/>
  <c r="G430" i="70" s="1"/>
  <c r="E431" i="70" s="1"/>
  <c r="J221" i="70"/>
  <c r="H222" i="70" s="1"/>
  <c r="Q431" i="70" l="1"/>
  <c r="R431" i="70" s="1"/>
  <c r="S431" i="70" s="1"/>
  <c r="N431" i="70"/>
  <c r="O431" i="70" s="1"/>
  <c r="P431" i="70" s="1"/>
  <c r="K430" i="70"/>
  <c r="L430" i="70" s="1"/>
  <c r="M430" i="70" s="1"/>
  <c r="B430" i="70"/>
  <c r="C430" i="70" s="1"/>
  <c r="D430" i="70" s="1"/>
  <c r="A432" i="70"/>
  <c r="AC221" i="70"/>
  <c r="AD221" i="70" s="1"/>
  <c r="F431" i="70"/>
  <c r="G431" i="70" s="1"/>
  <c r="E432" i="70" s="1"/>
  <c r="I222" i="70"/>
  <c r="W432" i="70"/>
  <c r="Q432" i="70" l="1"/>
  <c r="R432" i="70" s="1"/>
  <c r="S432" i="70" s="1"/>
  <c r="N432" i="70"/>
  <c r="O432" i="70" s="1"/>
  <c r="P432" i="70" s="1"/>
  <c r="K431" i="70"/>
  <c r="L431" i="70" s="1"/>
  <c r="M431" i="70" s="1"/>
  <c r="B431" i="70"/>
  <c r="C431" i="70" s="1"/>
  <c r="D431" i="70" s="1"/>
  <c r="A433" i="70"/>
  <c r="X432" i="70"/>
  <c r="V433" i="70" s="1"/>
  <c r="W433" i="70" s="1"/>
  <c r="X433" i="70" s="1"/>
  <c r="V434" i="70" s="1"/>
  <c r="F432" i="70"/>
  <c r="G432" i="70" s="1"/>
  <c r="E433" i="70" s="1"/>
  <c r="J222" i="70"/>
  <c r="H223" i="70" s="1"/>
  <c r="Q433" i="70" l="1"/>
  <c r="R433" i="70" s="1"/>
  <c r="S433" i="70" s="1"/>
  <c r="N433" i="70"/>
  <c r="O433" i="70" s="1"/>
  <c r="P433" i="70" s="1"/>
  <c r="K432" i="70"/>
  <c r="L432" i="70" s="1"/>
  <c r="M432" i="70" s="1"/>
  <c r="B432" i="70"/>
  <c r="C432" i="70" s="1"/>
  <c r="D432" i="70" s="1"/>
  <c r="A434" i="70"/>
  <c r="AC222" i="70"/>
  <c r="AD222" i="70" s="1"/>
  <c r="F433" i="70"/>
  <c r="G433" i="70" s="1"/>
  <c r="E434" i="70" s="1"/>
  <c r="I223" i="70"/>
  <c r="W434" i="70"/>
  <c r="Q434" i="70" l="1"/>
  <c r="R434" i="70" s="1"/>
  <c r="S434" i="70" s="1"/>
  <c r="N434" i="70"/>
  <c r="O434" i="70" s="1"/>
  <c r="P434" i="70" s="1"/>
  <c r="K433" i="70"/>
  <c r="L433" i="70" s="1"/>
  <c r="M433" i="70" s="1"/>
  <c r="B433" i="70"/>
  <c r="C433" i="70" s="1"/>
  <c r="D433" i="70" s="1"/>
  <c r="A435" i="70"/>
  <c r="X434" i="70"/>
  <c r="V435" i="70" s="1"/>
  <c r="W435" i="70" s="1"/>
  <c r="F434" i="70"/>
  <c r="G434" i="70" s="1"/>
  <c r="E435" i="70" s="1"/>
  <c r="J223" i="70"/>
  <c r="H224" i="70" s="1"/>
  <c r="Q435" i="70" l="1"/>
  <c r="R435" i="70" s="1"/>
  <c r="S435" i="70" s="1"/>
  <c r="N435" i="70"/>
  <c r="O435" i="70" s="1"/>
  <c r="P435" i="70" s="1"/>
  <c r="K434" i="70"/>
  <c r="L434" i="70" s="1"/>
  <c r="M434" i="70" s="1"/>
  <c r="X435" i="70"/>
  <c r="V436" i="70" s="1"/>
  <c r="W436" i="70" s="1"/>
  <c r="B434" i="70"/>
  <c r="C434" i="70" s="1"/>
  <c r="D434" i="70" s="1"/>
  <c r="AC223" i="70"/>
  <c r="AD223" i="70" s="1"/>
  <c r="A436" i="70"/>
  <c r="F435" i="70"/>
  <c r="G435" i="70" s="1"/>
  <c r="E436" i="70" s="1"/>
  <c r="I224" i="70"/>
  <c r="Q436" i="70" l="1"/>
  <c r="R436" i="70" s="1"/>
  <c r="S436" i="70" s="1"/>
  <c r="N436" i="70"/>
  <c r="O436" i="70" s="1"/>
  <c r="P436" i="70" s="1"/>
  <c r="K435" i="70"/>
  <c r="L435" i="70" s="1"/>
  <c r="M435" i="70" s="1"/>
  <c r="B435" i="70"/>
  <c r="C435" i="70" s="1"/>
  <c r="D435" i="70" s="1"/>
  <c r="A437" i="70"/>
  <c r="X436" i="70"/>
  <c r="V437" i="70" s="1"/>
  <c r="W437" i="70" s="1"/>
  <c r="F436" i="70"/>
  <c r="G436" i="70" s="1"/>
  <c r="E437" i="70" s="1"/>
  <c r="J224" i="70"/>
  <c r="H225" i="70" s="1"/>
  <c r="Q437" i="70" l="1"/>
  <c r="R437" i="70" s="1"/>
  <c r="S437" i="70" s="1"/>
  <c r="N437" i="70"/>
  <c r="O437" i="70" s="1"/>
  <c r="P437" i="70" s="1"/>
  <c r="K436" i="70"/>
  <c r="L436" i="70" s="1"/>
  <c r="M436" i="70" s="1"/>
  <c r="B436" i="70"/>
  <c r="C436" i="70" s="1"/>
  <c r="D436" i="70" s="1"/>
  <c r="X437" i="70"/>
  <c r="V438" i="70" s="1"/>
  <c r="W438" i="70" s="1"/>
  <c r="AC224" i="70"/>
  <c r="AD224" i="70" s="1"/>
  <c r="A438" i="70"/>
  <c r="F437" i="70"/>
  <c r="G437" i="70" s="1"/>
  <c r="E438" i="70" s="1"/>
  <c r="I225" i="70"/>
  <c r="Q438" i="70" l="1"/>
  <c r="R438" i="70" s="1"/>
  <c r="S438" i="70" s="1"/>
  <c r="N438" i="70"/>
  <c r="O438" i="70" s="1"/>
  <c r="P438" i="70" s="1"/>
  <c r="K437" i="70"/>
  <c r="L437" i="70" s="1"/>
  <c r="M437" i="70" s="1"/>
  <c r="B437" i="70"/>
  <c r="C437" i="70" s="1"/>
  <c r="D437" i="70" s="1"/>
  <c r="X438" i="70"/>
  <c r="V439" i="70" s="1"/>
  <c r="W439" i="70" s="1"/>
  <c r="A439" i="70"/>
  <c r="F438" i="70"/>
  <c r="G438" i="70" s="1"/>
  <c r="E439" i="70" s="1"/>
  <c r="J225" i="70"/>
  <c r="H226" i="70" s="1"/>
  <c r="Q439" i="70" l="1"/>
  <c r="R439" i="70" s="1"/>
  <c r="S439" i="70" s="1"/>
  <c r="N439" i="70"/>
  <c r="O439" i="70" s="1"/>
  <c r="P439" i="70" s="1"/>
  <c r="K438" i="70"/>
  <c r="L438" i="70" s="1"/>
  <c r="M438" i="70" s="1"/>
  <c r="B438" i="70"/>
  <c r="C438" i="70" s="1"/>
  <c r="D438" i="70" s="1"/>
  <c r="X439" i="70"/>
  <c r="V440" i="70" s="1"/>
  <c r="W440" i="70" s="1"/>
  <c r="AC225" i="70"/>
  <c r="AD225" i="70" s="1"/>
  <c r="A440" i="70"/>
  <c r="F439" i="70"/>
  <c r="G439" i="70" s="1"/>
  <c r="E440" i="70" s="1"/>
  <c r="I226" i="70"/>
  <c r="Q440" i="70" l="1"/>
  <c r="R440" i="70" s="1"/>
  <c r="S440" i="70" s="1"/>
  <c r="N440" i="70"/>
  <c r="O440" i="70" s="1"/>
  <c r="P440" i="70" s="1"/>
  <c r="K439" i="70"/>
  <c r="L439" i="70" s="1"/>
  <c r="M439" i="70" s="1"/>
  <c r="B439" i="70"/>
  <c r="C439" i="70" s="1"/>
  <c r="D439" i="70" s="1"/>
  <c r="X440" i="70"/>
  <c r="V441" i="70" s="1"/>
  <c r="W441" i="70" s="1"/>
  <c r="A441" i="70"/>
  <c r="F440" i="70"/>
  <c r="G440" i="70" s="1"/>
  <c r="E441" i="70" s="1"/>
  <c r="J226" i="70"/>
  <c r="H227" i="70" s="1"/>
  <c r="Q441" i="70" l="1"/>
  <c r="R441" i="70" s="1"/>
  <c r="S441" i="70" s="1"/>
  <c r="N441" i="70"/>
  <c r="O441" i="70" s="1"/>
  <c r="P441" i="70" s="1"/>
  <c r="K440" i="70"/>
  <c r="L440" i="70" s="1"/>
  <c r="M440" i="70" s="1"/>
  <c r="B440" i="70"/>
  <c r="C440" i="70" s="1"/>
  <c r="D440" i="70" s="1"/>
  <c r="X441" i="70"/>
  <c r="V442" i="70" s="1"/>
  <c r="W442" i="70" s="1"/>
  <c r="A442" i="70"/>
  <c r="AC226" i="70"/>
  <c r="AD226" i="70" s="1"/>
  <c r="F441" i="70"/>
  <c r="G441" i="70" s="1"/>
  <c r="E442" i="70" s="1"/>
  <c r="I227" i="70"/>
  <c r="Q442" i="70" l="1"/>
  <c r="R442" i="70" s="1"/>
  <c r="S442" i="70" s="1"/>
  <c r="N442" i="70"/>
  <c r="O442" i="70" s="1"/>
  <c r="P442" i="70" s="1"/>
  <c r="K441" i="70"/>
  <c r="L441" i="70" s="1"/>
  <c r="M441" i="70" s="1"/>
  <c r="B441" i="70"/>
  <c r="C441" i="70" s="1"/>
  <c r="D441" i="70" s="1"/>
  <c r="A443" i="70"/>
  <c r="X442" i="70"/>
  <c r="V443" i="70" s="1"/>
  <c r="W443" i="70" s="1"/>
  <c r="X443" i="70" s="1"/>
  <c r="V444" i="70" s="1"/>
  <c r="F442" i="70"/>
  <c r="G442" i="70" s="1"/>
  <c r="E443" i="70" s="1"/>
  <c r="J227" i="70"/>
  <c r="H228" i="70" s="1"/>
  <c r="Q443" i="70" l="1"/>
  <c r="R443" i="70" s="1"/>
  <c r="S443" i="70" s="1"/>
  <c r="N443" i="70"/>
  <c r="O443" i="70" s="1"/>
  <c r="P443" i="70" s="1"/>
  <c r="K442" i="70"/>
  <c r="L442" i="70" s="1"/>
  <c r="M442" i="70" s="1"/>
  <c r="B442" i="70"/>
  <c r="C442" i="70" s="1"/>
  <c r="D442" i="70" s="1"/>
  <c r="AC227" i="70"/>
  <c r="AD227" i="70" s="1"/>
  <c r="A444" i="70"/>
  <c r="F443" i="70"/>
  <c r="G443" i="70" s="1"/>
  <c r="E444" i="70" s="1"/>
  <c r="I228" i="70"/>
  <c r="W444" i="70"/>
  <c r="Q444" i="70" l="1"/>
  <c r="R444" i="70" s="1"/>
  <c r="S444" i="70" s="1"/>
  <c r="N444" i="70"/>
  <c r="O444" i="70" s="1"/>
  <c r="P444" i="70" s="1"/>
  <c r="K443" i="70"/>
  <c r="L443" i="70" s="1"/>
  <c r="M443" i="70" s="1"/>
  <c r="B443" i="70"/>
  <c r="C443" i="70" s="1"/>
  <c r="D443" i="70" s="1"/>
  <c r="X444" i="70"/>
  <c r="V445" i="70" s="1"/>
  <c r="W445" i="70" s="1"/>
  <c r="A445" i="70"/>
  <c r="F444" i="70"/>
  <c r="G444" i="70" s="1"/>
  <c r="E445" i="70" s="1"/>
  <c r="J228" i="70"/>
  <c r="H229" i="70" s="1"/>
  <c r="Q445" i="70" l="1"/>
  <c r="R445" i="70" s="1"/>
  <c r="S445" i="70" s="1"/>
  <c r="N445" i="70"/>
  <c r="O445" i="70" s="1"/>
  <c r="P445" i="70" s="1"/>
  <c r="K444" i="70"/>
  <c r="L444" i="70" s="1"/>
  <c r="M444" i="70" s="1"/>
  <c r="B444" i="70"/>
  <c r="C444" i="70" s="1"/>
  <c r="D444" i="70" s="1"/>
  <c r="X445" i="70"/>
  <c r="V446" i="70" s="1"/>
  <c r="W446" i="70" s="1"/>
  <c r="A446" i="70"/>
  <c r="AC228" i="70"/>
  <c r="AD228" i="70" s="1"/>
  <c r="F445" i="70"/>
  <c r="G445" i="70" s="1"/>
  <c r="E446" i="70" s="1"/>
  <c r="I229" i="70"/>
  <c r="Q446" i="70" l="1"/>
  <c r="R446" i="70" s="1"/>
  <c r="S446" i="70" s="1"/>
  <c r="N446" i="70"/>
  <c r="O446" i="70" s="1"/>
  <c r="P446" i="70" s="1"/>
  <c r="K445" i="70"/>
  <c r="L445" i="70" s="1"/>
  <c r="M445" i="70" s="1"/>
  <c r="X446" i="70"/>
  <c r="V447" i="70" s="1"/>
  <c r="W447" i="70" s="1"/>
  <c r="B445" i="70"/>
  <c r="C445" i="70" s="1"/>
  <c r="D445" i="70" s="1"/>
  <c r="A447" i="70"/>
  <c r="F446" i="70"/>
  <c r="G446" i="70" s="1"/>
  <c r="E447" i="70" s="1"/>
  <c r="J229" i="70"/>
  <c r="H230" i="70" s="1"/>
  <c r="Q447" i="70" l="1"/>
  <c r="R447" i="70" s="1"/>
  <c r="S447" i="70" s="1"/>
  <c r="N447" i="70"/>
  <c r="O447" i="70" s="1"/>
  <c r="P447" i="70" s="1"/>
  <c r="K446" i="70"/>
  <c r="L446" i="70" s="1"/>
  <c r="M446" i="70" s="1"/>
  <c r="X447" i="70"/>
  <c r="V448" i="70" s="1"/>
  <c r="W448" i="70" s="1"/>
  <c r="B446" i="70"/>
  <c r="C446" i="70" s="1"/>
  <c r="D446" i="70" s="1"/>
  <c r="AC229" i="70"/>
  <c r="AD229" i="70" s="1"/>
  <c r="A448" i="70"/>
  <c r="F447" i="70"/>
  <c r="G447" i="70" s="1"/>
  <c r="E448" i="70" s="1"/>
  <c r="I230" i="70"/>
  <c r="Q448" i="70" l="1"/>
  <c r="R448" i="70" s="1"/>
  <c r="S448" i="70" s="1"/>
  <c r="N448" i="70"/>
  <c r="O448" i="70" s="1"/>
  <c r="P448" i="70" s="1"/>
  <c r="K447" i="70"/>
  <c r="L447" i="70" s="1"/>
  <c r="M447" i="70" s="1"/>
  <c r="B447" i="70"/>
  <c r="C447" i="70" s="1"/>
  <c r="D447" i="70" s="1"/>
  <c r="X448" i="70"/>
  <c r="V449" i="70" s="1"/>
  <c r="W449" i="70" s="1"/>
  <c r="A449" i="70"/>
  <c r="F448" i="70"/>
  <c r="G448" i="70" s="1"/>
  <c r="E449" i="70" s="1"/>
  <c r="J230" i="70"/>
  <c r="H231" i="70" s="1"/>
  <c r="Q449" i="70" l="1"/>
  <c r="R449" i="70" s="1"/>
  <c r="S449" i="70" s="1"/>
  <c r="N449" i="70"/>
  <c r="O449" i="70" s="1"/>
  <c r="P449" i="70" s="1"/>
  <c r="K448" i="70"/>
  <c r="L448" i="70" s="1"/>
  <c r="M448" i="70" s="1"/>
  <c r="X449" i="70"/>
  <c r="V450" i="70" s="1"/>
  <c r="W450" i="70" s="1"/>
  <c r="B448" i="70"/>
  <c r="C448" i="70" s="1"/>
  <c r="D448" i="70" s="1"/>
  <c r="A450" i="70"/>
  <c r="AC230" i="70"/>
  <c r="AD230" i="70" s="1"/>
  <c r="F449" i="70"/>
  <c r="G449" i="70" s="1"/>
  <c r="E450" i="70" s="1"/>
  <c r="I231" i="70"/>
  <c r="Q450" i="70" l="1"/>
  <c r="R450" i="70" s="1"/>
  <c r="S450" i="70" s="1"/>
  <c r="N450" i="70"/>
  <c r="O450" i="70" s="1"/>
  <c r="P450" i="70" s="1"/>
  <c r="K449" i="70"/>
  <c r="L449" i="70" s="1"/>
  <c r="M449" i="70" s="1"/>
  <c r="B449" i="70"/>
  <c r="C449" i="70" s="1"/>
  <c r="D449" i="70" s="1"/>
  <c r="A451" i="70"/>
  <c r="X450" i="70"/>
  <c r="V451" i="70" s="1"/>
  <c r="W451" i="70" s="1"/>
  <c r="X451" i="70" s="1"/>
  <c r="V452" i="70" s="1"/>
  <c r="F450" i="70"/>
  <c r="G450" i="70" s="1"/>
  <c r="E451" i="70" s="1"/>
  <c r="J231" i="70"/>
  <c r="H232" i="70" s="1"/>
  <c r="Q451" i="70" l="1"/>
  <c r="R451" i="70" s="1"/>
  <c r="S451" i="70" s="1"/>
  <c r="N451" i="70"/>
  <c r="O451" i="70" s="1"/>
  <c r="P451" i="70" s="1"/>
  <c r="K450" i="70"/>
  <c r="L450" i="70" s="1"/>
  <c r="M450" i="70" s="1"/>
  <c r="B450" i="70"/>
  <c r="C450" i="70" s="1"/>
  <c r="D450" i="70" s="1"/>
  <c r="AC231" i="70"/>
  <c r="AD231" i="70" s="1"/>
  <c r="A452" i="70"/>
  <c r="F451" i="70"/>
  <c r="G451" i="70" s="1"/>
  <c r="E452" i="70" s="1"/>
  <c r="I232" i="70"/>
  <c r="W452" i="70"/>
  <c r="Q452" i="70" l="1"/>
  <c r="R452" i="70" s="1"/>
  <c r="S452" i="70" s="1"/>
  <c r="N452" i="70"/>
  <c r="O452" i="70" s="1"/>
  <c r="P452" i="70" s="1"/>
  <c r="K451" i="70"/>
  <c r="L451" i="70" s="1"/>
  <c r="M451" i="70" s="1"/>
  <c r="B451" i="70"/>
  <c r="C451" i="70" s="1"/>
  <c r="D451" i="70" s="1"/>
  <c r="A453" i="70"/>
  <c r="X452" i="70"/>
  <c r="V453" i="70" s="1"/>
  <c r="W453" i="70" s="1"/>
  <c r="F452" i="70"/>
  <c r="G452" i="70" s="1"/>
  <c r="E453" i="70" s="1"/>
  <c r="J232" i="70"/>
  <c r="H233" i="70" s="1"/>
  <c r="X453" i="70" l="1"/>
  <c r="V454" i="70" s="1"/>
  <c r="W454" i="70" s="1"/>
  <c r="Q453" i="70"/>
  <c r="R453" i="70" s="1"/>
  <c r="S453" i="70" s="1"/>
  <c r="N453" i="70"/>
  <c r="O453" i="70" s="1"/>
  <c r="P453" i="70" s="1"/>
  <c r="K452" i="70"/>
  <c r="L452" i="70" s="1"/>
  <c r="M452" i="70" s="1"/>
  <c r="B452" i="70"/>
  <c r="C452" i="70" s="1"/>
  <c r="D452" i="70" s="1"/>
  <c r="AC232" i="70"/>
  <c r="AD232" i="70" s="1"/>
  <c r="A454" i="70"/>
  <c r="F453" i="70"/>
  <c r="G453" i="70" s="1"/>
  <c r="E454" i="70" s="1"/>
  <c r="I233" i="70"/>
  <c r="Q454" i="70" l="1"/>
  <c r="R454" i="70" s="1"/>
  <c r="S454" i="70" s="1"/>
  <c r="N454" i="70"/>
  <c r="O454" i="70" s="1"/>
  <c r="P454" i="70" s="1"/>
  <c r="K453" i="70"/>
  <c r="L453" i="70" s="1"/>
  <c r="M453" i="70" s="1"/>
  <c r="B453" i="70"/>
  <c r="C453" i="70" s="1"/>
  <c r="D453" i="70" s="1"/>
  <c r="X454" i="70"/>
  <c r="V455" i="70" s="1"/>
  <c r="W455" i="70" s="1"/>
  <c r="A455" i="70"/>
  <c r="F454" i="70"/>
  <c r="G454" i="70" s="1"/>
  <c r="E455" i="70" s="1"/>
  <c r="J233" i="70"/>
  <c r="H234" i="70" s="1"/>
  <c r="Q455" i="70" l="1"/>
  <c r="R455" i="70" s="1"/>
  <c r="S455" i="70" s="1"/>
  <c r="N455" i="70"/>
  <c r="O455" i="70" s="1"/>
  <c r="P455" i="70" s="1"/>
  <c r="K454" i="70"/>
  <c r="L454" i="70" s="1"/>
  <c r="M454" i="70" s="1"/>
  <c r="X455" i="70"/>
  <c r="V456" i="70" s="1"/>
  <c r="W456" i="70" s="1"/>
  <c r="B454" i="70"/>
  <c r="C454" i="70" s="1"/>
  <c r="D454" i="70" s="1"/>
  <c r="AC233" i="70"/>
  <c r="AD233" i="70" s="1"/>
  <c r="A456" i="70"/>
  <c r="F455" i="70"/>
  <c r="G455" i="70" s="1"/>
  <c r="E456" i="70" s="1"/>
  <c r="I234" i="70"/>
  <c r="Q456" i="70" l="1"/>
  <c r="R456" i="70" s="1"/>
  <c r="S456" i="70" s="1"/>
  <c r="N456" i="70"/>
  <c r="O456" i="70" s="1"/>
  <c r="P456" i="70" s="1"/>
  <c r="K455" i="70"/>
  <c r="L455" i="70" s="1"/>
  <c r="M455" i="70" s="1"/>
  <c r="B455" i="70"/>
  <c r="C455" i="70" s="1"/>
  <c r="D455" i="70" s="1"/>
  <c r="A457" i="70"/>
  <c r="X456" i="70"/>
  <c r="V457" i="70" s="1"/>
  <c r="W457" i="70" s="1"/>
  <c r="F456" i="70"/>
  <c r="G456" i="70" s="1"/>
  <c r="E457" i="70" s="1"/>
  <c r="J234" i="70"/>
  <c r="H235" i="70" s="1"/>
  <c r="X457" i="70" l="1"/>
  <c r="V458" i="70" s="1"/>
  <c r="W458" i="70" s="1"/>
  <c r="Q457" i="70"/>
  <c r="R457" i="70" s="1"/>
  <c r="S457" i="70" s="1"/>
  <c r="N457" i="70"/>
  <c r="O457" i="70" s="1"/>
  <c r="P457" i="70" s="1"/>
  <c r="K456" i="70"/>
  <c r="L456" i="70" s="1"/>
  <c r="M456" i="70" s="1"/>
  <c r="B456" i="70"/>
  <c r="C456" i="70" s="1"/>
  <c r="D456" i="70" s="1"/>
  <c r="AC234" i="70"/>
  <c r="AD234" i="70" s="1"/>
  <c r="A458" i="70"/>
  <c r="F457" i="70"/>
  <c r="G457" i="70" s="1"/>
  <c r="E458" i="70" s="1"/>
  <c r="I235" i="70"/>
  <c r="Q458" i="70" l="1"/>
  <c r="R458" i="70" s="1"/>
  <c r="S458" i="70" s="1"/>
  <c r="N458" i="70"/>
  <c r="O458" i="70" s="1"/>
  <c r="P458" i="70" s="1"/>
  <c r="K457" i="70"/>
  <c r="L457" i="70" s="1"/>
  <c r="M457" i="70" s="1"/>
  <c r="B457" i="70"/>
  <c r="C457" i="70" s="1"/>
  <c r="D457" i="70" s="1"/>
  <c r="A459" i="70"/>
  <c r="X458" i="70"/>
  <c r="V459" i="70" s="1"/>
  <c r="W459" i="70" s="1"/>
  <c r="F458" i="70"/>
  <c r="G458" i="70" s="1"/>
  <c r="E459" i="70" s="1"/>
  <c r="J235" i="70"/>
  <c r="H236" i="70" s="1"/>
  <c r="Q459" i="70" l="1"/>
  <c r="R459" i="70" s="1"/>
  <c r="S459" i="70" s="1"/>
  <c r="N459" i="70"/>
  <c r="O459" i="70" s="1"/>
  <c r="P459" i="70" s="1"/>
  <c r="K458" i="70"/>
  <c r="L458" i="70" s="1"/>
  <c r="M458" i="70" s="1"/>
  <c r="B458" i="70"/>
  <c r="C458" i="70" s="1"/>
  <c r="D458" i="70" s="1"/>
  <c r="X459" i="70"/>
  <c r="V460" i="70" s="1"/>
  <c r="W460" i="70" s="1"/>
  <c r="A460" i="70"/>
  <c r="AC235" i="70"/>
  <c r="AD235" i="70" s="1"/>
  <c r="F459" i="70"/>
  <c r="G459" i="70" s="1"/>
  <c r="E460" i="70" s="1"/>
  <c r="I236" i="70"/>
  <c r="Q460" i="70" l="1"/>
  <c r="R460" i="70" s="1"/>
  <c r="S460" i="70" s="1"/>
  <c r="N460" i="70"/>
  <c r="O460" i="70" s="1"/>
  <c r="P460" i="70" s="1"/>
  <c r="K459" i="70"/>
  <c r="L459" i="70" s="1"/>
  <c r="M459" i="70" s="1"/>
  <c r="B459" i="70"/>
  <c r="C459" i="70" s="1"/>
  <c r="D459" i="70" s="1"/>
  <c r="X460" i="70"/>
  <c r="V461" i="70" s="1"/>
  <c r="W461" i="70" s="1"/>
  <c r="A461" i="70"/>
  <c r="F460" i="70"/>
  <c r="G460" i="70" s="1"/>
  <c r="E461" i="70" s="1"/>
  <c r="J236" i="70"/>
  <c r="H237" i="70" s="1"/>
  <c r="Q461" i="70" l="1"/>
  <c r="R461" i="70" s="1"/>
  <c r="S461" i="70" s="1"/>
  <c r="N461" i="70"/>
  <c r="O461" i="70" s="1"/>
  <c r="P461" i="70" s="1"/>
  <c r="K460" i="70"/>
  <c r="L460" i="70" s="1"/>
  <c r="M460" i="70" s="1"/>
  <c r="B460" i="70"/>
  <c r="C460" i="70" s="1"/>
  <c r="D460" i="70" s="1"/>
  <c r="X461" i="70"/>
  <c r="V462" i="70" s="1"/>
  <c r="W462" i="70" s="1"/>
  <c r="AC236" i="70"/>
  <c r="AD236" i="70" s="1"/>
  <c r="A462" i="70"/>
  <c r="F461" i="70"/>
  <c r="G461" i="70" s="1"/>
  <c r="E462" i="70" s="1"/>
  <c r="I237" i="70"/>
  <c r="Q462" i="70" l="1"/>
  <c r="R462" i="70" s="1"/>
  <c r="S462" i="70" s="1"/>
  <c r="N462" i="70"/>
  <c r="O462" i="70" s="1"/>
  <c r="P462" i="70" s="1"/>
  <c r="K461" i="70"/>
  <c r="L461" i="70" s="1"/>
  <c r="M461" i="70" s="1"/>
  <c r="X462" i="70"/>
  <c r="V463" i="70" s="1"/>
  <c r="W463" i="70" s="1"/>
  <c r="B461" i="70"/>
  <c r="C461" i="70" s="1"/>
  <c r="D461" i="70" s="1"/>
  <c r="A463" i="70"/>
  <c r="F462" i="70"/>
  <c r="G462" i="70" s="1"/>
  <c r="E463" i="70" s="1"/>
  <c r="J237" i="70"/>
  <c r="H238" i="70" s="1"/>
  <c r="Q463" i="70" l="1"/>
  <c r="R463" i="70" s="1"/>
  <c r="S463" i="70" s="1"/>
  <c r="N463" i="70"/>
  <c r="O463" i="70" s="1"/>
  <c r="P463" i="70" s="1"/>
  <c r="K462" i="70"/>
  <c r="L462" i="70" s="1"/>
  <c r="M462" i="70" s="1"/>
  <c r="B462" i="70"/>
  <c r="C462" i="70" s="1"/>
  <c r="D462" i="70" s="1"/>
  <c r="X463" i="70"/>
  <c r="V464" i="70" s="1"/>
  <c r="W464" i="70" s="1"/>
  <c r="A464" i="70"/>
  <c r="AC237" i="70"/>
  <c r="AD237" i="70" s="1"/>
  <c r="F463" i="70"/>
  <c r="G463" i="70" s="1"/>
  <c r="E464" i="70" s="1"/>
  <c r="I238" i="70"/>
  <c r="Q464" i="70" l="1"/>
  <c r="R464" i="70" s="1"/>
  <c r="S464" i="70" s="1"/>
  <c r="N464" i="70"/>
  <c r="O464" i="70" s="1"/>
  <c r="P464" i="70" s="1"/>
  <c r="K463" i="70"/>
  <c r="L463" i="70" s="1"/>
  <c r="M463" i="70" s="1"/>
  <c r="B463" i="70"/>
  <c r="C463" i="70" s="1"/>
  <c r="D463" i="70" s="1"/>
  <c r="A465" i="70"/>
  <c r="X464" i="70"/>
  <c r="V465" i="70" s="1"/>
  <c r="W465" i="70" s="1"/>
  <c r="F464" i="70"/>
  <c r="G464" i="70" s="1"/>
  <c r="E465" i="70" s="1"/>
  <c r="J238" i="70"/>
  <c r="H239" i="70" s="1"/>
  <c r="Q465" i="70" l="1"/>
  <c r="R465" i="70" s="1"/>
  <c r="S465" i="70" s="1"/>
  <c r="N465" i="70"/>
  <c r="O465" i="70" s="1"/>
  <c r="P465" i="70" s="1"/>
  <c r="K464" i="70"/>
  <c r="L464" i="70" s="1"/>
  <c r="M464" i="70" s="1"/>
  <c r="B464" i="70"/>
  <c r="C464" i="70" s="1"/>
  <c r="D464" i="70" s="1"/>
  <c r="X465" i="70"/>
  <c r="V466" i="70" s="1"/>
  <c r="W466" i="70" s="1"/>
  <c r="AC238" i="70"/>
  <c r="AD238" i="70" s="1"/>
  <c r="A466" i="70"/>
  <c r="F465" i="70"/>
  <c r="G465" i="70" s="1"/>
  <c r="E466" i="70" s="1"/>
  <c r="I239" i="70"/>
  <c r="Q466" i="70" l="1"/>
  <c r="R466" i="70" s="1"/>
  <c r="S466" i="70" s="1"/>
  <c r="N466" i="70"/>
  <c r="O466" i="70" s="1"/>
  <c r="P466" i="70" s="1"/>
  <c r="K465" i="70"/>
  <c r="L465" i="70" s="1"/>
  <c r="M465" i="70" s="1"/>
  <c r="B465" i="70"/>
  <c r="C465" i="70" s="1"/>
  <c r="D465" i="70" s="1"/>
  <c r="X466" i="70"/>
  <c r="V467" i="70" s="1"/>
  <c r="W467" i="70" s="1"/>
  <c r="A467" i="70"/>
  <c r="F466" i="70"/>
  <c r="G466" i="70" s="1"/>
  <c r="E467" i="70" s="1"/>
  <c r="J239" i="70"/>
  <c r="H240" i="70" s="1"/>
  <c r="Q467" i="70" l="1"/>
  <c r="R467" i="70" s="1"/>
  <c r="S467" i="70" s="1"/>
  <c r="N467" i="70"/>
  <c r="O467" i="70" s="1"/>
  <c r="P467" i="70" s="1"/>
  <c r="K466" i="70"/>
  <c r="L466" i="70" s="1"/>
  <c r="M466" i="70" s="1"/>
  <c r="B466" i="70"/>
  <c r="C466" i="70" s="1"/>
  <c r="D466" i="70" s="1"/>
  <c r="X467" i="70"/>
  <c r="V468" i="70" s="1"/>
  <c r="W468" i="70" s="1"/>
  <c r="A468" i="70"/>
  <c r="AC239" i="70"/>
  <c r="AD239" i="70" s="1"/>
  <c r="F467" i="70"/>
  <c r="G467" i="70" s="1"/>
  <c r="E468" i="70" s="1"/>
  <c r="I240" i="70"/>
  <c r="Q468" i="70" l="1"/>
  <c r="R468" i="70" s="1"/>
  <c r="S468" i="70" s="1"/>
  <c r="N468" i="70"/>
  <c r="O468" i="70" s="1"/>
  <c r="P468" i="70" s="1"/>
  <c r="K467" i="70"/>
  <c r="L467" i="70" s="1"/>
  <c r="M467" i="70" s="1"/>
  <c r="B467" i="70"/>
  <c r="C467" i="70" s="1"/>
  <c r="D467" i="70" s="1"/>
  <c r="A469" i="70"/>
  <c r="X468" i="70"/>
  <c r="V469" i="70" s="1"/>
  <c r="W469" i="70" s="1"/>
  <c r="F468" i="70"/>
  <c r="G468" i="70" s="1"/>
  <c r="E469" i="70" s="1"/>
  <c r="J240" i="70"/>
  <c r="H241" i="70" s="1"/>
  <c r="Q469" i="70" l="1"/>
  <c r="R469" i="70" s="1"/>
  <c r="S469" i="70" s="1"/>
  <c r="N469" i="70"/>
  <c r="O469" i="70" s="1"/>
  <c r="P469" i="70" s="1"/>
  <c r="K468" i="70"/>
  <c r="L468" i="70" s="1"/>
  <c r="M468" i="70" s="1"/>
  <c r="B468" i="70"/>
  <c r="C468" i="70" s="1"/>
  <c r="D468" i="70" s="1"/>
  <c r="X469" i="70"/>
  <c r="V470" i="70" s="1"/>
  <c r="W470" i="70" s="1"/>
  <c r="A470" i="70"/>
  <c r="AC240" i="70"/>
  <c r="AD240" i="70" s="1"/>
  <c r="F469" i="70"/>
  <c r="G469" i="70" s="1"/>
  <c r="E470" i="70" s="1"/>
  <c r="I241" i="70"/>
  <c r="Q470" i="70" l="1"/>
  <c r="R470" i="70" s="1"/>
  <c r="S470" i="70" s="1"/>
  <c r="N470" i="70"/>
  <c r="O470" i="70" s="1"/>
  <c r="P470" i="70" s="1"/>
  <c r="K469" i="70"/>
  <c r="L469" i="70" s="1"/>
  <c r="M469" i="70" s="1"/>
  <c r="B469" i="70"/>
  <c r="C469" i="70" s="1"/>
  <c r="D469" i="70" s="1"/>
  <c r="A471" i="70"/>
  <c r="X470" i="70"/>
  <c r="V471" i="70" s="1"/>
  <c r="W471" i="70" s="1"/>
  <c r="F470" i="70"/>
  <c r="G470" i="70" s="1"/>
  <c r="E471" i="70" s="1"/>
  <c r="J241" i="70"/>
  <c r="H242" i="70" s="1"/>
  <c r="Q471" i="70" l="1"/>
  <c r="R471" i="70" s="1"/>
  <c r="S471" i="70" s="1"/>
  <c r="N471" i="70"/>
  <c r="O471" i="70" s="1"/>
  <c r="P471" i="70" s="1"/>
  <c r="K470" i="70"/>
  <c r="L470" i="70" s="1"/>
  <c r="M470" i="70" s="1"/>
  <c r="B470" i="70"/>
  <c r="C470" i="70" s="1"/>
  <c r="D470" i="70" s="1"/>
  <c r="X471" i="70"/>
  <c r="V472" i="70" s="1"/>
  <c r="W472" i="70" s="1"/>
  <c r="A472" i="70"/>
  <c r="AC241" i="70"/>
  <c r="AD241" i="70" s="1"/>
  <c r="F471" i="70"/>
  <c r="G471" i="70" s="1"/>
  <c r="E472" i="70" s="1"/>
  <c r="I242" i="70"/>
  <c r="Q472" i="70" l="1"/>
  <c r="R472" i="70" s="1"/>
  <c r="S472" i="70" s="1"/>
  <c r="N472" i="70"/>
  <c r="O472" i="70" s="1"/>
  <c r="P472" i="70" s="1"/>
  <c r="K471" i="70"/>
  <c r="L471" i="70" s="1"/>
  <c r="M471" i="70" s="1"/>
  <c r="B471" i="70"/>
  <c r="C471" i="70" s="1"/>
  <c r="D471" i="70" s="1"/>
  <c r="A473" i="70"/>
  <c r="X472" i="70"/>
  <c r="V473" i="70" s="1"/>
  <c r="W473" i="70" s="1"/>
  <c r="F472" i="70"/>
  <c r="G472" i="70" s="1"/>
  <c r="E473" i="70" s="1"/>
  <c r="J242" i="70"/>
  <c r="H243" i="70" s="1"/>
  <c r="Q473" i="70" l="1"/>
  <c r="R473" i="70" s="1"/>
  <c r="S473" i="70" s="1"/>
  <c r="N473" i="70"/>
  <c r="O473" i="70" s="1"/>
  <c r="P473" i="70" s="1"/>
  <c r="K472" i="70"/>
  <c r="L472" i="70" s="1"/>
  <c r="M472" i="70" s="1"/>
  <c r="X473" i="70"/>
  <c r="V474" i="70" s="1"/>
  <c r="W474" i="70" s="1"/>
  <c r="B472" i="70"/>
  <c r="C472" i="70" s="1"/>
  <c r="D472" i="70" s="1"/>
  <c r="AC242" i="70"/>
  <c r="AD242" i="70" s="1"/>
  <c r="A474" i="70"/>
  <c r="F473" i="70"/>
  <c r="G473" i="70" s="1"/>
  <c r="E474" i="70" s="1"/>
  <c r="I243" i="70"/>
  <c r="Q474" i="70" l="1"/>
  <c r="R474" i="70" s="1"/>
  <c r="S474" i="70" s="1"/>
  <c r="N474" i="70"/>
  <c r="O474" i="70" s="1"/>
  <c r="P474" i="70" s="1"/>
  <c r="K473" i="70"/>
  <c r="L473" i="70" s="1"/>
  <c r="M473" i="70" s="1"/>
  <c r="B473" i="70"/>
  <c r="C473" i="70" s="1"/>
  <c r="D473" i="70" s="1"/>
  <c r="X474" i="70"/>
  <c r="V475" i="70" s="1"/>
  <c r="W475" i="70" s="1"/>
  <c r="A475" i="70"/>
  <c r="F474" i="70"/>
  <c r="G474" i="70" s="1"/>
  <c r="E475" i="70" s="1"/>
  <c r="J243" i="70"/>
  <c r="H244" i="70" s="1"/>
  <c r="Q475" i="70" l="1"/>
  <c r="R475" i="70" s="1"/>
  <c r="S475" i="70" s="1"/>
  <c r="N475" i="70"/>
  <c r="O475" i="70" s="1"/>
  <c r="P475" i="70" s="1"/>
  <c r="K474" i="70"/>
  <c r="L474" i="70" s="1"/>
  <c r="M474" i="70" s="1"/>
  <c r="B474" i="70"/>
  <c r="C474" i="70" s="1"/>
  <c r="D474" i="70" s="1"/>
  <c r="X475" i="70"/>
  <c r="V476" i="70" s="1"/>
  <c r="W476" i="70" s="1"/>
  <c r="A476" i="70"/>
  <c r="F475" i="70"/>
  <c r="G475" i="70" s="1"/>
  <c r="E476" i="70" s="1"/>
  <c r="I244" i="70"/>
  <c r="Q476" i="70" l="1"/>
  <c r="R476" i="70" s="1"/>
  <c r="S476" i="70" s="1"/>
  <c r="N476" i="70"/>
  <c r="O476" i="70" s="1"/>
  <c r="P476" i="70" s="1"/>
  <c r="K475" i="70"/>
  <c r="L475" i="70" s="1"/>
  <c r="M475" i="70" s="1"/>
  <c r="X476" i="70"/>
  <c r="V477" i="70" s="1"/>
  <c r="W477" i="70" s="1"/>
  <c r="B475" i="70"/>
  <c r="C475" i="70" s="1"/>
  <c r="D475" i="70" s="1"/>
  <c r="A477" i="70"/>
  <c r="F476" i="70"/>
  <c r="G476" i="70" s="1"/>
  <c r="E477" i="70" s="1"/>
  <c r="J244" i="70"/>
  <c r="H245" i="70" s="1"/>
  <c r="Q477" i="70" l="1"/>
  <c r="R477" i="70" s="1"/>
  <c r="S477" i="70" s="1"/>
  <c r="N477" i="70"/>
  <c r="O477" i="70" s="1"/>
  <c r="P477" i="70" s="1"/>
  <c r="K476" i="70"/>
  <c r="L476" i="70" s="1"/>
  <c r="M476" i="70" s="1"/>
  <c r="B476" i="70"/>
  <c r="C476" i="70" s="1"/>
  <c r="D476" i="70" s="1"/>
  <c r="X477" i="70"/>
  <c r="V478" i="70" s="1"/>
  <c r="W478" i="70" s="1"/>
  <c r="A478" i="70"/>
  <c r="F477" i="70"/>
  <c r="G477" i="70" s="1"/>
  <c r="E478" i="70" s="1"/>
  <c r="I245" i="70"/>
  <c r="Q478" i="70" l="1"/>
  <c r="R478" i="70" s="1"/>
  <c r="S478" i="70" s="1"/>
  <c r="N478" i="70"/>
  <c r="O478" i="70" s="1"/>
  <c r="P478" i="70" s="1"/>
  <c r="K477" i="70"/>
  <c r="L477" i="70" s="1"/>
  <c r="M477" i="70" s="1"/>
  <c r="B477" i="70"/>
  <c r="C477" i="70" s="1"/>
  <c r="D477" i="70" s="1"/>
  <c r="X478" i="70"/>
  <c r="V479" i="70" s="1"/>
  <c r="W479" i="70" s="1"/>
  <c r="A479" i="70"/>
  <c r="F478" i="70"/>
  <c r="G478" i="70" s="1"/>
  <c r="E479" i="70" s="1"/>
  <c r="J245" i="70"/>
  <c r="H246" i="70" s="1"/>
  <c r="Q479" i="70" l="1"/>
  <c r="R479" i="70" s="1"/>
  <c r="S479" i="70" s="1"/>
  <c r="N479" i="70"/>
  <c r="O479" i="70" s="1"/>
  <c r="P479" i="70" s="1"/>
  <c r="K478" i="70"/>
  <c r="L478" i="70" s="1"/>
  <c r="M478" i="70" s="1"/>
  <c r="B478" i="70"/>
  <c r="C478" i="70" s="1"/>
  <c r="D478" i="70" s="1"/>
  <c r="X479" i="70"/>
  <c r="V480" i="70" s="1"/>
  <c r="W480" i="70" s="1"/>
  <c r="A480" i="70"/>
  <c r="F479" i="70"/>
  <c r="G479" i="70" s="1"/>
  <c r="E480" i="70" s="1"/>
  <c r="I246" i="70"/>
  <c r="Q480" i="70" l="1"/>
  <c r="R480" i="70" s="1"/>
  <c r="S480" i="70" s="1"/>
  <c r="N480" i="70"/>
  <c r="O480" i="70" s="1"/>
  <c r="P480" i="70" s="1"/>
  <c r="K479" i="70"/>
  <c r="L479" i="70" s="1"/>
  <c r="M479" i="70" s="1"/>
  <c r="B479" i="70"/>
  <c r="C479" i="70" s="1"/>
  <c r="D479" i="70" s="1"/>
  <c r="X480" i="70"/>
  <c r="V481" i="70" s="1"/>
  <c r="W481" i="70" s="1"/>
  <c r="A481" i="70"/>
  <c r="F480" i="70"/>
  <c r="G480" i="70" s="1"/>
  <c r="E481" i="70" s="1"/>
  <c r="J246" i="70"/>
  <c r="H247" i="70" s="1"/>
  <c r="Q481" i="70" l="1"/>
  <c r="R481" i="70" s="1"/>
  <c r="S481" i="70" s="1"/>
  <c r="N481" i="70"/>
  <c r="O481" i="70" s="1"/>
  <c r="P481" i="70" s="1"/>
  <c r="K480" i="70"/>
  <c r="L480" i="70" s="1"/>
  <c r="M480" i="70" s="1"/>
  <c r="B480" i="70"/>
  <c r="C480" i="70" s="1"/>
  <c r="D480" i="70" s="1"/>
  <c r="A482" i="70"/>
  <c r="X481" i="70"/>
  <c r="V482" i="70" s="1"/>
  <c r="W482" i="70" s="1"/>
  <c r="F481" i="70"/>
  <c r="G481" i="70" s="1"/>
  <c r="E482" i="70" s="1"/>
  <c r="I247" i="70"/>
  <c r="Q482" i="70" l="1"/>
  <c r="R482" i="70" s="1"/>
  <c r="S482" i="70" s="1"/>
  <c r="N482" i="70"/>
  <c r="O482" i="70" s="1"/>
  <c r="P482" i="70" s="1"/>
  <c r="K481" i="70"/>
  <c r="L481" i="70" s="1"/>
  <c r="M481" i="70" s="1"/>
  <c r="B481" i="70"/>
  <c r="C481" i="70" s="1"/>
  <c r="D481" i="70" s="1"/>
  <c r="X482" i="70"/>
  <c r="V483" i="70" s="1"/>
  <c r="W483" i="70" s="1"/>
  <c r="A483" i="70"/>
  <c r="F482" i="70"/>
  <c r="G482" i="70" s="1"/>
  <c r="E483" i="70" s="1"/>
  <c r="J247" i="70"/>
  <c r="H248" i="70" s="1"/>
  <c r="Q483" i="70" l="1"/>
  <c r="R483" i="70" s="1"/>
  <c r="S483" i="70" s="1"/>
  <c r="N483" i="70"/>
  <c r="O483" i="70" s="1"/>
  <c r="P483" i="70" s="1"/>
  <c r="K482" i="70"/>
  <c r="L482" i="70" s="1"/>
  <c r="M482" i="70" s="1"/>
  <c r="B482" i="70"/>
  <c r="C482" i="70" s="1"/>
  <c r="D482" i="70" s="1"/>
  <c r="X483" i="70"/>
  <c r="V484" i="70" s="1"/>
  <c r="W484" i="70" s="1"/>
  <c r="A484" i="70"/>
  <c r="F483" i="70"/>
  <c r="G483" i="70" s="1"/>
  <c r="E484" i="70" s="1"/>
  <c r="I248" i="70"/>
  <c r="Q484" i="70" l="1"/>
  <c r="R484" i="70" s="1"/>
  <c r="S484" i="70" s="1"/>
  <c r="N484" i="70"/>
  <c r="O484" i="70" s="1"/>
  <c r="P484" i="70" s="1"/>
  <c r="K483" i="70"/>
  <c r="L483" i="70" s="1"/>
  <c r="M483" i="70" s="1"/>
  <c r="B483" i="70"/>
  <c r="C483" i="70" s="1"/>
  <c r="D483" i="70" s="1"/>
  <c r="A485" i="70"/>
  <c r="X484" i="70"/>
  <c r="V485" i="70" s="1"/>
  <c r="W485" i="70" s="1"/>
  <c r="F484" i="70"/>
  <c r="G484" i="70" s="1"/>
  <c r="E485" i="70" s="1"/>
  <c r="J248" i="70"/>
  <c r="H249" i="70" s="1"/>
  <c r="X485" i="70" l="1"/>
  <c r="V486" i="70" s="1"/>
  <c r="W486" i="70" s="1"/>
  <c r="Q485" i="70"/>
  <c r="R485" i="70" s="1"/>
  <c r="S485" i="70" s="1"/>
  <c r="N485" i="70"/>
  <c r="O485" i="70" s="1"/>
  <c r="P485" i="70" s="1"/>
  <c r="K484" i="70"/>
  <c r="L484" i="70" s="1"/>
  <c r="M484" i="70" s="1"/>
  <c r="B484" i="70"/>
  <c r="C484" i="70" s="1"/>
  <c r="D484" i="70" s="1"/>
  <c r="A486" i="70"/>
  <c r="F485" i="70"/>
  <c r="G485" i="70" s="1"/>
  <c r="E486" i="70" s="1"/>
  <c r="I249" i="70"/>
  <c r="Q486" i="70" l="1"/>
  <c r="R486" i="70" s="1"/>
  <c r="S486" i="70" s="1"/>
  <c r="N486" i="70"/>
  <c r="O486" i="70" s="1"/>
  <c r="P486" i="70" s="1"/>
  <c r="K485" i="70"/>
  <c r="L485" i="70" s="1"/>
  <c r="M485" i="70" s="1"/>
  <c r="B485" i="70"/>
  <c r="C485" i="70" s="1"/>
  <c r="D485" i="70" s="1"/>
  <c r="X486" i="70"/>
  <c r="V487" i="70" s="1"/>
  <c r="W487" i="70" s="1"/>
  <c r="A487" i="70"/>
  <c r="F486" i="70"/>
  <c r="G486" i="70" s="1"/>
  <c r="E487" i="70" s="1"/>
  <c r="J249" i="70"/>
  <c r="H250" i="70" s="1"/>
  <c r="Q487" i="70" l="1"/>
  <c r="R487" i="70" s="1"/>
  <c r="S487" i="70" s="1"/>
  <c r="N487" i="70"/>
  <c r="O487" i="70" s="1"/>
  <c r="P487" i="70" s="1"/>
  <c r="K486" i="70"/>
  <c r="L486" i="70" s="1"/>
  <c r="M486" i="70" s="1"/>
  <c r="B486" i="70"/>
  <c r="C486" i="70" s="1"/>
  <c r="D486" i="70" s="1"/>
  <c r="X487" i="70"/>
  <c r="V488" i="70" s="1"/>
  <c r="W488" i="70" s="1"/>
  <c r="A488" i="70"/>
  <c r="F487" i="70"/>
  <c r="G487" i="70" s="1"/>
  <c r="E488" i="70" s="1"/>
  <c r="I250" i="70"/>
  <c r="Q488" i="70" l="1"/>
  <c r="R488" i="70" s="1"/>
  <c r="S488" i="70" s="1"/>
  <c r="N488" i="70"/>
  <c r="O488" i="70" s="1"/>
  <c r="P488" i="70" s="1"/>
  <c r="K487" i="70"/>
  <c r="L487" i="70" s="1"/>
  <c r="M487" i="70" s="1"/>
  <c r="B487" i="70"/>
  <c r="C487" i="70" s="1"/>
  <c r="D487" i="70" s="1"/>
  <c r="A489" i="70"/>
  <c r="X488" i="70"/>
  <c r="V489" i="70" s="1"/>
  <c r="W489" i="70" s="1"/>
  <c r="X489" i="70" s="1"/>
  <c r="V490" i="70" s="1"/>
  <c r="F488" i="70"/>
  <c r="G488" i="70" s="1"/>
  <c r="E489" i="70" s="1"/>
  <c r="J250" i="70"/>
  <c r="H251" i="70" s="1"/>
  <c r="Q489" i="70" l="1"/>
  <c r="R489" i="70" s="1"/>
  <c r="S489" i="70" s="1"/>
  <c r="N489" i="70"/>
  <c r="O489" i="70" s="1"/>
  <c r="P489" i="70" s="1"/>
  <c r="K488" i="70"/>
  <c r="L488" i="70" s="1"/>
  <c r="M488" i="70" s="1"/>
  <c r="B488" i="70"/>
  <c r="C488" i="70" s="1"/>
  <c r="D488" i="70" s="1"/>
  <c r="A490" i="70"/>
  <c r="F489" i="70"/>
  <c r="G489" i="70" s="1"/>
  <c r="E490" i="70" s="1"/>
  <c r="I251" i="70"/>
  <c r="W490" i="70"/>
  <c r="Q490" i="70" l="1"/>
  <c r="R490" i="70" s="1"/>
  <c r="S490" i="70" s="1"/>
  <c r="N490" i="70"/>
  <c r="O490" i="70" s="1"/>
  <c r="P490" i="70" s="1"/>
  <c r="K489" i="70"/>
  <c r="L489" i="70" s="1"/>
  <c r="M489" i="70" s="1"/>
  <c r="B489" i="70"/>
  <c r="C489" i="70" s="1"/>
  <c r="D489" i="70" s="1"/>
  <c r="A491" i="70"/>
  <c r="X490" i="70"/>
  <c r="V491" i="70" s="1"/>
  <c r="W491" i="70" s="1"/>
  <c r="F490" i="70"/>
  <c r="G490" i="70" s="1"/>
  <c r="E491" i="70" s="1"/>
  <c r="J251" i="70"/>
  <c r="H252" i="70" s="1"/>
  <c r="X491" i="70" l="1"/>
  <c r="V492" i="70" s="1"/>
  <c r="W492" i="70" s="1"/>
  <c r="Q491" i="70"/>
  <c r="R491" i="70" s="1"/>
  <c r="S491" i="70" s="1"/>
  <c r="N491" i="70"/>
  <c r="O491" i="70" s="1"/>
  <c r="P491" i="70" s="1"/>
  <c r="K490" i="70"/>
  <c r="L490" i="70" s="1"/>
  <c r="M490" i="70" s="1"/>
  <c r="B490" i="70"/>
  <c r="C490" i="70" s="1"/>
  <c r="D490" i="70" s="1"/>
  <c r="A492" i="70"/>
  <c r="F491" i="70"/>
  <c r="G491" i="70" s="1"/>
  <c r="E492" i="70" s="1"/>
  <c r="I252" i="70"/>
  <c r="Q492" i="70" l="1"/>
  <c r="R492" i="70" s="1"/>
  <c r="S492" i="70" s="1"/>
  <c r="N492" i="70"/>
  <c r="O492" i="70" s="1"/>
  <c r="P492" i="70" s="1"/>
  <c r="K491" i="70"/>
  <c r="L491" i="70" s="1"/>
  <c r="M491" i="70" s="1"/>
  <c r="B491" i="70"/>
  <c r="C491" i="70" s="1"/>
  <c r="D491" i="70" s="1"/>
  <c r="A493" i="70"/>
  <c r="X492" i="70"/>
  <c r="V493" i="70" s="1"/>
  <c r="W493" i="70" s="1"/>
  <c r="F492" i="70"/>
  <c r="G492" i="70" s="1"/>
  <c r="E493" i="70" s="1"/>
  <c r="J252" i="70"/>
  <c r="H253" i="70" s="1"/>
  <c r="Q493" i="70" l="1"/>
  <c r="R493" i="70" s="1"/>
  <c r="S493" i="70" s="1"/>
  <c r="N493" i="70"/>
  <c r="O493" i="70" s="1"/>
  <c r="P493" i="70" s="1"/>
  <c r="K492" i="70"/>
  <c r="L492" i="70" s="1"/>
  <c r="M492" i="70" s="1"/>
  <c r="B492" i="70"/>
  <c r="C492" i="70" s="1"/>
  <c r="D492" i="70" s="1"/>
  <c r="X493" i="70"/>
  <c r="V494" i="70" s="1"/>
  <c r="W494" i="70" s="1"/>
  <c r="A494" i="70"/>
  <c r="F493" i="70"/>
  <c r="G493" i="70" s="1"/>
  <c r="E494" i="70" s="1"/>
  <c r="I253" i="70"/>
  <c r="Q494" i="70" l="1"/>
  <c r="R494" i="70" s="1"/>
  <c r="S494" i="70" s="1"/>
  <c r="N494" i="70"/>
  <c r="O494" i="70" s="1"/>
  <c r="P494" i="70" s="1"/>
  <c r="K493" i="70"/>
  <c r="L493" i="70" s="1"/>
  <c r="M493" i="70" s="1"/>
  <c r="X494" i="70"/>
  <c r="V495" i="70" s="1"/>
  <c r="W495" i="70" s="1"/>
  <c r="B493" i="70"/>
  <c r="C493" i="70" s="1"/>
  <c r="D493" i="70" s="1"/>
  <c r="A495" i="70"/>
  <c r="F494" i="70"/>
  <c r="G494" i="70" s="1"/>
  <c r="E495" i="70" s="1"/>
  <c r="J253" i="70"/>
  <c r="H254" i="70" s="1"/>
  <c r="Q495" i="70" l="1"/>
  <c r="R495" i="70" s="1"/>
  <c r="S495" i="70" s="1"/>
  <c r="N495" i="70"/>
  <c r="O495" i="70" s="1"/>
  <c r="P495" i="70" s="1"/>
  <c r="K494" i="70"/>
  <c r="L494" i="70" s="1"/>
  <c r="M494" i="70" s="1"/>
  <c r="X495" i="70"/>
  <c r="V496" i="70" s="1"/>
  <c r="W496" i="70" s="1"/>
  <c r="B494" i="70"/>
  <c r="C494" i="70" s="1"/>
  <c r="D494" i="70" s="1"/>
  <c r="A496" i="70"/>
  <c r="F495" i="70"/>
  <c r="G495" i="70" s="1"/>
  <c r="E496" i="70" s="1"/>
  <c r="I254" i="70"/>
  <c r="Q496" i="70" l="1"/>
  <c r="R496" i="70" s="1"/>
  <c r="S496" i="70" s="1"/>
  <c r="N496" i="70"/>
  <c r="O496" i="70" s="1"/>
  <c r="P496" i="70" s="1"/>
  <c r="K495" i="70"/>
  <c r="L495" i="70" s="1"/>
  <c r="M495" i="70" s="1"/>
  <c r="B495" i="70"/>
  <c r="C495" i="70" s="1"/>
  <c r="D495" i="70" s="1"/>
  <c r="A497" i="70"/>
  <c r="X496" i="70"/>
  <c r="V497" i="70" s="1"/>
  <c r="W497" i="70" s="1"/>
  <c r="F496" i="70"/>
  <c r="G496" i="70" s="1"/>
  <c r="E497" i="70" s="1"/>
  <c r="J254" i="70"/>
  <c r="H255" i="70" s="1"/>
  <c r="Q497" i="70" l="1"/>
  <c r="R497" i="70" s="1"/>
  <c r="S497" i="70" s="1"/>
  <c r="N497" i="70"/>
  <c r="O497" i="70" s="1"/>
  <c r="P497" i="70" s="1"/>
  <c r="X497" i="70"/>
  <c r="V498" i="70" s="1"/>
  <c r="W498" i="70" s="1"/>
  <c r="K496" i="70"/>
  <c r="L496" i="70" s="1"/>
  <c r="M496" i="70" s="1"/>
  <c r="B496" i="70"/>
  <c r="C496" i="70" s="1"/>
  <c r="D496" i="70" s="1"/>
  <c r="A498" i="70"/>
  <c r="F497" i="70"/>
  <c r="G497" i="70" s="1"/>
  <c r="E498" i="70" s="1"/>
  <c r="I255" i="70"/>
  <c r="Q498" i="70" l="1"/>
  <c r="R498" i="70" s="1"/>
  <c r="S498" i="70" s="1"/>
  <c r="N498" i="70"/>
  <c r="O498" i="70" s="1"/>
  <c r="P498" i="70" s="1"/>
  <c r="K497" i="70"/>
  <c r="L497" i="70" s="1"/>
  <c r="M497" i="70" s="1"/>
  <c r="B497" i="70"/>
  <c r="C497" i="70" s="1"/>
  <c r="D497" i="70" s="1"/>
  <c r="A499" i="70"/>
  <c r="X498" i="70"/>
  <c r="V499" i="70" s="1"/>
  <c r="W499" i="70" s="1"/>
  <c r="F498" i="70"/>
  <c r="G498" i="70" s="1"/>
  <c r="E499" i="70" s="1"/>
  <c r="J255" i="70"/>
  <c r="H256" i="70" s="1"/>
  <c r="Q499" i="70" l="1"/>
  <c r="R499" i="70" s="1"/>
  <c r="S499" i="70" s="1"/>
  <c r="N499" i="70"/>
  <c r="O499" i="70" s="1"/>
  <c r="P499" i="70" s="1"/>
  <c r="K498" i="70"/>
  <c r="L498" i="70" s="1"/>
  <c r="M498" i="70" s="1"/>
  <c r="B498" i="70"/>
  <c r="C498" i="70" s="1"/>
  <c r="D498" i="70" s="1"/>
  <c r="X499" i="70"/>
  <c r="V500" i="70" s="1"/>
  <c r="W500" i="70" s="1"/>
  <c r="A500" i="70"/>
  <c r="F499" i="70"/>
  <c r="G499" i="70" s="1"/>
  <c r="E500" i="70" s="1"/>
  <c r="I256" i="70"/>
  <c r="Q500" i="70" l="1"/>
  <c r="R500" i="70" s="1"/>
  <c r="S500" i="70" s="1"/>
  <c r="N500" i="70"/>
  <c r="O500" i="70" s="1"/>
  <c r="P500" i="70" s="1"/>
  <c r="K499" i="70"/>
  <c r="L499" i="70" s="1"/>
  <c r="M499" i="70" s="1"/>
  <c r="B499" i="70"/>
  <c r="C499" i="70" s="1"/>
  <c r="D499" i="70" s="1"/>
  <c r="X500" i="70"/>
  <c r="V501" i="70" s="1"/>
  <c r="W501" i="70" s="1"/>
  <c r="A501" i="70"/>
  <c r="F500" i="70"/>
  <c r="G500" i="70" s="1"/>
  <c r="E501" i="70" s="1"/>
  <c r="J256" i="70"/>
  <c r="H257" i="70" s="1"/>
  <c r="Q501" i="70" l="1"/>
  <c r="R501" i="70" s="1"/>
  <c r="S501" i="70" s="1"/>
  <c r="N501" i="70"/>
  <c r="O501" i="70" s="1"/>
  <c r="P501" i="70" s="1"/>
  <c r="K500" i="70"/>
  <c r="L500" i="70" s="1"/>
  <c r="M500" i="70" s="1"/>
  <c r="X501" i="70"/>
  <c r="V502" i="70" s="1"/>
  <c r="W502" i="70" s="1"/>
  <c r="B500" i="70"/>
  <c r="C500" i="70" s="1"/>
  <c r="D500" i="70" s="1"/>
  <c r="A502" i="70"/>
  <c r="F501" i="70"/>
  <c r="G501" i="70" s="1"/>
  <c r="E502" i="70" s="1"/>
  <c r="I257" i="70"/>
  <c r="Q502" i="70" l="1"/>
  <c r="R502" i="70" s="1"/>
  <c r="S502" i="70" s="1"/>
  <c r="N502" i="70"/>
  <c r="O502" i="70" s="1"/>
  <c r="P502" i="70" s="1"/>
  <c r="K501" i="70"/>
  <c r="L501" i="70" s="1"/>
  <c r="M501" i="70" s="1"/>
  <c r="X502" i="70"/>
  <c r="V503" i="70" s="1"/>
  <c r="W503" i="70" s="1"/>
  <c r="B501" i="70"/>
  <c r="C501" i="70" s="1"/>
  <c r="D501" i="70" s="1"/>
  <c r="A503" i="70"/>
  <c r="F502" i="70"/>
  <c r="G502" i="70" s="1"/>
  <c r="E503" i="70" s="1"/>
  <c r="J257" i="70"/>
  <c r="H258" i="70" s="1"/>
  <c r="Q503" i="70" l="1"/>
  <c r="R503" i="70" s="1"/>
  <c r="S503" i="70" s="1"/>
  <c r="N503" i="70"/>
  <c r="O503" i="70" s="1"/>
  <c r="P503" i="70" s="1"/>
  <c r="K502" i="70"/>
  <c r="L502" i="70" s="1"/>
  <c r="M502" i="70" s="1"/>
  <c r="B502" i="70"/>
  <c r="C502" i="70" s="1"/>
  <c r="D502" i="70" s="1"/>
  <c r="X503" i="70"/>
  <c r="V504" i="70" s="1"/>
  <c r="W504" i="70" s="1"/>
  <c r="A504" i="70"/>
  <c r="F503" i="70"/>
  <c r="G503" i="70" s="1"/>
  <c r="E504" i="70" s="1"/>
  <c r="I258" i="70"/>
  <c r="Q504" i="70" l="1"/>
  <c r="R504" i="70" s="1"/>
  <c r="S504" i="70" s="1"/>
  <c r="N504" i="70"/>
  <c r="O504" i="70" s="1"/>
  <c r="P504" i="70" s="1"/>
  <c r="K503" i="70"/>
  <c r="L503" i="70" s="1"/>
  <c r="M503" i="70" s="1"/>
  <c r="X504" i="70"/>
  <c r="V505" i="70" s="1"/>
  <c r="W505" i="70" s="1"/>
  <c r="B503" i="70"/>
  <c r="C503" i="70" s="1"/>
  <c r="D503" i="70" s="1"/>
  <c r="A505" i="70"/>
  <c r="F504" i="70"/>
  <c r="G504" i="70" s="1"/>
  <c r="E505" i="70" s="1"/>
  <c r="J258" i="70"/>
  <c r="H259" i="70" s="1"/>
  <c r="Q505" i="70" l="1"/>
  <c r="R505" i="70" s="1"/>
  <c r="S505" i="70" s="1"/>
  <c r="N505" i="70"/>
  <c r="O505" i="70" s="1"/>
  <c r="P505" i="70" s="1"/>
  <c r="K504" i="70"/>
  <c r="L504" i="70" s="1"/>
  <c r="M504" i="70" s="1"/>
  <c r="B504" i="70"/>
  <c r="C504" i="70" s="1"/>
  <c r="D504" i="70" s="1"/>
  <c r="X505" i="70"/>
  <c r="V506" i="70" s="1"/>
  <c r="W506" i="70" s="1"/>
  <c r="A506" i="70"/>
  <c r="F505" i="70"/>
  <c r="G505" i="70" s="1"/>
  <c r="E506" i="70" s="1"/>
  <c r="I259" i="70"/>
  <c r="Q506" i="70" l="1"/>
  <c r="R506" i="70" s="1"/>
  <c r="S506" i="70" s="1"/>
  <c r="N506" i="70"/>
  <c r="O506" i="70" s="1"/>
  <c r="P506" i="70" s="1"/>
  <c r="K505" i="70"/>
  <c r="L505" i="70" s="1"/>
  <c r="M505" i="70" s="1"/>
  <c r="B505" i="70"/>
  <c r="C505" i="70" s="1"/>
  <c r="D505" i="70" s="1"/>
  <c r="A507" i="70"/>
  <c r="X506" i="70"/>
  <c r="V507" i="70" s="1"/>
  <c r="W507" i="70" s="1"/>
  <c r="F506" i="70"/>
  <c r="G506" i="70" s="1"/>
  <c r="E507" i="70" s="1"/>
  <c r="J259" i="70"/>
  <c r="H260" i="70" s="1"/>
  <c r="Q507" i="70" l="1"/>
  <c r="R507" i="70" s="1"/>
  <c r="S507" i="70" s="1"/>
  <c r="N507" i="70"/>
  <c r="O507" i="70" s="1"/>
  <c r="P507" i="70" s="1"/>
  <c r="K506" i="70"/>
  <c r="L506" i="70" s="1"/>
  <c r="M506" i="70" s="1"/>
  <c r="B506" i="70"/>
  <c r="C506" i="70" s="1"/>
  <c r="D506" i="70" s="1"/>
  <c r="X507" i="70"/>
  <c r="V508" i="70" s="1"/>
  <c r="W508" i="70" s="1"/>
  <c r="A508" i="70"/>
  <c r="F507" i="70"/>
  <c r="G507" i="70" s="1"/>
  <c r="E508" i="70" s="1"/>
  <c r="I260" i="70"/>
  <c r="Q508" i="70" l="1"/>
  <c r="R508" i="70" s="1"/>
  <c r="S508" i="70" s="1"/>
  <c r="N508" i="70"/>
  <c r="O508" i="70" s="1"/>
  <c r="P508" i="70" s="1"/>
  <c r="K507" i="70"/>
  <c r="L507" i="70" s="1"/>
  <c r="M507" i="70" s="1"/>
  <c r="B507" i="70"/>
  <c r="C507" i="70" s="1"/>
  <c r="D507" i="70" s="1"/>
  <c r="A509" i="70"/>
  <c r="X508" i="70"/>
  <c r="V509" i="70" s="1"/>
  <c r="W509" i="70" s="1"/>
  <c r="F508" i="70"/>
  <c r="G508" i="70" s="1"/>
  <c r="E509" i="70" s="1"/>
  <c r="J260" i="70"/>
  <c r="H261" i="70" s="1"/>
  <c r="Q509" i="70" l="1"/>
  <c r="R509" i="70" s="1"/>
  <c r="S509" i="70" s="1"/>
  <c r="N509" i="70"/>
  <c r="O509" i="70" s="1"/>
  <c r="P509" i="70" s="1"/>
  <c r="K508" i="70"/>
  <c r="L508" i="70" s="1"/>
  <c r="M508" i="70" s="1"/>
  <c r="B508" i="70"/>
  <c r="C508" i="70" s="1"/>
  <c r="D508" i="70" s="1"/>
  <c r="X509" i="70"/>
  <c r="V510" i="70" s="1"/>
  <c r="W510" i="70" s="1"/>
  <c r="A510" i="70"/>
  <c r="F509" i="70"/>
  <c r="G509" i="70" s="1"/>
  <c r="E510" i="70" s="1"/>
  <c r="I261" i="70"/>
  <c r="Q510" i="70" l="1"/>
  <c r="R510" i="70" s="1"/>
  <c r="S510" i="70" s="1"/>
  <c r="N510" i="70"/>
  <c r="O510" i="70" s="1"/>
  <c r="P510" i="70" s="1"/>
  <c r="K509" i="70"/>
  <c r="L509" i="70" s="1"/>
  <c r="M509" i="70" s="1"/>
  <c r="B509" i="70"/>
  <c r="C509" i="70" s="1"/>
  <c r="D509" i="70" s="1"/>
  <c r="X510" i="70"/>
  <c r="V511" i="70" s="1"/>
  <c r="W511" i="70" s="1"/>
  <c r="A511" i="70"/>
  <c r="F510" i="70"/>
  <c r="G510" i="70" s="1"/>
  <c r="E511" i="70" s="1"/>
  <c r="J261" i="70"/>
  <c r="H262" i="70" s="1"/>
  <c r="Q511" i="70" l="1"/>
  <c r="R511" i="70" s="1"/>
  <c r="S511" i="70" s="1"/>
  <c r="N511" i="70"/>
  <c r="O511" i="70" s="1"/>
  <c r="P511" i="70" s="1"/>
  <c r="K510" i="70"/>
  <c r="L510" i="70" s="1"/>
  <c r="M510" i="70" s="1"/>
  <c r="X511" i="70"/>
  <c r="V512" i="70" s="1"/>
  <c r="W512" i="70" s="1"/>
  <c r="B510" i="70"/>
  <c r="C510" i="70" s="1"/>
  <c r="D510" i="70" s="1"/>
  <c r="A512" i="70"/>
  <c r="F511" i="70"/>
  <c r="G511" i="70" s="1"/>
  <c r="E512" i="70" s="1"/>
  <c r="I262" i="70"/>
  <c r="Q512" i="70" l="1"/>
  <c r="R512" i="70" s="1"/>
  <c r="S512" i="70" s="1"/>
  <c r="N512" i="70"/>
  <c r="O512" i="70" s="1"/>
  <c r="P512" i="70" s="1"/>
  <c r="K511" i="70"/>
  <c r="L511" i="70" s="1"/>
  <c r="M511" i="70" s="1"/>
  <c r="B511" i="70"/>
  <c r="C511" i="70" s="1"/>
  <c r="D511" i="70" s="1"/>
  <c r="X512" i="70"/>
  <c r="V513" i="70" s="1"/>
  <c r="W513" i="70" s="1"/>
  <c r="A513" i="70"/>
  <c r="F512" i="70"/>
  <c r="G512" i="70" s="1"/>
  <c r="E513" i="70" s="1"/>
  <c r="J262" i="70"/>
  <c r="H263" i="70" s="1"/>
  <c r="Q513" i="70" l="1"/>
  <c r="R513" i="70" s="1"/>
  <c r="S513" i="70" s="1"/>
  <c r="N513" i="70"/>
  <c r="O513" i="70" s="1"/>
  <c r="P513" i="70" s="1"/>
  <c r="K512" i="70"/>
  <c r="L512" i="70" s="1"/>
  <c r="M512" i="70" s="1"/>
  <c r="B512" i="70"/>
  <c r="C512" i="70" s="1"/>
  <c r="D512" i="70" s="1"/>
  <c r="X513" i="70"/>
  <c r="V514" i="70" s="1"/>
  <c r="W514" i="70" s="1"/>
  <c r="A514" i="70"/>
  <c r="F513" i="70"/>
  <c r="G513" i="70" s="1"/>
  <c r="E514" i="70" s="1"/>
  <c r="I263" i="70"/>
  <c r="Q514" i="70" l="1"/>
  <c r="R514" i="70" s="1"/>
  <c r="S514" i="70" s="1"/>
  <c r="N514" i="70"/>
  <c r="O514" i="70" s="1"/>
  <c r="P514" i="70" s="1"/>
  <c r="K513" i="70"/>
  <c r="L513" i="70" s="1"/>
  <c r="M513" i="70" s="1"/>
  <c r="B513" i="70"/>
  <c r="C513" i="70" s="1"/>
  <c r="D513" i="70" s="1"/>
  <c r="X514" i="70"/>
  <c r="V515" i="70" s="1"/>
  <c r="W515" i="70" s="1"/>
  <c r="A515" i="70"/>
  <c r="F514" i="70"/>
  <c r="G514" i="70" s="1"/>
  <c r="E515" i="70" s="1"/>
  <c r="J263" i="70"/>
  <c r="H264" i="70" s="1"/>
  <c r="Q515" i="70" l="1"/>
  <c r="R515" i="70" s="1"/>
  <c r="S515" i="70" s="1"/>
  <c r="N515" i="70"/>
  <c r="O515" i="70" s="1"/>
  <c r="P515" i="70" s="1"/>
  <c r="K514" i="70"/>
  <c r="L514" i="70" s="1"/>
  <c r="M514" i="70" s="1"/>
  <c r="B514" i="70"/>
  <c r="C514" i="70" s="1"/>
  <c r="D514" i="70" s="1"/>
  <c r="X515" i="70"/>
  <c r="V516" i="70" s="1"/>
  <c r="W516" i="70" s="1"/>
  <c r="A516" i="70"/>
  <c r="F515" i="70"/>
  <c r="G515" i="70" s="1"/>
  <c r="E516" i="70" s="1"/>
  <c r="I264" i="70"/>
  <c r="Q516" i="70" l="1"/>
  <c r="R516" i="70" s="1"/>
  <c r="S516" i="70" s="1"/>
  <c r="N516" i="70"/>
  <c r="O516" i="70" s="1"/>
  <c r="P516" i="70" s="1"/>
  <c r="K515" i="70"/>
  <c r="L515" i="70" s="1"/>
  <c r="M515" i="70" s="1"/>
  <c r="X516" i="70"/>
  <c r="V517" i="70" s="1"/>
  <c r="W517" i="70" s="1"/>
  <c r="B515" i="70"/>
  <c r="C515" i="70" s="1"/>
  <c r="D515" i="70" s="1"/>
  <c r="A517" i="70"/>
  <c r="F516" i="70"/>
  <c r="G516" i="70" s="1"/>
  <c r="E517" i="70" s="1"/>
  <c r="J264" i="70"/>
  <c r="H265" i="70" s="1"/>
  <c r="Q517" i="70" l="1"/>
  <c r="R517" i="70" s="1"/>
  <c r="S517" i="70" s="1"/>
  <c r="N517" i="70"/>
  <c r="O517" i="70" s="1"/>
  <c r="P517" i="70" s="1"/>
  <c r="K516" i="70"/>
  <c r="L516" i="70" s="1"/>
  <c r="M516" i="70" s="1"/>
  <c r="B516" i="70"/>
  <c r="C516" i="70" s="1"/>
  <c r="D516" i="70" s="1"/>
  <c r="X517" i="70"/>
  <c r="V518" i="70" s="1"/>
  <c r="W518" i="70" s="1"/>
  <c r="A518" i="70"/>
  <c r="F517" i="70"/>
  <c r="G517" i="70" s="1"/>
  <c r="E518" i="70" s="1"/>
  <c r="I265" i="70"/>
  <c r="Q518" i="70" l="1"/>
  <c r="R518" i="70" s="1"/>
  <c r="S518" i="70" s="1"/>
  <c r="N518" i="70"/>
  <c r="O518" i="70" s="1"/>
  <c r="P518" i="70" s="1"/>
  <c r="K517" i="70"/>
  <c r="L517" i="70" s="1"/>
  <c r="M517" i="70" s="1"/>
  <c r="B517" i="70"/>
  <c r="C517" i="70" s="1"/>
  <c r="D517" i="70" s="1"/>
  <c r="X518" i="70"/>
  <c r="V519" i="70" s="1"/>
  <c r="W519" i="70" s="1"/>
  <c r="A519" i="70"/>
  <c r="F518" i="70"/>
  <c r="G518" i="70" s="1"/>
  <c r="E519" i="70" s="1"/>
  <c r="J265" i="70"/>
  <c r="H266" i="70" s="1"/>
  <c r="Q519" i="70" l="1"/>
  <c r="R519" i="70" s="1"/>
  <c r="S519" i="70" s="1"/>
  <c r="N519" i="70"/>
  <c r="O519" i="70" s="1"/>
  <c r="P519" i="70" s="1"/>
  <c r="K518" i="70"/>
  <c r="L518" i="70" s="1"/>
  <c r="M518" i="70" s="1"/>
  <c r="B518" i="70"/>
  <c r="C518" i="70" s="1"/>
  <c r="D518" i="70" s="1"/>
  <c r="X519" i="70"/>
  <c r="V520" i="70" s="1"/>
  <c r="W520" i="70" s="1"/>
  <c r="A520" i="70"/>
  <c r="F519" i="70"/>
  <c r="G519" i="70" s="1"/>
  <c r="E520" i="70" s="1"/>
  <c r="I266" i="70"/>
  <c r="Q520" i="70" l="1"/>
  <c r="R520" i="70" s="1"/>
  <c r="S520" i="70" s="1"/>
  <c r="N520" i="70"/>
  <c r="O520" i="70" s="1"/>
  <c r="P520" i="70" s="1"/>
  <c r="K519" i="70"/>
  <c r="L519" i="70" s="1"/>
  <c r="M519" i="70" s="1"/>
  <c r="B519" i="70"/>
  <c r="C519" i="70" s="1"/>
  <c r="D519" i="70" s="1"/>
  <c r="A521" i="70"/>
  <c r="X520" i="70"/>
  <c r="V521" i="70" s="1"/>
  <c r="W521" i="70" s="1"/>
  <c r="F520" i="70"/>
  <c r="G520" i="70" s="1"/>
  <c r="E521" i="70" s="1"/>
  <c r="J266" i="70"/>
  <c r="H267" i="70" s="1"/>
  <c r="X521" i="70" l="1"/>
  <c r="V522" i="70" s="1"/>
  <c r="W522" i="70" s="1"/>
  <c r="Q521" i="70"/>
  <c r="R521" i="70" s="1"/>
  <c r="S521" i="70" s="1"/>
  <c r="N521" i="70"/>
  <c r="O521" i="70" s="1"/>
  <c r="P521" i="70" s="1"/>
  <c r="K520" i="70"/>
  <c r="L520" i="70" s="1"/>
  <c r="M520" i="70" s="1"/>
  <c r="B520" i="70"/>
  <c r="C520" i="70" s="1"/>
  <c r="D520" i="70" s="1"/>
  <c r="A522" i="70"/>
  <c r="F521" i="70"/>
  <c r="G521" i="70" s="1"/>
  <c r="E522" i="70" s="1"/>
  <c r="I267" i="70"/>
  <c r="Q522" i="70" l="1"/>
  <c r="R522" i="70" s="1"/>
  <c r="S522" i="70" s="1"/>
  <c r="N522" i="70"/>
  <c r="O522" i="70" s="1"/>
  <c r="P522" i="70" s="1"/>
  <c r="K521" i="70"/>
  <c r="L521" i="70" s="1"/>
  <c r="M521" i="70" s="1"/>
  <c r="B521" i="70"/>
  <c r="C521" i="70" s="1"/>
  <c r="D521" i="70" s="1"/>
  <c r="X522" i="70"/>
  <c r="V523" i="70" s="1"/>
  <c r="W523" i="70" s="1"/>
  <c r="A523" i="70"/>
  <c r="F522" i="70"/>
  <c r="G522" i="70" s="1"/>
  <c r="E523" i="70" s="1"/>
  <c r="J267" i="70"/>
  <c r="H268" i="70" s="1"/>
  <c r="Q523" i="70" l="1"/>
  <c r="R523" i="70" s="1"/>
  <c r="S523" i="70" s="1"/>
  <c r="N523" i="70"/>
  <c r="O523" i="70" s="1"/>
  <c r="P523" i="70" s="1"/>
  <c r="K522" i="70"/>
  <c r="L522" i="70" s="1"/>
  <c r="M522" i="70" s="1"/>
  <c r="B522" i="70"/>
  <c r="C522" i="70" s="1"/>
  <c r="D522" i="70" s="1"/>
  <c r="X523" i="70"/>
  <c r="V524" i="70" s="1"/>
  <c r="W524" i="70" s="1"/>
  <c r="A524" i="70"/>
  <c r="F523" i="70"/>
  <c r="G523" i="70" s="1"/>
  <c r="E524" i="70" s="1"/>
  <c r="I268" i="70"/>
  <c r="J268" i="70" s="1"/>
  <c r="H269" i="70" s="1"/>
  <c r="Q524" i="70" l="1"/>
  <c r="R524" i="70" s="1"/>
  <c r="S524" i="70" s="1"/>
  <c r="N524" i="70"/>
  <c r="O524" i="70" s="1"/>
  <c r="P524" i="70" s="1"/>
  <c r="K523" i="70"/>
  <c r="L523" i="70" s="1"/>
  <c r="M523" i="70" s="1"/>
  <c r="B523" i="70"/>
  <c r="C523" i="70" s="1"/>
  <c r="D523" i="70" s="1"/>
  <c r="A525" i="70"/>
  <c r="X524" i="70"/>
  <c r="V525" i="70" s="1"/>
  <c r="W525" i="70" s="1"/>
  <c r="F524" i="70"/>
  <c r="G524" i="70" s="1"/>
  <c r="E525" i="70" s="1"/>
  <c r="I269" i="70"/>
  <c r="Q525" i="70" l="1"/>
  <c r="R525" i="70" s="1"/>
  <c r="S525" i="70" s="1"/>
  <c r="N525" i="70"/>
  <c r="O525" i="70" s="1"/>
  <c r="P525" i="70" s="1"/>
  <c r="K524" i="70"/>
  <c r="L524" i="70" s="1"/>
  <c r="M524" i="70" s="1"/>
  <c r="B524" i="70"/>
  <c r="C524" i="70" s="1"/>
  <c r="D524" i="70" s="1"/>
  <c r="X525" i="70"/>
  <c r="V526" i="70" s="1"/>
  <c r="W526" i="70" s="1"/>
  <c r="A526" i="70"/>
  <c r="F525" i="70"/>
  <c r="G525" i="70" s="1"/>
  <c r="E526" i="70" s="1"/>
  <c r="J269" i="70"/>
  <c r="H270" i="70" s="1"/>
  <c r="Q526" i="70" l="1"/>
  <c r="R526" i="70" s="1"/>
  <c r="S526" i="70" s="1"/>
  <c r="N526" i="70"/>
  <c r="O526" i="70" s="1"/>
  <c r="P526" i="70" s="1"/>
  <c r="K525" i="70"/>
  <c r="L525" i="70" s="1"/>
  <c r="M525" i="70" s="1"/>
  <c r="B525" i="70"/>
  <c r="C525" i="70" s="1"/>
  <c r="D525" i="70" s="1"/>
  <c r="X526" i="70"/>
  <c r="V527" i="70" s="1"/>
  <c r="W527" i="70" s="1"/>
  <c r="A527" i="70"/>
  <c r="F526" i="70"/>
  <c r="G526" i="70" s="1"/>
  <c r="E527" i="70" s="1"/>
  <c r="I270" i="70"/>
  <c r="J270" i="70" s="1"/>
  <c r="H271" i="70" s="1"/>
  <c r="Q527" i="70" l="1"/>
  <c r="R527" i="70" s="1"/>
  <c r="S527" i="70" s="1"/>
  <c r="N527" i="70"/>
  <c r="O527" i="70" s="1"/>
  <c r="P527" i="70" s="1"/>
  <c r="K526" i="70"/>
  <c r="L526" i="70" s="1"/>
  <c r="M526" i="70" s="1"/>
  <c r="B526" i="70"/>
  <c r="C526" i="70" s="1"/>
  <c r="D526" i="70" s="1"/>
  <c r="X527" i="70"/>
  <c r="V528" i="70" s="1"/>
  <c r="W528" i="70" s="1"/>
  <c r="A528" i="70"/>
  <c r="F527" i="70"/>
  <c r="G527" i="70" s="1"/>
  <c r="E528" i="70" s="1"/>
  <c r="I271" i="70"/>
  <c r="Q528" i="70" l="1"/>
  <c r="R528" i="70" s="1"/>
  <c r="S528" i="70" s="1"/>
  <c r="N528" i="70"/>
  <c r="O528" i="70" s="1"/>
  <c r="P528" i="70" s="1"/>
  <c r="K527" i="70"/>
  <c r="L527" i="70" s="1"/>
  <c r="M527" i="70" s="1"/>
  <c r="B527" i="70"/>
  <c r="C527" i="70" s="1"/>
  <c r="D527" i="70" s="1"/>
  <c r="X528" i="70"/>
  <c r="V529" i="70" s="1"/>
  <c r="W529" i="70" s="1"/>
  <c r="A529" i="70"/>
  <c r="F528" i="70"/>
  <c r="G528" i="70" s="1"/>
  <c r="E529" i="70" s="1"/>
  <c r="J271" i="70"/>
  <c r="H272" i="70" s="1"/>
  <c r="Q529" i="70" l="1"/>
  <c r="R529" i="70" s="1"/>
  <c r="S529" i="70" s="1"/>
  <c r="N529" i="70"/>
  <c r="O529" i="70" s="1"/>
  <c r="P529" i="70" s="1"/>
  <c r="K528" i="70"/>
  <c r="L528" i="70" s="1"/>
  <c r="M528" i="70" s="1"/>
  <c r="B528" i="70"/>
  <c r="C528" i="70" s="1"/>
  <c r="D528" i="70" s="1"/>
  <c r="X529" i="70"/>
  <c r="V530" i="70" s="1"/>
  <c r="W530" i="70" s="1"/>
  <c r="A530" i="70"/>
  <c r="F529" i="70"/>
  <c r="G529" i="70" s="1"/>
  <c r="E530" i="70" s="1"/>
  <c r="I272" i="70"/>
  <c r="Q530" i="70" l="1"/>
  <c r="R530" i="70" s="1"/>
  <c r="S530" i="70" s="1"/>
  <c r="N530" i="70"/>
  <c r="O530" i="70" s="1"/>
  <c r="P530" i="70" s="1"/>
  <c r="K529" i="70"/>
  <c r="L529" i="70" s="1"/>
  <c r="M529" i="70" s="1"/>
  <c r="B529" i="70"/>
  <c r="C529" i="70" s="1"/>
  <c r="D529" i="70" s="1"/>
  <c r="A531" i="70"/>
  <c r="X530" i="70"/>
  <c r="V531" i="70" s="1"/>
  <c r="W531" i="70" s="1"/>
  <c r="F530" i="70"/>
  <c r="G530" i="70" s="1"/>
  <c r="E531" i="70" s="1"/>
  <c r="J272" i="70"/>
  <c r="H273" i="70" s="1"/>
  <c r="Q531" i="70" l="1"/>
  <c r="R531" i="70" s="1"/>
  <c r="S531" i="70" s="1"/>
  <c r="N531" i="70"/>
  <c r="O531" i="70" s="1"/>
  <c r="P531" i="70" s="1"/>
  <c r="K530" i="70"/>
  <c r="L530" i="70" s="1"/>
  <c r="M530" i="70" s="1"/>
  <c r="B530" i="70"/>
  <c r="C530" i="70" s="1"/>
  <c r="D530" i="70" s="1"/>
  <c r="X531" i="70"/>
  <c r="V532" i="70" s="1"/>
  <c r="W532" i="70" s="1"/>
  <c r="A532" i="70"/>
  <c r="F531" i="70"/>
  <c r="G531" i="70" s="1"/>
  <c r="E532" i="70" s="1"/>
  <c r="I273" i="70"/>
  <c r="Q532" i="70" l="1"/>
  <c r="R532" i="70" s="1"/>
  <c r="S532" i="70" s="1"/>
  <c r="N532" i="70"/>
  <c r="O532" i="70" s="1"/>
  <c r="P532" i="70" s="1"/>
  <c r="K531" i="70"/>
  <c r="L531" i="70" s="1"/>
  <c r="M531" i="70" s="1"/>
  <c r="B531" i="70"/>
  <c r="C531" i="70" s="1"/>
  <c r="D531" i="70" s="1"/>
  <c r="A533" i="70"/>
  <c r="X532" i="70"/>
  <c r="V533" i="70" s="1"/>
  <c r="W533" i="70" s="1"/>
  <c r="F532" i="70"/>
  <c r="G532" i="70" s="1"/>
  <c r="E533" i="70" s="1"/>
  <c r="J273" i="70"/>
  <c r="H274" i="70" s="1"/>
  <c r="X533" i="70" l="1"/>
  <c r="V534" i="70" s="1"/>
  <c r="W534" i="70" s="1"/>
  <c r="Q533" i="70"/>
  <c r="R533" i="70" s="1"/>
  <c r="S533" i="70" s="1"/>
  <c r="N533" i="70"/>
  <c r="O533" i="70" s="1"/>
  <c r="P533" i="70" s="1"/>
  <c r="K532" i="70"/>
  <c r="L532" i="70" s="1"/>
  <c r="M532" i="70" s="1"/>
  <c r="B532" i="70"/>
  <c r="C532" i="70" s="1"/>
  <c r="D532" i="70" s="1"/>
  <c r="AC273" i="70"/>
  <c r="AD273" i="70" s="1"/>
  <c r="A534" i="70"/>
  <c r="F533" i="70"/>
  <c r="G533" i="70" s="1"/>
  <c r="E534" i="70" s="1"/>
  <c r="I274" i="70"/>
  <c r="Q534" i="70" l="1"/>
  <c r="R534" i="70" s="1"/>
  <c r="S534" i="70" s="1"/>
  <c r="N534" i="70"/>
  <c r="O534" i="70" s="1"/>
  <c r="P534" i="70" s="1"/>
  <c r="K533" i="70"/>
  <c r="L533" i="70" s="1"/>
  <c r="M533" i="70" s="1"/>
  <c r="B533" i="70"/>
  <c r="C533" i="70" s="1"/>
  <c r="D533" i="70" s="1"/>
  <c r="A535" i="70"/>
  <c r="X534" i="70"/>
  <c r="V535" i="70" s="1"/>
  <c r="W535" i="70" s="1"/>
  <c r="F534" i="70"/>
  <c r="G534" i="70" s="1"/>
  <c r="E535" i="70" s="1"/>
  <c r="J274" i="70"/>
  <c r="H275" i="70" s="1"/>
  <c r="Q535" i="70" l="1"/>
  <c r="R535" i="70" s="1"/>
  <c r="S535" i="70" s="1"/>
  <c r="N535" i="70"/>
  <c r="O535" i="70" s="1"/>
  <c r="P535" i="70" s="1"/>
  <c r="K534" i="70"/>
  <c r="L534" i="70" s="1"/>
  <c r="M534" i="70" s="1"/>
  <c r="X535" i="70"/>
  <c r="V536" i="70" s="1"/>
  <c r="W536" i="70" s="1"/>
  <c r="B534" i="70"/>
  <c r="C534" i="70" s="1"/>
  <c r="D534" i="70" s="1"/>
  <c r="A536" i="70"/>
  <c r="AC274" i="70"/>
  <c r="AD274" i="70" s="1"/>
  <c r="F535" i="70"/>
  <c r="G535" i="70" s="1"/>
  <c r="E536" i="70" s="1"/>
  <c r="I275" i="70"/>
  <c r="Q536" i="70" l="1"/>
  <c r="R536" i="70" s="1"/>
  <c r="S536" i="70" s="1"/>
  <c r="N536" i="70"/>
  <c r="O536" i="70" s="1"/>
  <c r="P536" i="70" s="1"/>
  <c r="K535" i="70"/>
  <c r="L535" i="70" s="1"/>
  <c r="M535" i="70" s="1"/>
  <c r="B535" i="70"/>
  <c r="C535" i="70" s="1"/>
  <c r="D535" i="70" s="1"/>
  <c r="A537" i="70"/>
  <c r="X536" i="70"/>
  <c r="V537" i="70" s="1"/>
  <c r="W537" i="70" s="1"/>
  <c r="F536" i="70"/>
  <c r="G536" i="70" s="1"/>
  <c r="E537" i="70" s="1"/>
  <c r="J275" i="70"/>
  <c r="H276" i="70" s="1"/>
  <c r="Q537" i="70" l="1"/>
  <c r="R537" i="70" s="1"/>
  <c r="S537" i="70" s="1"/>
  <c r="N537" i="70"/>
  <c r="O537" i="70" s="1"/>
  <c r="P537" i="70" s="1"/>
  <c r="K536" i="70"/>
  <c r="L536" i="70" s="1"/>
  <c r="M536" i="70" s="1"/>
  <c r="B536" i="70"/>
  <c r="C536" i="70" s="1"/>
  <c r="D536" i="70" s="1"/>
  <c r="X537" i="70"/>
  <c r="V538" i="70" s="1"/>
  <c r="W538" i="70" s="1"/>
  <c r="AC275" i="70"/>
  <c r="AD275" i="70" s="1"/>
  <c r="A538" i="70"/>
  <c r="F537" i="70"/>
  <c r="G537" i="70" s="1"/>
  <c r="E538" i="70" s="1"/>
  <c r="I276" i="70"/>
  <c r="Q538" i="70" l="1"/>
  <c r="R538" i="70" s="1"/>
  <c r="S538" i="70" s="1"/>
  <c r="N538" i="70"/>
  <c r="O538" i="70" s="1"/>
  <c r="P538" i="70" s="1"/>
  <c r="K537" i="70"/>
  <c r="L537" i="70" s="1"/>
  <c r="M537" i="70" s="1"/>
  <c r="B537" i="70"/>
  <c r="C537" i="70" s="1"/>
  <c r="D537" i="70" s="1"/>
  <c r="A539" i="70"/>
  <c r="X538" i="70"/>
  <c r="V539" i="70" s="1"/>
  <c r="W539" i="70" s="1"/>
  <c r="F538" i="70"/>
  <c r="G538" i="70" s="1"/>
  <c r="E539" i="70" s="1"/>
  <c r="J276" i="70"/>
  <c r="H277" i="70" s="1"/>
  <c r="X539" i="70" l="1"/>
  <c r="V540" i="70" s="1"/>
  <c r="W540" i="70" s="1"/>
  <c r="Q539" i="70"/>
  <c r="R539" i="70" s="1"/>
  <c r="S539" i="70" s="1"/>
  <c r="N539" i="70"/>
  <c r="O539" i="70" s="1"/>
  <c r="P539" i="70" s="1"/>
  <c r="K538" i="70"/>
  <c r="L538" i="70" s="1"/>
  <c r="M538" i="70" s="1"/>
  <c r="B538" i="70"/>
  <c r="C538" i="70" s="1"/>
  <c r="D538" i="70" s="1"/>
  <c r="AC276" i="70"/>
  <c r="AD276" i="70" s="1"/>
  <c r="A540" i="70"/>
  <c r="F539" i="70"/>
  <c r="G539" i="70" s="1"/>
  <c r="E540" i="70" s="1"/>
  <c r="I277" i="70"/>
  <c r="Q540" i="70" l="1"/>
  <c r="R540" i="70" s="1"/>
  <c r="S540" i="70" s="1"/>
  <c r="N540" i="70"/>
  <c r="O540" i="70" s="1"/>
  <c r="P540" i="70" s="1"/>
  <c r="K539" i="70"/>
  <c r="L539" i="70" s="1"/>
  <c r="M539" i="70" s="1"/>
  <c r="B539" i="70"/>
  <c r="C539" i="70" s="1"/>
  <c r="D539" i="70" s="1"/>
  <c r="X540" i="70"/>
  <c r="V541" i="70" s="1"/>
  <c r="W541" i="70" s="1"/>
  <c r="A541" i="70"/>
  <c r="F540" i="70"/>
  <c r="G540" i="70" s="1"/>
  <c r="E541" i="70" s="1"/>
  <c r="J277" i="70"/>
  <c r="H278" i="70" s="1"/>
  <c r="Q541" i="70" l="1"/>
  <c r="R541" i="70" s="1"/>
  <c r="S541" i="70" s="1"/>
  <c r="N541" i="70"/>
  <c r="O541" i="70" s="1"/>
  <c r="P541" i="70" s="1"/>
  <c r="K540" i="70"/>
  <c r="L540" i="70" s="1"/>
  <c r="M540" i="70" s="1"/>
  <c r="X541" i="70"/>
  <c r="V542" i="70" s="1"/>
  <c r="W542" i="70" s="1"/>
  <c r="B540" i="70"/>
  <c r="C540" i="70" s="1"/>
  <c r="D540" i="70" s="1"/>
  <c r="AC277" i="70"/>
  <c r="AD277" i="70" s="1"/>
  <c r="A542" i="70"/>
  <c r="F541" i="70"/>
  <c r="G541" i="70" s="1"/>
  <c r="E542" i="70" s="1"/>
  <c r="Q542" i="70" l="1"/>
  <c r="R542" i="70" s="1"/>
  <c r="S542" i="70" s="1"/>
  <c r="N542" i="70"/>
  <c r="O542" i="70" s="1"/>
  <c r="P542" i="70" s="1"/>
  <c r="K541" i="70"/>
  <c r="L541" i="70" s="1"/>
  <c r="M541" i="70" s="1"/>
  <c r="X542" i="70"/>
  <c r="V543" i="70" s="1"/>
  <c r="W543" i="70" s="1"/>
  <c r="B541" i="70"/>
  <c r="C541" i="70" s="1"/>
  <c r="D541" i="70" s="1"/>
  <c r="A543" i="70"/>
  <c r="F542" i="70"/>
  <c r="G542" i="70" s="1"/>
  <c r="E543" i="70" s="1"/>
  <c r="I278" i="70"/>
  <c r="J278" i="70" s="1"/>
  <c r="H279" i="70" s="1"/>
  <c r="Q543" i="70" l="1"/>
  <c r="R543" i="70" s="1"/>
  <c r="S543" i="70" s="1"/>
  <c r="N543" i="70"/>
  <c r="O543" i="70" s="1"/>
  <c r="P543" i="70" s="1"/>
  <c r="K542" i="70"/>
  <c r="L542" i="70" s="1"/>
  <c r="M542" i="70" s="1"/>
  <c r="B542" i="70"/>
  <c r="C542" i="70" s="1"/>
  <c r="D542" i="70" s="1"/>
  <c r="X543" i="70"/>
  <c r="V544" i="70" s="1"/>
  <c r="W544" i="70" s="1"/>
  <c r="A544" i="70"/>
  <c r="AC278" i="70"/>
  <c r="AD278" i="70" s="1"/>
  <c r="F543" i="70"/>
  <c r="G543" i="70" s="1"/>
  <c r="E544" i="70" s="1"/>
  <c r="Q544" i="70" l="1"/>
  <c r="R544" i="70" s="1"/>
  <c r="S544" i="70" s="1"/>
  <c r="N544" i="70"/>
  <c r="O544" i="70" s="1"/>
  <c r="P544" i="70" s="1"/>
  <c r="K543" i="70"/>
  <c r="L543" i="70" s="1"/>
  <c r="M543" i="70" s="1"/>
  <c r="B543" i="70"/>
  <c r="C543" i="70" s="1"/>
  <c r="D543" i="70" s="1"/>
  <c r="A545" i="70"/>
  <c r="X544" i="70"/>
  <c r="V545" i="70" s="1"/>
  <c r="W545" i="70" s="1"/>
  <c r="F544" i="70"/>
  <c r="G544" i="70" s="1"/>
  <c r="E545" i="70" s="1"/>
  <c r="I279" i="70"/>
  <c r="J279" i="70" s="1"/>
  <c r="H280" i="70" s="1"/>
  <c r="X545" i="70" l="1"/>
  <c r="V546" i="70" s="1"/>
  <c r="W546" i="70" s="1"/>
  <c r="Q545" i="70"/>
  <c r="R545" i="70" s="1"/>
  <c r="S545" i="70" s="1"/>
  <c r="N545" i="70"/>
  <c r="O545" i="70" s="1"/>
  <c r="P545" i="70" s="1"/>
  <c r="K544" i="70"/>
  <c r="L544" i="70" s="1"/>
  <c r="M544" i="70" s="1"/>
  <c r="B544" i="70"/>
  <c r="C544" i="70" s="1"/>
  <c r="D544" i="70" s="1"/>
  <c r="AC279" i="70"/>
  <c r="AD279" i="70" s="1"/>
  <c r="A546" i="70"/>
  <c r="F545" i="70"/>
  <c r="G545" i="70" s="1"/>
  <c r="E546" i="70" s="1"/>
  <c r="Q546" i="70" l="1"/>
  <c r="R546" i="70" s="1"/>
  <c r="S546" i="70" s="1"/>
  <c r="N546" i="70"/>
  <c r="O546" i="70" s="1"/>
  <c r="P546" i="70" s="1"/>
  <c r="K545" i="70"/>
  <c r="L545" i="70" s="1"/>
  <c r="M545" i="70" s="1"/>
  <c r="B545" i="70"/>
  <c r="C545" i="70" s="1"/>
  <c r="D545" i="70" s="1"/>
  <c r="X546" i="70"/>
  <c r="V547" i="70" s="1"/>
  <c r="W547" i="70" s="1"/>
  <c r="A547" i="70"/>
  <c r="F546" i="70"/>
  <c r="G546" i="70" s="1"/>
  <c r="E547" i="70" s="1"/>
  <c r="I280" i="70"/>
  <c r="J280" i="70" s="1"/>
  <c r="H281" i="70" s="1"/>
  <c r="Q547" i="70" l="1"/>
  <c r="R547" i="70" s="1"/>
  <c r="S547" i="70" s="1"/>
  <c r="N547" i="70"/>
  <c r="O547" i="70" s="1"/>
  <c r="P547" i="70" s="1"/>
  <c r="K546" i="70"/>
  <c r="L546" i="70" s="1"/>
  <c r="M546" i="70" s="1"/>
  <c r="X547" i="70"/>
  <c r="V548" i="70" s="1"/>
  <c r="W548" i="70" s="1"/>
  <c r="B546" i="70"/>
  <c r="C546" i="70" s="1"/>
  <c r="D546" i="70" s="1"/>
  <c r="AC280" i="70"/>
  <c r="AD280" i="70" s="1"/>
  <c r="A548" i="70"/>
  <c r="F547" i="70"/>
  <c r="G547" i="70" s="1"/>
  <c r="E548" i="70" s="1"/>
  <c r="I281" i="70"/>
  <c r="J281" i="70" s="1"/>
  <c r="H282" i="70" s="1"/>
  <c r="Q548" i="70" l="1"/>
  <c r="R548" i="70" s="1"/>
  <c r="S548" i="70" s="1"/>
  <c r="N548" i="70"/>
  <c r="O548" i="70" s="1"/>
  <c r="P548" i="70" s="1"/>
  <c r="K547" i="70"/>
  <c r="L547" i="70" s="1"/>
  <c r="M547" i="70" s="1"/>
  <c r="B547" i="70"/>
  <c r="C547" i="70" s="1"/>
  <c r="D547" i="70" s="1"/>
  <c r="AC281" i="70"/>
  <c r="AD281" i="70" s="1"/>
  <c r="A549" i="70"/>
  <c r="X548" i="70"/>
  <c r="V549" i="70" s="1"/>
  <c r="W549" i="70" s="1"/>
  <c r="F548" i="70"/>
  <c r="G548" i="70" s="1"/>
  <c r="E549" i="70" s="1"/>
  <c r="I282" i="70"/>
  <c r="J282" i="70" s="1"/>
  <c r="H283" i="70" s="1"/>
  <c r="Q549" i="70" l="1"/>
  <c r="R549" i="70" s="1"/>
  <c r="S549" i="70" s="1"/>
  <c r="N549" i="70"/>
  <c r="O549" i="70" s="1"/>
  <c r="P549" i="70" s="1"/>
  <c r="K548" i="70"/>
  <c r="L548" i="70" s="1"/>
  <c r="M548" i="70" s="1"/>
  <c r="B548" i="70"/>
  <c r="C548" i="70" s="1"/>
  <c r="D548" i="70" s="1"/>
  <c r="X549" i="70"/>
  <c r="V550" i="70" s="1"/>
  <c r="W550" i="70" s="1"/>
  <c r="A550" i="70"/>
  <c r="AC282" i="70"/>
  <c r="AD282" i="70" s="1"/>
  <c r="F549" i="70"/>
  <c r="G549" i="70" s="1"/>
  <c r="E550" i="70" s="1"/>
  <c r="I283" i="70"/>
  <c r="J283" i="70" s="1"/>
  <c r="H284" i="70" s="1"/>
  <c r="Q550" i="70" l="1"/>
  <c r="R550" i="70" s="1"/>
  <c r="S550" i="70" s="1"/>
  <c r="N550" i="70"/>
  <c r="O550" i="70" s="1"/>
  <c r="P550" i="70" s="1"/>
  <c r="K549" i="70"/>
  <c r="L549" i="70" s="1"/>
  <c r="M549" i="70" s="1"/>
  <c r="X550" i="70"/>
  <c r="V551" i="70" s="1"/>
  <c r="W551" i="70" s="1"/>
  <c r="B549" i="70"/>
  <c r="C549" i="70" s="1"/>
  <c r="D549" i="70" s="1"/>
  <c r="AC283" i="70"/>
  <c r="AD283" i="70" s="1"/>
  <c r="A551" i="70"/>
  <c r="F550" i="70"/>
  <c r="G550" i="70" s="1"/>
  <c r="E551" i="70" s="1"/>
  <c r="I284" i="70"/>
  <c r="J284" i="70" s="1"/>
  <c r="H285" i="70" s="1"/>
  <c r="Q551" i="70" l="1"/>
  <c r="R551" i="70" s="1"/>
  <c r="S551" i="70" s="1"/>
  <c r="N551" i="70"/>
  <c r="O551" i="70" s="1"/>
  <c r="P551" i="70" s="1"/>
  <c r="K550" i="70"/>
  <c r="L550" i="70" s="1"/>
  <c r="M550" i="70" s="1"/>
  <c r="B550" i="70"/>
  <c r="C550" i="70" s="1"/>
  <c r="D550" i="70" s="1"/>
  <c r="A552" i="70"/>
  <c r="AC284" i="70"/>
  <c r="AD284" i="70" s="1"/>
  <c r="X551" i="70"/>
  <c r="V552" i="70" s="1"/>
  <c r="W552" i="70" s="1"/>
  <c r="F551" i="70"/>
  <c r="G551" i="70" s="1"/>
  <c r="E552" i="70" s="1"/>
  <c r="I285" i="70"/>
  <c r="Q552" i="70" l="1"/>
  <c r="R552" i="70" s="1"/>
  <c r="S552" i="70" s="1"/>
  <c r="N552" i="70"/>
  <c r="O552" i="70" s="1"/>
  <c r="P552" i="70" s="1"/>
  <c r="K551" i="70"/>
  <c r="L551" i="70" s="1"/>
  <c r="M551" i="70" s="1"/>
  <c r="B551" i="70"/>
  <c r="C551" i="70" s="1"/>
  <c r="D551" i="70" s="1"/>
  <c r="X552" i="70"/>
  <c r="V553" i="70" s="1"/>
  <c r="W553" i="70" s="1"/>
  <c r="A553" i="70"/>
  <c r="F552" i="70"/>
  <c r="G552" i="70" s="1"/>
  <c r="E553" i="70" s="1"/>
  <c r="J285" i="70"/>
  <c r="H286" i="70" s="1"/>
  <c r="Q553" i="70" l="1"/>
  <c r="R553" i="70" s="1"/>
  <c r="S553" i="70" s="1"/>
  <c r="N553" i="70"/>
  <c r="O553" i="70" s="1"/>
  <c r="P553" i="70" s="1"/>
  <c r="K552" i="70"/>
  <c r="L552" i="70" s="1"/>
  <c r="M552" i="70" s="1"/>
  <c r="B552" i="70"/>
  <c r="C552" i="70" s="1"/>
  <c r="D552" i="70" s="1"/>
  <c r="X553" i="70"/>
  <c r="V554" i="70" s="1"/>
  <c r="W554" i="70" s="1"/>
  <c r="AC285" i="70"/>
  <c r="AD285" i="70" s="1"/>
  <c r="A554" i="70"/>
  <c r="F553" i="70"/>
  <c r="G553" i="70" s="1"/>
  <c r="E554" i="70" s="1"/>
  <c r="I286" i="70"/>
  <c r="Q554" i="70" l="1"/>
  <c r="R554" i="70" s="1"/>
  <c r="S554" i="70" s="1"/>
  <c r="N554" i="70"/>
  <c r="O554" i="70" s="1"/>
  <c r="P554" i="70" s="1"/>
  <c r="K553" i="70"/>
  <c r="L553" i="70" s="1"/>
  <c r="M553" i="70" s="1"/>
  <c r="B553" i="70"/>
  <c r="C553" i="70" s="1"/>
  <c r="D553" i="70" s="1"/>
  <c r="X554" i="70"/>
  <c r="V555" i="70" s="1"/>
  <c r="W555" i="70" s="1"/>
  <c r="A555" i="70"/>
  <c r="F554" i="70"/>
  <c r="G554" i="70" s="1"/>
  <c r="E555" i="70" s="1"/>
  <c r="J286" i="70"/>
  <c r="H287" i="70" s="1"/>
  <c r="Q555" i="70" l="1"/>
  <c r="R555" i="70" s="1"/>
  <c r="S555" i="70" s="1"/>
  <c r="N555" i="70"/>
  <c r="O555" i="70" s="1"/>
  <c r="P555" i="70" s="1"/>
  <c r="K554" i="70"/>
  <c r="L554" i="70" s="1"/>
  <c r="M554" i="70" s="1"/>
  <c r="B554" i="70"/>
  <c r="C554" i="70" s="1"/>
  <c r="D554" i="70" s="1"/>
  <c r="X555" i="70"/>
  <c r="V556" i="70" s="1"/>
  <c r="W556" i="70" s="1"/>
  <c r="A556" i="70"/>
  <c r="AC286" i="70"/>
  <c r="AD286" i="70" s="1"/>
  <c r="F555" i="70"/>
  <c r="G555" i="70" s="1"/>
  <c r="E556" i="70" s="1"/>
  <c r="I287" i="70"/>
  <c r="Q556" i="70" l="1"/>
  <c r="R556" i="70" s="1"/>
  <c r="S556" i="70" s="1"/>
  <c r="N556" i="70"/>
  <c r="O556" i="70" s="1"/>
  <c r="P556" i="70" s="1"/>
  <c r="K555" i="70"/>
  <c r="L555" i="70" s="1"/>
  <c r="M555" i="70" s="1"/>
  <c r="B555" i="70"/>
  <c r="C555" i="70" s="1"/>
  <c r="D555" i="70" s="1"/>
  <c r="A557" i="70"/>
  <c r="X556" i="70"/>
  <c r="V557" i="70" s="1"/>
  <c r="W557" i="70" s="1"/>
  <c r="X557" i="70" s="1"/>
  <c r="V558" i="70" s="1"/>
  <c r="F556" i="70"/>
  <c r="G556" i="70" s="1"/>
  <c r="E557" i="70" s="1"/>
  <c r="J287" i="70"/>
  <c r="H288" i="70" s="1"/>
  <c r="Q557" i="70" l="1"/>
  <c r="R557" i="70" s="1"/>
  <c r="S557" i="70" s="1"/>
  <c r="N557" i="70"/>
  <c r="O557" i="70" s="1"/>
  <c r="P557" i="70" s="1"/>
  <c r="K556" i="70"/>
  <c r="L556" i="70" s="1"/>
  <c r="M556" i="70" s="1"/>
  <c r="B556" i="70"/>
  <c r="C556" i="70" s="1"/>
  <c r="D556" i="70" s="1"/>
  <c r="A558" i="70"/>
  <c r="AC287" i="70"/>
  <c r="AD287" i="70" s="1"/>
  <c r="F557" i="70"/>
  <c r="G557" i="70" s="1"/>
  <c r="E558" i="70" s="1"/>
  <c r="I288" i="70"/>
  <c r="W558" i="70"/>
  <c r="Q558" i="70" l="1"/>
  <c r="R558" i="70" s="1"/>
  <c r="S558" i="70" s="1"/>
  <c r="N558" i="70"/>
  <c r="O558" i="70" s="1"/>
  <c r="P558" i="70" s="1"/>
  <c r="K557" i="70"/>
  <c r="L557" i="70" s="1"/>
  <c r="M557" i="70" s="1"/>
  <c r="B557" i="70"/>
  <c r="C557" i="70" s="1"/>
  <c r="D557" i="70" s="1"/>
  <c r="A559" i="70"/>
  <c r="X558" i="70"/>
  <c r="V559" i="70" s="1"/>
  <c r="W559" i="70" s="1"/>
  <c r="F558" i="70"/>
  <c r="G558" i="70" s="1"/>
  <c r="E559" i="70" s="1"/>
  <c r="J288" i="70"/>
  <c r="H289" i="70" s="1"/>
  <c r="Q559" i="70" l="1"/>
  <c r="R559" i="70" s="1"/>
  <c r="S559" i="70" s="1"/>
  <c r="N559" i="70"/>
  <c r="O559" i="70" s="1"/>
  <c r="P559" i="70" s="1"/>
  <c r="K558" i="70"/>
  <c r="L558" i="70" s="1"/>
  <c r="M558" i="70" s="1"/>
  <c r="B558" i="70"/>
  <c r="C558" i="70" s="1"/>
  <c r="D558" i="70" s="1"/>
  <c r="X559" i="70"/>
  <c r="V560" i="70" s="1"/>
  <c r="W560" i="70" s="1"/>
  <c r="A560" i="70"/>
  <c r="AC288" i="70"/>
  <c r="AD288" i="70" s="1"/>
  <c r="F559" i="70"/>
  <c r="G559" i="70" s="1"/>
  <c r="E560" i="70" s="1"/>
  <c r="I289" i="70"/>
  <c r="Q560" i="70" l="1"/>
  <c r="R560" i="70" s="1"/>
  <c r="S560" i="70" s="1"/>
  <c r="N560" i="70"/>
  <c r="O560" i="70" s="1"/>
  <c r="P560" i="70" s="1"/>
  <c r="K559" i="70"/>
  <c r="L559" i="70" s="1"/>
  <c r="M559" i="70" s="1"/>
  <c r="B559" i="70"/>
  <c r="C559" i="70" s="1"/>
  <c r="D559" i="70" s="1"/>
  <c r="A561" i="70"/>
  <c r="X560" i="70"/>
  <c r="V561" i="70" s="1"/>
  <c r="W561" i="70" s="1"/>
  <c r="X561" i="70" s="1"/>
  <c r="V562" i="70" s="1"/>
  <c r="F560" i="70"/>
  <c r="G560" i="70" s="1"/>
  <c r="E561" i="70" s="1"/>
  <c r="J289" i="70"/>
  <c r="H290" i="70" s="1"/>
  <c r="Q561" i="70" l="1"/>
  <c r="R561" i="70" s="1"/>
  <c r="S561" i="70" s="1"/>
  <c r="N561" i="70"/>
  <c r="O561" i="70" s="1"/>
  <c r="P561" i="70" s="1"/>
  <c r="K560" i="70"/>
  <c r="L560" i="70" s="1"/>
  <c r="M560" i="70" s="1"/>
  <c r="B560" i="70"/>
  <c r="C560" i="70" s="1"/>
  <c r="D560" i="70" s="1"/>
  <c r="A562" i="70"/>
  <c r="AC289" i="70"/>
  <c r="AD289" i="70" s="1"/>
  <c r="F561" i="70"/>
  <c r="G561" i="70" s="1"/>
  <c r="E562" i="70" s="1"/>
  <c r="I290" i="70"/>
  <c r="W562" i="70"/>
  <c r="Q562" i="70" l="1"/>
  <c r="R562" i="70" s="1"/>
  <c r="S562" i="70" s="1"/>
  <c r="N562" i="70"/>
  <c r="O562" i="70" s="1"/>
  <c r="P562" i="70" s="1"/>
  <c r="K561" i="70"/>
  <c r="L561" i="70" s="1"/>
  <c r="M561" i="70" s="1"/>
  <c r="B561" i="70"/>
  <c r="C561" i="70" s="1"/>
  <c r="D561" i="70" s="1"/>
  <c r="X562" i="70"/>
  <c r="V563" i="70" s="1"/>
  <c r="W563" i="70" s="1"/>
  <c r="A563" i="70"/>
  <c r="F562" i="70"/>
  <c r="G562" i="70" s="1"/>
  <c r="E563" i="70" s="1"/>
  <c r="J290" i="70"/>
  <c r="H291" i="70" s="1"/>
  <c r="Q563" i="70" l="1"/>
  <c r="R563" i="70" s="1"/>
  <c r="S563" i="70" s="1"/>
  <c r="N563" i="70"/>
  <c r="O563" i="70" s="1"/>
  <c r="P563" i="70" s="1"/>
  <c r="K562" i="70"/>
  <c r="L562" i="70" s="1"/>
  <c r="M562" i="70" s="1"/>
  <c r="B562" i="70"/>
  <c r="C562" i="70" s="1"/>
  <c r="D562" i="70" s="1"/>
  <c r="X563" i="70"/>
  <c r="V564" i="70" s="1"/>
  <c r="W564" i="70" s="1"/>
  <c r="AC290" i="70"/>
  <c r="AD290" i="70" s="1"/>
  <c r="A564" i="70"/>
  <c r="F563" i="70"/>
  <c r="G563" i="70" s="1"/>
  <c r="E564" i="70" s="1"/>
  <c r="I291" i="70"/>
  <c r="Q564" i="70" l="1"/>
  <c r="R564" i="70" s="1"/>
  <c r="S564" i="70" s="1"/>
  <c r="N564" i="70"/>
  <c r="O564" i="70" s="1"/>
  <c r="P564" i="70" s="1"/>
  <c r="K563" i="70"/>
  <c r="L563" i="70" s="1"/>
  <c r="M563" i="70" s="1"/>
  <c r="B563" i="70"/>
  <c r="C563" i="70" s="1"/>
  <c r="D563" i="70" s="1"/>
  <c r="A565" i="70"/>
  <c r="X564" i="70"/>
  <c r="V565" i="70" s="1"/>
  <c r="W565" i="70" s="1"/>
  <c r="X565" i="70" s="1"/>
  <c r="V566" i="70" s="1"/>
  <c r="F564" i="70"/>
  <c r="G564" i="70" s="1"/>
  <c r="E565" i="70" s="1"/>
  <c r="J291" i="70"/>
  <c r="H292" i="70" s="1"/>
  <c r="Q565" i="70" l="1"/>
  <c r="R565" i="70" s="1"/>
  <c r="S565" i="70" s="1"/>
  <c r="N565" i="70"/>
  <c r="O565" i="70" s="1"/>
  <c r="P565" i="70" s="1"/>
  <c r="K564" i="70"/>
  <c r="L564" i="70" s="1"/>
  <c r="M564" i="70" s="1"/>
  <c r="B564" i="70"/>
  <c r="C564" i="70" s="1"/>
  <c r="D564" i="70" s="1"/>
  <c r="AC291" i="70"/>
  <c r="AD291" i="70" s="1"/>
  <c r="A566" i="70"/>
  <c r="F565" i="70"/>
  <c r="G565" i="70" s="1"/>
  <c r="E566" i="70" s="1"/>
  <c r="I292" i="70"/>
  <c r="W566" i="70"/>
  <c r="Q566" i="70" l="1"/>
  <c r="R566" i="70" s="1"/>
  <c r="S566" i="70" s="1"/>
  <c r="N566" i="70"/>
  <c r="O566" i="70" s="1"/>
  <c r="P566" i="70" s="1"/>
  <c r="K565" i="70"/>
  <c r="L565" i="70" s="1"/>
  <c r="M565" i="70" s="1"/>
  <c r="B565" i="70"/>
  <c r="C565" i="70" s="1"/>
  <c r="D565" i="70" s="1"/>
  <c r="X566" i="70"/>
  <c r="V567" i="70" s="1"/>
  <c r="W567" i="70" s="1"/>
  <c r="A567" i="70"/>
  <c r="F566" i="70"/>
  <c r="G566" i="70" s="1"/>
  <c r="E567" i="70" s="1"/>
  <c r="J292" i="70"/>
  <c r="H293" i="70" s="1"/>
  <c r="Q567" i="70" l="1"/>
  <c r="R567" i="70" s="1"/>
  <c r="S567" i="70" s="1"/>
  <c r="N567" i="70"/>
  <c r="O567" i="70" s="1"/>
  <c r="P567" i="70" s="1"/>
  <c r="K566" i="70"/>
  <c r="L566" i="70" s="1"/>
  <c r="M566" i="70" s="1"/>
  <c r="B566" i="70"/>
  <c r="C566" i="70" s="1"/>
  <c r="D566" i="70" s="1"/>
  <c r="X567" i="70"/>
  <c r="V568" i="70" s="1"/>
  <c r="W568" i="70" s="1"/>
  <c r="A568" i="70"/>
  <c r="AC292" i="70"/>
  <c r="AD292" i="70" s="1"/>
  <c r="F567" i="70"/>
  <c r="G567" i="70" s="1"/>
  <c r="E568" i="70" s="1"/>
  <c r="I293" i="70"/>
  <c r="Q568" i="70" l="1"/>
  <c r="R568" i="70" s="1"/>
  <c r="S568" i="70" s="1"/>
  <c r="N568" i="70"/>
  <c r="O568" i="70" s="1"/>
  <c r="P568" i="70" s="1"/>
  <c r="K567" i="70"/>
  <c r="L567" i="70" s="1"/>
  <c r="M567" i="70" s="1"/>
  <c r="B567" i="70"/>
  <c r="C567" i="70" s="1"/>
  <c r="D567" i="70" s="1"/>
  <c r="A569" i="70"/>
  <c r="X568" i="70"/>
  <c r="V569" i="70" s="1"/>
  <c r="W569" i="70" s="1"/>
  <c r="F568" i="70"/>
  <c r="G568" i="70" s="1"/>
  <c r="E569" i="70" s="1"/>
  <c r="J293" i="70"/>
  <c r="H294" i="70" s="1"/>
  <c r="Q569" i="70" l="1"/>
  <c r="R569" i="70" s="1"/>
  <c r="S569" i="70" s="1"/>
  <c r="N569" i="70"/>
  <c r="O569" i="70" s="1"/>
  <c r="P569" i="70" s="1"/>
  <c r="K568" i="70"/>
  <c r="L568" i="70" s="1"/>
  <c r="M568" i="70" s="1"/>
  <c r="X569" i="70"/>
  <c r="V570" i="70" s="1"/>
  <c r="W570" i="70" s="1"/>
  <c r="B568" i="70"/>
  <c r="C568" i="70" s="1"/>
  <c r="D568" i="70" s="1"/>
  <c r="A570" i="70"/>
  <c r="AC293" i="70"/>
  <c r="AD293" i="70" s="1"/>
  <c r="F569" i="70"/>
  <c r="G569" i="70" s="1"/>
  <c r="E570" i="70" s="1"/>
  <c r="I294" i="70"/>
  <c r="Q570" i="70" l="1"/>
  <c r="R570" i="70" s="1"/>
  <c r="S570" i="70" s="1"/>
  <c r="N570" i="70"/>
  <c r="O570" i="70" s="1"/>
  <c r="P570" i="70" s="1"/>
  <c r="N571" i="70" s="1"/>
  <c r="K569" i="70"/>
  <c r="L569" i="70" s="1"/>
  <c r="M569" i="70" s="1"/>
  <c r="B569" i="70"/>
  <c r="C569" i="70" s="1"/>
  <c r="D569" i="70" s="1"/>
  <c r="X570" i="70"/>
  <c r="V571" i="70" s="1"/>
  <c r="W571" i="70" s="1"/>
  <c r="A571" i="70"/>
  <c r="F570" i="70"/>
  <c r="G570" i="70" s="1"/>
  <c r="E571" i="70" s="1"/>
  <c r="J294" i="70"/>
  <c r="H295" i="70" s="1"/>
  <c r="Q571" i="70" l="1"/>
  <c r="R571" i="70" s="1"/>
  <c r="S571" i="70" s="1"/>
  <c r="K570" i="70"/>
  <c r="L570" i="70" s="1"/>
  <c r="M570" i="70" s="1"/>
  <c r="O571" i="70"/>
  <c r="P571" i="70" s="1"/>
  <c r="X571" i="70"/>
  <c r="V572" i="70" s="1"/>
  <c r="W572" i="70" s="1"/>
  <c r="B570" i="70"/>
  <c r="C570" i="70" s="1"/>
  <c r="D570" i="70" s="1"/>
  <c r="A572" i="70"/>
  <c r="AC294" i="70"/>
  <c r="AD294" i="70" s="1"/>
  <c r="F571" i="70"/>
  <c r="G571" i="70" s="1"/>
  <c r="E572" i="70" s="1"/>
  <c r="I295" i="70"/>
  <c r="Q572" i="70" l="1"/>
  <c r="R572" i="70" s="1"/>
  <c r="S572" i="70" s="1"/>
  <c r="N572" i="70"/>
  <c r="O572" i="70" s="1"/>
  <c r="P572" i="70" s="1"/>
  <c r="K571" i="70"/>
  <c r="L571" i="70" s="1"/>
  <c r="M571" i="70" s="1"/>
  <c r="B571" i="70"/>
  <c r="C571" i="70" s="1"/>
  <c r="D571" i="70" s="1"/>
  <c r="X572" i="70"/>
  <c r="V573" i="70" s="1"/>
  <c r="W573" i="70" s="1"/>
  <c r="A573" i="70"/>
  <c r="F572" i="70"/>
  <c r="G572" i="70" s="1"/>
  <c r="E573" i="70" s="1"/>
  <c r="J295" i="70"/>
  <c r="H296" i="70" s="1"/>
  <c r="Q573" i="70" l="1"/>
  <c r="R573" i="70" s="1"/>
  <c r="S573" i="70" s="1"/>
  <c r="N573" i="70"/>
  <c r="O573" i="70" s="1"/>
  <c r="P573" i="70" s="1"/>
  <c r="K572" i="70"/>
  <c r="L572" i="70" s="1"/>
  <c r="M572" i="70" s="1"/>
  <c r="X573" i="70"/>
  <c r="V574" i="70" s="1"/>
  <c r="W574" i="70" s="1"/>
  <c r="B572" i="70"/>
  <c r="C572" i="70" s="1"/>
  <c r="D572" i="70" s="1"/>
  <c r="A574" i="70"/>
  <c r="AC295" i="70"/>
  <c r="AD295" i="70" s="1"/>
  <c r="F573" i="70"/>
  <c r="G573" i="70" s="1"/>
  <c r="E574" i="70" s="1"/>
  <c r="I296" i="70"/>
  <c r="Q574" i="70" l="1"/>
  <c r="R574" i="70" s="1"/>
  <c r="S574" i="70" s="1"/>
  <c r="N574" i="70"/>
  <c r="O574" i="70" s="1"/>
  <c r="P574" i="70" s="1"/>
  <c r="K573" i="70"/>
  <c r="L573" i="70" s="1"/>
  <c r="M573" i="70" s="1"/>
  <c r="B573" i="70"/>
  <c r="C573" i="70" s="1"/>
  <c r="D573" i="70" s="1"/>
  <c r="X574" i="70"/>
  <c r="V575" i="70" s="1"/>
  <c r="W575" i="70" s="1"/>
  <c r="A575" i="70"/>
  <c r="F574" i="70"/>
  <c r="G574" i="70" s="1"/>
  <c r="E575" i="70" s="1"/>
  <c r="J296" i="70"/>
  <c r="H297" i="70" s="1"/>
  <c r="Q575" i="70" l="1"/>
  <c r="R575" i="70" s="1"/>
  <c r="S575" i="70" s="1"/>
  <c r="N575" i="70"/>
  <c r="O575" i="70" s="1"/>
  <c r="P575" i="70" s="1"/>
  <c r="K574" i="70"/>
  <c r="L574" i="70" s="1"/>
  <c r="M574" i="70" s="1"/>
  <c r="B574" i="70"/>
  <c r="C574" i="70" s="1"/>
  <c r="D574" i="70" s="1"/>
  <c r="X575" i="70"/>
  <c r="V576" i="70" s="1"/>
  <c r="W576" i="70" s="1"/>
  <c r="A576" i="70"/>
  <c r="AC296" i="70"/>
  <c r="AD296" i="70" s="1"/>
  <c r="F575" i="70"/>
  <c r="G575" i="70" s="1"/>
  <c r="E576" i="70" s="1"/>
  <c r="I297" i="70"/>
  <c r="Q576" i="70" l="1"/>
  <c r="R576" i="70" s="1"/>
  <c r="S576" i="70" s="1"/>
  <c r="N576" i="70"/>
  <c r="O576" i="70" s="1"/>
  <c r="P576" i="70" s="1"/>
  <c r="K575" i="70"/>
  <c r="L575" i="70" s="1"/>
  <c r="M575" i="70" s="1"/>
  <c r="B575" i="70"/>
  <c r="C575" i="70" s="1"/>
  <c r="D575" i="70" s="1"/>
  <c r="A577" i="70"/>
  <c r="X576" i="70"/>
  <c r="V577" i="70" s="1"/>
  <c r="W577" i="70" s="1"/>
  <c r="F576" i="70"/>
  <c r="G576" i="70" s="1"/>
  <c r="E577" i="70" s="1"/>
  <c r="J297" i="70"/>
  <c r="H298" i="70" s="1"/>
  <c r="Q577" i="70" l="1"/>
  <c r="R577" i="70" s="1"/>
  <c r="S577" i="70" s="1"/>
  <c r="N577" i="70"/>
  <c r="O577" i="70" s="1"/>
  <c r="P577" i="70" s="1"/>
  <c r="K576" i="70"/>
  <c r="L576" i="70" s="1"/>
  <c r="M576" i="70" s="1"/>
  <c r="B576" i="70"/>
  <c r="C576" i="70" s="1"/>
  <c r="D576" i="70" s="1"/>
  <c r="X577" i="70"/>
  <c r="V578" i="70" s="1"/>
  <c r="W578" i="70" s="1"/>
  <c r="AC297" i="70"/>
  <c r="AD297" i="70" s="1"/>
  <c r="A578" i="70"/>
  <c r="F577" i="70"/>
  <c r="G577" i="70" s="1"/>
  <c r="E578" i="70" s="1"/>
  <c r="I298" i="70"/>
  <c r="Q578" i="70" l="1"/>
  <c r="R578" i="70" s="1"/>
  <c r="S578" i="70" s="1"/>
  <c r="N578" i="70"/>
  <c r="O578" i="70" s="1"/>
  <c r="P578" i="70" s="1"/>
  <c r="K577" i="70"/>
  <c r="L577" i="70" s="1"/>
  <c r="M577" i="70" s="1"/>
  <c r="B577" i="70"/>
  <c r="C577" i="70" s="1"/>
  <c r="D577" i="70" s="1"/>
  <c r="A579" i="70"/>
  <c r="X578" i="70"/>
  <c r="V579" i="70" s="1"/>
  <c r="W579" i="70" s="1"/>
  <c r="X579" i="70" s="1"/>
  <c r="V580" i="70" s="1"/>
  <c r="F578" i="70"/>
  <c r="G578" i="70" s="1"/>
  <c r="E579" i="70" s="1"/>
  <c r="J298" i="70"/>
  <c r="H299" i="70" s="1"/>
  <c r="Q579" i="70" l="1"/>
  <c r="R579" i="70" s="1"/>
  <c r="S579" i="70" s="1"/>
  <c r="N579" i="70"/>
  <c r="O579" i="70" s="1"/>
  <c r="P579" i="70" s="1"/>
  <c r="K578" i="70"/>
  <c r="L578" i="70" s="1"/>
  <c r="M578" i="70" s="1"/>
  <c r="B578" i="70"/>
  <c r="C578" i="70" s="1"/>
  <c r="D578" i="70" s="1"/>
  <c r="A580" i="70"/>
  <c r="AC298" i="70"/>
  <c r="AD298" i="70" s="1"/>
  <c r="F579" i="70"/>
  <c r="G579" i="70" s="1"/>
  <c r="E580" i="70" s="1"/>
  <c r="I299" i="70"/>
  <c r="W580" i="70"/>
  <c r="Q580" i="70" l="1"/>
  <c r="R580" i="70" s="1"/>
  <c r="S580" i="70" s="1"/>
  <c r="N580" i="70"/>
  <c r="O580" i="70" s="1"/>
  <c r="P580" i="70" s="1"/>
  <c r="K579" i="70"/>
  <c r="L579" i="70" s="1"/>
  <c r="M579" i="70" s="1"/>
  <c r="B579" i="70"/>
  <c r="C579" i="70" s="1"/>
  <c r="D579" i="70" s="1"/>
  <c r="X580" i="70"/>
  <c r="V581" i="70" s="1"/>
  <c r="W581" i="70" s="1"/>
  <c r="A581" i="70"/>
  <c r="F580" i="70"/>
  <c r="G580" i="70" s="1"/>
  <c r="E581" i="70" s="1"/>
  <c r="J299" i="70"/>
  <c r="H300" i="70" s="1"/>
  <c r="Q581" i="70" l="1"/>
  <c r="R581" i="70" s="1"/>
  <c r="S581" i="70" s="1"/>
  <c r="N581" i="70"/>
  <c r="O581" i="70" s="1"/>
  <c r="P581" i="70" s="1"/>
  <c r="K580" i="70"/>
  <c r="L580" i="70" s="1"/>
  <c r="M580" i="70" s="1"/>
  <c r="X581" i="70"/>
  <c r="V582" i="70" s="1"/>
  <c r="W582" i="70" s="1"/>
  <c r="B580" i="70"/>
  <c r="C580" i="70" s="1"/>
  <c r="D580" i="70" s="1"/>
  <c r="A582" i="70"/>
  <c r="AC299" i="70"/>
  <c r="AD299" i="70" s="1"/>
  <c r="F581" i="70"/>
  <c r="G581" i="70" s="1"/>
  <c r="E582" i="70" s="1"/>
  <c r="I300" i="70"/>
  <c r="Q582" i="70" l="1"/>
  <c r="R582" i="70" s="1"/>
  <c r="S582" i="70" s="1"/>
  <c r="N582" i="70"/>
  <c r="O582" i="70" s="1"/>
  <c r="P582" i="70" s="1"/>
  <c r="K581" i="70"/>
  <c r="L581" i="70" s="1"/>
  <c r="M581" i="70" s="1"/>
  <c r="B581" i="70"/>
  <c r="C581" i="70" s="1"/>
  <c r="D581" i="70" s="1"/>
  <c r="A583" i="70"/>
  <c r="X582" i="70"/>
  <c r="V583" i="70" s="1"/>
  <c r="W583" i="70" s="1"/>
  <c r="X583" i="70" s="1"/>
  <c r="V584" i="70" s="1"/>
  <c r="F582" i="70"/>
  <c r="G582" i="70" s="1"/>
  <c r="E583" i="70" s="1"/>
  <c r="J300" i="70"/>
  <c r="H301" i="70" s="1"/>
  <c r="Q583" i="70" l="1"/>
  <c r="R583" i="70" s="1"/>
  <c r="S583" i="70" s="1"/>
  <c r="N583" i="70"/>
  <c r="O583" i="70" s="1"/>
  <c r="P583" i="70" s="1"/>
  <c r="K582" i="70"/>
  <c r="L582" i="70" s="1"/>
  <c r="M582" i="70" s="1"/>
  <c r="B582" i="70"/>
  <c r="C582" i="70" s="1"/>
  <c r="D582" i="70" s="1"/>
  <c r="AC300" i="70"/>
  <c r="AD300" i="70" s="1"/>
  <c r="A584" i="70"/>
  <c r="F583" i="70"/>
  <c r="G583" i="70" s="1"/>
  <c r="E584" i="70" s="1"/>
  <c r="I301" i="70"/>
  <c r="W584" i="70"/>
  <c r="Q584" i="70" l="1"/>
  <c r="R584" i="70" s="1"/>
  <c r="S584" i="70" s="1"/>
  <c r="N584" i="70"/>
  <c r="O584" i="70" s="1"/>
  <c r="P584" i="70" s="1"/>
  <c r="K583" i="70"/>
  <c r="L583" i="70" s="1"/>
  <c r="M583" i="70" s="1"/>
  <c r="B583" i="70"/>
  <c r="C583" i="70" s="1"/>
  <c r="D583" i="70" s="1"/>
  <c r="A585" i="70"/>
  <c r="X584" i="70"/>
  <c r="V585" i="70" s="1"/>
  <c r="W585" i="70" s="1"/>
  <c r="F584" i="70"/>
  <c r="G584" i="70" s="1"/>
  <c r="E585" i="70" s="1"/>
  <c r="J301" i="70"/>
  <c r="H302" i="70" s="1"/>
  <c r="Q585" i="70" l="1"/>
  <c r="R585" i="70" s="1"/>
  <c r="S585" i="70" s="1"/>
  <c r="N585" i="70"/>
  <c r="O585" i="70" s="1"/>
  <c r="P585" i="70" s="1"/>
  <c r="K584" i="70"/>
  <c r="L584" i="70" s="1"/>
  <c r="M584" i="70" s="1"/>
  <c r="B584" i="70"/>
  <c r="C584" i="70" s="1"/>
  <c r="D584" i="70" s="1"/>
  <c r="X585" i="70"/>
  <c r="V586" i="70" s="1"/>
  <c r="W586" i="70" s="1"/>
  <c r="A586" i="70"/>
  <c r="AC301" i="70"/>
  <c r="AD301" i="70" s="1"/>
  <c r="F585" i="70"/>
  <c r="G585" i="70" s="1"/>
  <c r="E586" i="70" s="1"/>
  <c r="I302" i="70"/>
  <c r="Q586" i="70" l="1"/>
  <c r="R586" i="70" s="1"/>
  <c r="S586" i="70" s="1"/>
  <c r="N586" i="70"/>
  <c r="O586" i="70" s="1"/>
  <c r="P586" i="70" s="1"/>
  <c r="K585" i="70"/>
  <c r="L585" i="70" s="1"/>
  <c r="M585" i="70" s="1"/>
  <c r="B585" i="70"/>
  <c r="C585" i="70" s="1"/>
  <c r="D585" i="70" s="1"/>
  <c r="A587" i="70"/>
  <c r="X586" i="70"/>
  <c r="V587" i="70" s="1"/>
  <c r="W587" i="70" s="1"/>
  <c r="F586" i="70"/>
  <c r="G586" i="70" s="1"/>
  <c r="E587" i="70" s="1"/>
  <c r="J302" i="70"/>
  <c r="H303" i="70" s="1"/>
  <c r="X587" i="70" l="1"/>
  <c r="V588" i="70" s="1"/>
  <c r="W588" i="70" s="1"/>
  <c r="Q587" i="70"/>
  <c r="R587" i="70" s="1"/>
  <c r="S587" i="70" s="1"/>
  <c r="N587" i="70"/>
  <c r="O587" i="70" s="1"/>
  <c r="P587" i="70" s="1"/>
  <c r="K586" i="70"/>
  <c r="L586" i="70" s="1"/>
  <c r="M586" i="70" s="1"/>
  <c r="B586" i="70"/>
  <c r="C586" i="70" s="1"/>
  <c r="D586" i="70" s="1"/>
  <c r="AC302" i="70"/>
  <c r="AD302" i="70" s="1"/>
  <c r="A588" i="70"/>
  <c r="F587" i="70"/>
  <c r="G587" i="70" s="1"/>
  <c r="E588" i="70" s="1"/>
  <c r="I303" i="70"/>
  <c r="Q588" i="70" l="1"/>
  <c r="R588" i="70" s="1"/>
  <c r="S588" i="70" s="1"/>
  <c r="N588" i="70"/>
  <c r="O588" i="70" s="1"/>
  <c r="P588" i="70" s="1"/>
  <c r="K587" i="70"/>
  <c r="L587" i="70" s="1"/>
  <c r="M587" i="70" s="1"/>
  <c r="B587" i="70"/>
  <c r="C587" i="70" s="1"/>
  <c r="D587" i="70" s="1"/>
  <c r="A589" i="70"/>
  <c r="X588" i="70"/>
  <c r="V589" i="70" s="1"/>
  <c r="W589" i="70" s="1"/>
  <c r="F588" i="70"/>
  <c r="G588" i="70" s="1"/>
  <c r="E589" i="70" s="1"/>
  <c r="J303" i="70"/>
  <c r="H304" i="70" s="1"/>
  <c r="Q589" i="70" l="1"/>
  <c r="R589" i="70" s="1"/>
  <c r="S589" i="70" s="1"/>
  <c r="N589" i="70"/>
  <c r="O589" i="70" s="1"/>
  <c r="P589" i="70" s="1"/>
  <c r="K588" i="70"/>
  <c r="L588" i="70" s="1"/>
  <c r="M588" i="70" s="1"/>
  <c r="AC303" i="70"/>
  <c r="AD303" i="70" s="1"/>
  <c r="B588" i="70"/>
  <c r="C588" i="70" s="1"/>
  <c r="D588" i="70" s="1"/>
  <c r="X589" i="70"/>
  <c r="V590" i="70" s="1"/>
  <c r="W590" i="70" s="1"/>
  <c r="A590" i="70"/>
  <c r="F589" i="70"/>
  <c r="G589" i="70" s="1"/>
  <c r="E590" i="70" s="1"/>
  <c r="I304" i="70"/>
  <c r="J304" i="70" s="1"/>
  <c r="H305" i="70" s="1"/>
  <c r="Q590" i="70" l="1"/>
  <c r="R590" i="70" s="1"/>
  <c r="S590" i="70" s="1"/>
  <c r="N590" i="70"/>
  <c r="O590" i="70" s="1"/>
  <c r="P590" i="70" s="1"/>
  <c r="K589" i="70"/>
  <c r="L589" i="70" s="1"/>
  <c r="M589" i="70" s="1"/>
  <c r="B589" i="70"/>
  <c r="C589" i="70" s="1"/>
  <c r="D589" i="70" s="1"/>
  <c r="AC304" i="70"/>
  <c r="AD304" i="70" s="1"/>
  <c r="X590" i="70"/>
  <c r="V591" i="70" s="1"/>
  <c r="W591" i="70" s="1"/>
  <c r="A591" i="70"/>
  <c r="F590" i="70"/>
  <c r="G590" i="70" s="1"/>
  <c r="E591" i="70" s="1"/>
  <c r="I305" i="70"/>
  <c r="J305" i="70" s="1"/>
  <c r="H306" i="70" s="1"/>
  <c r="Q591" i="70" l="1"/>
  <c r="R591" i="70" s="1"/>
  <c r="S591" i="70" s="1"/>
  <c r="N591" i="70"/>
  <c r="O591" i="70" s="1"/>
  <c r="P591" i="70" s="1"/>
  <c r="K590" i="70"/>
  <c r="L590" i="70" s="1"/>
  <c r="M590" i="70" s="1"/>
  <c r="B590" i="70"/>
  <c r="C590" i="70" s="1"/>
  <c r="D590" i="70" s="1"/>
  <c r="AC305" i="70"/>
  <c r="AD305" i="70" s="1"/>
  <c r="X591" i="70"/>
  <c r="V592" i="70" s="1"/>
  <c r="W592" i="70" s="1"/>
  <c r="A592" i="70"/>
  <c r="F591" i="70"/>
  <c r="G591" i="70" s="1"/>
  <c r="E592" i="70" s="1"/>
  <c r="I306" i="70"/>
  <c r="J306" i="70" s="1"/>
  <c r="H307" i="70" s="1"/>
  <c r="Q592" i="70" l="1"/>
  <c r="R592" i="70" s="1"/>
  <c r="S592" i="70" s="1"/>
  <c r="N592" i="70"/>
  <c r="O592" i="70" s="1"/>
  <c r="P592" i="70" s="1"/>
  <c r="K591" i="70"/>
  <c r="L591" i="70" s="1"/>
  <c r="M591" i="70" s="1"/>
  <c r="B591" i="70"/>
  <c r="C591" i="70" s="1"/>
  <c r="D591" i="70" s="1"/>
  <c r="AC306" i="70"/>
  <c r="AD306" i="70" s="1"/>
  <c r="X592" i="70"/>
  <c r="V593" i="70" s="1"/>
  <c r="W593" i="70" s="1"/>
  <c r="A593" i="70"/>
  <c r="F592" i="70"/>
  <c r="G592" i="70" s="1"/>
  <c r="E593" i="70" s="1"/>
  <c r="I307" i="70"/>
  <c r="J307" i="70" s="1"/>
  <c r="H308" i="70" s="1"/>
  <c r="Q593" i="70" l="1"/>
  <c r="R593" i="70" s="1"/>
  <c r="S593" i="70" s="1"/>
  <c r="N593" i="70"/>
  <c r="O593" i="70" s="1"/>
  <c r="P593" i="70" s="1"/>
  <c r="K592" i="70"/>
  <c r="L592" i="70" s="1"/>
  <c r="M592" i="70" s="1"/>
  <c r="B592" i="70"/>
  <c r="C592" i="70" s="1"/>
  <c r="D592" i="70" s="1"/>
  <c r="AC307" i="70"/>
  <c r="AD307" i="70" s="1"/>
  <c r="A594" i="70"/>
  <c r="X593" i="70"/>
  <c r="V594" i="70" s="1"/>
  <c r="W594" i="70" s="1"/>
  <c r="F593" i="70"/>
  <c r="G593" i="70" s="1"/>
  <c r="E594" i="70" s="1"/>
  <c r="I308" i="70"/>
  <c r="J308" i="70" s="1"/>
  <c r="H309" i="70" s="1"/>
  <c r="Q594" i="70" l="1"/>
  <c r="R594" i="70" s="1"/>
  <c r="S594" i="70" s="1"/>
  <c r="N594" i="70"/>
  <c r="O594" i="70" s="1"/>
  <c r="P594" i="70" s="1"/>
  <c r="K593" i="70"/>
  <c r="L593" i="70" s="1"/>
  <c r="M593" i="70" s="1"/>
  <c r="B593" i="70"/>
  <c r="C593" i="70" s="1"/>
  <c r="D593" i="70" s="1"/>
  <c r="AC308" i="70"/>
  <c r="AD308" i="70" s="1"/>
  <c r="X594" i="70"/>
  <c r="V595" i="70" s="1"/>
  <c r="W595" i="70" s="1"/>
  <c r="A595" i="70"/>
  <c r="F594" i="70"/>
  <c r="G594" i="70" s="1"/>
  <c r="E595" i="70" s="1"/>
  <c r="I309" i="70"/>
  <c r="J309" i="70" s="1"/>
  <c r="H310" i="70" s="1"/>
  <c r="Q595" i="70" l="1"/>
  <c r="R595" i="70" s="1"/>
  <c r="S595" i="70" s="1"/>
  <c r="N595" i="70"/>
  <c r="O595" i="70" s="1"/>
  <c r="P595" i="70" s="1"/>
  <c r="K594" i="70"/>
  <c r="L594" i="70" s="1"/>
  <c r="M594" i="70" s="1"/>
  <c r="X595" i="70"/>
  <c r="V596" i="70" s="1"/>
  <c r="W596" i="70" s="1"/>
  <c r="AC309" i="70"/>
  <c r="AD309" i="70" s="1"/>
  <c r="B594" i="70"/>
  <c r="C594" i="70" s="1"/>
  <c r="D594" i="70" s="1"/>
  <c r="A596" i="70"/>
  <c r="F595" i="70"/>
  <c r="G595" i="70" s="1"/>
  <c r="E596" i="70" s="1"/>
  <c r="I310" i="70"/>
  <c r="J310" i="70" s="1"/>
  <c r="H311" i="70" s="1"/>
  <c r="Q596" i="70" l="1"/>
  <c r="R596" i="70" s="1"/>
  <c r="S596" i="70" s="1"/>
  <c r="N596" i="70"/>
  <c r="O596" i="70" s="1"/>
  <c r="P596" i="70" s="1"/>
  <c r="K595" i="70"/>
  <c r="L595" i="70" s="1"/>
  <c r="M595" i="70" s="1"/>
  <c r="B595" i="70"/>
  <c r="C595" i="70" s="1"/>
  <c r="D595" i="70" s="1"/>
  <c r="AC310" i="70"/>
  <c r="AD310" i="70" s="1"/>
  <c r="X596" i="70"/>
  <c r="V597" i="70" s="1"/>
  <c r="W597" i="70" s="1"/>
  <c r="A597" i="70"/>
  <c r="F596" i="70"/>
  <c r="G596" i="70" s="1"/>
  <c r="E597" i="70" s="1"/>
  <c r="I311" i="70"/>
  <c r="J311" i="70" s="1"/>
  <c r="H312" i="70" s="1"/>
  <c r="Q597" i="70" l="1"/>
  <c r="R597" i="70" s="1"/>
  <c r="S597" i="70" s="1"/>
  <c r="N597" i="70"/>
  <c r="O597" i="70" s="1"/>
  <c r="P597" i="70" s="1"/>
  <c r="K596" i="70"/>
  <c r="L596" i="70" s="1"/>
  <c r="M596" i="70" s="1"/>
  <c r="B596" i="70"/>
  <c r="C596" i="70" s="1"/>
  <c r="D596" i="70" s="1"/>
  <c r="AC311" i="70"/>
  <c r="AD311" i="70" s="1"/>
  <c r="X597" i="70"/>
  <c r="V598" i="70" s="1"/>
  <c r="W598" i="70" s="1"/>
  <c r="A598" i="70"/>
  <c r="F597" i="70"/>
  <c r="G597" i="70" s="1"/>
  <c r="E598" i="70" s="1"/>
  <c r="I312" i="70"/>
  <c r="J312" i="70" s="1"/>
  <c r="H313" i="70" s="1"/>
  <c r="Q598" i="70" l="1"/>
  <c r="R598" i="70" s="1"/>
  <c r="S598" i="70" s="1"/>
  <c r="N598" i="70"/>
  <c r="O598" i="70" s="1"/>
  <c r="P598" i="70" s="1"/>
  <c r="K597" i="70"/>
  <c r="L597" i="70" s="1"/>
  <c r="M597" i="70" s="1"/>
  <c r="B597" i="70"/>
  <c r="C597" i="70" s="1"/>
  <c r="D597" i="70" s="1"/>
  <c r="AC312" i="70"/>
  <c r="AD312" i="70" s="1"/>
  <c r="X598" i="70"/>
  <c r="V599" i="70" s="1"/>
  <c r="W599" i="70" s="1"/>
  <c r="A599" i="70"/>
  <c r="F598" i="70"/>
  <c r="G598" i="70" s="1"/>
  <c r="E599" i="70" s="1"/>
  <c r="I313" i="70"/>
  <c r="J313" i="70" s="1"/>
  <c r="H314" i="70" s="1"/>
  <c r="Q599" i="70" l="1"/>
  <c r="R599" i="70" s="1"/>
  <c r="S599" i="70" s="1"/>
  <c r="N599" i="70"/>
  <c r="O599" i="70" s="1"/>
  <c r="P599" i="70" s="1"/>
  <c r="K598" i="70"/>
  <c r="L598" i="70" s="1"/>
  <c r="M598" i="70" s="1"/>
  <c r="X599" i="70"/>
  <c r="V600" i="70" s="1"/>
  <c r="W600" i="70" s="1"/>
  <c r="AC313" i="70"/>
  <c r="AD313" i="70" s="1"/>
  <c r="B598" i="70"/>
  <c r="C598" i="70" s="1"/>
  <c r="D598" i="70" s="1"/>
  <c r="A600" i="70"/>
  <c r="F599" i="70"/>
  <c r="G599" i="70" s="1"/>
  <c r="E600" i="70" s="1"/>
  <c r="I314" i="70"/>
  <c r="J314" i="70" s="1"/>
  <c r="H315" i="70" s="1"/>
  <c r="Q600" i="70" l="1"/>
  <c r="R600" i="70" s="1"/>
  <c r="S600" i="70" s="1"/>
  <c r="N600" i="70"/>
  <c r="O600" i="70" s="1"/>
  <c r="P600" i="70" s="1"/>
  <c r="K599" i="70"/>
  <c r="L599" i="70" s="1"/>
  <c r="M599" i="70" s="1"/>
  <c r="B599" i="70"/>
  <c r="C599" i="70" s="1"/>
  <c r="D599" i="70" s="1"/>
  <c r="AC314" i="70"/>
  <c r="AD314" i="70" s="1"/>
  <c r="X600" i="70"/>
  <c r="V601" i="70" s="1"/>
  <c r="W601" i="70" s="1"/>
  <c r="A601" i="70"/>
  <c r="F600" i="70"/>
  <c r="G600" i="70" s="1"/>
  <c r="E601" i="70" s="1"/>
  <c r="I315" i="70"/>
  <c r="J315" i="70" s="1"/>
  <c r="H316" i="70" s="1"/>
  <c r="Q601" i="70" l="1"/>
  <c r="R601" i="70" s="1"/>
  <c r="S601" i="70" s="1"/>
  <c r="Q602" i="70" s="1"/>
  <c r="N601" i="70"/>
  <c r="O601" i="70" s="1"/>
  <c r="P601" i="70" s="1"/>
  <c r="N602" i="70" s="1"/>
  <c r="K600" i="70"/>
  <c r="L600" i="70" s="1"/>
  <c r="M600" i="70" s="1"/>
  <c r="AC315" i="70"/>
  <c r="AD315" i="70" s="1"/>
  <c r="B600" i="70"/>
  <c r="C600" i="70" s="1"/>
  <c r="D600" i="70" s="1"/>
  <c r="X601" i="70"/>
  <c r="V602" i="70" s="1"/>
  <c r="W602" i="70" s="1"/>
  <c r="A602" i="70"/>
  <c r="F601" i="70"/>
  <c r="G601" i="70" s="1"/>
  <c r="E602" i="70" s="1"/>
  <c r="I316" i="70"/>
  <c r="J316" i="70" s="1"/>
  <c r="H317" i="70" s="1"/>
  <c r="K601" i="70" l="1"/>
  <c r="L601" i="70" s="1"/>
  <c r="M601" i="70" s="1"/>
  <c r="K602" i="70" s="1"/>
  <c r="R602" i="70"/>
  <c r="S602" i="70" s="1"/>
  <c r="S603" i="70" s="1"/>
  <c r="Q47" i="10" s="1"/>
  <c r="AO45" i="70" s="1"/>
  <c r="O602" i="70"/>
  <c r="P602" i="70" s="1"/>
  <c r="P603" i="70" s="1"/>
  <c r="B601" i="70"/>
  <c r="C601" i="70" s="1"/>
  <c r="D601" i="70" s="1"/>
  <c r="AC316" i="70"/>
  <c r="AD316" i="70" s="1"/>
  <c r="X602" i="70"/>
  <c r="I317" i="70"/>
  <c r="J317" i="70" s="1"/>
  <c r="H318" i="70" s="1"/>
  <c r="P604" i="70" l="1"/>
  <c r="L602" i="70"/>
  <c r="M602" i="70" s="1"/>
  <c r="M603" i="70" s="1"/>
  <c r="F602" i="70"/>
  <c r="G602" i="70" s="1"/>
  <c r="G603" i="70" s="1"/>
  <c r="Q22" i="10"/>
  <c r="B602" i="70"/>
  <c r="AC317" i="70"/>
  <c r="AD317" i="70" s="1"/>
  <c r="I318" i="70"/>
  <c r="J318" i="70" s="1"/>
  <c r="H319" i="70" s="1"/>
  <c r="C602" i="70" l="1"/>
  <c r="D602" i="70" s="1"/>
  <c r="D603" i="70" s="1"/>
  <c r="AC318" i="70"/>
  <c r="AD318" i="70" s="1"/>
  <c r="I319" i="70"/>
  <c r="J319" i="70" s="1"/>
  <c r="H320" i="70" s="1"/>
  <c r="AC319" i="70" l="1"/>
  <c r="AD319" i="70" s="1"/>
  <c r="I320" i="70"/>
  <c r="J320" i="70" s="1"/>
  <c r="H321" i="70" s="1"/>
  <c r="AC320" i="70" l="1"/>
  <c r="AD320" i="70" s="1"/>
  <c r="I321" i="70"/>
  <c r="J321" i="70" s="1"/>
  <c r="H322" i="70" s="1"/>
  <c r="AC321" i="70" l="1"/>
  <c r="AD321" i="70" s="1"/>
  <c r="I322" i="70"/>
  <c r="J322" i="70" s="1"/>
  <c r="H323" i="70" s="1"/>
  <c r="AC322" i="70" l="1"/>
  <c r="AD322" i="70" s="1"/>
  <c r="I323" i="70"/>
  <c r="J323" i="70" s="1"/>
  <c r="H324" i="70" s="1"/>
  <c r="AC323" i="70" l="1"/>
  <c r="AD323" i="70" s="1"/>
  <c r="I324" i="70"/>
  <c r="J324" i="70" s="1"/>
  <c r="H325" i="70" s="1"/>
  <c r="AC324" i="70" l="1"/>
  <c r="AD324" i="70" s="1"/>
  <c r="I325" i="70"/>
  <c r="J325" i="70" s="1"/>
  <c r="H326" i="70" s="1"/>
  <c r="AC325" i="70" l="1"/>
  <c r="AD325" i="70" s="1"/>
  <c r="I326" i="70"/>
  <c r="J326" i="70" s="1"/>
  <c r="H327" i="70" s="1"/>
  <c r="AC326" i="70" l="1"/>
  <c r="AD326" i="70" s="1"/>
  <c r="I327" i="70"/>
  <c r="J327" i="70" s="1"/>
  <c r="H328" i="70" s="1"/>
  <c r="AC327" i="70" l="1"/>
  <c r="AD327" i="70" s="1"/>
  <c r="I328" i="70"/>
  <c r="J328" i="70" s="1"/>
  <c r="H329" i="70" s="1"/>
  <c r="AC328" i="70" l="1"/>
  <c r="AD328" i="70" s="1"/>
  <c r="I329" i="70"/>
  <c r="J329" i="70" s="1"/>
  <c r="H330" i="70" s="1"/>
  <c r="AC329" i="70" l="1"/>
  <c r="AD329" i="70" s="1"/>
  <c r="I330" i="70"/>
  <c r="J330" i="70" s="1"/>
  <c r="H331" i="70" s="1"/>
  <c r="AC330" i="70" l="1"/>
  <c r="AD330" i="70" s="1"/>
  <c r="I331" i="70"/>
  <c r="J331" i="70" s="1"/>
  <c r="H332" i="70" s="1"/>
  <c r="AC331" i="70" l="1"/>
  <c r="AD331" i="70" s="1"/>
  <c r="I332" i="70"/>
  <c r="J332" i="70" s="1"/>
  <c r="H333" i="70" s="1"/>
  <c r="AC332" i="70" l="1"/>
  <c r="AD332" i="70" s="1"/>
  <c r="I333" i="70"/>
  <c r="J333" i="70" s="1"/>
  <c r="H334" i="70" s="1"/>
  <c r="AC333" i="70" l="1"/>
  <c r="AD333" i="70" s="1"/>
  <c r="I334" i="70"/>
  <c r="J334" i="70" s="1"/>
  <c r="H335" i="70" s="1"/>
  <c r="AC334" i="70" l="1"/>
  <c r="AD334" i="70" s="1"/>
  <c r="I335" i="70"/>
  <c r="J335" i="70" s="1"/>
  <c r="H336" i="70" s="1"/>
  <c r="AC335" i="70" l="1"/>
  <c r="AD335" i="70" s="1"/>
  <c r="I336" i="70"/>
  <c r="J336" i="70" s="1"/>
  <c r="H337" i="70" s="1"/>
  <c r="AC336" i="70" l="1"/>
  <c r="AD336" i="70" s="1"/>
  <c r="I337" i="70"/>
  <c r="J337" i="70" s="1"/>
  <c r="H338" i="70" s="1"/>
  <c r="AC337" i="70" l="1"/>
  <c r="AD337" i="70" s="1"/>
  <c r="I338" i="70"/>
  <c r="J338" i="70" s="1"/>
  <c r="H339" i="70" s="1"/>
  <c r="AC338" i="70" l="1"/>
  <c r="AD338" i="70" s="1"/>
  <c r="I339" i="70"/>
  <c r="J339" i="70" s="1"/>
  <c r="H340" i="70" s="1"/>
  <c r="AC339" i="70" l="1"/>
  <c r="AD339" i="70" s="1"/>
  <c r="I340" i="70"/>
  <c r="J340" i="70" s="1"/>
  <c r="H341" i="70" s="1"/>
  <c r="AC340" i="70" l="1"/>
  <c r="AD340" i="70" s="1"/>
  <c r="I341" i="70"/>
  <c r="J341" i="70" s="1"/>
  <c r="H342" i="70" s="1"/>
  <c r="AC341" i="70" l="1"/>
  <c r="AD341" i="70" s="1"/>
  <c r="I342" i="70"/>
  <c r="J342" i="70" s="1"/>
  <c r="H343" i="70" s="1"/>
  <c r="AC342" i="70" l="1"/>
  <c r="AD342" i="70" s="1"/>
  <c r="I343" i="70"/>
  <c r="J343" i="70" s="1"/>
  <c r="H344" i="70" s="1"/>
  <c r="AC343" i="70" l="1"/>
  <c r="AD343" i="70" s="1"/>
  <c r="I344" i="70"/>
  <c r="J344" i="70" s="1"/>
  <c r="H345" i="70" s="1"/>
  <c r="AC344" i="70" l="1"/>
  <c r="AD344" i="70" s="1"/>
  <c r="I345" i="70"/>
  <c r="J345" i="70" s="1"/>
  <c r="H346" i="70" s="1"/>
  <c r="AC345" i="70" l="1"/>
  <c r="AD345" i="70" s="1"/>
  <c r="I346" i="70"/>
  <c r="J346" i="70" s="1"/>
  <c r="H347" i="70" s="1"/>
  <c r="AC346" i="70" l="1"/>
  <c r="AD346" i="70" s="1"/>
  <c r="I347" i="70"/>
  <c r="J347" i="70" s="1"/>
  <c r="H348" i="70" s="1"/>
  <c r="AC347" i="70" l="1"/>
  <c r="AD347" i="70" s="1"/>
  <c r="I348" i="70"/>
  <c r="J348" i="70" s="1"/>
  <c r="H349" i="70" s="1"/>
  <c r="AC348" i="70" l="1"/>
  <c r="AD348" i="70" s="1"/>
  <c r="I349" i="70"/>
  <c r="J349" i="70" s="1"/>
  <c r="H350" i="70" s="1"/>
  <c r="AC349" i="70" l="1"/>
  <c r="AD349" i="70" s="1"/>
  <c r="I350" i="70"/>
  <c r="J350" i="70" s="1"/>
  <c r="H351" i="70" s="1"/>
  <c r="AC350" i="70" l="1"/>
  <c r="AD350" i="70" s="1"/>
  <c r="I351" i="70"/>
  <c r="J351" i="70" s="1"/>
  <c r="H352" i="70" s="1"/>
  <c r="AC351" i="70" l="1"/>
  <c r="AD351" i="70" s="1"/>
  <c r="I352" i="70"/>
  <c r="J352" i="70" s="1"/>
  <c r="H353" i="70" s="1"/>
  <c r="AC352" i="70" l="1"/>
  <c r="AD352" i="70" s="1"/>
  <c r="I353" i="70"/>
  <c r="J353" i="70" s="1"/>
  <c r="H354" i="70" s="1"/>
  <c r="AC353" i="70" l="1"/>
  <c r="AD353" i="70" s="1"/>
  <c r="I354" i="70"/>
  <c r="J354" i="70" s="1"/>
  <c r="H355" i="70" s="1"/>
  <c r="AC354" i="70" l="1"/>
  <c r="AD354" i="70" s="1"/>
  <c r="I355" i="70"/>
  <c r="J355" i="70" s="1"/>
  <c r="H356" i="70" s="1"/>
  <c r="AC355" i="70" l="1"/>
  <c r="AD355" i="70" s="1"/>
  <c r="I356" i="70"/>
  <c r="J356" i="70" s="1"/>
  <c r="H357" i="70" s="1"/>
  <c r="AC356" i="70" l="1"/>
  <c r="AD356" i="70" s="1"/>
  <c r="I357" i="70"/>
  <c r="J357" i="70" s="1"/>
  <c r="H358" i="70" s="1"/>
  <c r="AC357" i="70" l="1"/>
  <c r="AD357" i="70" s="1"/>
  <c r="I358" i="70"/>
  <c r="J358" i="70" s="1"/>
  <c r="H359" i="70" s="1"/>
  <c r="AC358" i="70" l="1"/>
  <c r="AD358" i="70" s="1"/>
  <c r="I359" i="70"/>
  <c r="J359" i="70" s="1"/>
  <c r="H360" i="70" s="1"/>
  <c r="AC359" i="70" l="1"/>
  <c r="AD359" i="70" s="1"/>
  <c r="I360" i="70"/>
  <c r="J360" i="70" s="1"/>
  <c r="H361" i="70" s="1"/>
  <c r="AC360" i="70" l="1"/>
  <c r="AD360" i="70" s="1"/>
  <c r="I361" i="70"/>
  <c r="J361" i="70" s="1"/>
  <c r="H362" i="70" s="1"/>
  <c r="AC361" i="70" l="1"/>
  <c r="AD361" i="70" s="1"/>
  <c r="I362" i="70"/>
  <c r="J362" i="70" s="1"/>
  <c r="H363" i="70" s="1"/>
  <c r="AC362" i="70" l="1"/>
  <c r="AD362" i="70" s="1"/>
  <c r="I363" i="70"/>
  <c r="J363" i="70" s="1"/>
  <c r="H364" i="70" s="1"/>
  <c r="AC363" i="70" l="1"/>
  <c r="AD363" i="70" s="1"/>
  <c r="I364" i="70"/>
  <c r="J364" i="70" s="1"/>
  <c r="H365" i="70" s="1"/>
  <c r="AC364" i="70" l="1"/>
  <c r="AD364" i="70" s="1"/>
  <c r="I365" i="70"/>
  <c r="J365" i="70" s="1"/>
  <c r="H366" i="70" s="1"/>
  <c r="AC365" i="70" l="1"/>
  <c r="AD365" i="70" s="1"/>
  <c r="I366" i="70"/>
  <c r="J366" i="70" s="1"/>
  <c r="H367" i="70" s="1"/>
  <c r="AC366" i="70" l="1"/>
  <c r="AD366" i="70" s="1"/>
  <c r="I367" i="70"/>
  <c r="J367" i="70" s="1"/>
  <c r="H368" i="70" s="1"/>
  <c r="AC367" i="70" l="1"/>
  <c r="AD367" i="70" s="1"/>
  <c r="I368" i="70"/>
  <c r="J368" i="70" s="1"/>
  <c r="H369" i="70" s="1"/>
  <c r="AC368" i="70" l="1"/>
  <c r="AD368" i="70" s="1"/>
  <c r="I369" i="70"/>
  <c r="J369" i="70" s="1"/>
  <c r="H370" i="70" s="1"/>
  <c r="AC369" i="70" l="1"/>
  <c r="AD369" i="70" s="1"/>
  <c r="I370" i="70"/>
  <c r="J370" i="70" s="1"/>
  <c r="H371" i="70" s="1"/>
  <c r="AC370" i="70" l="1"/>
  <c r="AD370" i="70" s="1"/>
  <c r="I371" i="70"/>
  <c r="J371" i="70" s="1"/>
  <c r="H372" i="70" s="1"/>
  <c r="AC371" i="70" l="1"/>
  <c r="AD371" i="70" s="1"/>
  <c r="I372" i="70"/>
  <c r="J372" i="70" s="1"/>
  <c r="H373" i="70" s="1"/>
  <c r="AC372" i="70" l="1"/>
  <c r="AD372" i="70" s="1"/>
  <c r="I373" i="70"/>
  <c r="J373" i="70" s="1"/>
  <c r="H374" i="70" s="1"/>
  <c r="AC373" i="70" l="1"/>
  <c r="AD373" i="70" s="1"/>
  <c r="I374" i="70"/>
  <c r="J374" i="70" s="1"/>
  <c r="H375" i="70" s="1"/>
  <c r="AC374" i="70" l="1"/>
  <c r="AD374" i="70" s="1"/>
  <c r="I375" i="70"/>
  <c r="J375" i="70" s="1"/>
  <c r="H376" i="70" s="1"/>
  <c r="AC375" i="70" l="1"/>
  <c r="AD375" i="70" s="1"/>
  <c r="I376" i="70"/>
  <c r="J376" i="70" s="1"/>
  <c r="H377" i="70" s="1"/>
  <c r="AC376" i="70" l="1"/>
  <c r="AD376" i="70" s="1"/>
  <c r="I377" i="70"/>
  <c r="J377" i="70" s="1"/>
  <c r="H378" i="70" s="1"/>
  <c r="AC377" i="70" l="1"/>
  <c r="AD377" i="70" s="1"/>
  <c r="I378" i="70"/>
  <c r="J378" i="70" s="1"/>
  <c r="H379" i="70" s="1"/>
  <c r="AC378" i="70" l="1"/>
  <c r="AD378" i="70" s="1"/>
  <c r="I379" i="70"/>
  <c r="J379" i="70" s="1"/>
  <c r="H380" i="70" s="1"/>
  <c r="AC379" i="70" l="1"/>
  <c r="AD379" i="70" s="1"/>
  <c r="I380" i="70"/>
  <c r="J380" i="70" s="1"/>
  <c r="H381" i="70" s="1"/>
  <c r="AC380" i="70" l="1"/>
  <c r="AD380" i="70" s="1"/>
  <c r="I381" i="70"/>
  <c r="J381" i="70" s="1"/>
  <c r="H382" i="70" s="1"/>
  <c r="AC381" i="70" l="1"/>
  <c r="AD381" i="70" s="1"/>
  <c r="I382" i="70"/>
  <c r="J382" i="70" s="1"/>
  <c r="H383" i="70" s="1"/>
  <c r="AC382" i="70" l="1"/>
  <c r="AD382" i="70" s="1"/>
  <c r="I383" i="70"/>
  <c r="J383" i="70" s="1"/>
  <c r="H384" i="70" s="1"/>
  <c r="AC383" i="70" l="1"/>
  <c r="AD383" i="70" s="1"/>
  <c r="I384" i="70"/>
  <c r="J384" i="70" s="1"/>
  <c r="H385" i="70" s="1"/>
  <c r="AC384" i="70" l="1"/>
  <c r="AD384" i="70" s="1"/>
  <c r="I385" i="70"/>
  <c r="J385" i="70" s="1"/>
  <c r="H386" i="70" s="1"/>
  <c r="AC385" i="70" l="1"/>
  <c r="AD385" i="70" s="1"/>
  <c r="I386" i="70"/>
  <c r="J386" i="70" s="1"/>
  <c r="H387" i="70" s="1"/>
  <c r="AC386" i="70" l="1"/>
  <c r="AD386" i="70" s="1"/>
  <c r="I387" i="70"/>
  <c r="J387" i="70" s="1"/>
  <c r="H388" i="70" s="1"/>
  <c r="AC387" i="70" l="1"/>
  <c r="AD387" i="70" s="1"/>
  <c r="I388" i="70"/>
  <c r="J388" i="70" s="1"/>
  <c r="H389" i="70" s="1"/>
  <c r="AC388" i="70" l="1"/>
  <c r="AD388" i="70" s="1"/>
  <c r="I389" i="70"/>
  <c r="J389" i="70" s="1"/>
  <c r="H390" i="70" s="1"/>
  <c r="AC389" i="70" l="1"/>
  <c r="AD389" i="70" s="1"/>
  <c r="I390" i="70"/>
  <c r="J390" i="70" s="1"/>
  <c r="H391" i="70" s="1"/>
  <c r="AC390" i="70" l="1"/>
  <c r="AD390" i="70" s="1"/>
  <c r="I391" i="70"/>
  <c r="J391" i="70" s="1"/>
  <c r="H392" i="70" s="1"/>
  <c r="AC391" i="70" l="1"/>
  <c r="AD391" i="70" s="1"/>
  <c r="I392" i="70"/>
  <c r="J392" i="70" s="1"/>
  <c r="H393" i="70" s="1"/>
  <c r="AC392" i="70" l="1"/>
  <c r="AD392" i="70" s="1"/>
  <c r="I393" i="70"/>
  <c r="J393" i="70" s="1"/>
  <c r="H394" i="70" s="1"/>
  <c r="AC393" i="70" l="1"/>
  <c r="AD393" i="70" s="1"/>
  <c r="I394" i="70"/>
  <c r="J394" i="70" s="1"/>
  <c r="H395" i="70" s="1"/>
  <c r="AC394" i="70" l="1"/>
  <c r="AD394" i="70" s="1"/>
  <c r="I395" i="70"/>
  <c r="J395" i="70" s="1"/>
  <c r="H396" i="70" s="1"/>
  <c r="AC395" i="70" l="1"/>
  <c r="AD395" i="70" s="1"/>
  <c r="I396" i="70"/>
  <c r="J396" i="70" s="1"/>
  <c r="H397" i="70" s="1"/>
  <c r="AC396" i="70" l="1"/>
  <c r="AD396" i="70" s="1"/>
  <c r="I397" i="70"/>
  <c r="J397" i="70" s="1"/>
  <c r="H398" i="70" s="1"/>
  <c r="AC397" i="70" l="1"/>
  <c r="AD397" i="70" s="1"/>
  <c r="I398" i="70"/>
  <c r="J398" i="70" s="1"/>
  <c r="H399" i="70" s="1"/>
  <c r="AC398" i="70" l="1"/>
  <c r="AD398" i="70" s="1"/>
  <c r="I399" i="70"/>
  <c r="J399" i="70" s="1"/>
  <c r="H400" i="70" s="1"/>
  <c r="AC399" i="70" l="1"/>
  <c r="AD399" i="70" s="1"/>
  <c r="I400" i="70"/>
  <c r="J400" i="70" s="1"/>
  <c r="H401" i="70" s="1"/>
  <c r="AC400" i="70" l="1"/>
  <c r="AD400" i="70" s="1"/>
  <c r="I401" i="70"/>
  <c r="J401" i="70" s="1"/>
  <c r="H402" i="70" s="1"/>
  <c r="AC401" i="70" l="1"/>
  <c r="AD401" i="70" s="1"/>
  <c r="I402" i="70"/>
  <c r="J402" i="70" s="1"/>
  <c r="H403" i="70" s="1"/>
  <c r="AC402" i="70" l="1"/>
  <c r="AD402" i="70" s="1"/>
  <c r="I403" i="70"/>
  <c r="J403" i="70" s="1"/>
  <c r="H404" i="70" s="1"/>
  <c r="AC403" i="70" l="1"/>
  <c r="AD403" i="70" s="1"/>
  <c r="I404" i="70"/>
  <c r="J404" i="70" s="1"/>
  <c r="H405" i="70" s="1"/>
  <c r="AC404" i="70" l="1"/>
  <c r="AD404" i="70" s="1"/>
  <c r="I405" i="70"/>
  <c r="J405" i="70" s="1"/>
  <c r="H406" i="70" s="1"/>
  <c r="AC405" i="70" l="1"/>
  <c r="AD405" i="70" s="1"/>
  <c r="I406" i="70"/>
  <c r="J406" i="70" s="1"/>
  <c r="H407" i="70" s="1"/>
  <c r="AC406" i="70" l="1"/>
  <c r="AD406" i="70" s="1"/>
  <c r="I407" i="70"/>
  <c r="J407" i="70" s="1"/>
  <c r="H408" i="70" s="1"/>
  <c r="AC407" i="70" l="1"/>
  <c r="AD407" i="70" s="1"/>
  <c r="I408" i="70"/>
  <c r="J408" i="70" s="1"/>
  <c r="H409" i="70" s="1"/>
  <c r="AC408" i="70" l="1"/>
  <c r="AD408" i="70" s="1"/>
  <c r="I409" i="70"/>
  <c r="J409" i="70" s="1"/>
  <c r="H410" i="70" s="1"/>
  <c r="AC409" i="70" l="1"/>
  <c r="AD409" i="70" s="1"/>
  <c r="I410" i="70"/>
  <c r="J410" i="70" s="1"/>
  <c r="H411" i="70" s="1"/>
  <c r="AC410" i="70" l="1"/>
  <c r="AD410" i="70" s="1"/>
  <c r="I411" i="70"/>
  <c r="J411" i="70" s="1"/>
  <c r="H412" i="70" s="1"/>
  <c r="AC411" i="70" l="1"/>
  <c r="AD411" i="70" s="1"/>
  <c r="I412" i="70"/>
  <c r="J412" i="70" s="1"/>
  <c r="H413" i="70" s="1"/>
  <c r="AC412" i="70" l="1"/>
  <c r="AD412" i="70" s="1"/>
  <c r="I413" i="70"/>
  <c r="J413" i="70" s="1"/>
  <c r="H414" i="70" s="1"/>
  <c r="AC413" i="70" l="1"/>
  <c r="AD413" i="70" s="1"/>
  <c r="I414" i="70"/>
  <c r="J414" i="70" s="1"/>
  <c r="H415" i="70" s="1"/>
  <c r="AC414" i="70" l="1"/>
  <c r="AD414" i="70" s="1"/>
  <c r="I415" i="70"/>
  <c r="J415" i="70" s="1"/>
  <c r="H416" i="70" s="1"/>
  <c r="AC415" i="70" l="1"/>
  <c r="AD415" i="70" s="1"/>
  <c r="I416" i="70"/>
  <c r="J416" i="70" s="1"/>
  <c r="H417" i="70" s="1"/>
  <c r="AC416" i="70" l="1"/>
  <c r="AD416" i="70" s="1"/>
  <c r="I417" i="70"/>
  <c r="J417" i="70" s="1"/>
  <c r="H418" i="70" s="1"/>
  <c r="AC417" i="70" l="1"/>
  <c r="AD417" i="70" s="1"/>
  <c r="I418" i="70"/>
  <c r="J418" i="70" s="1"/>
  <c r="H419" i="70" s="1"/>
  <c r="AC418" i="70" l="1"/>
  <c r="AD418" i="70" s="1"/>
  <c r="I419" i="70"/>
  <c r="J419" i="70" s="1"/>
  <c r="H420" i="70" s="1"/>
  <c r="AC419" i="70" l="1"/>
  <c r="AD419" i="70" s="1"/>
  <c r="I420" i="70"/>
  <c r="J420" i="70" s="1"/>
  <c r="H421" i="70" s="1"/>
  <c r="AC420" i="70" l="1"/>
  <c r="AD420" i="70" s="1"/>
  <c r="I421" i="70"/>
  <c r="J421" i="70" s="1"/>
  <c r="H422" i="70" s="1"/>
  <c r="AC421" i="70" l="1"/>
  <c r="AD421" i="70" s="1"/>
  <c r="I422" i="70"/>
  <c r="J422" i="70" s="1"/>
  <c r="H423" i="70" s="1"/>
  <c r="AC422" i="70" l="1"/>
  <c r="AD422" i="70" s="1"/>
  <c r="I423" i="70"/>
  <c r="J423" i="70" s="1"/>
  <c r="H424" i="70" s="1"/>
  <c r="AC423" i="70" l="1"/>
  <c r="AD423" i="70" s="1"/>
  <c r="I424" i="70"/>
  <c r="J424" i="70" s="1"/>
  <c r="H425" i="70" s="1"/>
  <c r="AC424" i="70" l="1"/>
  <c r="AD424" i="70" s="1"/>
  <c r="I425" i="70"/>
  <c r="J425" i="70" s="1"/>
  <c r="H426" i="70" s="1"/>
  <c r="AC425" i="70" l="1"/>
  <c r="AD425" i="70" s="1"/>
  <c r="I426" i="70"/>
  <c r="J426" i="70" s="1"/>
  <c r="H427" i="70" s="1"/>
  <c r="AC426" i="70" l="1"/>
  <c r="AD426" i="70" s="1"/>
  <c r="I427" i="70"/>
  <c r="J427" i="70" s="1"/>
  <c r="H428" i="70" s="1"/>
  <c r="AC427" i="70" l="1"/>
  <c r="AD427" i="70" s="1"/>
  <c r="I428" i="70"/>
  <c r="J428" i="70" s="1"/>
  <c r="H429" i="70" s="1"/>
  <c r="AC428" i="70" l="1"/>
  <c r="AD428" i="70" s="1"/>
  <c r="I429" i="70"/>
  <c r="J429" i="70" s="1"/>
  <c r="H430" i="70" s="1"/>
  <c r="AC429" i="70" l="1"/>
  <c r="AD429" i="70" s="1"/>
  <c r="I430" i="70"/>
  <c r="J430" i="70" s="1"/>
  <c r="H431" i="70" s="1"/>
  <c r="AC430" i="70" l="1"/>
  <c r="AD430" i="70" s="1"/>
  <c r="I431" i="70"/>
  <c r="J431" i="70" s="1"/>
  <c r="H432" i="70" s="1"/>
  <c r="AC431" i="70" l="1"/>
  <c r="AD431" i="70" s="1"/>
  <c r="I432" i="70"/>
  <c r="J432" i="70" s="1"/>
  <c r="H433" i="70" s="1"/>
  <c r="AC432" i="70" l="1"/>
  <c r="AD432" i="70" s="1"/>
  <c r="I433" i="70"/>
  <c r="J433" i="70" s="1"/>
  <c r="H434" i="70" s="1"/>
  <c r="AC433" i="70" l="1"/>
  <c r="AD433" i="70" s="1"/>
  <c r="I434" i="70"/>
  <c r="J434" i="70" s="1"/>
  <c r="H435" i="70" s="1"/>
  <c r="AC434" i="70" l="1"/>
  <c r="AD434" i="70" s="1"/>
  <c r="I435" i="70"/>
  <c r="J435" i="70" s="1"/>
  <c r="H436" i="70" s="1"/>
  <c r="AC435" i="70" l="1"/>
  <c r="AD435" i="70" s="1"/>
  <c r="I436" i="70"/>
  <c r="J436" i="70" s="1"/>
  <c r="H437" i="70" s="1"/>
  <c r="AC436" i="70" l="1"/>
  <c r="AD436" i="70" s="1"/>
  <c r="I437" i="70"/>
  <c r="J437" i="70" s="1"/>
  <c r="H438" i="70" s="1"/>
  <c r="AC437" i="70" l="1"/>
  <c r="AD437" i="70" s="1"/>
  <c r="I438" i="70"/>
  <c r="J438" i="70" s="1"/>
  <c r="H439" i="70" s="1"/>
  <c r="AC438" i="70" l="1"/>
  <c r="AD438" i="70" s="1"/>
  <c r="I439" i="70"/>
  <c r="J439" i="70" s="1"/>
  <c r="H440" i="70" s="1"/>
  <c r="AC439" i="70" l="1"/>
  <c r="AD439" i="70" s="1"/>
  <c r="I440" i="70"/>
  <c r="J440" i="70" s="1"/>
  <c r="H441" i="70" s="1"/>
  <c r="AC440" i="70" l="1"/>
  <c r="AD440" i="70" s="1"/>
  <c r="I441" i="70"/>
  <c r="J441" i="70" s="1"/>
  <c r="H442" i="70" s="1"/>
  <c r="AC441" i="70" l="1"/>
  <c r="AD441" i="70" s="1"/>
  <c r="I442" i="70"/>
  <c r="J442" i="70" s="1"/>
  <c r="H443" i="70" s="1"/>
  <c r="AC442" i="70" l="1"/>
  <c r="AD442" i="70" s="1"/>
  <c r="I443" i="70"/>
  <c r="J443" i="70" s="1"/>
  <c r="H444" i="70" s="1"/>
  <c r="AC443" i="70" l="1"/>
  <c r="AD443" i="70" s="1"/>
  <c r="I444" i="70"/>
  <c r="J444" i="70" s="1"/>
  <c r="H445" i="70" s="1"/>
  <c r="AC444" i="70" l="1"/>
  <c r="AD444" i="70" s="1"/>
  <c r="I445" i="70"/>
  <c r="J445" i="70" s="1"/>
  <c r="H446" i="70" s="1"/>
  <c r="AC445" i="70" l="1"/>
  <c r="AD445" i="70" s="1"/>
  <c r="I446" i="70"/>
  <c r="J446" i="70" s="1"/>
  <c r="H447" i="70" s="1"/>
  <c r="AC446" i="70" l="1"/>
  <c r="AD446" i="70" s="1"/>
  <c r="I447" i="70"/>
  <c r="J447" i="70" s="1"/>
  <c r="H448" i="70" s="1"/>
  <c r="AC447" i="70" l="1"/>
  <c r="AD447" i="70" s="1"/>
  <c r="I448" i="70"/>
  <c r="J448" i="70" s="1"/>
  <c r="H449" i="70" s="1"/>
  <c r="AC448" i="70" l="1"/>
  <c r="AD448" i="70" s="1"/>
  <c r="I449" i="70"/>
  <c r="J449" i="70" s="1"/>
  <c r="H450" i="70" s="1"/>
  <c r="AC449" i="70" l="1"/>
  <c r="AD449" i="70" s="1"/>
  <c r="I450" i="70"/>
  <c r="J450" i="70" s="1"/>
  <c r="H451" i="70" s="1"/>
  <c r="AC450" i="70" l="1"/>
  <c r="AD450" i="70" s="1"/>
  <c r="I451" i="70"/>
  <c r="J451" i="70" s="1"/>
  <c r="H452" i="70" s="1"/>
  <c r="AC451" i="70" l="1"/>
  <c r="AD451" i="70" s="1"/>
  <c r="I452" i="70"/>
  <c r="J452" i="70" s="1"/>
  <c r="H453" i="70" s="1"/>
  <c r="AC452" i="70" l="1"/>
  <c r="AD452" i="70" s="1"/>
  <c r="I453" i="70"/>
  <c r="J453" i="70" s="1"/>
  <c r="H454" i="70" s="1"/>
  <c r="AC453" i="70" l="1"/>
  <c r="AD453" i="70" s="1"/>
  <c r="I454" i="70"/>
  <c r="J454" i="70" s="1"/>
  <c r="H455" i="70" s="1"/>
  <c r="AC454" i="70" l="1"/>
  <c r="AD454" i="70" s="1"/>
  <c r="I455" i="70"/>
  <c r="J455" i="70" s="1"/>
  <c r="H456" i="70" s="1"/>
  <c r="AC455" i="70" l="1"/>
  <c r="AD455" i="70" s="1"/>
  <c r="I456" i="70"/>
  <c r="J456" i="70" s="1"/>
  <c r="H457" i="70" s="1"/>
  <c r="AC456" i="70" l="1"/>
  <c r="AD456" i="70" s="1"/>
  <c r="I457" i="70"/>
  <c r="J457" i="70" s="1"/>
  <c r="H458" i="70" s="1"/>
  <c r="AC457" i="70" l="1"/>
  <c r="AD457" i="70" s="1"/>
  <c r="I458" i="70"/>
  <c r="J458" i="70" s="1"/>
  <c r="H459" i="70" s="1"/>
  <c r="AC458" i="70" l="1"/>
  <c r="AD458" i="70" s="1"/>
  <c r="I459" i="70"/>
  <c r="J459" i="70" s="1"/>
  <c r="H460" i="70" s="1"/>
  <c r="AC459" i="70" l="1"/>
  <c r="AD459" i="70" s="1"/>
  <c r="I460" i="70"/>
  <c r="J460" i="70" s="1"/>
  <c r="H461" i="70" s="1"/>
  <c r="AC460" i="70" l="1"/>
  <c r="AD460" i="70" s="1"/>
  <c r="I461" i="70"/>
  <c r="J461" i="70" s="1"/>
  <c r="H462" i="70" s="1"/>
  <c r="AC461" i="70" l="1"/>
  <c r="AD461" i="70" s="1"/>
  <c r="I462" i="70"/>
  <c r="J462" i="70" s="1"/>
  <c r="H463" i="70" s="1"/>
  <c r="AC462" i="70" l="1"/>
  <c r="AD462" i="70" s="1"/>
  <c r="I463" i="70"/>
  <c r="J463" i="70" s="1"/>
  <c r="H464" i="70" s="1"/>
  <c r="AC463" i="70" l="1"/>
  <c r="AD463" i="70" s="1"/>
  <c r="I464" i="70"/>
  <c r="J464" i="70" s="1"/>
  <c r="H465" i="70" s="1"/>
  <c r="AC464" i="70" l="1"/>
  <c r="AD464" i="70" s="1"/>
  <c r="I465" i="70"/>
  <c r="J465" i="70" s="1"/>
  <c r="H466" i="70" s="1"/>
  <c r="AC465" i="70" l="1"/>
  <c r="AD465" i="70" s="1"/>
  <c r="I466" i="70"/>
  <c r="J466" i="70" s="1"/>
  <c r="H467" i="70" s="1"/>
  <c r="AC466" i="70" l="1"/>
  <c r="AD466" i="70" s="1"/>
  <c r="I467" i="70"/>
  <c r="J467" i="70" s="1"/>
  <c r="H468" i="70" s="1"/>
  <c r="AC467" i="70" l="1"/>
  <c r="AD467" i="70" s="1"/>
  <c r="I468" i="70"/>
  <c r="J468" i="70" s="1"/>
  <c r="H469" i="70" s="1"/>
  <c r="AC468" i="70" l="1"/>
  <c r="AD468" i="70" s="1"/>
  <c r="I469" i="70"/>
  <c r="J469" i="70" s="1"/>
  <c r="H470" i="70" s="1"/>
  <c r="AC469" i="70" l="1"/>
  <c r="AD469" i="70" s="1"/>
  <c r="I470" i="70"/>
  <c r="J470" i="70" s="1"/>
  <c r="H471" i="70" s="1"/>
  <c r="AC470" i="70" l="1"/>
  <c r="AD470" i="70" s="1"/>
  <c r="I471" i="70"/>
  <c r="J471" i="70" s="1"/>
  <c r="H472" i="70" s="1"/>
  <c r="AC471" i="70" l="1"/>
  <c r="AD471" i="70" s="1"/>
  <c r="I472" i="70"/>
  <c r="J472" i="70" s="1"/>
  <c r="H473" i="70" s="1"/>
  <c r="AC472" i="70" l="1"/>
  <c r="AD472" i="70" s="1"/>
  <c r="I473" i="70"/>
  <c r="J473" i="70" s="1"/>
  <c r="H474" i="70" s="1"/>
  <c r="AC473" i="70" l="1"/>
  <c r="AD473" i="70" s="1"/>
  <c r="I474" i="70"/>
  <c r="J474" i="70" s="1"/>
  <c r="H475" i="70" s="1"/>
  <c r="AC474" i="70" l="1"/>
  <c r="AD474" i="70" s="1"/>
  <c r="I475" i="70"/>
  <c r="J475" i="70" s="1"/>
  <c r="H476" i="70" s="1"/>
  <c r="AC475" i="70" l="1"/>
  <c r="AD475" i="70" s="1"/>
  <c r="I476" i="70"/>
  <c r="J476" i="70" s="1"/>
  <c r="H477" i="70" s="1"/>
  <c r="AC476" i="70" l="1"/>
  <c r="AD476" i="70" s="1"/>
  <c r="I477" i="70"/>
  <c r="J477" i="70" s="1"/>
  <c r="H478" i="70" s="1"/>
  <c r="AC477" i="70" l="1"/>
  <c r="AD477" i="70" s="1"/>
  <c r="I478" i="70"/>
  <c r="J478" i="70" s="1"/>
  <c r="H479" i="70" s="1"/>
  <c r="AC478" i="70" l="1"/>
  <c r="AD478" i="70" s="1"/>
  <c r="I479" i="70"/>
  <c r="J479" i="70" s="1"/>
  <c r="H480" i="70" s="1"/>
  <c r="AC479" i="70" l="1"/>
  <c r="AD479" i="70" s="1"/>
  <c r="I480" i="70"/>
  <c r="J480" i="70" s="1"/>
  <c r="H481" i="70" s="1"/>
  <c r="AC480" i="70" l="1"/>
  <c r="AD480" i="70" s="1"/>
  <c r="I481" i="70"/>
  <c r="J481" i="70" s="1"/>
  <c r="H482" i="70" s="1"/>
  <c r="AC481" i="70" l="1"/>
  <c r="AD481" i="70" s="1"/>
  <c r="I482" i="70"/>
  <c r="J482" i="70" s="1"/>
  <c r="H483" i="70" s="1"/>
  <c r="AC482" i="70" l="1"/>
  <c r="AD482" i="70" s="1"/>
  <c r="I483" i="70"/>
  <c r="J483" i="70" s="1"/>
  <c r="H484" i="70" s="1"/>
  <c r="AC483" i="70" l="1"/>
  <c r="AD483" i="70" s="1"/>
  <c r="I484" i="70"/>
  <c r="J484" i="70" s="1"/>
  <c r="H485" i="70" s="1"/>
  <c r="AC484" i="70" l="1"/>
  <c r="AD484" i="70" s="1"/>
  <c r="I485" i="70"/>
  <c r="J485" i="70" s="1"/>
  <c r="H486" i="70" s="1"/>
  <c r="AC485" i="70" l="1"/>
  <c r="AD485" i="70" s="1"/>
  <c r="I486" i="70"/>
  <c r="J486" i="70" s="1"/>
  <c r="H487" i="70" s="1"/>
  <c r="AC486" i="70" l="1"/>
  <c r="AD486" i="70" s="1"/>
  <c r="I487" i="70"/>
  <c r="J487" i="70" s="1"/>
  <c r="H488" i="70" s="1"/>
  <c r="AC487" i="70" l="1"/>
  <c r="AD487" i="70" s="1"/>
  <c r="I488" i="70"/>
  <c r="J488" i="70" s="1"/>
  <c r="H489" i="70" s="1"/>
  <c r="AC488" i="70" l="1"/>
  <c r="AD488" i="70" s="1"/>
  <c r="I489" i="70"/>
  <c r="J489" i="70" s="1"/>
  <c r="H490" i="70" s="1"/>
  <c r="AC489" i="70" l="1"/>
  <c r="AD489" i="70" s="1"/>
  <c r="I490" i="70"/>
  <c r="J490" i="70" s="1"/>
  <c r="H491" i="70" s="1"/>
  <c r="AC490" i="70" l="1"/>
  <c r="AD490" i="70" s="1"/>
  <c r="I491" i="70"/>
  <c r="J491" i="70" s="1"/>
  <c r="H492" i="70" s="1"/>
  <c r="AC491" i="70" l="1"/>
  <c r="AD491" i="70" s="1"/>
  <c r="I492" i="70"/>
  <c r="J492" i="70" s="1"/>
  <c r="H493" i="70" s="1"/>
  <c r="AC492" i="70" l="1"/>
  <c r="AD492" i="70" s="1"/>
  <c r="I493" i="70"/>
  <c r="J493" i="70" s="1"/>
  <c r="H494" i="70" s="1"/>
  <c r="AC493" i="70" l="1"/>
  <c r="AD493" i="70" s="1"/>
  <c r="I494" i="70"/>
  <c r="J494" i="70" s="1"/>
  <c r="H495" i="70" s="1"/>
  <c r="AC494" i="70" l="1"/>
  <c r="AD494" i="70" s="1"/>
  <c r="I495" i="70"/>
  <c r="J495" i="70" s="1"/>
  <c r="H496" i="70" s="1"/>
  <c r="AC495" i="70" l="1"/>
  <c r="AD495" i="70" s="1"/>
  <c r="I496" i="70"/>
  <c r="J496" i="70" s="1"/>
  <c r="H497" i="70" s="1"/>
  <c r="AC496" i="70" l="1"/>
  <c r="AD496" i="70" s="1"/>
  <c r="I497" i="70"/>
  <c r="J497" i="70" s="1"/>
  <c r="H498" i="70" s="1"/>
  <c r="AC497" i="70" l="1"/>
  <c r="AD497" i="70" s="1"/>
  <c r="I498" i="70"/>
  <c r="J498" i="70" s="1"/>
  <c r="H499" i="70" s="1"/>
  <c r="AC498" i="70" l="1"/>
  <c r="AD498" i="70" s="1"/>
  <c r="I499" i="70"/>
  <c r="J499" i="70" s="1"/>
  <c r="H500" i="70" s="1"/>
  <c r="AC499" i="70" l="1"/>
  <c r="AD499" i="70" s="1"/>
  <c r="I500" i="70"/>
  <c r="J500" i="70" s="1"/>
  <c r="H501" i="70" s="1"/>
  <c r="AC500" i="70" l="1"/>
  <c r="AD500" i="70" s="1"/>
  <c r="I501" i="70"/>
  <c r="J501" i="70" s="1"/>
  <c r="H502" i="70" s="1"/>
  <c r="AC501" i="70" l="1"/>
  <c r="AD501" i="70" s="1"/>
  <c r="I502" i="70"/>
  <c r="J502" i="70" s="1"/>
  <c r="H503" i="70" s="1"/>
  <c r="AC502" i="70" l="1"/>
  <c r="AD502" i="70" s="1"/>
  <c r="I503" i="70"/>
  <c r="J503" i="70" s="1"/>
  <c r="H504" i="70" s="1"/>
  <c r="AC503" i="70" l="1"/>
  <c r="AD503" i="70" s="1"/>
  <c r="I504" i="70"/>
  <c r="J504" i="70" s="1"/>
  <c r="H505" i="70" s="1"/>
  <c r="AC504" i="70" l="1"/>
  <c r="AD504" i="70" s="1"/>
  <c r="I505" i="70"/>
  <c r="J505" i="70" s="1"/>
  <c r="H506" i="70" s="1"/>
  <c r="AC505" i="70" l="1"/>
  <c r="AD505" i="70" s="1"/>
  <c r="I506" i="70"/>
  <c r="J506" i="70" s="1"/>
  <c r="H507" i="70" s="1"/>
  <c r="AC506" i="70" l="1"/>
  <c r="AD506" i="70" s="1"/>
  <c r="I507" i="70"/>
  <c r="J507" i="70" s="1"/>
  <c r="H508" i="70" s="1"/>
  <c r="AC507" i="70" l="1"/>
  <c r="AD507" i="70" s="1"/>
  <c r="I508" i="70"/>
  <c r="J508" i="70" s="1"/>
  <c r="H509" i="70" s="1"/>
  <c r="AC508" i="70" l="1"/>
  <c r="AD508" i="70" s="1"/>
  <c r="I509" i="70"/>
  <c r="J509" i="70" s="1"/>
  <c r="H510" i="70" s="1"/>
  <c r="AC509" i="70" l="1"/>
  <c r="AD509" i="70" s="1"/>
  <c r="I510" i="70"/>
  <c r="J510" i="70" s="1"/>
  <c r="H511" i="70" s="1"/>
  <c r="AC510" i="70" l="1"/>
  <c r="AD510" i="70" s="1"/>
  <c r="I511" i="70"/>
  <c r="J511" i="70" s="1"/>
  <c r="H512" i="70" s="1"/>
  <c r="AC511" i="70" l="1"/>
  <c r="AD511" i="70" s="1"/>
  <c r="I512" i="70"/>
  <c r="J512" i="70" s="1"/>
  <c r="H513" i="70" s="1"/>
  <c r="AC512" i="70" l="1"/>
  <c r="AD512" i="70" s="1"/>
  <c r="I513" i="70"/>
  <c r="J513" i="70" s="1"/>
  <c r="H514" i="70" s="1"/>
  <c r="AC513" i="70" l="1"/>
  <c r="AD513" i="70" s="1"/>
  <c r="I514" i="70"/>
  <c r="J514" i="70" s="1"/>
  <c r="H515" i="70" s="1"/>
  <c r="AC514" i="70" l="1"/>
  <c r="AD514" i="70" s="1"/>
  <c r="I515" i="70"/>
  <c r="J515" i="70" s="1"/>
  <c r="H516" i="70" s="1"/>
  <c r="AC515" i="70" l="1"/>
  <c r="AD515" i="70" s="1"/>
  <c r="I516" i="70"/>
  <c r="J516" i="70" s="1"/>
  <c r="H517" i="70" s="1"/>
  <c r="AC516" i="70" l="1"/>
  <c r="AD516" i="70" s="1"/>
  <c r="I517" i="70"/>
  <c r="J517" i="70" s="1"/>
  <c r="H518" i="70" s="1"/>
  <c r="AC517" i="70" l="1"/>
  <c r="AD517" i="70" s="1"/>
  <c r="I518" i="70"/>
  <c r="J518" i="70" s="1"/>
  <c r="H519" i="70" s="1"/>
  <c r="AC518" i="70" l="1"/>
  <c r="AD518" i="70" s="1"/>
  <c r="I519" i="70"/>
  <c r="J519" i="70" s="1"/>
  <c r="H520" i="70" s="1"/>
  <c r="AC519" i="70" l="1"/>
  <c r="AD519" i="70" s="1"/>
  <c r="I520" i="70"/>
  <c r="J520" i="70" s="1"/>
  <c r="H521" i="70" s="1"/>
  <c r="AC520" i="70" l="1"/>
  <c r="AD520" i="70" s="1"/>
  <c r="I521" i="70"/>
  <c r="J521" i="70" s="1"/>
  <c r="H522" i="70" s="1"/>
  <c r="AC521" i="70" l="1"/>
  <c r="AD521" i="70" s="1"/>
  <c r="I522" i="70"/>
  <c r="J522" i="70" s="1"/>
  <c r="H523" i="70" s="1"/>
  <c r="AC522" i="70" l="1"/>
  <c r="AD522" i="70" s="1"/>
  <c r="I523" i="70"/>
  <c r="J523" i="70" s="1"/>
  <c r="H524" i="70" s="1"/>
  <c r="AC523" i="70" l="1"/>
  <c r="AD523" i="70" s="1"/>
  <c r="I524" i="70"/>
  <c r="J524" i="70" s="1"/>
  <c r="H525" i="70" s="1"/>
  <c r="AC524" i="70" l="1"/>
  <c r="AD524" i="70" s="1"/>
  <c r="I525" i="70"/>
  <c r="J525" i="70" s="1"/>
  <c r="H526" i="70" s="1"/>
  <c r="AC525" i="70" l="1"/>
  <c r="AD525" i="70" s="1"/>
  <c r="I526" i="70"/>
  <c r="J526" i="70" s="1"/>
  <c r="H527" i="70" s="1"/>
  <c r="AC526" i="70" l="1"/>
  <c r="AD526" i="70" s="1"/>
  <c r="I527" i="70"/>
  <c r="J527" i="70" s="1"/>
  <c r="H528" i="70" s="1"/>
  <c r="AC527" i="70" l="1"/>
  <c r="AD527" i="70" s="1"/>
  <c r="I528" i="70"/>
  <c r="J528" i="70" s="1"/>
  <c r="H529" i="70" s="1"/>
  <c r="AC528" i="70" l="1"/>
  <c r="AD528" i="70" s="1"/>
  <c r="I529" i="70"/>
  <c r="J529" i="70" s="1"/>
  <c r="H530" i="70" s="1"/>
  <c r="AC529" i="70" l="1"/>
  <c r="AD529" i="70" s="1"/>
  <c r="I530" i="70"/>
  <c r="J530" i="70" s="1"/>
  <c r="H531" i="70" s="1"/>
  <c r="AC530" i="70" l="1"/>
  <c r="AD530" i="70" s="1"/>
  <c r="I531" i="70"/>
  <c r="J531" i="70" s="1"/>
  <c r="H532" i="70" s="1"/>
  <c r="AC531" i="70" l="1"/>
  <c r="AD531" i="70" s="1"/>
  <c r="I532" i="70"/>
  <c r="J532" i="70" s="1"/>
  <c r="H533" i="70" s="1"/>
  <c r="AC532" i="70" l="1"/>
  <c r="AD532" i="70" s="1"/>
  <c r="I533" i="70"/>
  <c r="J533" i="70" s="1"/>
  <c r="H534" i="70" s="1"/>
  <c r="AC533" i="70" l="1"/>
  <c r="AD533" i="70" s="1"/>
  <c r="I534" i="70"/>
  <c r="J534" i="70" s="1"/>
  <c r="H535" i="70" s="1"/>
  <c r="AC534" i="70" l="1"/>
  <c r="AD534" i="70" s="1"/>
  <c r="I535" i="70"/>
  <c r="J535" i="70" s="1"/>
  <c r="H536" i="70" s="1"/>
  <c r="AC535" i="70" l="1"/>
  <c r="AD535" i="70" s="1"/>
  <c r="I536" i="70"/>
  <c r="J536" i="70" s="1"/>
  <c r="H537" i="70" s="1"/>
  <c r="AC536" i="70" l="1"/>
  <c r="AD536" i="70" s="1"/>
  <c r="I537" i="70"/>
  <c r="J537" i="70" s="1"/>
  <c r="H538" i="70" s="1"/>
  <c r="AC537" i="70" l="1"/>
  <c r="AD537" i="70" s="1"/>
  <c r="I538" i="70"/>
  <c r="J538" i="70" s="1"/>
  <c r="H539" i="70" s="1"/>
  <c r="AC538" i="70" l="1"/>
  <c r="AD538" i="70" s="1"/>
  <c r="I539" i="70"/>
  <c r="J539" i="70" s="1"/>
  <c r="H540" i="70" s="1"/>
  <c r="AC539" i="70" l="1"/>
  <c r="AD539" i="70" s="1"/>
  <c r="I540" i="70"/>
  <c r="J540" i="70" s="1"/>
  <c r="H541" i="70" s="1"/>
  <c r="AC540" i="70" l="1"/>
  <c r="AD540" i="70" s="1"/>
  <c r="I541" i="70"/>
  <c r="J541" i="70" s="1"/>
  <c r="H542" i="70" s="1"/>
  <c r="AC541" i="70" l="1"/>
  <c r="AD541" i="70" s="1"/>
  <c r="I542" i="70"/>
  <c r="J542" i="70" s="1"/>
  <c r="H543" i="70" s="1"/>
  <c r="AC542" i="70" l="1"/>
  <c r="AD542" i="70" s="1"/>
  <c r="I543" i="70"/>
  <c r="J543" i="70" s="1"/>
  <c r="H544" i="70" s="1"/>
  <c r="AC543" i="70" l="1"/>
  <c r="AD543" i="70" s="1"/>
  <c r="I544" i="70"/>
  <c r="J544" i="70" s="1"/>
  <c r="H545" i="70" s="1"/>
  <c r="AC544" i="70" l="1"/>
  <c r="AD544" i="70" s="1"/>
  <c r="I545" i="70"/>
  <c r="J545" i="70" s="1"/>
  <c r="H546" i="70" s="1"/>
  <c r="AC545" i="70" l="1"/>
  <c r="AD545" i="70" s="1"/>
  <c r="I546" i="70"/>
  <c r="J546" i="70" s="1"/>
  <c r="H547" i="70" s="1"/>
  <c r="AC546" i="70" l="1"/>
  <c r="AD546" i="70" s="1"/>
  <c r="I547" i="70"/>
  <c r="J547" i="70" s="1"/>
  <c r="H548" i="70" s="1"/>
  <c r="AC547" i="70" l="1"/>
  <c r="AD547" i="70" s="1"/>
  <c r="I548" i="70"/>
  <c r="J548" i="70" s="1"/>
  <c r="H549" i="70" s="1"/>
  <c r="AC548" i="70" l="1"/>
  <c r="AD548" i="70" s="1"/>
  <c r="I549" i="70"/>
  <c r="J549" i="70" s="1"/>
  <c r="H550" i="70" s="1"/>
  <c r="AC549" i="70" l="1"/>
  <c r="AD549" i="70" s="1"/>
  <c r="I550" i="70"/>
  <c r="J550" i="70" s="1"/>
  <c r="H551" i="70" s="1"/>
  <c r="AC550" i="70" l="1"/>
  <c r="AD550" i="70" s="1"/>
  <c r="I551" i="70"/>
  <c r="J551" i="70" s="1"/>
  <c r="H552" i="70" s="1"/>
  <c r="AC551" i="70" l="1"/>
  <c r="AD551" i="70" s="1"/>
  <c r="I552" i="70"/>
  <c r="J552" i="70" s="1"/>
  <c r="H553" i="70" s="1"/>
  <c r="AC552" i="70" l="1"/>
  <c r="AD552" i="70" s="1"/>
  <c r="I553" i="70"/>
  <c r="J553" i="70" s="1"/>
  <c r="H554" i="70" s="1"/>
  <c r="AC553" i="70" l="1"/>
  <c r="AD553" i="70" s="1"/>
  <c r="I554" i="70"/>
  <c r="J554" i="70" s="1"/>
  <c r="H555" i="70" s="1"/>
  <c r="AC554" i="70" l="1"/>
  <c r="AD554" i="70" s="1"/>
  <c r="I555" i="70"/>
  <c r="J555" i="70" s="1"/>
  <c r="H556" i="70" s="1"/>
  <c r="AC555" i="70" l="1"/>
  <c r="AD555" i="70" s="1"/>
  <c r="I556" i="70"/>
  <c r="J556" i="70" s="1"/>
  <c r="H557" i="70" s="1"/>
  <c r="AC556" i="70" l="1"/>
  <c r="AD556" i="70" s="1"/>
  <c r="I557" i="70"/>
  <c r="J557" i="70" s="1"/>
  <c r="H558" i="70" s="1"/>
  <c r="AC557" i="70" l="1"/>
  <c r="AD557" i="70" s="1"/>
  <c r="I558" i="70"/>
  <c r="J558" i="70" s="1"/>
  <c r="H559" i="70" s="1"/>
  <c r="AC558" i="70" l="1"/>
  <c r="AD558" i="70" s="1"/>
  <c r="I559" i="70"/>
  <c r="J559" i="70" s="1"/>
  <c r="H560" i="70" s="1"/>
  <c r="AC559" i="70" l="1"/>
  <c r="AD559" i="70" s="1"/>
  <c r="I560" i="70"/>
  <c r="J560" i="70" s="1"/>
  <c r="H561" i="70" s="1"/>
  <c r="AC560" i="70" l="1"/>
  <c r="AD560" i="70" s="1"/>
  <c r="I561" i="70"/>
  <c r="J561" i="70" s="1"/>
  <c r="H562" i="70" s="1"/>
  <c r="AC561" i="70" l="1"/>
  <c r="AD561" i="70" s="1"/>
  <c r="I562" i="70"/>
  <c r="J562" i="70" s="1"/>
  <c r="H563" i="70" s="1"/>
  <c r="AC562" i="70" l="1"/>
  <c r="AD562" i="70" s="1"/>
  <c r="I563" i="70"/>
  <c r="J563" i="70" s="1"/>
  <c r="H564" i="70" s="1"/>
  <c r="AC563" i="70" l="1"/>
  <c r="AD563" i="70" s="1"/>
  <c r="I564" i="70"/>
  <c r="J564" i="70" s="1"/>
  <c r="H565" i="70" s="1"/>
  <c r="AC564" i="70" l="1"/>
  <c r="AD564" i="70" s="1"/>
  <c r="I565" i="70"/>
  <c r="J565" i="70" s="1"/>
  <c r="H566" i="70" s="1"/>
  <c r="AC565" i="70" l="1"/>
  <c r="AD565" i="70" s="1"/>
  <c r="I566" i="70"/>
  <c r="J566" i="70" s="1"/>
  <c r="H567" i="70" s="1"/>
  <c r="AC566" i="70" l="1"/>
  <c r="AD566" i="70" s="1"/>
  <c r="I567" i="70"/>
  <c r="J567" i="70" s="1"/>
  <c r="H568" i="70" s="1"/>
  <c r="AC567" i="70" l="1"/>
  <c r="AD567" i="70" s="1"/>
  <c r="I568" i="70"/>
  <c r="J568" i="70" s="1"/>
  <c r="H569" i="70" s="1"/>
  <c r="AC568" i="70" l="1"/>
  <c r="AD568" i="70" s="1"/>
  <c r="I569" i="70"/>
  <c r="J569" i="70" s="1"/>
  <c r="H570" i="70" s="1"/>
  <c r="AC569" i="70" l="1"/>
  <c r="AD569" i="70" s="1"/>
  <c r="I570" i="70"/>
  <c r="J570" i="70" s="1"/>
  <c r="H571" i="70" s="1"/>
  <c r="AC570" i="70" l="1"/>
  <c r="AD570" i="70" s="1"/>
  <c r="I571" i="70"/>
  <c r="J571" i="70" s="1"/>
  <c r="H572" i="70" s="1"/>
  <c r="AC571" i="70" l="1"/>
  <c r="AD571" i="70" s="1"/>
  <c r="I572" i="70"/>
  <c r="J572" i="70" s="1"/>
  <c r="H573" i="70" s="1"/>
  <c r="AC572" i="70" l="1"/>
  <c r="AD572" i="70" s="1"/>
  <c r="I573" i="70"/>
  <c r="J573" i="70" s="1"/>
  <c r="H574" i="70" s="1"/>
  <c r="AC573" i="70" l="1"/>
  <c r="AD573" i="70" s="1"/>
  <c r="I574" i="70"/>
  <c r="J574" i="70" s="1"/>
  <c r="H575" i="70" s="1"/>
  <c r="AC574" i="70" l="1"/>
  <c r="AD574" i="70" s="1"/>
  <c r="I575" i="70"/>
  <c r="J575" i="70" s="1"/>
  <c r="H576" i="70" s="1"/>
  <c r="AC575" i="70" l="1"/>
  <c r="AD575" i="70" s="1"/>
  <c r="I576" i="70"/>
  <c r="J576" i="70" s="1"/>
  <c r="H577" i="70" s="1"/>
  <c r="AC576" i="70" l="1"/>
  <c r="AD576" i="70" s="1"/>
  <c r="I577" i="70"/>
  <c r="J577" i="70" s="1"/>
  <c r="H578" i="70" s="1"/>
  <c r="AC577" i="70" l="1"/>
  <c r="AD577" i="70" s="1"/>
  <c r="I578" i="70"/>
  <c r="J578" i="70" s="1"/>
  <c r="H579" i="70" s="1"/>
  <c r="AC578" i="70" l="1"/>
  <c r="AD578" i="70" s="1"/>
  <c r="I579" i="70"/>
  <c r="J579" i="70" s="1"/>
  <c r="H580" i="70" s="1"/>
  <c r="AC579" i="70" l="1"/>
  <c r="AD579" i="70" s="1"/>
  <c r="I580" i="70"/>
  <c r="J580" i="70" s="1"/>
  <c r="H581" i="70" s="1"/>
  <c r="AC580" i="70" l="1"/>
  <c r="AD580" i="70" s="1"/>
  <c r="I581" i="70"/>
  <c r="J581" i="70" s="1"/>
  <c r="H582" i="70" s="1"/>
  <c r="AC581" i="70" l="1"/>
  <c r="AD581" i="70" s="1"/>
  <c r="I582" i="70"/>
  <c r="J582" i="70" s="1"/>
  <c r="H583" i="70" s="1"/>
  <c r="AC582" i="70" l="1"/>
  <c r="AD582" i="70" s="1"/>
  <c r="I583" i="70"/>
  <c r="J583" i="70" s="1"/>
  <c r="H584" i="70" s="1"/>
  <c r="AC583" i="70" l="1"/>
  <c r="AD583" i="70" s="1"/>
  <c r="I584" i="70"/>
  <c r="J584" i="70" s="1"/>
  <c r="H585" i="70" s="1"/>
  <c r="AC584" i="70" l="1"/>
  <c r="AD584" i="70" s="1"/>
  <c r="I585" i="70"/>
  <c r="J585" i="70" s="1"/>
  <c r="H586" i="70" s="1"/>
  <c r="AC585" i="70" l="1"/>
  <c r="AD585" i="70" s="1"/>
  <c r="I586" i="70"/>
  <c r="J586" i="70" s="1"/>
  <c r="H587" i="70" s="1"/>
  <c r="AC586" i="70" l="1"/>
  <c r="AD586" i="70" s="1"/>
  <c r="I587" i="70"/>
  <c r="J587" i="70" s="1"/>
  <c r="H588" i="70" s="1"/>
  <c r="AC587" i="70" l="1"/>
  <c r="AD587" i="70" s="1"/>
  <c r="I588" i="70"/>
  <c r="J588" i="70" s="1"/>
  <c r="H589" i="70" s="1"/>
  <c r="AC588" i="70" l="1"/>
  <c r="AD588" i="70" s="1"/>
  <c r="I589" i="70"/>
  <c r="J589" i="70" s="1"/>
  <c r="H590" i="70" s="1"/>
  <c r="AC589" i="70" l="1"/>
  <c r="AD589" i="70" s="1"/>
  <c r="I590" i="70"/>
  <c r="J590" i="70" s="1"/>
  <c r="H591" i="70" s="1"/>
  <c r="AC590" i="70" l="1"/>
  <c r="AD590" i="70" s="1"/>
  <c r="I591" i="70"/>
  <c r="J591" i="70" s="1"/>
  <c r="H592" i="70" s="1"/>
  <c r="AC591" i="70" l="1"/>
  <c r="AD591" i="70" s="1"/>
  <c r="I592" i="70"/>
  <c r="J592" i="70" s="1"/>
  <c r="H593" i="70" s="1"/>
  <c r="AC592" i="70" l="1"/>
  <c r="AD592" i="70" s="1"/>
  <c r="I593" i="70"/>
  <c r="J593" i="70" s="1"/>
  <c r="H594" i="70" s="1"/>
  <c r="AC593" i="70" l="1"/>
  <c r="AD593" i="70" s="1"/>
  <c r="I594" i="70"/>
  <c r="J594" i="70" s="1"/>
  <c r="H595" i="70" s="1"/>
  <c r="AC594" i="70" l="1"/>
  <c r="AD594" i="70" s="1"/>
  <c r="I595" i="70"/>
  <c r="J595" i="70" s="1"/>
  <c r="H596" i="70" s="1"/>
  <c r="AC595" i="70" l="1"/>
  <c r="AD595" i="70" s="1"/>
  <c r="I596" i="70"/>
  <c r="J596" i="70" s="1"/>
  <c r="H597" i="70" s="1"/>
  <c r="AC596" i="70" l="1"/>
  <c r="AD596" i="70" s="1"/>
  <c r="I597" i="70"/>
  <c r="J597" i="70" s="1"/>
  <c r="H598" i="70" s="1"/>
  <c r="AC597" i="70" l="1"/>
  <c r="AD597" i="70" s="1"/>
  <c r="I598" i="70"/>
  <c r="J598" i="70" s="1"/>
  <c r="H599" i="70" s="1"/>
  <c r="AC598" i="70" l="1"/>
  <c r="AD598" i="70" s="1"/>
  <c r="I599" i="70"/>
  <c r="J599" i="70" s="1"/>
  <c r="H600" i="70" s="1"/>
  <c r="AC599" i="70" l="1"/>
  <c r="AD599" i="70" s="1"/>
  <c r="I600" i="70"/>
  <c r="J600" i="70" s="1"/>
  <c r="H601" i="70" s="1"/>
  <c r="AC600" i="70" l="1"/>
  <c r="AD600" i="70" s="1"/>
  <c r="I601" i="70"/>
  <c r="J601" i="70" s="1"/>
  <c r="H602" i="70" s="1"/>
  <c r="AC601" i="70" l="1"/>
  <c r="AD601" i="70" s="1"/>
  <c r="AO3" i="70"/>
  <c r="AR3" i="70"/>
  <c r="AT3" i="70"/>
  <c r="AP3" i="70"/>
  <c r="Z3" i="70" s="1"/>
  <c r="AS3" i="70"/>
  <c r="AQ3" i="70"/>
  <c r="T3" i="70" l="1"/>
  <c r="T4" i="70" s="1"/>
  <c r="T5" i="70" s="1"/>
  <c r="T6" i="70" s="1"/>
  <c r="T7" i="70" s="1"/>
  <c r="T8" i="70" s="1"/>
  <c r="T9" i="70" s="1"/>
  <c r="T10" i="70" s="1"/>
  <c r="T11" i="70" s="1"/>
  <c r="T12" i="70" s="1"/>
  <c r="T13" i="70" s="1"/>
  <c r="T14" i="70" s="1"/>
  <c r="T15" i="70" s="1"/>
  <c r="T16" i="70" s="1"/>
  <c r="T17" i="70" s="1"/>
  <c r="T18" i="70" s="1"/>
  <c r="T19" i="70" s="1"/>
  <c r="T20" i="70" s="1"/>
  <c r="T21" i="70" s="1"/>
  <c r="T22" i="70" s="1"/>
  <c r="T23" i="70" s="1"/>
  <c r="T24" i="70" s="1"/>
  <c r="T25" i="70" s="1"/>
  <c r="T26" i="70" s="1"/>
  <c r="T27" i="70" s="1"/>
  <c r="T28" i="70" s="1"/>
  <c r="T29" i="70" s="1"/>
  <c r="T30" i="70" s="1"/>
  <c r="T31" i="70" s="1"/>
  <c r="T32" i="70" s="1"/>
  <c r="T33" i="70" s="1"/>
  <c r="T34" i="70" s="1"/>
  <c r="T35" i="70" s="1"/>
  <c r="T36" i="70" s="1"/>
  <c r="T37" i="70" s="1"/>
  <c r="T38" i="70" s="1"/>
  <c r="T39" i="70" s="1"/>
  <c r="T40" i="70" s="1"/>
  <c r="T41" i="70" s="1"/>
  <c r="T42" i="70" s="1"/>
  <c r="T43" i="70" s="1"/>
  <c r="T44" i="70" s="1"/>
  <c r="T45" i="70" s="1"/>
  <c r="T46" i="70" s="1"/>
  <c r="T47" i="70" s="1"/>
  <c r="T48" i="70" s="1"/>
  <c r="T49" i="70" s="1"/>
  <c r="T50" i="70" s="1"/>
  <c r="T51" i="70" s="1"/>
  <c r="T52" i="70" s="1"/>
  <c r="T53" i="70" s="1"/>
  <c r="T54" i="70" s="1"/>
  <c r="T55" i="70" s="1"/>
  <c r="T56" i="70" s="1"/>
  <c r="T57" i="70" s="1"/>
  <c r="T58" i="70" s="1"/>
  <c r="T59" i="70" s="1"/>
  <c r="T60" i="70" s="1"/>
  <c r="T61" i="70" s="1"/>
  <c r="T62" i="70" s="1"/>
  <c r="T63" i="70" s="1"/>
  <c r="T64" i="70" s="1"/>
  <c r="T65" i="70" s="1"/>
  <c r="T66" i="70" s="1"/>
  <c r="T67" i="70" s="1"/>
  <c r="T68" i="70" s="1"/>
  <c r="T69" i="70" s="1"/>
  <c r="T70" i="70" s="1"/>
  <c r="T71" i="70" s="1"/>
  <c r="T72" i="70" s="1"/>
  <c r="T73" i="70" s="1"/>
  <c r="T74" i="70" s="1"/>
  <c r="T75" i="70" s="1"/>
  <c r="T76" i="70" s="1"/>
  <c r="T77" i="70" s="1"/>
  <c r="T78" i="70" s="1"/>
  <c r="T79" i="70" s="1"/>
  <c r="T80" i="70" s="1"/>
  <c r="T81" i="70" s="1"/>
  <c r="T82" i="70" s="1"/>
  <c r="T83" i="70" s="1"/>
  <c r="T84" i="70" s="1"/>
  <c r="T85" i="70" s="1"/>
  <c r="T86" i="70" s="1"/>
  <c r="T87" i="70" s="1"/>
  <c r="T88" i="70" s="1"/>
  <c r="T89" i="70" s="1"/>
  <c r="T90" i="70" s="1"/>
  <c r="T91" i="70" s="1"/>
  <c r="T92" i="70" s="1"/>
  <c r="T93" i="70" s="1"/>
  <c r="T94" i="70" s="1"/>
  <c r="T95" i="70" s="1"/>
  <c r="T96" i="70" s="1"/>
  <c r="T97" i="70" s="1"/>
  <c r="T98" i="70" s="1"/>
  <c r="T99" i="70" s="1"/>
  <c r="T100" i="70" s="1"/>
  <c r="T101" i="70" s="1"/>
  <c r="T102" i="70" s="1"/>
  <c r="T103" i="70" s="1"/>
  <c r="T104" i="70" s="1"/>
  <c r="T105" i="70" s="1"/>
  <c r="T106" i="70" s="1"/>
  <c r="T107" i="70" s="1"/>
  <c r="T108" i="70" s="1"/>
  <c r="T109" i="70" s="1"/>
  <c r="T110" i="70" s="1"/>
  <c r="T111" i="70" s="1"/>
  <c r="T112" i="70" s="1"/>
  <c r="T113" i="70" s="1"/>
  <c r="T114" i="70" s="1"/>
  <c r="T115" i="70" s="1"/>
  <c r="T116" i="70" s="1"/>
  <c r="T117" i="70" s="1"/>
  <c r="T118" i="70" s="1"/>
  <c r="T119" i="70" s="1"/>
  <c r="T120" i="70" s="1"/>
  <c r="T121" i="70" s="1"/>
  <c r="T122" i="70" s="1"/>
  <c r="T123" i="70" s="1"/>
  <c r="T124" i="70" s="1"/>
  <c r="T125" i="70" s="1"/>
  <c r="T126" i="70" s="1"/>
  <c r="T127" i="70" s="1"/>
  <c r="T128" i="70" s="1"/>
  <c r="T129" i="70" s="1"/>
  <c r="T130" i="70" s="1"/>
  <c r="T131" i="70" s="1"/>
  <c r="T132" i="70" s="1"/>
  <c r="T133" i="70" s="1"/>
  <c r="T134" i="70" s="1"/>
  <c r="T135" i="70" s="1"/>
  <c r="T136" i="70" s="1"/>
  <c r="T137" i="70" s="1"/>
  <c r="T138" i="70" s="1"/>
  <c r="T139" i="70" s="1"/>
  <c r="T140" i="70" s="1"/>
  <c r="T141" i="70" s="1"/>
  <c r="T142" i="70" s="1"/>
  <c r="T143" i="70" s="1"/>
  <c r="T144" i="70" s="1"/>
  <c r="T145" i="70" s="1"/>
  <c r="T146" i="70" s="1"/>
  <c r="T147" i="70" s="1"/>
  <c r="T148" i="70" s="1"/>
  <c r="T149" i="70" s="1"/>
  <c r="T150" i="70" s="1"/>
  <c r="T151" i="70" s="1"/>
  <c r="T152" i="70" s="1"/>
  <c r="T153" i="70" s="1"/>
  <c r="T154" i="70" s="1"/>
  <c r="T155" i="70" s="1"/>
  <c r="T156" i="70" s="1"/>
  <c r="T157" i="70" s="1"/>
  <c r="T158" i="70" s="1"/>
  <c r="T159" i="70" s="1"/>
  <c r="T160" i="70" s="1"/>
  <c r="T161" i="70" s="1"/>
  <c r="T162" i="70" s="1"/>
  <c r="T163" i="70" s="1"/>
  <c r="T164" i="70" s="1"/>
  <c r="T165" i="70" s="1"/>
  <c r="T166" i="70" s="1"/>
  <c r="T167" i="70" s="1"/>
  <c r="T168" i="70" s="1"/>
  <c r="T169" i="70" s="1"/>
  <c r="T170" i="70" s="1"/>
  <c r="T171" i="70" s="1"/>
  <c r="T172" i="70" s="1"/>
  <c r="T173" i="70" s="1"/>
  <c r="T174" i="70" s="1"/>
  <c r="T175" i="70" s="1"/>
  <c r="T176" i="70" s="1"/>
  <c r="T177" i="70" s="1"/>
  <c r="T178" i="70" s="1"/>
  <c r="T179" i="70" s="1"/>
  <c r="T180" i="70" s="1"/>
  <c r="T181" i="70" s="1"/>
  <c r="T182" i="70" s="1"/>
  <c r="T183" i="70" s="1"/>
  <c r="T184" i="70" s="1"/>
  <c r="T185" i="70" s="1"/>
  <c r="T186" i="70" s="1"/>
  <c r="T187" i="70" s="1"/>
  <c r="T188" i="70" s="1"/>
  <c r="T189" i="70" s="1"/>
  <c r="T190" i="70" s="1"/>
  <c r="T191" i="70" s="1"/>
  <c r="T192" i="70" s="1"/>
  <c r="T193" i="70" s="1"/>
  <c r="T194" i="70" s="1"/>
  <c r="T195" i="70" s="1"/>
  <c r="T196" i="70" s="1"/>
  <c r="T197" i="70" s="1"/>
  <c r="T198" i="70" s="1"/>
  <c r="T199" i="70" s="1"/>
  <c r="T200" i="70" s="1"/>
  <c r="T201" i="70" s="1"/>
  <c r="T202" i="70" s="1"/>
  <c r="T203" i="70" s="1"/>
  <c r="T204" i="70" s="1"/>
  <c r="T205" i="70" s="1"/>
  <c r="T206" i="70" s="1"/>
  <c r="T207" i="70" s="1"/>
  <c r="T208" i="70" s="1"/>
  <c r="T209" i="70" s="1"/>
  <c r="T210" i="70" s="1"/>
  <c r="T211" i="70" s="1"/>
  <c r="T212" i="70" s="1"/>
  <c r="T213" i="70" s="1"/>
  <c r="T214" i="70" s="1"/>
  <c r="T215" i="70" s="1"/>
  <c r="T216" i="70" s="1"/>
  <c r="T217" i="70" s="1"/>
  <c r="T218" i="70" s="1"/>
  <c r="T219" i="70" s="1"/>
  <c r="T220" i="70" s="1"/>
  <c r="T221" i="70" s="1"/>
  <c r="T222" i="70" s="1"/>
  <c r="T223" i="70" s="1"/>
  <c r="T224" i="70" s="1"/>
  <c r="T225" i="70" s="1"/>
  <c r="T226" i="70" s="1"/>
  <c r="T227" i="70" s="1"/>
  <c r="T228" i="70" s="1"/>
  <c r="T229" i="70" s="1"/>
  <c r="T230" i="70" s="1"/>
  <c r="T231" i="70" s="1"/>
  <c r="T232" i="70" s="1"/>
  <c r="T233" i="70" s="1"/>
  <c r="T234" i="70" s="1"/>
  <c r="T235" i="70" s="1"/>
  <c r="T236" i="70" s="1"/>
  <c r="T237" i="70" s="1"/>
  <c r="T238" i="70" s="1"/>
  <c r="T239" i="70" s="1"/>
  <c r="T240" i="70" s="1"/>
  <c r="T241" i="70" s="1"/>
  <c r="T242" i="70" s="1"/>
  <c r="T243" i="70" s="1"/>
  <c r="T244" i="70" s="1"/>
  <c r="T245" i="70" s="1"/>
  <c r="T246" i="70" s="1"/>
  <c r="T247" i="70" s="1"/>
  <c r="T248" i="70" s="1"/>
  <c r="T249" i="70" s="1"/>
  <c r="T250" i="70" s="1"/>
  <c r="T251" i="70" s="1"/>
  <c r="T252" i="70" s="1"/>
  <c r="T253" i="70" s="1"/>
  <c r="T254" i="70" s="1"/>
  <c r="T255" i="70" s="1"/>
  <c r="T256" i="70" s="1"/>
  <c r="T257" i="70" s="1"/>
  <c r="T258" i="70" s="1"/>
  <c r="T259" i="70" s="1"/>
  <c r="T260" i="70" s="1"/>
  <c r="T261" i="70" s="1"/>
  <c r="T262" i="70" s="1"/>
  <c r="T263" i="70" s="1"/>
  <c r="T264" i="70" s="1"/>
  <c r="T265" i="70" s="1"/>
  <c r="T266" i="70" s="1"/>
  <c r="T267" i="70" s="1"/>
  <c r="T268" i="70" s="1"/>
  <c r="T269" i="70" s="1"/>
  <c r="T270" i="70" s="1"/>
  <c r="T271" i="70" s="1"/>
  <c r="T272" i="70" s="1"/>
  <c r="T273" i="70" s="1"/>
  <c r="T274" i="70" s="1"/>
  <c r="T275" i="70" s="1"/>
  <c r="T276" i="70" s="1"/>
  <c r="T277" i="70" s="1"/>
  <c r="T278" i="70" s="1"/>
  <c r="T279" i="70" s="1"/>
  <c r="T280" i="70" s="1"/>
  <c r="T281" i="70" s="1"/>
  <c r="T282" i="70" s="1"/>
  <c r="T283" i="70" s="1"/>
  <c r="T284" i="70" s="1"/>
  <c r="T285" i="70" s="1"/>
  <c r="T286" i="70" s="1"/>
  <c r="T287" i="70" s="1"/>
  <c r="T288" i="70" s="1"/>
  <c r="T289" i="70" s="1"/>
  <c r="T290" i="70" s="1"/>
  <c r="T291" i="70" s="1"/>
  <c r="T292" i="70" s="1"/>
  <c r="T293" i="70" s="1"/>
  <c r="T294" i="70" s="1"/>
  <c r="T295" i="70" s="1"/>
  <c r="T296" i="70" s="1"/>
  <c r="T297" i="70" s="1"/>
  <c r="T298" i="70" s="1"/>
  <c r="T299" i="70" s="1"/>
  <c r="T300" i="70" s="1"/>
  <c r="T301" i="70" s="1"/>
  <c r="T302" i="70" s="1"/>
  <c r="T303" i="70" s="1"/>
  <c r="T304" i="70" s="1"/>
  <c r="T305" i="70" s="1"/>
  <c r="T306" i="70" s="1"/>
  <c r="T307" i="70" s="1"/>
  <c r="T308" i="70" s="1"/>
  <c r="T309" i="70" s="1"/>
  <c r="T310" i="70" s="1"/>
  <c r="T311" i="70" s="1"/>
  <c r="T312" i="70" s="1"/>
  <c r="T313" i="70" s="1"/>
  <c r="T314" i="70" s="1"/>
  <c r="T315" i="70" s="1"/>
  <c r="T316" i="70" s="1"/>
  <c r="T317" i="70" s="1"/>
  <c r="T318" i="70" s="1"/>
  <c r="T319" i="70" s="1"/>
  <c r="T320" i="70" s="1"/>
  <c r="T321" i="70" s="1"/>
  <c r="T322" i="70" s="1"/>
  <c r="T323" i="70" s="1"/>
  <c r="T324" i="70" s="1"/>
  <c r="T325" i="70" s="1"/>
  <c r="T326" i="70" s="1"/>
  <c r="T327" i="70" s="1"/>
  <c r="T328" i="70" s="1"/>
  <c r="T329" i="70" s="1"/>
  <c r="T330" i="70" s="1"/>
  <c r="T331" i="70" s="1"/>
  <c r="T332" i="70" s="1"/>
  <c r="T333" i="70" s="1"/>
  <c r="T334" i="70" s="1"/>
  <c r="T335" i="70" s="1"/>
  <c r="T336" i="70" s="1"/>
  <c r="T337" i="70" s="1"/>
  <c r="T338" i="70" s="1"/>
  <c r="T339" i="70" s="1"/>
  <c r="T340" i="70" s="1"/>
  <c r="T341" i="70" s="1"/>
  <c r="T342" i="70" s="1"/>
  <c r="T343" i="70" s="1"/>
  <c r="T344" i="70" s="1"/>
  <c r="T345" i="70" s="1"/>
  <c r="T346" i="70" s="1"/>
  <c r="T347" i="70" s="1"/>
  <c r="T348" i="70" s="1"/>
  <c r="T349" i="70" s="1"/>
  <c r="T350" i="70" s="1"/>
  <c r="T351" i="70" s="1"/>
  <c r="T352" i="70" s="1"/>
  <c r="T353" i="70" s="1"/>
  <c r="T354" i="70" s="1"/>
  <c r="T355" i="70" s="1"/>
  <c r="T356" i="70" s="1"/>
  <c r="T357" i="70" s="1"/>
  <c r="T358" i="70" s="1"/>
  <c r="T359" i="70" s="1"/>
  <c r="T360" i="70" s="1"/>
  <c r="T361" i="70" s="1"/>
  <c r="T362" i="70" s="1"/>
  <c r="T363" i="70" s="1"/>
  <c r="T364" i="70" s="1"/>
  <c r="T365" i="70" s="1"/>
  <c r="T366" i="70" s="1"/>
  <c r="T367" i="70" s="1"/>
  <c r="T368" i="70" s="1"/>
  <c r="T369" i="70" s="1"/>
  <c r="T370" i="70" s="1"/>
  <c r="T371" i="70" s="1"/>
  <c r="T372" i="70" s="1"/>
  <c r="T373" i="70" s="1"/>
  <c r="T374" i="70" s="1"/>
  <c r="T375" i="70" s="1"/>
  <c r="T376" i="70" s="1"/>
  <c r="T377" i="70" s="1"/>
  <c r="T378" i="70" s="1"/>
  <c r="T379" i="70" s="1"/>
  <c r="T380" i="70" s="1"/>
  <c r="T381" i="70" s="1"/>
  <c r="T382" i="70" s="1"/>
  <c r="T383" i="70" s="1"/>
  <c r="T384" i="70" s="1"/>
  <c r="T385" i="70" s="1"/>
  <c r="T386" i="70" s="1"/>
  <c r="T387" i="70" s="1"/>
  <c r="T388" i="70" s="1"/>
  <c r="T389" i="70" s="1"/>
  <c r="T390" i="70" s="1"/>
  <c r="T391" i="70" s="1"/>
  <c r="T392" i="70" s="1"/>
  <c r="T393" i="70" s="1"/>
  <c r="T394" i="70" s="1"/>
  <c r="T395" i="70" s="1"/>
  <c r="T396" i="70" s="1"/>
  <c r="T397" i="70" s="1"/>
  <c r="T398" i="70" s="1"/>
  <c r="T399" i="70" s="1"/>
  <c r="T400" i="70" s="1"/>
  <c r="T401" i="70" s="1"/>
  <c r="T402" i="70" s="1"/>
  <c r="T403" i="70" s="1"/>
  <c r="T404" i="70" s="1"/>
  <c r="T405" i="70" s="1"/>
  <c r="T406" i="70" s="1"/>
  <c r="T407" i="70" s="1"/>
  <c r="T408" i="70" s="1"/>
  <c r="T409" i="70" s="1"/>
  <c r="T410" i="70" s="1"/>
  <c r="T411" i="70" s="1"/>
  <c r="T412" i="70" s="1"/>
  <c r="T413" i="70" s="1"/>
  <c r="T414" i="70" s="1"/>
  <c r="T415" i="70" s="1"/>
  <c r="T416" i="70" s="1"/>
  <c r="T417" i="70" s="1"/>
  <c r="T418" i="70" s="1"/>
  <c r="T419" i="70" s="1"/>
  <c r="T420" i="70" s="1"/>
  <c r="T421" i="70" s="1"/>
  <c r="T422" i="70" s="1"/>
  <c r="T423" i="70" s="1"/>
  <c r="T424" i="70" s="1"/>
  <c r="T425" i="70" s="1"/>
  <c r="T426" i="70" s="1"/>
  <c r="T427" i="70" s="1"/>
  <c r="T428" i="70" s="1"/>
  <c r="T429" i="70" s="1"/>
  <c r="T430" i="70" s="1"/>
  <c r="T431" i="70" s="1"/>
  <c r="T432" i="70" s="1"/>
  <c r="T433" i="70" s="1"/>
  <c r="T434" i="70" s="1"/>
  <c r="T435" i="70" s="1"/>
  <c r="T436" i="70" s="1"/>
  <c r="T437" i="70" s="1"/>
  <c r="T438" i="70" s="1"/>
  <c r="T439" i="70" s="1"/>
  <c r="T440" i="70" s="1"/>
  <c r="T441" i="70" s="1"/>
  <c r="T442" i="70" s="1"/>
  <c r="T443" i="70" s="1"/>
  <c r="T444" i="70" s="1"/>
  <c r="T445" i="70" s="1"/>
  <c r="T446" i="70" s="1"/>
  <c r="T447" i="70" s="1"/>
  <c r="T448" i="70" s="1"/>
  <c r="T449" i="70" s="1"/>
  <c r="T450" i="70" s="1"/>
  <c r="T451" i="70" s="1"/>
  <c r="T452" i="70" s="1"/>
  <c r="T453" i="70" s="1"/>
  <c r="T454" i="70" s="1"/>
  <c r="T455" i="70" s="1"/>
  <c r="T456" i="70" s="1"/>
  <c r="T457" i="70" s="1"/>
  <c r="T458" i="70" s="1"/>
  <c r="T459" i="70" s="1"/>
  <c r="T460" i="70" s="1"/>
  <c r="T461" i="70" s="1"/>
  <c r="T462" i="70" s="1"/>
  <c r="T463" i="70" s="1"/>
  <c r="T464" i="70" s="1"/>
  <c r="T465" i="70" s="1"/>
  <c r="T466" i="70" s="1"/>
  <c r="T467" i="70" s="1"/>
  <c r="T468" i="70" s="1"/>
  <c r="T469" i="70" s="1"/>
  <c r="T470" i="70" s="1"/>
  <c r="T471" i="70" s="1"/>
  <c r="T472" i="70" s="1"/>
  <c r="T473" i="70" s="1"/>
  <c r="T474" i="70" s="1"/>
  <c r="T475" i="70" s="1"/>
  <c r="T476" i="70" s="1"/>
  <c r="T477" i="70" s="1"/>
  <c r="T478" i="70" s="1"/>
  <c r="T479" i="70" s="1"/>
  <c r="T480" i="70" s="1"/>
  <c r="T481" i="70" s="1"/>
  <c r="T482" i="70" s="1"/>
  <c r="T483" i="70" s="1"/>
  <c r="T484" i="70" s="1"/>
  <c r="T485" i="70" s="1"/>
  <c r="T486" i="70" s="1"/>
  <c r="T487" i="70" s="1"/>
  <c r="T488" i="70" s="1"/>
  <c r="T489" i="70" s="1"/>
  <c r="T490" i="70" s="1"/>
  <c r="T491" i="70" s="1"/>
  <c r="T492" i="70" s="1"/>
  <c r="T493" i="70" s="1"/>
  <c r="T494" i="70" s="1"/>
  <c r="T495" i="70" s="1"/>
  <c r="T496" i="70" s="1"/>
  <c r="T497" i="70" s="1"/>
  <c r="T498" i="70" s="1"/>
  <c r="T499" i="70" s="1"/>
  <c r="T500" i="70" s="1"/>
  <c r="T501" i="70" s="1"/>
  <c r="T502" i="70" s="1"/>
  <c r="T503" i="70" s="1"/>
  <c r="T504" i="70" s="1"/>
  <c r="T505" i="70" s="1"/>
  <c r="T506" i="70" s="1"/>
  <c r="T507" i="70" s="1"/>
  <c r="T508" i="70" s="1"/>
  <c r="T509" i="70" s="1"/>
  <c r="T510" i="70" s="1"/>
  <c r="T511" i="70" s="1"/>
  <c r="T512" i="70" s="1"/>
  <c r="T513" i="70" s="1"/>
  <c r="T514" i="70" s="1"/>
  <c r="T515" i="70" s="1"/>
  <c r="T516" i="70" s="1"/>
  <c r="T517" i="70" s="1"/>
  <c r="T518" i="70" s="1"/>
  <c r="T519" i="70" s="1"/>
  <c r="T520" i="70" s="1"/>
  <c r="T521" i="70" s="1"/>
  <c r="T522" i="70" s="1"/>
  <c r="T523" i="70" s="1"/>
  <c r="T524" i="70" s="1"/>
  <c r="T525" i="70" s="1"/>
  <c r="T526" i="70" s="1"/>
  <c r="T527" i="70" s="1"/>
  <c r="T528" i="70" s="1"/>
  <c r="T529" i="70" s="1"/>
  <c r="T530" i="70" s="1"/>
  <c r="T531" i="70" s="1"/>
  <c r="T532" i="70" s="1"/>
  <c r="T533" i="70" s="1"/>
  <c r="T534" i="70" s="1"/>
  <c r="T535" i="70" s="1"/>
  <c r="T536" i="70" s="1"/>
  <c r="T537" i="70" s="1"/>
  <c r="T538" i="70" s="1"/>
  <c r="T539" i="70" s="1"/>
  <c r="T540" i="70" s="1"/>
  <c r="T541" i="70" s="1"/>
  <c r="T542" i="70" s="1"/>
  <c r="T543" i="70" s="1"/>
  <c r="T544" i="70" s="1"/>
  <c r="T545" i="70" s="1"/>
  <c r="T546" i="70" s="1"/>
  <c r="T547" i="70" s="1"/>
  <c r="T548" i="70" s="1"/>
  <c r="T549" i="70" s="1"/>
  <c r="T550" i="70" s="1"/>
  <c r="T551" i="70" s="1"/>
  <c r="T552" i="70" s="1"/>
  <c r="T553" i="70" s="1"/>
  <c r="T554" i="70" s="1"/>
  <c r="T555" i="70" s="1"/>
  <c r="T556" i="70" s="1"/>
  <c r="T557" i="70" s="1"/>
  <c r="T558" i="70" s="1"/>
  <c r="T559" i="70" s="1"/>
  <c r="T560" i="70" s="1"/>
  <c r="T561" i="70" s="1"/>
  <c r="T562" i="70" s="1"/>
  <c r="T563" i="70" s="1"/>
  <c r="T564" i="70" s="1"/>
  <c r="T565" i="70" s="1"/>
  <c r="T566" i="70" s="1"/>
  <c r="T567" i="70" s="1"/>
  <c r="T568" i="70" s="1"/>
  <c r="T569" i="70" s="1"/>
  <c r="T570" i="70" s="1"/>
  <c r="T571" i="70" s="1"/>
  <c r="T572" i="70" s="1"/>
  <c r="T573" i="70" s="1"/>
  <c r="T574" i="70" s="1"/>
  <c r="T575" i="70" s="1"/>
  <c r="T576" i="70" s="1"/>
  <c r="T577" i="70" s="1"/>
  <c r="T578" i="70" s="1"/>
  <c r="T579" i="70" s="1"/>
  <c r="T580" i="70" s="1"/>
  <c r="T581" i="70" s="1"/>
  <c r="T582" i="70" s="1"/>
  <c r="T583" i="70" s="1"/>
  <c r="T584" i="70" s="1"/>
  <c r="T585" i="70" s="1"/>
  <c r="T586" i="70" s="1"/>
  <c r="T587" i="70" s="1"/>
  <c r="T588" i="70" s="1"/>
  <c r="T589" i="70" s="1"/>
  <c r="T590" i="70" s="1"/>
  <c r="T591" i="70" s="1"/>
  <c r="T592" i="70" s="1"/>
  <c r="T593" i="70" s="1"/>
  <c r="T594" i="70" s="1"/>
  <c r="T595" i="70" s="1"/>
  <c r="T596" i="70" s="1"/>
  <c r="T597" i="70" s="1"/>
  <c r="T598" i="70" s="1"/>
  <c r="T599" i="70" s="1"/>
  <c r="T600" i="70" s="1"/>
  <c r="T601" i="70" s="1"/>
  <c r="T602" i="70" s="1"/>
  <c r="AC14" i="70"/>
  <c r="AD14" i="70" s="1"/>
  <c r="AC12" i="70"/>
  <c r="AD12" i="70" s="1"/>
  <c r="AC20" i="70"/>
  <c r="AD20" i="70" s="1"/>
  <c r="AC4" i="70"/>
  <c r="AD4" i="70" s="1"/>
  <c r="AC22" i="70"/>
  <c r="AD22" i="70" s="1"/>
  <c r="AC3" i="70"/>
  <c r="AD3" i="70" s="1"/>
  <c r="AC30" i="70"/>
  <c r="AD30" i="70" s="1"/>
  <c r="AC11" i="70"/>
  <c r="AD11" i="70" s="1"/>
  <c r="AC29" i="70"/>
  <c r="AD29" i="70" s="1"/>
  <c r="AC28" i="70"/>
  <c r="AD28" i="70" s="1"/>
  <c r="AC9" i="70"/>
  <c r="AD9" i="70" s="1"/>
  <c r="AC19" i="70"/>
  <c r="AD19" i="70" s="1"/>
  <c r="AC5" i="70"/>
  <c r="AD5" i="70" s="1"/>
  <c r="AC7" i="70"/>
  <c r="AD7" i="70" s="1"/>
  <c r="AC8" i="70"/>
  <c r="AD8" i="70" s="1"/>
  <c r="AC17" i="70"/>
  <c r="AD17" i="70" s="1"/>
  <c r="AC27" i="70"/>
  <c r="AD27" i="70" s="1"/>
  <c r="AC13" i="70"/>
  <c r="AD13" i="70" s="1"/>
  <c r="AC26" i="70"/>
  <c r="AD26" i="70" s="1"/>
  <c r="AC15" i="70"/>
  <c r="AD15" i="70" s="1"/>
  <c r="AC16" i="70"/>
  <c r="AD16" i="70" s="1"/>
  <c r="AC18" i="70"/>
  <c r="AD18" i="70" s="1"/>
  <c r="AC25" i="70"/>
  <c r="AD25" i="70" s="1"/>
  <c r="AC10" i="70"/>
  <c r="AD10" i="70" s="1"/>
  <c r="AC21" i="70"/>
  <c r="AD21" i="70" s="1"/>
  <c r="AC23" i="70"/>
  <c r="AD23" i="70" s="1"/>
  <c r="AC24" i="70"/>
  <c r="AD24" i="70" s="1"/>
  <c r="AC6" i="70"/>
  <c r="AD6" i="70" s="1"/>
  <c r="AC31" i="70"/>
  <c r="AD31" i="70" s="1"/>
  <c r="AC32" i="70"/>
  <c r="AD32" i="70" s="1"/>
  <c r="AC123" i="70"/>
  <c r="AD123" i="70" s="1"/>
  <c r="AC124" i="70"/>
  <c r="AD124" i="70" s="1"/>
  <c r="AC125" i="70"/>
  <c r="AD125" i="70" s="1"/>
  <c r="AC126" i="70"/>
  <c r="AD126" i="70" s="1"/>
  <c r="AC127" i="70"/>
  <c r="AD127" i="70" s="1"/>
  <c r="AC128" i="70"/>
  <c r="AD128" i="70" s="1"/>
  <c r="AC129" i="70"/>
  <c r="AD129" i="70" s="1"/>
  <c r="AC130" i="70"/>
  <c r="AD130" i="70" s="1"/>
  <c r="AC131" i="70"/>
  <c r="AD131" i="70" s="1"/>
  <c r="AC132" i="70"/>
  <c r="AD132" i="70" s="1"/>
  <c r="AC133" i="70"/>
  <c r="AD133" i="70" s="1"/>
  <c r="AC134" i="70"/>
  <c r="AD134" i="70" s="1"/>
  <c r="AC135" i="70"/>
  <c r="AD135" i="70" s="1"/>
  <c r="AC136" i="70"/>
  <c r="AD136" i="70" s="1"/>
  <c r="AC137" i="70"/>
  <c r="AD137" i="70" s="1"/>
  <c r="AC138" i="70"/>
  <c r="AD138" i="70" s="1"/>
  <c r="AC139" i="70"/>
  <c r="AD139" i="70" s="1"/>
  <c r="AC140" i="70"/>
  <c r="AD140" i="70" s="1"/>
  <c r="AC141" i="70"/>
  <c r="AD141" i="70" s="1"/>
  <c r="AC142" i="70"/>
  <c r="AD142" i="70" s="1"/>
  <c r="AC143" i="70"/>
  <c r="AD143" i="70" s="1"/>
  <c r="AC144" i="70"/>
  <c r="AD144" i="70" s="1"/>
  <c r="AC145" i="70"/>
  <c r="AD145" i="70" s="1"/>
  <c r="AC146" i="70"/>
  <c r="AD146" i="70" s="1"/>
  <c r="AC147" i="70"/>
  <c r="AD147" i="70" s="1"/>
  <c r="AC148" i="70"/>
  <c r="AD148" i="70" s="1"/>
  <c r="AC149" i="70"/>
  <c r="AD149" i="70" s="1"/>
  <c r="AC150" i="70"/>
  <c r="AD150" i="70" s="1"/>
  <c r="AC151" i="70"/>
  <c r="AD151" i="70" s="1"/>
  <c r="AC152" i="70"/>
  <c r="AD152" i="70" s="1"/>
  <c r="AC243" i="70"/>
  <c r="AD243" i="70" s="1"/>
  <c r="AC244" i="70"/>
  <c r="AD244" i="70" s="1"/>
  <c r="AC245" i="70"/>
  <c r="AD245" i="70" s="1"/>
  <c r="AC246" i="70"/>
  <c r="AD246" i="70" s="1"/>
  <c r="AC247" i="70"/>
  <c r="AD247" i="70" s="1"/>
  <c r="AC248" i="70"/>
  <c r="AD248" i="70" s="1"/>
  <c r="AC249" i="70"/>
  <c r="AD249" i="70" s="1"/>
  <c r="AC250" i="70"/>
  <c r="AD250" i="70" s="1"/>
  <c r="AC251" i="70"/>
  <c r="AD251" i="70" s="1"/>
  <c r="AC252" i="70"/>
  <c r="AD252" i="70" s="1"/>
  <c r="AC253" i="70"/>
  <c r="AD253" i="70" s="1"/>
  <c r="AC254" i="70"/>
  <c r="AD254" i="70" s="1"/>
  <c r="AC255" i="70"/>
  <c r="AD255" i="70" s="1"/>
  <c r="AC256" i="70"/>
  <c r="AD256" i="70" s="1"/>
  <c r="AC257" i="70"/>
  <c r="AD257" i="70" s="1"/>
  <c r="AC258" i="70"/>
  <c r="AD258" i="70" s="1"/>
  <c r="AC259" i="70"/>
  <c r="AD259" i="70" s="1"/>
  <c r="AC260" i="70"/>
  <c r="AD260" i="70" s="1"/>
  <c r="AC261" i="70"/>
  <c r="AD261" i="70" s="1"/>
  <c r="AC262" i="70"/>
  <c r="AD262" i="70" s="1"/>
  <c r="AC263" i="70"/>
  <c r="AD263" i="70" s="1"/>
  <c r="AC264" i="70"/>
  <c r="AD264" i="70" s="1"/>
  <c r="AC265" i="70"/>
  <c r="AD265" i="70" s="1"/>
  <c r="AC266" i="70"/>
  <c r="AD266" i="70" s="1"/>
  <c r="AC267" i="70"/>
  <c r="AD267" i="70" s="1"/>
  <c r="AC268" i="70"/>
  <c r="AD268" i="70" s="1"/>
  <c r="AC269" i="70"/>
  <c r="AD269" i="70" s="1"/>
  <c r="AC270" i="70"/>
  <c r="AD270" i="70" s="1"/>
  <c r="AC271" i="70"/>
  <c r="AD271" i="70" s="1"/>
  <c r="AC272" i="70"/>
  <c r="AD272" i="70" s="1"/>
  <c r="I602" i="70"/>
  <c r="J602" i="70" s="1"/>
  <c r="J603" i="70" s="1"/>
  <c r="Y3" i="70"/>
  <c r="U4" i="70" l="1"/>
  <c r="AC602" i="70"/>
  <c r="AD602" i="70" s="1"/>
  <c r="AD1" i="70" s="1"/>
  <c r="N101" i="10" s="1"/>
  <c r="U5" i="70" l="1"/>
  <c r="Z5" i="70" s="1"/>
  <c r="Y4" i="70"/>
  <c r="Z4" i="70"/>
  <c r="AC1" i="70"/>
  <c r="N74" i="10"/>
  <c r="Q39" i="10"/>
  <c r="F2" i="10" s="1"/>
  <c r="G2" i="10" s="1"/>
  <c r="N83" i="10"/>
  <c r="N92" i="10"/>
  <c r="Y5" i="70"/>
  <c r="U6" i="70" l="1"/>
  <c r="Z6" i="70" s="1"/>
  <c r="F5" i="10"/>
  <c r="Y6" i="70" l="1"/>
  <c r="U7" i="70"/>
  <c r="Z7" i="70" s="1"/>
  <c r="Y7" i="70" l="1"/>
  <c r="U8" i="70"/>
  <c r="Z8" i="70" s="1"/>
  <c r="U9" i="70" l="1"/>
  <c r="Z9" i="70" s="1"/>
  <c r="Y8" i="70"/>
  <c r="U10" i="70" l="1"/>
  <c r="Z10" i="70" s="1"/>
  <c r="Y9" i="70"/>
  <c r="Y10" i="70"/>
  <c r="U11" i="70"/>
  <c r="Z11" i="70" s="1"/>
  <c r="U12" i="70" l="1"/>
  <c r="Z12" i="70" s="1"/>
  <c r="Y11" i="70"/>
  <c r="Y12" i="70" l="1"/>
  <c r="U13" i="70"/>
  <c r="Z13" i="70" s="1"/>
  <c r="Y13" i="70" l="1"/>
  <c r="U14" i="70"/>
  <c r="Z14" i="70" s="1"/>
  <c r="Y14" i="70" l="1"/>
  <c r="U15" i="70"/>
  <c r="Z15" i="70" s="1"/>
  <c r="U16" i="70" l="1"/>
  <c r="Z16" i="70" s="1"/>
  <c r="Y15" i="70"/>
  <c r="Y16" i="70" l="1"/>
  <c r="U17" i="70"/>
  <c r="Z17" i="70" s="1"/>
  <c r="Y17" i="70" l="1"/>
  <c r="U18" i="70"/>
  <c r="Z18" i="70" s="1"/>
  <c r="U19" i="70" l="1"/>
  <c r="Z19" i="70" s="1"/>
  <c r="Y18" i="70"/>
  <c r="Y19" i="70" l="1"/>
  <c r="U20" i="70"/>
  <c r="Z20" i="70" s="1"/>
  <c r="U21" i="70" l="1"/>
  <c r="Z21" i="70" s="1"/>
  <c r="Y20" i="70"/>
  <c r="Y21" i="70" l="1"/>
  <c r="U22" i="70"/>
  <c r="Z22" i="70" s="1"/>
  <c r="Y22" i="70" l="1"/>
  <c r="U23" i="70"/>
  <c r="Z23" i="70" s="1"/>
  <c r="Y23" i="70" l="1"/>
  <c r="U24" i="70"/>
  <c r="Z24" i="70" s="1"/>
  <c r="Y24" i="70" l="1"/>
  <c r="U25" i="70"/>
  <c r="Z25" i="70" s="1"/>
  <c r="Y25" i="70" l="1"/>
  <c r="U26" i="70"/>
  <c r="Z26" i="70" s="1"/>
  <c r="U27" i="70" l="1"/>
  <c r="Z27" i="70" s="1"/>
  <c r="Y26" i="70"/>
  <c r="Y27" i="70" l="1"/>
  <c r="U28" i="70"/>
  <c r="Z28" i="70" s="1"/>
  <c r="U29" i="70" l="1"/>
  <c r="Z29" i="70" s="1"/>
  <c r="Y28" i="70"/>
  <c r="Y29" i="70" l="1"/>
  <c r="U30" i="70"/>
  <c r="Z30" i="70" s="1"/>
  <c r="Y30" i="70" l="1"/>
  <c r="U31" i="70"/>
  <c r="Z31" i="70" s="1"/>
  <c r="U32" i="70" l="1"/>
  <c r="Z32" i="70" s="1"/>
  <c r="Y31" i="70"/>
  <c r="Y32" i="70" l="1"/>
  <c r="U33" i="70"/>
  <c r="Z33" i="70" s="1"/>
  <c r="U34" i="70" l="1"/>
  <c r="Z34" i="70" s="1"/>
  <c r="AA33" i="70"/>
  <c r="Y33" i="70"/>
  <c r="U35" i="70" l="1"/>
  <c r="Z35" i="70" s="1"/>
  <c r="Y34" i="70"/>
  <c r="AA34" i="70"/>
  <c r="AA35" i="70" l="1"/>
  <c r="Y35" i="70"/>
  <c r="U36" i="70"/>
  <c r="Z36" i="70" s="1"/>
  <c r="U37" i="70" l="1"/>
  <c r="Z37" i="70" s="1"/>
  <c r="Y36" i="70"/>
  <c r="AA36" i="70"/>
  <c r="U38" i="70" l="1"/>
  <c r="Z38" i="70" s="1"/>
  <c r="AA37" i="70"/>
  <c r="Y37" i="70"/>
  <c r="U39" i="70" l="1"/>
  <c r="Z39" i="70" s="1"/>
  <c r="AA38" i="70"/>
  <c r="Y38" i="70"/>
  <c r="Y39" i="70" l="1"/>
  <c r="AA39" i="70"/>
  <c r="U40" i="70"/>
  <c r="Z40" i="70" s="1"/>
  <c r="U41" i="70" l="1"/>
  <c r="Z41" i="70" s="1"/>
  <c r="AA40" i="70"/>
  <c r="Y40" i="70"/>
  <c r="U42" i="70" l="1"/>
  <c r="Z42" i="70" s="1"/>
  <c r="Y41" i="70"/>
  <c r="AA41" i="70"/>
  <c r="U43" i="70" l="1"/>
  <c r="Z43" i="70" s="1"/>
  <c r="AA42" i="70"/>
  <c r="Y42" i="70"/>
  <c r="AA43" i="70" l="1"/>
  <c r="Y43" i="70"/>
  <c r="U44" i="70"/>
  <c r="Z44" i="70" s="1"/>
  <c r="AA44" i="70" l="1"/>
  <c r="Y44" i="70"/>
  <c r="U45" i="70"/>
  <c r="Z45" i="70" s="1"/>
  <c r="U46" i="70" l="1"/>
  <c r="Z46" i="70" s="1"/>
  <c r="Y45" i="70"/>
  <c r="AA45" i="70"/>
  <c r="U47" i="70" l="1"/>
  <c r="Z47" i="70" s="1"/>
  <c r="AA46" i="70"/>
  <c r="Y46" i="70"/>
  <c r="AA47" i="70" l="1"/>
  <c r="Y47" i="70"/>
  <c r="U48" i="70"/>
  <c r="Z48" i="70" s="1"/>
  <c r="U49" i="70" l="1"/>
  <c r="Z49" i="70" s="1"/>
  <c r="Y48" i="70"/>
  <c r="AA48" i="70"/>
  <c r="U50" i="70" l="1"/>
  <c r="Z50" i="70" s="1"/>
  <c r="AA49" i="70"/>
  <c r="Y49" i="70"/>
  <c r="U51" i="70" l="1"/>
  <c r="Z51" i="70" s="1"/>
  <c r="AA50" i="70"/>
  <c r="Y50" i="70"/>
  <c r="Y51" i="70" l="1"/>
  <c r="AA51" i="70"/>
  <c r="U52" i="70"/>
  <c r="Z52" i="70" s="1"/>
  <c r="AA52" i="70" l="1"/>
  <c r="Y52" i="70"/>
  <c r="U53" i="70"/>
  <c r="Z53" i="70" s="1"/>
  <c r="U54" i="70" l="1"/>
  <c r="Z54" i="70" s="1"/>
  <c r="Y53" i="70"/>
  <c r="AA53" i="70"/>
  <c r="U55" i="70" l="1"/>
  <c r="Z55" i="70" s="1"/>
  <c r="AA54" i="70"/>
  <c r="Y54" i="70"/>
  <c r="Y55" i="70" l="1"/>
  <c r="AA55" i="70"/>
  <c r="U56" i="70"/>
  <c r="Z56" i="70" s="1"/>
  <c r="AA56" i="70" l="1"/>
  <c r="Y56" i="70"/>
  <c r="U57" i="70"/>
  <c r="Z57" i="70" s="1"/>
  <c r="AA57" i="70" l="1"/>
  <c r="Y57" i="70"/>
  <c r="U58" i="70"/>
  <c r="Z58" i="70" s="1"/>
  <c r="U59" i="70" l="1"/>
  <c r="Z59" i="70" s="1"/>
  <c r="AA58" i="70"/>
  <c r="Y58" i="70"/>
  <c r="AA59" i="70" l="1"/>
  <c r="Y59" i="70"/>
  <c r="U60" i="70"/>
  <c r="Z60" i="70" s="1"/>
  <c r="U61" i="70" l="1"/>
  <c r="Z61" i="70" s="1"/>
  <c r="AA60" i="70"/>
  <c r="Y60" i="70"/>
  <c r="U62" i="70" l="1"/>
  <c r="Z62" i="70" s="1"/>
  <c r="AA61" i="70"/>
  <c r="Y61" i="70"/>
  <c r="U63" i="70" l="1"/>
  <c r="Z63" i="70" s="1"/>
  <c r="AA62" i="70"/>
  <c r="Y62" i="70"/>
  <c r="Y63" i="70" l="1"/>
  <c r="AA63" i="70"/>
  <c r="U64" i="70"/>
  <c r="Z64" i="70" s="1"/>
  <c r="U65" i="70" l="1"/>
  <c r="Z65" i="70" s="1"/>
  <c r="Y64" i="70"/>
  <c r="AA64" i="70"/>
  <c r="U66" i="70" l="1"/>
  <c r="Z66" i="70" s="1"/>
  <c r="Y65" i="70"/>
  <c r="AA65" i="70"/>
  <c r="U67" i="70" l="1"/>
  <c r="Z67" i="70" s="1"/>
  <c r="Y66" i="70"/>
  <c r="AA66" i="70"/>
  <c r="U68" i="70" l="1"/>
  <c r="Z68" i="70" s="1"/>
  <c r="Y67" i="70"/>
  <c r="AA67" i="70"/>
  <c r="AA68" i="70" l="1"/>
  <c r="Y68" i="70"/>
  <c r="U69" i="70"/>
  <c r="Z69" i="70" s="1"/>
  <c r="U70" i="70" l="1"/>
  <c r="Z70" i="70" s="1"/>
  <c r="AA69" i="70"/>
  <c r="Y69" i="70"/>
  <c r="U71" i="70" l="1"/>
  <c r="Z71" i="70" s="1"/>
  <c r="Y70" i="70"/>
  <c r="AA70" i="70"/>
  <c r="Y71" i="70" l="1"/>
  <c r="AA71" i="70"/>
  <c r="U72" i="70"/>
  <c r="Z72" i="70" s="1"/>
  <c r="U73" i="70" l="1"/>
  <c r="Z73" i="70" s="1"/>
  <c r="AA72" i="70"/>
  <c r="Y72" i="70"/>
  <c r="U74" i="70" l="1"/>
  <c r="Z74" i="70" s="1"/>
  <c r="Y73" i="70"/>
  <c r="AA73" i="70"/>
  <c r="U75" i="70" l="1"/>
  <c r="Z75" i="70" s="1"/>
  <c r="Y74" i="70"/>
  <c r="AA74" i="70"/>
  <c r="U76" i="70" l="1"/>
  <c r="Z76" i="70" s="1"/>
  <c r="Y75" i="70"/>
  <c r="AA75" i="70"/>
  <c r="AA76" i="70" l="1"/>
  <c r="Y76" i="70"/>
  <c r="U77" i="70"/>
  <c r="Z77" i="70" s="1"/>
  <c r="Y77" i="70" l="1"/>
  <c r="AA77" i="70"/>
  <c r="U78" i="70"/>
  <c r="Z78" i="70" s="1"/>
  <c r="U79" i="70" l="1"/>
  <c r="Z79" i="70" s="1"/>
  <c r="Y78" i="70"/>
  <c r="AA78" i="70"/>
  <c r="Y79" i="70" l="1"/>
  <c r="AA79" i="70"/>
  <c r="U80" i="70"/>
  <c r="Z80" i="70" s="1"/>
  <c r="U81" i="70" l="1"/>
  <c r="Z81" i="70" s="1"/>
  <c r="Y80" i="70"/>
  <c r="AA80" i="70"/>
  <c r="Y81" i="70" l="1"/>
  <c r="AA81" i="70"/>
  <c r="U82" i="70"/>
  <c r="Z82" i="70" s="1"/>
  <c r="U83" i="70" l="1"/>
  <c r="Z83" i="70" s="1"/>
  <c r="AA82" i="70"/>
  <c r="Y82" i="70"/>
  <c r="Y83" i="70" l="1"/>
  <c r="AA83" i="70"/>
  <c r="U84" i="70"/>
  <c r="Z84" i="70" s="1"/>
  <c r="Y84" i="70" l="1"/>
  <c r="AA84" i="70"/>
  <c r="U85" i="70"/>
  <c r="Z85" i="70" s="1"/>
  <c r="U86" i="70" l="1"/>
  <c r="Z86" i="70" s="1"/>
  <c r="AA85" i="70"/>
  <c r="Y85" i="70"/>
  <c r="Y86" i="70" l="1"/>
  <c r="AA86" i="70"/>
  <c r="U87" i="70"/>
  <c r="Z87" i="70" s="1"/>
  <c r="AA87" i="70" l="1"/>
  <c r="Y87" i="70"/>
  <c r="U88" i="70"/>
  <c r="Z88" i="70" s="1"/>
  <c r="Y88" i="70" l="1"/>
  <c r="AA88" i="70"/>
  <c r="U89" i="70"/>
  <c r="Z89" i="70" s="1"/>
  <c r="U90" i="70" l="1"/>
  <c r="Z90" i="70" s="1"/>
  <c r="AA89" i="70"/>
  <c r="Y89" i="70"/>
  <c r="Y90" i="70" l="1"/>
  <c r="AA90" i="70"/>
  <c r="U91" i="70"/>
  <c r="Z91" i="70" s="1"/>
  <c r="U92" i="70" l="1"/>
  <c r="Z92" i="70" s="1"/>
  <c r="Y91" i="70"/>
  <c r="AA91" i="70"/>
  <c r="U93" i="70" l="1"/>
  <c r="Z93" i="70" s="1"/>
  <c r="Y92" i="70"/>
  <c r="AA92" i="70"/>
  <c r="AA93" i="70" l="1"/>
  <c r="Y93" i="70"/>
  <c r="U94" i="70"/>
  <c r="Z94" i="70" s="1"/>
  <c r="Y94" i="70" l="1"/>
  <c r="AA94" i="70"/>
  <c r="U95" i="70"/>
  <c r="Z95" i="70" s="1"/>
  <c r="AA95" i="70" l="1"/>
  <c r="Y95" i="70"/>
  <c r="U96" i="70"/>
  <c r="Z96" i="70" s="1"/>
  <c r="Y96" i="70" l="1"/>
  <c r="AA96" i="70"/>
  <c r="U97" i="70"/>
  <c r="Z97" i="70" s="1"/>
  <c r="AA97" i="70" l="1"/>
  <c r="Y97" i="70"/>
  <c r="U98" i="70"/>
  <c r="Z98" i="70" s="1"/>
  <c r="AA98" i="70" l="1"/>
  <c r="Y98" i="70"/>
  <c r="U99" i="70"/>
  <c r="Z99" i="70" s="1"/>
  <c r="AA99" i="70" l="1"/>
  <c r="Y99" i="70"/>
  <c r="U100" i="70"/>
  <c r="Z100" i="70" s="1"/>
  <c r="Y100" i="70" l="1"/>
  <c r="AA100" i="70"/>
  <c r="U101" i="70"/>
  <c r="Z101" i="70" s="1"/>
  <c r="U102" i="70" l="1"/>
  <c r="Z102" i="70" s="1"/>
  <c r="AA101" i="70"/>
  <c r="Y101" i="70"/>
  <c r="U103" i="70" l="1"/>
  <c r="Z103" i="70" s="1"/>
  <c r="Y102" i="70"/>
  <c r="AA102" i="70"/>
  <c r="U104" i="70" l="1"/>
  <c r="Z104" i="70" s="1"/>
  <c r="AA103" i="70"/>
  <c r="Y103" i="70"/>
  <c r="Y104" i="70" l="1"/>
  <c r="AA104" i="70"/>
  <c r="U105" i="70"/>
  <c r="Z105" i="70" s="1"/>
  <c r="AA105" i="70" l="1"/>
  <c r="Y105" i="70"/>
  <c r="U106" i="70"/>
  <c r="Z106" i="70" s="1"/>
  <c r="Y106" i="70" l="1"/>
  <c r="AA106" i="70"/>
  <c r="U107" i="70"/>
  <c r="Z107" i="70" s="1"/>
  <c r="AA107" i="70" l="1"/>
  <c r="Y107" i="70"/>
  <c r="U108" i="70"/>
  <c r="Z108" i="70" s="1"/>
  <c r="Y108" i="70" l="1"/>
  <c r="AA108" i="70"/>
  <c r="U109" i="70"/>
  <c r="Z109" i="70" s="1"/>
  <c r="U110" i="70" l="1"/>
  <c r="Z110" i="70" s="1"/>
  <c r="AA109" i="70"/>
  <c r="Y109" i="70"/>
  <c r="U111" i="70" l="1"/>
  <c r="Z111" i="70" s="1"/>
  <c r="Y110" i="70"/>
  <c r="AA110" i="70"/>
  <c r="U112" i="70" l="1"/>
  <c r="Z112" i="70" s="1"/>
  <c r="AA111" i="70"/>
  <c r="Y111" i="70"/>
  <c r="Y112" i="70" l="1"/>
  <c r="AA112" i="70"/>
  <c r="U113" i="70"/>
  <c r="Z113" i="70" s="1"/>
  <c r="AA113" i="70" l="1"/>
  <c r="Y113" i="70"/>
  <c r="U114" i="70"/>
  <c r="Z114" i="70" s="1"/>
  <c r="U115" i="70" l="1"/>
  <c r="Z115" i="70" s="1"/>
  <c r="Y114" i="70"/>
  <c r="AA114" i="70"/>
  <c r="U116" i="70" l="1"/>
  <c r="Z116" i="70" s="1"/>
  <c r="AA115" i="70"/>
  <c r="Y115" i="70"/>
  <c r="U117" i="70" l="1"/>
  <c r="Z117" i="70" s="1"/>
  <c r="Y116" i="70"/>
  <c r="AA116" i="70"/>
  <c r="AA117" i="70" l="1"/>
  <c r="Y117" i="70"/>
  <c r="U118" i="70"/>
  <c r="Z118" i="70" s="1"/>
  <c r="AA118" i="70" l="1"/>
  <c r="Y118" i="70"/>
  <c r="U119" i="70"/>
  <c r="Z119" i="70" s="1"/>
  <c r="AA119" i="70" l="1"/>
  <c r="Y119" i="70"/>
  <c r="U120" i="70"/>
  <c r="Z120" i="70" s="1"/>
  <c r="U121" i="70" l="1"/>
  <c r="Z121" i="70" s="1"/>
  <c r="Y120" i="70"/>
  <c r="AA120" i="70"/>
  <c r="U122" i="70" l="1"/>
  <c r="Z122" i="70" s="1"/>
  <c r="AA121" i="70"/>
  <c r="Y121" i="70"/>
  <c r="Y122" i="70" l="1"/>
  <c r="AA122" i="70"/>
  <c r="U123" i="70"/>
  <c r="Z123" i="70" s="1"/>
  <c r="Y123" i="70" l="1"/>
  <c r="AA123" i="70"/>
  <c r="U124" i="70"/>
  <c r="Z124" i="70" s="1"/>
  <c r="AA124" i="70" l="1"/>
  <c r="Y124" i="70"/>
  <c r="U125" i="70"/>
  <c r="Z125" i="70" s="1"/>
  <c r="Y125" i="70" l="1"/>
  <c r="AA125" i="70"/>
  <c r="U126" i="70"/>
  <c r="Z126" i="70" s="1"/>
  <c r="AA126" i="70" l="1"/>
  <c r="Y126" i="70"/>
  <c r="U127" i="70"/>
  <c r="Z127" i="70" s="1"/>
  <c r="U128" i="70" l="1"/>
  <c r="Z128" i="70" s="1"/>
  <c r="Y127" i="70"/>
  <c r="AA127" i="70"/>
  <c r="U129" i="70" l="1"/>
  <c r="Z129" i="70" s="1"/>
  <c r="AA128" i="70"/>
  <c r="Y128" i="70"/>
  <c r="Y129" i="70" l="1"/>
  <c r="AA129" i="70"/>
  <c r="U130" i="70"/>
  <c r="Z130" i="70" s="1"/>
  <c r="AA130" i="70" l="1"/>
  <c r="Y130" i="70"/>
  <c r="U131" i="70"/>
  <c r="Z131" i="70" s="1"/>
  <c r="Y131" i="70" l="1"/>
  <c r="AA131" i="70"/>
  <c r="U132" i="70"/>
  <c r="Z132" i="70" s="1"/>
  <c r="AA132" i="70" l="1"/>
  <c r="Y132" i="70"/>
  <c r="U133" i="70"/>
  <c r="Z133" i="70" s="1"/>
  <c r="Y133" i="70" l="1"/>
  <c r="AA133" i="70"/>
  <c r="U134" i="70"/>
  <c r="Z134" i="70" s="1"/>
  <c r="Y134" i="70" l="1"/>
  <c r="AA134" i="70"/>
  <c r="U135" i="70"/>
  <c r="Z135" i="70" s="1"/>
  <c r="Y135" i="70" l="1"/>
  <c r="AA135" i="70"/>
  <c r="U136" i="70"/>
  <c r="Z136" i="70" s="1"/>
  <c r="Y136" i="70" l="1"/>
  <c r="AA136" i="70"/>
  <c r="U137" i="70"/>
  <c r="Z137" i="70" s="1"/>
  <c r="Y137" i="70" l="1"/>
  <c r="AA137" i="70"/>
  <c r="U138" i="70"/>
  <c r="Z138" i="70" s="1"/>
  <c r="Y138" i="70" l="1"/>
  <c r="AA138" i="70"/>
  <c r="U139" i="70"/>
  <c r="Z139" i="70" s="1"/>
  <c r="AA139" i="70" l="1"/>
  <c r="Y139" i="70"/>
  <c r="U140" i="70"/>
  <c r="Z140" i="70" s="1"/>
  <c r="AA140" i="70" l="1"/>
  <c r="Y140" i="70"/>
  <c r="U141" i="70"/>
  <c r="Z141" i="70" s="1"/>
  <c r="AA141" i="70" l="1"/>
  <c r="Y141" i="70"/>
  <c r="U142" i="70"/>
  <c r="Z142" i="70" s="1"/>
  <c r="U143" i="70" l="1"/>
  <c r="Z143" i="70" s="1"/>
  <c r="Y142" i="70"/>
  <c r="AA142" i="70"/>
  <c r="AA143" i="70" l="1"/>
  <c r="Y143" i="70"/>
  <c r="U144" i="70"/>
  <c r="Z144" i="70" s="1"/>
  <c r="U145" i="70" l="1"/>
  <c r="Z145" i="70" s="1"/>
  <c r="Y144" i="70"/>
  <c r="AA144" i="70"/>
  <c r="AA145" i="70" l="1"/>
  <c r="Y145" i="70"/>
  <c r="U146" i="70"/>
  <c r="Z146" i="70" s="1"/>
  <c r="AA146" i="70" l="1"/>
  <c r="Y146" i="70"/>
  <c r="U147" i="70"/>
  <c r="Z147" i="70" s="1"/>
  <c r="AA147" i="70" l="1"/>
  <c r="Y147" i="70"/>
  <c r="U148" i="70"/>
  <c r="Z148" i="70" s="1"/>
  <c r="AA148" i="70" l="1"/>
  <c r="Y148" i="70"/>
  <c r="U149" i="70"/>
  <c r="Z149" i="70" s="1"/>
  <c r="Y149" i="70" l="1"/>
  <c r="AA149" i="70"/>
  <c r="U150" i="70"/>
  <c r="Z150" i="70" s="1"/>
  <c r="U151" i="70" l="1"/>
  <c r="Z151" i="70" s="1"/>
  <c r="Y150" i="70"/>
  <c r="AA150" i="70"/>
  <c r="AA151" i="70" l="1"/>
  <c r="Y151" i="70"/>
  <c r="U152" i="70"/>
  <c r="Z152" i="70" s="1"/>
  <c r="U153" i="70" l="1"/>
  <c r="Z153" i="70" s="1"/>
  <c r="Y152" i="70"/>
  <c r="AA152" i="70"/>
  <c r="U154" i="70" l="1"/>
  <c r="Z154" i="70" s="1"/>
  <c r="Y153" i="70"/>
  <c r="AA153" i="70"/>
  <c r="U155" i="70" l="1"/>
  <c r="Z155" i="70" s="1"/>
  <c r="AA154" i="70"/>
  <c r="Y154" i="70"/>
  <c r="U156" i="70" l="1"/>
  <c r="Z156" i="70" s="1"/>
  <c r="AA155" i="70"/>
  <c r="Y155" i="70"/>
  <c r="U157" i="70" l="1"/>
  <c r="Z157" i="70" s="1"/>
  <c r="AA156" i="70"/>
  <c r="Y156" i="70"/>
  <c r="U158" i="70" l="1"/>
  <c r="Z158" i="70" s="1"/>
  <c r="Y157" i="70"/>
  <c r="AA157" i="70"/>
  <c r="U159" i="70" l="1"/>
  <c r="Z159" i="70" s="1"/>
  <c r="AA158" i="70"/>
  <c r="Y158" i="70"/>
  <c r="U160" i="70" l="1"/>
  <c r="Z160" i="70" s="1"/>
  <c r="AA159" i="70"/>
  <c r="Y159" i="70"/>
  <c r="U161" i="70" l="1"/>
  <c r="Z161" i="70" s="1"/>
  <c r="AA160" i="70"/>
  <c r="Y160" i="70"/>
  <c r="U162" i="70" l="1"/>
  <c r="Z162" i="70" s="1"/>
  <c r="Y161" i="70"/>
  <c r="AA161" i="70"/>
  <c r="U163" i="70" l="1"/>
  <c r="Z163" i="70" s="1"/>
  <c r="AA162" i="70"/>
  <c r="Y162" i="70"/>
  <c r="U164" i="70" l="1"/>
  <c r="Z164" i="70" s="1"/>
  <c r="AA163" i="70"/>
  <c r="Y163" i="70"/>
  <c r="U165" i="70" l="1"/>
  <c r="Z165" i="70" s="1"/>
  <c r="AA164" i="70"/>
  <c r="Y164" i="70"/>
  <c r="U166" i="70" l="1"/>
  <c r="Z166" i="70" s="1"/>
  <c r="Y165" i="70"/>
  <c r="AA165" i="70"/>
  <c r="U167" i="70" l="1"/>
  <c r="Z167" i="70" s="1"/>
  <c r="AA166" i="70"/>
  <c r="Y166" i="70"/>
  <c r="U168" i="70" l="1"/>
  <c r="Z168" i="70" s="1"/>
  <c r="Y167" i="70"/>
  <c r="AA167" i="70"/>
  <c r="U169" i="70" l="1"/>
  <c r="Z169" i="70" s="1"/>
  <c r="AA168" i="70"/>
  <c r="Y168" i="70"/>
  <c r="U170" i="70" l="1"/>
  <c r="Z170" i="70" s="1"/>
  <c r="Y169" i="70"/>
  <c r="AA169" i="70"/>
  <c r="U171" i="70" l="1"/>
  <c r="Z171" i="70" s="1"/>
  <c r="AA170" i="70"/>
  <c r="Y170" i="70"/>
  <c r="U172" i="70" l="1"/>
  <c r="Z172" i="70" s="1"/>
  <c r="AA171" i="70"/>
  <c r="Y171" i="70"/>
  <c r="U173" i="70" l="1"/>
  <c r="Z173" i="70" s="1"/>
  <c r="AA172" i="70"/>
  <c r="Y172" i="70"/>
  <c r="U174" i="70" l="1"/>
  <c r="Z174" i="70" s="1"/>
  <c r="Y173" i="70"/>
  <c r="AA173" i="70"/>
  <c r="U175" i="70" l="1"/>
  <c r="Z175" i="70" s="1"/>
  <c r="AA174" i="70"/>
  <c r="Y174" i="70"/>
  <c r="U176" i="70" l="1"/>
  <c r="Z176" i="70" s="1"/>
  <c r="AA175" i="70"/>
  <c r="Y175" i="70"/>
  <c r="U177" i="70" l="1"/>
  <c r="Z177" i="70" s="1"/>
  <c r="AA176" i="70"/>
  <c r="Y176" i="70"/>
  <c r="U178" i="70" l="1"/>
  <c r="Z178" i="70" s="1"/>
  <c r="Y177" i="70"/>
  <c r="AA177" i="70"/>
  <c r="U179" i="70" l="1"/>
  <c r="Z179" i="70" s="1"/>
  <c r="AA178" i="70"/>
  <c r="Y178" i="70"/>
  <c r="U180" i="70" l="1"/>
  <c r="Z180" i="70" s="1"/>
  <c r="AA179" i="70"/>
  <c r="Y179" i="70"/>
  <c r="U181" i="70" l="1"/>
  <c r="Z181" i="70" s="1"/>
  <c r="Y180" i="70"/>
  <c r="AA180" i="70"/>
  <c r="U182" i="70" l="1"/>
  <c r="Z182" i="70" s="1"/>
  <c r="Y181" i="70"/>
  <c r="AA181" i="70"/>
  <c r="U183" i="70" l="1"/>
  <c r="Z183" i="70" s="1"/>
  <c r="AA182" i="70"/>
  <c r="Y182" i="70"/>
  <c r="U184" i="70" l="1"/>
  <c r="Z184" i="70" s="1"/>
  <c r="Y183" i="70"/>
  <c r="U185" i="70" l="1"/>
  <c r="Z185" i="70" s="1"/>
  <c r="Y184" i="70"/>
  <c r="U186" i="70" l="1"/>
  <c r="Z186" i="70" s="1"/>
  <c r="Y185" i="70"/>
  <c r="U187" i="70" l="1"/>
  <c r="Z187" i="70" s="1"/>
  <c r="Y186" i="70"/>
  <c r="Y187" i="70" l="1"/>
  <c r="U188" i="70"/>
  <c r="Z188" i="70" s="1"/>
  <c r="Y188" i="70" l="1"/>
  <c r="U189" i="70"/>
  <c r="Z189" i="70" s="1"/>
  <c r="U190" i="70" l="1"/>
  <c r="Z190" i="70" s="1"/>
  <c r="Y189" i="70"/>
  <c r="Y190" i="70" l="1"/>
  <c r="U191" i="70"/>
  <c r="Z191" i="70" s="1"/>
  <c r="Y191" i="70" l="1"/>
  <c r="U192" i="70"/>
  <c r="Z192" i="70" s="1"/>
  <c r="Y192" i="70" l="1"/>
  <c r="U193" i="70"/>
  <c r="Z193" i="70" s="1"/>
  <c r="Y193" i="70" l="1"/>
  <c r="U194" i="70"/>
  <c r="Z194" i="70" s="1"/>
  <c r="U195" i="70" l="1"/>
  <c r="Z195" i="70" s="1"/>
  <c r="Y194" i="70"/>
  <c r="Y195" i="70" l="1"/>
  <c r="U196" i="70"/>
  <c r="Z196" i="70" s="1"/>
  <c r="U197" i="70" l="1"/>
  <c r="Z197" i="70" s="1"/>
  <c r="Y196" i="70"/>
  <c r="U198" i="70" l="1"/>
  <c r="Z198" i="70" s="1"/>
  <c r="Y197" i="70"/>
  <c r="Y198" i="70" l="1"/>
  <c r="U199" i="70"/>
  <c r="Z199" i="70" s="1"/>
  <c r="U200" i="70" l="1"/>
  <c r="Z200" i="70" s="1"/>
  <c r="Y199" i="70"/>
  <c r="U201" i="70" l="1"/>
  <c r="Z201" i="70" s="1"/>
  <c r="Y200" i="70"/>
  <c r="U202" i="70" l="1"/>
  <c r="Z202" i="70" s="1"/>
  <c r="Y201" i="70"/>
  <c r="U203" i="70" l="1"/>
  <c r="Z203" i="70" s="1"/>
  <c r="Y202" i="70"/>
  <c r="Y203" i="70" l="1"/>
  <c r="U204" i="70"/>
  <c r="Z204" i="70" s="1"/>
  <c r="U205" i="70" l="1"/>
  <c r="Z205" i="70" s="1"/>
  <c r="Y204" i="70"/>
  <c r="U206" i="70" l="1"/>
  <c r="Z206" i="70" s="1"/>
  <c r="Y205" i="70"/>
  <c r="Y206" i="70" l="1"/>
  <c r="U207" i="70"/>
  <c r="Z207" i="70" s="1"/>
  <c r="U208" i="70" l="1"/>
  <c r="Z208" i="70" s="1"/>
  <c r="Y207" i="70"/>
  <c r="U209" i="70" l="1"/>
  <c r="Z209" i="70" s="1"/>
  <c r="Y208" i="70"/>
  <c r="U210" i="70" l="1"/>
  <c r="Z210" i="70" s="1"/>
  <c r="Y209" i="70"/>
  <c r="Y210" i="70" l="1"/>
  <c r="U211" i="70"/>
  <c r="Z211" i="70" s="1"/>
  <c r="Y211" i="70" l="1"/>
  <c r="U212" i="70"/>
  <c r="Z212" i="70" s="1"/>
  <c r="Y212" i="70" l="1"/>
  <c r="U213" i="70"/>
  <c r="Z213" i="70" s="1"/>
  <c r="U214" i="70" l="1"/>
  <c r="Z214" i="70" s="1"/>
  <c r="AA213" i="70"/>
  <c r="Y213" i="70"/>
  <c r="AA214" i="70" l="1"/>
  <c r="Y214" i="70"/>
  <c r="U215" i="70"/>
  <c r="Z215" i="70" s="1"/>
  <c r="Y215" i="70" l="1"/>
  <c r="AA215" i="70"/>
  <c r="U216" i="70"/>
  <c r="Z216" i="70" s="1"/>
  <c r="AA216" i="70" l="1"/>
  <c r="Y216" i="70"/>
  <c r="U217" i="70"/>
  <c r="Z217" i="70" s="1"/>
  <c r="U218" i="70" l="1"/>
  <c r="Z218" i="70" s="1"/>
  <c r="AA217" i="70"/>
  <c r="Y217" i="70"/>
  <c r="AA218" i="70" l="1"/>
  <c r="Y218" i="70"/>
  <c r="U219" i="70"/>
  <c r="Z219" i="70" s="1"/>
  <c r="U220" i="70" l="1"/>
  <c r="Z220" i="70" s="1"/>
  <c r="Y219" i="70"/>
  <c r="AA219" i="70"/>
  <c r="AA220" i="70" l="1"/>
  <c r="Y220" i="70"/>
  <c r="U221" i="70"/>
  <c r="Z221" i="70" s="1"/>
  <c r="AA221" i="70" l="1"/>
  <c r="Y221" i="70"/>
  <c r="U222" i="70"/>
  <c r="Z222" i="70" s="1"/>
  <c r="U223" i="70" l="1"/>
  <c r="Z223" i="70" s="1"/>
  <c r="Y222" i="70"/>
  <c r="AA222" i="70"/>
  <c r="U224" i="70" l="1"/>
  <c r="Z224" i="70" s="1"/>
  <c r="Y223" i="70"/>
  <c r="AA223" i="70"/>
  <c r="U225" i="70" l="1"/>
  <c r="Z225" i="70" s="1"/>
  <c r="AA224" i="70"/>
  <c r="Y224" i="70"/>
  <c r="U226" i="70" l="1"/>
  <c r="Z226" i="70" s="1"/>
  <c r="AA225" i="70"/>
  <c r="Y225" i="70"/>
  <c r="U227" i="70" l="1"/>
  <c r="Z227" i="70" s="1"/>
  <c r="Y226" i="70"/>
  <c r="AA226" i="70"/>
  <c r="U228" i="70" l="1"/>
  <c r="Z228" i="70" s="1"/>
  <c r="Y227" i="70"/>
  <c r="AA227" i="70"/>
  <c r="U229" i="70" l="1"/>
  <c r="Z229" i="70" s="1"/>
  <c r="AA228" i="70"/>
  <c r="Y228" i="70"/>
  <c r="U230" i="70" l="1"/>
  <c r="Z230" i="70" s="1"/>
  <c r="AA229" i="70"/>
  <c r="Y229" i="70"/>
  <c r="U231" i="70" l="1"/>
  <c r="Z231" i="70" s="1"/>
  <c r="Y230" i="70"/>
  <c r="AA230" i="70"/>
  <c r="U232" i="70" l="1"/>
  <c r="Z232" i="70" s="1"/>
  <c r="AA231" i="70"/>
  <c r="Y231" i="70"/>
  <c r="U233" i="70" l="1"/>
  <c r="Z233" i="70" s="1"/>
  <c r="AA232" i="70"/>
  <c r="Y232" i="70"/>
  <c r="U234" i="70" l="1"/>
  <c r="Z234" i="70" s="1"/>
  <c r="AA233" i="70"/>
  <c r="Y233" i="70"/>
  <c r="U235" i="70" l="1"/>
  <c r="Z235" i="70" s="1"/>
  <c r="AA234" i="70"/>
  <c r="Y234" i="70"/>
  <c r="U236" i="70" l="1"/>
  <c r="Z236" i="70" s="1"/>
  <c r="Y235" i="70"/>
  <c r="AA235" i="70"/>
  <c r="U237" i="70" l="1"/>
  <c r="Z237" i="70" s="1"/>
  <c r="Y236" i="70"/>
  <c r="AA236" i="70"/>
  <c r="U238" i="70" l="1"/>
  <c r="Z238" i="70" s="1"/>
  <c r="AA237" i="70"/>
  <c r="Y237" i="70"/>
  <c r="U239" i="70" l="1"/>
  <c r="Z239" i="70" s="1"/>
  <c r="AA238" i="70"/>
  <c r="Y238" i="70"/>
  <c r="U240" i="70" l="1"/>
  <c r="Z240" i="70" s="1"/>
  <c r="AA239" i="70"/>
  <c r="Y239" i="70"/>
  <c r="U241" i="70" l="1"/>
  <c r="Z241" i="70" s="1"/>
  <c r="AA240" i="70"/>
  <c r="Y240" i="70"/>
  <c r="U242" i="70" l="1"/>
  <c r="Z242" i="70" s="1"/>
  <c r="AA241" i="70"/>
  <c r="Y241" i="70"/>
  <c r="U243" i="70" l="1"/>
  <c r="Z243" i="70" s="1"/>
  <c r="AA242" i="70"/>
  <c r="Y242" i="70"/>
  <c r="Y243" i="70" l="1"/>
  <c r="AA243" i="70"/>
  <c r="U244" i="70"/>
  <c r="Z244" i="70" s="1"/>
  <c r="AA244" i="70" l="1"/>
  <c r="Y244" i="70"/>
  <c r="U245" i="70"/>
  <c r="Z245" i="70" s="1"/>
  <c r="U246" i="70" l="1"/>
  <c r="Z246" i="70" s="1"/>
  <c r="Y245" i="70"/>
  <c r="AA245" i="70"/>
  <c r="Y246" i="70" l="1"/>
  <c r="AA246" i="70"/>
  <c r="U247" i="70"/>
  <c r="Z247" i="70" s="1"/>
  <c r="U248" i="70" l="1"/>
  <c r="Z248" i="70" s="1"/>
  <c r="Y247" i="70"/>
  <c r="AA247" i="70"/>
  <c r="Y248" i="70" l="1"/>
  <c r="AA248" i="70"/>
  <c r="U249" i="70"/>
  <c r="Z249" i="70" s="1"/>
  <c r="AA249" i="70" l="1"/>
  <c r="Y249" i="70"/>
  <c r="U250" i="70"/>
  <c r="Z250" i="70" s="1"/>
  <c r="Y250" i="70" l="1"/>
  <c r="AA250" i="70"/>
  <c r="U251" i="70"/>
  <c r="Z251" i="70" s="1"/>
  <c r="U252" i="70" l="1"/>
  <c r="Z252" i="70" s="1"/>
  <c r="Y251" i="70"/>
  <c r="AA251" i="70"/>
  <c r="U253" i="70" l="1"/>
  <c r="Z253" i="70" s="1"/>
  <c r="AA252" i="70"/>
  <c r="Y252" i="70"/>
  <c r="Y253" i="70" l="1"/>
  <c r="AA253" i="70"/>
  <c r="U254" i="70"/>
  <c r="Z254" i="70" s="1"/>
  <c r="U255" i="70" l="1"/>
  <c r="Z255" i="70" s="1"/>
  <c r="AA254" i="70"/>
  <c r="Y254" i="70"/>
  <c r="Y255" i="70" l="1"/>
  <c r="AA255" i="70"/>
  <c r="U256" i="70"/>
  <c r="Z256" i="70" s="1"/>
  <c r="AA256" i="70" l="1"/>
  <c r="Y256" i="70"/>
  <c r="U257" i="70"/>
  <c r="Z257" i="70" s="1"/>
  <c r="U258" i="70" l="1"/>
  <c r="Z258" i="70" s="1"/>
  <c r="Y257" i="70"/>
  <c r="AA257" i="70"/>
  <c r="Y258" i="70" l="1"/>
  <c r="AA258" i="70"/>
  <c r="U259" i="70"/>
  <c r="Z259" i="70" s="1"/>
  <c r="U260" i="70" l="1"/>
  <c r="Z260" i="70" s="1"/>
  <c r="Y259" i="70"/>
  <c r="AA259" i="70"/>
  <c r="U261" i="70" l="1"/>
  <c r="Z261" i="70" s="1"/>
  <c r="Y260" i="70"/>
  <c r="AA260" i="70"/>
  <c r="AA261" i="70" l="1"/>
  <c r="Y261" i="70"/>
  <c r="U262" i="70"/>
  <c r="Z262" i="70" s="1"/>
  <c r="Y262" i="70" l="1"/>
  <c r="AA262" i="70"/>
  <c r="U263" i="70"/>
  <c r="Z263" i="70" s="1"/>
  <c r="U264" i="70" l="1"/>
  <c r="Z264" i="70" s="1"/>
  <c r="Y263" i="70"/>
  <c r="AA263" i="70"/>
  <c r="AA264" i="70" l="1"/>
  <c r="Y264" i="70"/>
  <c r="U265" i="70"/>
  <c r="Z265" i="70" s="1"/>
  <c r="AA265" i="70" l="1"/>
  <c r="Y265" i="70"/>
  <c r="U266" i="70"/>
  <c r="Z266" i="70" s="1"/>
  <c r="U267" i="70" l="1"/>
  <c r="Z267" i="70" s="1"/>
  <c r="Y266" i="70"/>
  <c r="AA266" i="70"/>
  <c r="Y267" i="70" l="1"/>
  <c r="AA267" i="70"/>
  <c r="U268" i="70"/>
  <c r="Z268" i="70" s="1"/>
  <c r="U269" i="70" l="1"/>
  <c r="Z269" i="70" s="1"/>
  <c r="AA268" i="70"/>
  <c r="Y268" i="70"/>
  <c r="Y269" i="70" l="1"/>
  <c r="AA269" i="70"/>
  <c r="U270" i="70"/>
  <c r="Z270" i="70" s="1"/>
  <c r="AA270" i="70" l="1"/>
  <c r="Y270" i="70"/>
  <c r="U271" i="70"/>
  <c r="Z271" i="70" s="1"/>
  <c r="U272" i="70" l="1"/>
  <c r="Z272" i="70" s="1"/>
  <c r="AA271" i="70"/>
  <c r="Y271" i="70"/>
  <c r="AA272" i="70" l="1"/>
  <c r="Y272" i="70"/>
  <c r="U273" i="70"/>
  <c r="Z273" i="70" s="1"/>
  <c r="AA273" i="70" l="1"/>
  <c r="Y273" i="70"/>
  <c r="U274" i="70"/>
  <c r="Z274" i="70" s="1"/>
  <c r="U275" i="70" l="1"/>
  <c r="Z275" i="70" s="1"/>
  <c r="Y274" i="70"/>
  <c r="AA274" i="70"/>
  <c r="U276" i="70" l="1"/>
  <c r="Z276" i="70" s="1"/>
  <c r="AA275" i="70"/>
  <c r="Y275" i="70"/>
  <c r="U277" i="70" l="1"/>
  <c r="Z277" i="70" s="1"/>
  <c r="AA276" i="70"/>
  <c r="Y276" i="70"/>
  <c r="Y277" i="70" l="1"/>
  <c r="AA277" i="70"/>
  <c r="U278" i="70"/>
  <c r="Z278" i="70" s="1"/>
  <c r="AA278" i="70" l="1"/>
  <c r="Y278" i="70"/>
  <c r="U279" i="70"/>
  <c r="Z279" i="70" s="1"/>
  <c r="AA279" i="70" l="1"/>
  <c r="Y279" i="70"/>
  <c r="U280" i="70"/>
  <c r="Z280" i="70" s="1"/>
  <c r="U281" i="70" l="1"/>
  <c r="Z281" i="70" s="1"/>
  <c r="AA280" i="70"/>
  <c r="Y280" i="70"/>
  <c r="U282" i="70" l="1"/>
  <c r="Z282" i="70" s="1"/>
  <c r="Y281" i="70"/>
  <c r="AA281" i="70"/>
  <c r="U283" i="70" l="1"/>
  <c r="Z283" i="70" s="1"/>
  <c r="AA282" i="70"/>
  <c r="Y282" i="70"/>
  <c r="U284" i="70" l="1"/>
  <c r="Z284" i="70" s="1"/>
  <c r="Y283" i="70"/>
  <c r="AA283" i="70"/>
  <c r="U285" i="70" l="1"/>
  <c r="Z285" i="70" s="1"/>
  <c r="Y284" i="70"/>
  <c r="AA284" i="70"/>
  <c r="Y285" i="70" l="1"/>
  <c r="AA285" i="70"/>
  <c r="U286" i="70"/>
  <c r="Z286" i="70" s="1"/>
  <c r="AA286" i="70" l="1"/>
  <c r="Y286" i="70"/>
  <c r="U287" i="70"/>
  <c r="Z287" i="70" s="1"/>
  <c r="AA287" i="70" l="1"/>
  <c r="Y287" i="70"/>
  <c r="U288" i="70"/>
  <c r="Z288" i="70" s="1"/>
  <c r="U289" i="70" l="1"/>
  <c r="Z289" i="70" s="1"/>
  <c r="AA288" i="70"/>
  <c r="Y288" i="70"/>
  <c r="U290" i="70" l="1"/>
  <c r="Z290" i="70" s="1"/>
  <c r="AA289" i="70"/>
  <c r="Y289" i="70"/>
  <c r="U291" i="70" l="1"/>
  <c r="Z291" i="70" s="1"/>
  <c r="AA290" i="70"/>
  <c r="Y290" i="70"/>
  <c r="U292" i="70" l="1"/>
  <c r="Z292" i="70" s="1"/>
  <c r="AA291" i="70"/>
  <c r="Y291" i="70"/>
  <c r="U293" i="70" l="1"/>
  <c r="Z293" i="70" s="1"/>
  <c r="AA292" i="70"/>
  <c r="Y292" i="70"/>
  <c r="AA293" i="70" l="1"/>
  <c r="Y293" i="70"/>
  <c r="U294" i="70"/>
  <c r="Z294" i="70" s="1"/>
  <c r="U295" i="70" l="1"/>
  <c r="Z295" i="70" s="1"/>
  <c r="Y294" i="70"/>
  <c r="AA294" i="70"/>
  <c r="U296" i="70" l="1"/>
  <c r="Z296" i="70" s="1"/>
  <c r="Y295" i="70"/>
  <c r="AA295" i="70"/>
  <c r="AA296" i="70" l="1"/>
  <c r="Y296" i="70"/>
  <c r="U297" i="70"/>
  <c r="Z297" i="70" s="1"/>
  <c r="U298" i="70" l="1"/>
  <c r="Z298" i="70" s="1"/>
  <c r="Y297" i="70"/>
  <c r="AA297" i="70"/>
  <c r="U299" i="70" l="1"/>
  <c r="Z299" i="70" s="1"/>
  <c r="AA298" i="70"/>
  <c r="Y298" i="70"/>
  <c r="U300" i="70" l="1"/>
  <c r="Z300" i="70" s="1"/>
  <c r="AA299" i="70"/>
  <c r="Y299" i="70"/>
  <c r="U301" i="70" l="1"/>
  <c r="Z301" i="70" s="1"/>
  <c r="AA300" i="70"/>
  <c r="Y300" i="70"/>
  <c r="Y301" i="70" l="1"/>
  <c r="AA301" i="70"/>
  <c r="U302" i="70"/>
  <c r="Z302" i="70" s="1"/>
  <c r="AA302" i="70" l="1"/>
  <c r="Y302" i="70"/>
  <c r="U303" i="70"/>
  <c r="AA303" i="70" l="1"/>
  <c r="Y303" i="70"/>
  <c r="Z303" i="70"/>
  <c r="U304" i="70"/>
  <c r="Y304" i="70" l="1"/>
  <c r="Z304" i="70"/>
  <c r="AA304" i="70"/>
  <c r="U305" i="70"/>
  <c r="AA305" i="70" l="1"/>
  <c r="Z305" i="70"/>
  <c r="Y305" i="70"/>
  <c r="U306" i="70"/>
  <c r="AA306" i="70" l="1"/>
  <c r="Y306" i="70"/>
  <c r="Z306" i="70"/>
  <c r="U307" i="70"/>
  <c r="AA307" i="70" l="1"/>
  <c r="Z307" i="70"/>
  <c r="Y307" i="70"/>
  <c r="U308" i="70"/>
  <c r="AA308" i="70" l="1"/>
  <c r="Y308" i="70"/>
  <c r="Z308" i="70"/>
  <c r="U309" i="70"/>
  <c r="Y309" i="70" l="1"/>
  <c r="AA309" i="70"/>
  <c r="Z309" i="70"/>
  <c r="U310" i="70"/>
  <c r="Y310" i="70" l="1"/>
  <c r="AA310" i="70"/>
  <c r="Z310" i="70"/>
  <c r="U311" i="70"/>
  <c r="Y311" i="70" l="1"/>
  <c r="AA311" i="70"/>
  <c r="Z311" i="70"/>
  <c r="U312" i="70"/>
  <c r="AA312" i="70" l="1"/>
  <c r="Y312" i="70"/>
  <c r="Z312" i="70"/>
  <c r="U313" i="70"/>
  <c r="AA313" i="70" l="1"/>
  <c r="Y313" i="70"/>
  <c r="Z313" i="70"/>
  <c r="U314" i="70"/>
  <c r="Z314" i="70" l="1"/>
  <c r="AA314" i="70"/>
  <c r="Y314" i="70"/>
  <c r="U315" i="70"/>
  <c r="Y315" i="70" l="1"/>
  <c r="AA315" i="70"/>
  <c r="Z315" i="70"/>
  <c r="U316" i="70"/>
  <c r="Z316" i="70" l="1"/>
  <c r="Y316" i="70"/>
  <c r="AA316" i="70"/>
  <c r="U317" i="70"/>
  <c r="AA317" i="70" l="1"/>
  <c r="Y317" i="70"/>
  <c r="Z317" i="70"/>
  <c r="U318" i="70"/>
  <c r="AA318" i="70" l="1"/>
  <c r="Y318" i="70"/>
  <c r="Z318" i="70"/>
  <c r="U319" i="70"/>
  <c r="Y319" i="70" l="1"/>
  <c r="AA319" i="70"/>
  <c r="Z319" i="70"/>
  <c r="U320" i="70"/>
  <c r="AA320" i="70" l="1"/>
  <c r="Y320" i="70"/>
  <c r="Z320" i="70"/>
  <c r="U321" i="70"/>
  <c r="Y321" i="70" l="1"/>
  <c r="AA321" i="70"/>
  <c r="Z321" i="70"/>
  <c r="U322" i="70"/>
  <c r="AA322" i="70" l="1"/>
  <c r="Y322" i="70"/>
  <c r="Z322" i="70"/>
  <c r="U323" i="70"/>
  <c r="Y323" i="70" l="1"/>
  <c r="AA323" i="70"/>
  <c r="Z323" i="70"/>
  <c r="U324" i="70"/>
  <c r="Y324" i="70" l="1"/>
  <c r="AA324" i="70"/>
  <c r="Z324" i="70"/>
  <c r="U325" i="70"/>
  <c r="AA325" i="70" l="1"/>
  <c r="Y325" i="70"/>
  <c r="Z325" i="70"/>
  <c r="U326" i="70"/>
  <c r="AA326" i="70" l="1"/>
  <c r="Y326" i="70"/>
  <c r="Z326" i="70"/>
  <c r="U327" i="70"/>
  <c r="Y327" i="70" l="1"/>
  <c r="AA327" i="70"/>
  <c r="Z327" i="70"/>
  <c r="U328" i="70"/>
  <c r="Y328" i="70" l="1"/>
  <c r="AA328" i="70"/>
  <c r="Z328" i="70"/>
  <c r="U329" i="70"/>
  <c r="AA329" i="70" l="1"/>
  <c r="Y329" i="70"/>
  <c r="Z329" i="70"/>
  <c r="U330" i="70"/>
  <c r="Y330" i="70" l="1"/>
  <c r="AA330" i="70"/>
  <c r="Z330" i="70"/>
  <c r="U331" i="70"/>
  <c r="Y331" i="70" l="1"/>
  <c r="AA331" i="70"/>
  <c r="Z331" i="70"/>
  <c r="U332" i="70"/>
  <c r="Y332" i="70" l="1"/>
  <c r="AA332" i="70"/>
  <c r="Z332" i="70"/>
  <c r="U333" i="70"/>
  <c r="Y333" i="70" l="1"/>
  <c r="AA333" i="70"/>
  <c r="Z333" i="70"/>
  <c r="U334" i="70"/>
  <c r="Y334" i="70" l="1"/>
  <c r="AA334" i="70"/>
  <c r="Z334" i="70"/>
  <c r="U335" i="70"/>
  <c r="AA335" i="70" l="1"/>
  <c r="Y335" i="70"/>
  <c r="Z335" i="70"/>
  <c r="U336" i="70"/>
  <c r="AA336" i="70" l="1"/>
  <c r="Y336" i="70"/>
  <c r="Z336" i="70"/>
  <c r="U337" i="70"/>
  <c r="AA337" i="70" l="1"/>
  <c r="Z337" i="70"/>
  <c r="Y337" i="70"/>
  <c r="U338" i="70"/>
  <c r="Y338" i="70" l="1"/>
  <c r="AA338" i="70"/>
  <c r="Z338" i="70"/>
  <c r="U339" i="70"/>
  <c r="AA339" i="70" l="1"/>
  <c r="Y339" i="70"/>
  <c r="Z339" i="70"/>
  <c r="U340" i="70"/>
  <c r="Y340" i="70" l="1"/>
  <c r="AA340" i="70"/>
  <c r="Z340" i="70"/>
  <c r="U341" i="70"/>
  <c r="Y341" i="70" l="1"/>
  <c r="AA341" i="70"/>
  <c r="Z341" i="70"/>
  <c r="U342" i="70"/>
  <c r="AA342" i="70" l="1"/>
  <c r="Y342" i="70"/>
  <c r="Z342" i="70"/>
  <c r="U343" i="70"/>
  <c r="AA343" i="70" l="1"/>
  <c r="Y343" i="70"/>
  <c r="Z343" i="70"/>
  <c r="U344" i="70"/>
  <c r="AA344" i="70" l="1"/>
  <c r="Y344" i="70"/>
  <c r="Z344" i="70"/>
  <c r="U345" i="70"/>
  <c r="Y345" i="70" l="1"/>
  <c r="AA345" i="70"/>
  <c r="Z345" i="70"/>
  <c r="U346" i="70"/>
  <c r="AA346" i="70" l="1"/>
  <c r="Z346" i="70"/>
  <c r="Y346" i="70"/>
  <c r="U347" i="70"/>
  <c r="Y347" i="70" l="1"/>
  <c r="AA347" i="70"/>
  <c r="Z347" i="70"/>
  <c r="U348" i="70"/>
  <c r="AA348" i="70" l="1"/>
  <c r="Y348" i="70"/>
  <c r="Z348" i="70"/>
  <c r="U349" i="70"/>
  <c r="AA349" i="70" l="1"/>
  <c r="Y349" i="70"/>
  <c r="Z349" i="70"/>
  <c r="U350" i="70"/>
  <c r="Y350" i="70" l="1"/>
  <c r="AA350" i="70"/>
  <c r="Z350" i="70"/>
  <c r="U351" i="70"/>
  <c r="AA351" i="70" l="1"/>
  <c r="Y351" i="70"/>
  <c r="Z351" i="70"/>
  <c r="U352" i="70"/>
  <c r="Y352" i="70" l="1"/>
  <c r="AA352" i="70"/>
  <c r="Z352" i="70"/>
  <c r="U353" i="70"/>
  <c r="Y353" i="70" l="1"/>
  <c r="Z353" i="70"/>
  <c r="AA353" i="70"/>
  <c r="U354" i="70"/>
  <c r="AA354" i="70" l="1"/>
  <c r="Y354" i="70"/>
  <c r="Z354" i="70"/>
  <c r="U355" i="70"/>
  <c r="AA355" i="70" l="1"/>
  <c r="Y355" i="70"/>
  <c r="Z355" i="70"/>
  <c r="U356" i="70"/>
  <c r="Y356" i="70" l="1"/>
  <c r="AA356" i="70"/>
  <c r="Z356" i="70"/>
  <c r="U357" i="70"/>
  <c r="AA357" i="70" l="1"/>
  <c r="Y357" i="70"/>
  <c r="Z357" i="70"/>
  <c r="U358" i="70"/>
  <c r="Y358" i="70" l="1"/>
  <c r="AA358" i="70"/>
  <c r="Z358" i="70"/>
  <c r="U359" i="70"/>
  <c r="AA359" i="70" l="1"/>
  <c r="Y359" i="70"/>
  <c r="Z359" i="70"/>
  <c r="U360" i="70"/>
  <c r="AA360" i="70" l="1"/>
  <c r="Y360" i="70"/>
  <c r="Z360" i="70"/>
  <c r="U361" i="70"/>
  <c r="AA361" i="70" l="1"/>
  <c r="Y361" i="70"/>
  <c r="Z361" i="70"/>
  <c r="U362" i="70"/>
  <c r="Y362" i="70" l="1"/>
  <c r="AA362" i="70"/>
  <c r="Z362" i="70"/>
  <c r="U363" i="70"/>
  <c r="Y363" i="70" l="1"/>
  <c r="Z363" i="70"/>
  <c r="U364" i="70"/>
  <c r="Y364" i="70" l="1"/>
  <c r="Z364" i="70"/>
  <c r="U365" i="70"/>
  <c r="Y365" i="70" l="1"/>
  <c r="Z365" i="70"/>
  <c r="U366" i="70"/>
  <c r="Y366" i="70" l="1"/>
  <c r="Z366" i="70"/>
  <c r="U367" i="70"/>
  <c r="Y367" i="70" l="1"/>
  <c r="Z367" i="70"/>
  <c r="U368" i="70"/>
  <c r="Y368" i="70" l="1"/>
  <c r="Z368" i="70"/>
  <c r="U369" i="70"/>
  <c r="Y369" i="70" l="1"/>
  <c r="Z369" i="70"/>
  <c r="U370" i="70"/>
  <c r="Y370" i="70" l="1"/>
  <c r="Z370" i="70"/>
  <c r="U371" i="70"/>
  <c r="Y371" i="70" l="1"/>
  <c r="Z371" i="70"/>
  <c r="U372" i="70"/>
  <c r="Y372" i="70" l="1"/>
  <c r="Z372" i="70"/>
  <c r="U373" i="70"/>
  <c r="Y373" i="70" l="1"/>
  <c r="Z373" i="70"/>
  <c r="U374" i="70"/>
  <c r="Y374" i="70" l="1"/>
  <c r="Z374" i="70"/>
  <c r="U375" i="70"/>
  <c r="Y375" i="70" l="1"/>
  <c r="Z375" i="70"/>
  <c r="U376" i="70"/>
  <c r="Y376" i="70" l="1"/>
  <c r="Z376" i="70"/>
  <c r="U377" i="70"/>
  <c r="Y377" i="70" l="1"/>
  <c r="Z377" i="70"/>
  <c r="U378" i="70"/>
  <c r="Y378" i="70" l="1"/>
  <c r="Z378" i="70"/>
  <c r="U379" i="70"/>
  <c r="Y379" i="70" l="1"/>
  <c r="Z379" i="70"/>
  <c r="U380" i="70"/>
  <c r="Y380" i="70" l="1"/>
  <c r="Z380" i="70"/>
  <c r="U381" i="70"/>
  <c r="Y381" i="70" l="1"/>
  <c r="Z381" i="70"/>
  <c r="U382" i="70"/>
  <c r="Y382" i="70" l="1"/>
  <c r="Z382" i="70"/>
  <c r="U383" i="70"/>
  <c r="Y383" i="70" l="1"/>
  <c r="Z383" i="70"/>
  <c r="U384" i="70"/>
  <c r="Y384" i="70" l="1"/>
  <c r="Z384" i="70"/>
  <c r="U385" i="70"/>
  <c r="Y385" i="70" l="1"/>
  <c r="Z385" i="70"/>
  <c r="U386" i="70"/>
  <c r="Y386" i="70" l="1"/>
  <c r="Z386" i="70"/>
  <c r="U387" i="70"/>
  <c r="Y387" i="70" l="1"/>
  <c r="Z387" i="70"/>
  <c r="U388" i="70"/>
  <c r="Y388" i="70" l="1"/>
  <c r="Z388" i="70"/>
  <c r="U389" i="70"/>
  <c r="Y389" i="70" l="1"/>
  <c r="Z389" i="70"/>
  <c r="U390" i="70"/>
  <c r="Y390" i="70" l="1"/>
  <c r="Z390" i="70"/>
  <c r="U391" i="70"/>
  <c r="Y391" i="70" l="1"/>
  <c r="Z391" i="70"/>
  <c r="U392" i="70"/>
  <c r="Y392" i="70" l="1"/>
  <c r="Z392" i="70"/>
  <c r="U393" i="70"/>
  <c r="AA393" i="70" l="1"/>
  <c r="Y393" i="70"/>
  <c r="Z393" i="70"/>
  <c r="U394" i="70"/>
  <c r="Y394" i="70" l="1"/>
  <c r="AA394" i="70"/>
  <c r="Z394" i="70"/>
  <c r="U395" i="70"/>
  <c r="AA395" i="70" l="1"/>
  <c r="Y395" i="70"/>
  <c r="Z395" i="70"/>
  <c r="U396" i="70"/>
  <c r="Y396" i="70" l="1"/>
  <c r="AA396" i="70"/>
  <c r="Z396" i="70"/>
  <c r="U397" i="70"/>
  <c r="AA397" i="70" l="1"/>
  <c r="Y397" i="70"/>
  <c r="Z397" i="70"/>
  <c r="U398" i="70"/>
  <c r="Y398" i="70" l="1"/>
  <c r="AA398" i="70"/>
  <c r="Z398" i="70"/>
  <c r="U399" i="70"/>
  <c r="AA399" i="70" l="1"/>
  <c r="Y399" i="70"/>
  <c r="Z399" i="70"/>
  <c r="U400" i="70"/>
  <c r="AA400" i="70" l="1"/>
  <c r="Y400" i="70"/>
  <c r="Z400" i="70"/>
  <c r="U401" i="70"/>
  <c r="AA401" i="70" l="1"/>
  <c r="Y401" i="70"/>
  <c r="Z401" i="70"/>
  <c r="U402" i="70"/>
  <c r="Y402" i="70" l="1"/>
  <c r="AA402" i="70"/>
  <c r="Z402" i="70"/>
  <c r="U403" i="70"/>
  <c r="AA403" i="70" l="1"/>
  <c r="Y403" i="70"/>
  <c r="Z403" i="70"/>
  <c r="U404" i="70"/>
  <c r="Y404" i="70" l="1"/>
  <c r="AA404" i="70"/>
  <c r="Z404" i="70"/>
  <c r="U405" i="70"/>
  <c r="AA405" i="70" l="1"/>
  <c r="Z405" i="70"/>
  <c r="Y405" i="70"/>
  <c r="U406" i="70"/>
  <c r="Y406" i="70" l="1"/>
  <c r="AA406" i="70"/>
  <c r="Z406" i="70"/>
  <c r="U407" i="70"/>
  <c r="Y407" i="70" l="1"/>
  <c r="AA407" i="70"/>
  <c r="Z407" i="70"/>
  <c r="U408" i="70"/>
  <c r="Y408" i="70" l="1"/>
  <c r="AA408" i="70"/>
  <c r="Z408" i="70"/>
  <c r="U409" i="70"/>
  <c r="AA409" i="70" l="1"/>
  <c r="Y409" i="70"/>
  <c r="Z409" i="70"/>
  <c r="U410" i="70"/>
  <c r="Y410" i="70" l="1"/>
  <c r="AA410" i="70"/>
  <c r="Z410" i="70"/>
  <c r="U411" i="70"/>
  <c r="Y411" i="70" l="1"/>
  <c r="AA411" i="70"/>
  <c r="Z411" i="70"/>
  <c r="U412" i="70"/>
  <c r="AA412" i="70" l="1"/>
  <c r="Y412" i="70"/>
  <c r="Z412" i="70"/>
  <c r="U413" i="70"/>
  <c r="AA413" i="70" l="1"/>
  <c r="Y413" i="70"/>
  <c r="Z413" i="70"/>
  <c r="U414" i="70"/>
  <c r="AA414" i="70" l="1"/>
  <c r="Y414" i="70"/>
  <c r="Z414" i="70"/>
  <c r="U415" i="70"/>
  <c r="AA415" i="70" l="1"/>
  <c r="Y415" i="70"/>
  <c r="Z415" i="70"/>
  <c r="U416" i="70"/>
  <c r="Y416" i="70" l="1"/>
  <c r="AA416" i="70"/>
  <c r="Z416" i="70"/>
  <c r="U417" i="70"/>
  <c r="Y417" i="70" l="1"/>
  <c r="AA417" i="70"/>
  <c r="Z417" i="70"/>
  <c r="U418" i="70"/>
  <c r="Y418" i="70" l="1"/>
  <c r="AA418" i="70"/>
  <c r="Z418" i="70"/>
  <c r="U419" i="70"/>
  <c r="Y419" i="70" l="1"/>
  <c r="AA419" i="70"/>
  <c r="Z419" i="70"/>
  <c r="U420" i="70"/>
  <c r="Y420" i="70" l="1"/>
  <c r="AA420" i="70"/>
  <c r="Z420" i="70"/>
  <c r="U421" i="70"/>
  <c r="Y421" i="70" l="1"/>
  <c r="AA421" i="70"/>
  <c r="Z421" i="70"/>
  <c r="U422" i="70"/>
  <c r="Y422" i="70" l="1"/>
  <c r="AA422" i="70"/>
  <c r="Z422" i="70"/>
  <c r="U423" i="70"/>
  <c r="AA423" i="70" l="1"/>
  <c r="Y423" i="70"/>
  <c r="Z423" i="70"/>
  <c r="U424" i="70"/>
  <c r="Y424" i="70" l="1"/>
  <c r="AA424" i="70"/>
  <c r="Z424" i="70"/>
  <c r="U425" i="70"/>
  <c r="AA425" i="70" l="1"/>
  <c r="Y425" i="70"/>
  <c r="Z425" i="70"/>
  <c r="U426" i="70"/>
  <c r="AA426" i="70" l="1"/>
  <c r="Y426" i="70"/>
  <c r="Z426" i="70"/>
  <c r="U427" i="70"/>
  <c r="Y427" i="70" l="1"/>
  <c r="AA427" i="70"/>
  <c r="Z427" i="70"/>
  <c r="U428" i="70"/>
  <c r="Y428" i="70" l="1"/>
  <c r="AA428" i="70"/>
  <c r="Z428" i="70"/>
  <c r="U429" i="70"/>
  <c r="AA429" i="70" l="1"/>
  <c r="Y429" i="70"/>
  <c r="Z429" i="70"/>
  <c r="U430" i="70"/>
  <c r="AA430" i="70" l="1"/>
  <c r="Y430" i="70"/>
  <c r="Z430" i="70"/>
  <c r="U431" i="70"/>
  <c r="Y431" i="70" l="1"/>
  <c r="AA431" i="70"/>
  <c r="Z431" i="70"/>
  <c r="U432" i="70"/>
  <c r="Y432" i="70" l="1"/>
  <c r="AA432" i="70"/>
  <c r="Z432" i="70"/>
  <c r="U433" i="70"/>
  <c r="AA433" i="70" l="1"/>
  <c r="Y433" i="70"/>
  <c r="Z433" i="70"/>
  <c r="U434" i="70"/>
  <c r="AA434" i="70" l="1"/>
  <c r="Y434" i="70"/>
  <c r="Z434" i="70"/>
  <c r="U435" i="70"/>
  <c r="Y435" i="70" l="1"/>
  <c r="AA435" i="70"/>
  <c r="Z435" i="70"/>
  <c r="U436" i="70"/>
  <c r="AA436" i="70" l="1"/>
  <c r="Y436" i="70"/>
  <c r="Z436" i="70"/>
  <c r="U437" i="70"/>
  <c r="AA437" i="70" l="1"/>
  <c r="Y437" i="70"/>
  <c r="Z437" i="70"/>
  <c r="U438" i="70"/>
  <c r="Y438" i="70" l="1"/>
  <c r="AA438" i="70"/>
  <c r="Z438" i="70"/>
  <c r="U439" i="70"/>
  <c r="AA439" i="70" l="1"/>
  <c r="Y439" i="70"/>
  <c r="Z439" i="70"/>
  <c r="U440" i="70"/>
  <c r="AA440" i="70" l="1"/>
  <c r="Y440" i="70"/>
  <c r="Z440" i="70"/>
  <c r="U441" i="70"/>
  <c r="Y441" i="70" l="1"/>
  <c r="AA441" i="70"/>
  <c r="Z441" i="70"/>
  <c r="U442" i="70"/>
  <c r="Y442" i="70" l="1"/>
  <c r="AA442" i="70"/>
  <c r="Z442" i="70"/>
  <c r="U443" i="70"/>
  <c r="AA443" i="70" l="1"/>
  <c r="Y443" i="70"/>
  <c r="Z443" i="70"/>
  <c r="U444" i="70"/>
  <c r="Y444" i="70" l="1"/>
  <c r="AA444" i="70"/>
  <c r="Z444" i="70"/>
  <c r="U445" i="70"/>
  <c r="Y445" i="70" l="1"/>
  <c r="AA445" i="70"/>
  <c r="Z445" i="70"/>
  <c r="U446" i="70"/>
  <c r="Y446" i="70" l="1"/>
  <c r="AA446" i="70"/>
  <c r="Z446" i="70"/>
  <c r="U447" i="70"/>
  <c r="Y447" i="70" l="1"/>
  <c r="AA447" i="70"/>
  <c r="Z447" i="70"/>
  <c r="U448" i="70"/>
  <c r="Y448" i="70" l="1"/>
  <c r="Z448" i="70"/>
  <c r="AA448" i="70"/>
  <c r="U449" i="70"/>
  <c r="AA449" i="70" l="1"/>
  <c r="Y449" i="70"/>
  <c r="Z449" i="70"/>
  <c r="U450" i="70"/>
  <c r="Y450" i="70" l="1"/>
  <c r="AA450" i="70"/>
  <c r="Z450" i="70"/>
  <c r="U451" i="70"/>
  <c r="Y451" i="70" l="1"/>
  <c r="AA451" i="70"/>
  <c r="Z451" i="70"/>
  <c r="U452" i="70"/>
  <c r="AA452" i="70" l="1"/>
  <c r="Y452" i="70"/>
  <c r="Z452" i="70"/>
  <c r="U453" i="70"/>
  <c r="Y453" i="70" l="1"/>
  <c r="AA453" i="70"/>
  <c r="Z453" i="70"/>
  <c r="U454" i="70"/>
  <c r="Y454" i="70" l="1"/>
  <c r="AA454" i="70"/>
  <c r="Z454" i="70"/>
  <c r="U455" i="70"/>
  <c r="AA455" i="70" l="1"/>
  <c r="Y455" i="70"/>
  <c r="Z455" i="70"/>
  <c r="U456" i="70"/>
  <c r="Y456" i="70" l="1"/>
  <c r="AA456" i="70"/>
  <c r="Z456" i="70"/>
  <c r="U457" i="70"/>
  <c r="Y457" i="70" l="1"/>
  <c r="AA457" i="70"/>
  <c r="Z457" i="70"/>
  <c r="U458" i="70"/>
  <c r="AA458" i="70" l="1"/>
  <c r="Y458" i="70"/>
  <c r="Z458" i="70"/>
  <c r="U459" i="70"/>
  <c r="Y459" i="70" l="1"/>
  <c r="AA459" i="70"/>
  <c r="Z459" i="70"/>
  <c r="U460" i="70"/>
  <c r="AA460" i="70" l="1"/>
  <c r="Y460" i="70"/>
  <c r="Z460" i="70"/>
  <c r="U461" i="70"/>
  <c r="AA461" i="70" l="1"/>
  <c r="Y461" i="70"/>
  <c r="Z461" i="70"/>
  <c r="U462" i="70"/>
  <c r="AA462" i="70" l="1"/>
  <c r="Y462" i="70"/>
  <c r="Z462" i="70"/>
  <c r="U463" i="70"/>
  <c r="AA463" i="70" l="1"/>
  <c r="Y463" i="70"/>
  <c r="Z463" i="70"/>
  <c r="U464" i="70"/>
  <c r="AA464" i="70" l="1"/>
  <c r="Y464" i="70"/>
  <c r="Z464" i="70"/>
  <c r="U465" i="70"/>
  <c r="AA465" i="70" l="1"/>
  <c r="Y465" i="70"/>
  <c r="Z465" i="70"/>
  <c r="U466" i="70"/>
  <c r="AA466" i="70" l="1"/>
  <c r="Y466" i="70"/>
  <c r="Z466" i="70"/>
  <c r="U467" i="70"/>
  <c r="Y467" i="70" l="1"/>
  <c r="AA467" i="70"/>
  <c r="Z467" i="70"/>
  <c r="U468" i="70"/>
  <c r="AA468" i="70" l="1"/>
  <c r="Y468" i="70"/>
  <c r="Z468" i="70"/>
  <c r="U469" i="70"/>
  <c r="Y469" i="70" l="1"/>
  <c r="AA469" i="70"/>
  <c r="Z469" i="70"/>
  <c r="U470" i="70"/>
  <c r="Y470" i="70" l="1"/>
  <c r="AA470" i="70"/>
  <c r="Z470" i="70"/>
  <c r="U471" i="70"/>
  <c r="AA471" i="70" l="1"/>
  <c r="Y471" i="70"/>
  <c r="Z471" i="70"/>
  <c r="U472" i="70"/>
  <c r="AA472" i="70" l="1"/>
  <c r="Y472" i="70"/>
  <c r="Z472" i="70"/>
  <c r="U473" i="70"/>
  <c r="Y473" i="70" l="1"/>
  <c r="AA473" i="70"/>
  <c r="Z473" i="70"/>
  <c r="U474" i="70"/>
  <c r="AA474" i="70" l="1"/>
  <c r="Y474" i="70"/>
  <c r="Z474" i="70"/>
  <c r="U475" i="70"/>
  <c r="AA475" i="70" l="1"/>
  <c r="Y475" i="70"/>
  <c r="Z475" i="70"/>
  <c r="U476" i="70"/>
  <c r="AA476" i="70" l="1"/>
  <c r="Y476" i="70"/>
  <c r="Z476" i="70"/>
  <c r="U477" i="70"/>
  <c r="Y477" i="70" l="1"/>
  <c r="AA477" i="70"/>
  <c r="Z477" i="70"/>
  <c r="U478" i="70"/>
  <c r="AA478" i="70" l="1"/>
  <c r="Y478" i="70"/>
  <c r="Z478" i="70"/>
  <c r="U479" i="70"/>
  <c r="Y479" i="70" l="1"/>
  <c r="AA479" i="70"/>
  <c r="Z479" i="70"/>
  <c r="U480" i="70"/>
  <c r="AA480" i="70" l="1"/>
  <c r="Y480" i="70"/>
  <c r="Z480" i="70"/>
  <c r="U481" i="70"/>
  <c r="AA481" i="70" l="1"/>
  <c r="Y481" i="70"/>
  <c r="Z481" i="70"/>
  <c r="U482" i="70"/>
  <c r="AA482" i="70" l="1"/>
  <c r="Y482" i="70"/>
  <c r="Z482" i="70"/>
  <c r="U483" i="70"/>
  <c r="AA483" i="70" l="1"/>
  <c r="Y483" i="70"/>
  <c r="Z483" i="70"/>
  <c r="U484" i="70"/>
  <c r="AA484" i="70" l="1"/>
  <c r="Y484" i="70"/>
  <c r="Z484" i="70"/>
  <c r="U485" i="70"/>
  <c r="Y485" i="70" l="1"/>
  <c r="AA485" i="70"/>
  <c r="Z485" i="70"/>
  <c r="U486" i="70"/>
  <c r="AA486" i="70" l="1"/>
  <c r="Y486" i="70"/>
  <c r="Z486" i="70"/>
  <c r="U487" i="70"/>
  <c r="AA487" i="70" l="1"/>
  <c r="Y487" i="70"/>
  <c r="Z487" i="70"/>
  <c r="U488" i="70"/>
  <c r="AA488" i="70" l="1"/>
  <c r="Y488" i="70"/>
  <c r="Z488" i="70"/>
  <c r="U489" i="70"/>
  <c r="AA489" i="70" l="1"/>
  <c r="Y489" i="70"/>
  <c r="Z489" i="70"/>
  <c r="U490" i="70"/>
  <c r="Y490" i="70" l="1"/>
  <c r="AA490" i="70"/>
  <c r="Z490" i="70"/>
  <c r="U491" i="70"/>
  <c r="Y491" i="70" l="1"/>
  <c r="AA491" i="70"/>
  <c r="Z491" i="70"/>
  <c r="U492" i="70"/>
  <c r="Y492" i="70" l="1"/>
  <c r="AA492" i="70"/>
  <c r="Z492" i="70"/>
  <c r="U493" i="70"/>
  <c r="AA493" i="70" l="1"/>
  <c r="Y493" i="70"/>
  <c r="Z493" i="70"/>
  <c r="U494" i="70"/>
  <c r="Y494" i="70" l="1"/>
  <c r="AA494" i="70"/>
  <c r="Z494" i="70"/>
  <c r="U495" i="70"/>
  <c r="AA495" i="70" l="1"/>
  <c r="Y495" i="70"/>
  <c r="Z495" i="70"/>
  <c r="U496" i="70"/>
  <c r="Y496" i="70" l="1"/>
  <c r="AA496" i="70"/>
  <c r="Z496" i="70"/>
  <c r="U497" i="70"/>
  <c r="AA497" i="70" l="1"/>
  <c r="Y497" i="70"/>
  <c r="Z497" i="70"/>
  <c r="U498" i="70"/>
  <c r="Y498" i="70" l="1"/>
  <c r="AA498" i="70"/>
  <c r="Z498" i="70"/>
  <c r="U499" i="70"/>
  <c r="Y499" i="70" l="1"/>
  <c r="AA499" i="70"/>
  <c r="Z499" i="70"/>
  <c r="U500" i="70"/>
  <c r="Y500" i="70" l="1"/>
  <c r="AA500" i="70"/>
  <c r="Z500" i="70"/>
  <c r="U501" i="70"/>
  <c r="Y501" i="70" l="1"/>
  <c r="AA501" i="70"/>
  <c r="Z501" i="70"/>
  <c r="U502" i="70"/>
  <c r="Y502" i="70" l="1"/>
  <c r="AA502" i="70"/>
  <c r="Z502" i="70"/>
  <c r="U503" i="70"/>
  <c r="Y503" i="70" l="1"/>
  <c r="AA503" i="70"/>
  <c r="Z503" i="70"/>
  <c r="U504" i="70"/>
  <c r="Y504" i="70" l="1"/>
  <c r="AA504" i="70"/>
  <c r="Z504" i="70"/>
  <c r="U505" i="70"/>
  <c r="AA505" i="70" l="1"/>
  <c r="Y505" i="70"/>
  <c r="Z505" i="70"/>
  <c r="U506" i="70"/>
  <c r="AA506" i="70" l="1"/>
  <c r="Y506" i="70"/>
  <c r="Z506" i="70"/>
  <c r="U507" i="70"/>
  <c r="Y507" i="70" l="1"/>
  <c r="AA507" i="70"/>
  <c r="Z507" i="70"/>
  <c r="U508" i="70"/>
  <c r="Y508" i="70" l="1"/>
  <c r="AA508" i="70"/>
  <c r="Z508" i="70"/>
  <c r="U509" i="70"/>
  <c r="AA509" i="70" l="1"/>
  <c r="Y509" i="70"/>
  <c r="Z509" i="70"/>
  <c r="U510" i="70"/>
  <c r="AA510" i="70" l="1"/>
  <c r="Z510" i="70"/>
  <c r="Y510" i="70"/>
  <c r="U511" i="70"/>
  <c r="Y511" i="70" l="1"/>
  <c r="AA511" i="70"/>
  <c r="Z511" i="70"/>
  <c r="U512" i="70"/>
  <c r="AA512" i="70" l="1"/>
  <c r="Y512" i="70"/>
  <c r="Z512" i="70"/>
  <c r="U513" i="70"/>
  <c r="AA513" i="70" l="1"/>
  <c r="Y513" i="70"/>
  <c r="Z513" i="70"/>
  <c r="U514" i="70"/>
  <c r="AA514" i="70" l="1"/>
  <c r="Y514" i="70"/>
  <c r="Z514" i="70"/>
  <c r="U515" i="70"/>
  <c r="AA515" i="70" l="1"/>
  <c r="Y515" i="70"/>
  <c r="Z515" i="70"/>
  <c r="U516" i="70"/>
  <c r="AA516" i="70" l="1"/>
  <c r="Z516" i="70"/>
  <c r="Y516" i="70"/>
  <c r="U517" i="70"/>
  <c r="AA517" i="70" l="1"/>
  <c r="Y517" i="70"/>
  <c r="Z517" i="70"/>
  <c r="U518" i="70"/>
  <c r="Y518" i="70" l="1"/>
  <c r="AA518" i="70"/>
  <c r="Z518" i="70"/>
  <c r="U519" i="70"/>
  <c r="AA519" i="70" l="1"/>
  <c r="Y519" i="70"/>
  <c r="Z519" i="70"/>
  <c r="U520" i="70"/>
  <c r="Y520" i="70" l="1"/>
  <c r="AA520" i="70"/>
  <c r="Z520" i="70"/>
  <c r="U521" i="70"/>
  <c r="Y521" i="70" l="1"/>
  <c r="AA521" i="70"/>
  <c r="Z521" i="70"/>
  <c r="U522" i="70"/>
  <c r="Y522" i="70" l="1"/>
  <c r="AA522" i="70"/>
  <c r="Z522" i="70"/>
  <c r="U523" i="70"/>
  <c r="AA523" i="70" l="1"/>
  <c r="Y523" i="70"/>
  <c r="Z523" i="70"/>
  <c r="U524" i="70"/>
  <c r="Y524" i="70" l="1"/>
  <c r="AA524" i="70"/>
  <c r="Z524" i="70"/>
  <c r="U525" i="70"/>
  <c r="Z525" i="70" l="1"/>
  <c r="Y525" i="70"/>
  <c r="AA525" i="70"/>
  <c r="U526" i="70"/>
  <c r="Y526" i="70" l="1"/>
  <c r="AA526" i="70"/>
  <c r="Z526" i="70"/>
  <c r="U527" i="70"/>
  <c r="Y527" i="70" l="1"/>
  <c r="AA527" i="70"/>
  <c r="Z527" i="70"/>
  <c r="U528" i="70"/>
  <c r="Y528" i="70" l="1"/>
  <c r="AA528" i="70"/>
  <c r="Z528" i="70"/>
  <c r="U529" i="70"/>
  <c r="Y529" i="70" l="1"/>
  <c r="AA529" i="70"/>
  <c r="Z529" i="70"/>
  <c r="U530" i="70"/>
  <c r="AA530" i="70" l="1"/>
  <c r="Y530" i="70"/>
  <c r="Z530" i="70"/>
  <c r="U531" i="70"/>
  <c r="Y531" i="70" l="1"/>
  <c r="AA531" i="70"/>
  <c r="Z531" i="70"/>
  <c r="U532" i="70"/>
  <c r="Y532" i="70" l="1"/>
  <c r="AA532" i="70"/>
  <c r="Z532" i="70"/>
  <c r="U533" i="70"/>
  <c r="Y533" i="70" l="1"/>
  <c r="AA533" i="70"/>
  <c r="Z533" i="70"/>
  <c r="U534" i="70"/>
  <c r="Z534" i="70" l="1"/>
  <c r="AA534" i="70"/>
  <c r="Y534" i="70"/>
  <c r="U535" i="70"/>
  <c r="Y535" i="70" l="1"/>
  <c r="AA535" i="70"/>
  <c r="Z535" i="70"/>
  <c r="U536" i="70"/>
  <c r="AA536" i="70" l="1"/>
  <c r="Y536" i="70"/>
  <c r="Z536" i="70"/>
  <c r="U537" i="70"/>
  <c r="Y537" i="70" l="1"/>
  <c r="AA537" i="70"/>
  <c r="Z537" i="70"/>
  <c r="U538" i="70"/>
  <c r="AA538" i="70" l="1"/>
  <c r="Y538" i="70"/>
  <c r="Z538" i="70"/>
  <c r="U539" i="70"/>
  <c r="Y539" i="70" l="1"/>
  <c r="AA539" i="70"/>
  <c r="Z539" i="70"/>
  <c r="U540" i="70"/>
  <c r="AA540" i="70" l="1"/>
  <c r="Y540" i="70"/>
  <c r="Z540" i="70"/>
  <c r="U541" i="70"/>
  <c r="AA541" i="70" l="1"/>
  <c r="Y541" i="70"/>
  <c r="Z541" i="70"/>
  <c r="U542" i="70"/>
  <c r="Y542" i="70" l="1"/>
  <c r="AA542" i="70"/>
  <c r="Z542" i="70"/>
  <c r="U543" i="70"/>
  <c r="Y543" i="70" l="1"/>
  <c r="Z543" i="70"/>
  <c r="U544" i="70"/>
  <c r="Y544" i="70" l="1"/>
  <c r="Z544" i="70"/>
  <c r="U545" i="70"/>
  <c r="Y545" i="70" l="1"/>
  <c r="Z545" i="70"/>
  <c r="U546" i="70"/>
  <c r="Y546" i="70" l="1"/>
  <c r="Z546" i="70"/>
  <c r="U547" i="70"/>
  <c r="Y547" i="70" l="1"/>
  <c r="Z547" i="70"/>
  <c r="U548" i="70"/>
  <c r="Y548" i="70" l="1"/>
  <c r="Z548" i="70"/>
  <c r="U549" i="70"/>
  <c r="Y549" i="70" l="1"/>
  <c r="Z549" i="70"/>
  <c r="U550" i="70"/>
  <c r="Y550" i="70" l="1"/>
  <c r="Z550" i="70"/>
  <c r="U551" i="70"/>
  <c r="Y551" i="70" l="1"/>
  <c r="Z551" i="70"/>
  <c r="U552" i="70"/>
  <c r="Y552" i="70" l="1"/>
  <c r="Z552" i="70"/>
  <c r="U553" i="70"/>
  <c r="Y553" i="70" l="1"/>
  <c r="Z553" i="70"/>
  <c r="U554" i="70"/>
  <c r="Y554" i="70" l="1"/>
  <c r="Z554" i="70"/>
  <c r="U555" i="70"/>
  <c r="Y555" i="70" l="1"/>
  <c r="Z555" i="70"/>
  <c r="U556" i="70"/>
  <c r="Y556" i="70" l="1"/>
  <c r="Z556" i="70"/>
  <c r="U557" i="70"/>
  <c r="Y557" i="70" l="1"/>
  <c r="Z557" i="70"/>
  <c r="U558" i="70"/>
  <c r="Y558" i="70" l="1"/>
  <c r="Z558" i="70"/>
  <c r="U559" i="70"/>
  <c r="Y559" i="70" l="1"/>
  <c r="Z559" i="70"/>
  <c r="U560" i="70"/>
  <c r="Y560" i="70" l="1"/>
  <c r="Z560" i="70"/>
  <c r="U561" i="70"/>
  <c r="Y561" i="70" l="1"/>
  <c r="Z561" i="70"/>
  <c r="U562" i="70"/>
  <c r="Y562" i="70" l="1"/>
  <c r="Z562" i="70"/>
  <c r="U563" i="70"/>
  <c r="Y563" i="70" l="1"/>
  <c r="Z563" i="70"/>
  <c r="U564" i="70"/>
  <c r="Y564" i="70" l="1"/>
  <c r="Z564" i="70"/>
  <c r="U565" i="70"/>
  <c r="Y565" i="70" l="1"/>
  <c r="Z565" i="70"/>
  <c r="U566" i="70"/>
  <c r="Y566" i="70" l="1"/>
  <c r="Z566" i="70"/>
  <c r="U567" i="70"/>
  <c r="Y567" i="70" l="1"/>
  <c r="Z567" i="70"/>
  <c r="U568" i="70"/>
  <c r="Y568" i="70" l="1"/>
  <c r="Z568" i="70"/>
  <c r="U569" i="70"/>
  <c r="Y569" i="70" l="1"/>
  <c r="Z569" i="70"/>
  <c r="U570" i="70"/>
  <c r="Y570" i="70" l="1"/>
  <c r="Z570" i="70"/>
  <c r="U571" i="70"/>
  <c r="Y571" i="70" l="1"/>
  <c r="Z571" i="70"/>
  <c r="U572" i="70"/>
  <c r="Y572" i="70" l="1"/>
  <c r="Z572" i="70"/>
  <c r="U573" i="70"/>
  <c r="AA573" i="70" l="1"/>
  <c r="Y573" i="70"/>
  <c r="Z573" i="70"/>
  <c r="U574" i="70"/>
  <c r="Y574" i="70" l="1"/>
  <c r="AA574" i="70"/>
  <c r="Z574" i="70"/>
  <c r="U575" i="70"/>
  <c r="AA575" i="70" l="1"/>
  <c r="Y575" i="70"/>
  <c r="Z575" i="70"/>
  <c r="U576" i="70"/>
  <c r="AA576" i="70" l="1"/>
  <c r="Y576" i="70"/>
  <c r="Z576" i="70"/>
  <c r="U577" i="70"/>
  <c r="AA577" i="70" l="1"/>
  <c r="Y577" i="70"/>
  <c r="Z577" i="70"/>
  <c r="U578" i="70"/>
  <c r="Y578" i="70" l="1"/>
  <c r="AA578" i="70"/>
  <c r="Z578" i="70"/>
  <c r="U579" i="70"/>
  <c r="AA579" i="70" l="1"/>
  <c r="Y579" i="70"/>
  <c r="Z579" i="70"/>
  <c r="U580" i="70"/>
  <c r="AA580" i="70" l="1"/>
  <c r="Y580" i="70"/>
  <c r="Z580" i="70"/>
  <c r="U581" i="70"/>
  <c r="Y581" i="70" l="1"/>
  <c r="AA581" i="70"/>
  <c r="Z581" i="70"/>
  <c r="U582" i="70"/>
  <c r="Y582" i="70" l="1"/>
  <c r="AA582" i="70"/>
  <c r="Z582" i="70"/>
  <c r="U583" i="70"/>
  <c r="AA583" i="70" l="1"/>
  <c r="Y583" i="70"/>
  <c r="Z583" i="70"/>
  <c r="U584" i="70"/>
  <c r="Y584" i="70" l="1"/>
  <c r="AA584" i="70"/>
  <c r="Z584" i="70"/>
  <c r="U585" i="70"/>
  <c r="Y585" i="70" l="1"/>
  <c r="AA585" i="70"/>
  <c r="Z585" i="70"/>
  <c r="U586" i="70"/>
  <c r="Y586" i="70" l="1"/>
  <c r="Z586" i="70"/>
  <c r="AA586" i="70"/>
  <c r="U587" i="70"/>
  <c r="Y587" i="70" l="1"/>
  <c r="AA587" i="70"/>
  <c r="Z587" i="70"/>
  <c r="U588" i="70"/>
  <c r="AA588" i="70" l="1"/>
  <c r="Y588" i="70"/>
  <c r="Z588" i="70"/>
  <c r="U589" i="70"/>
  <c r="AA589" i="70" l="1"/>
  <c r="Y589" i="70"/>
  <c r="Z589" i="70"/>
  <c r="U590" i="70"/>
  <c r="Y590" i="70" l="1"/>
  <c r="AA590" i="70"/>
  <c r="Z590" i="70"/>
  <c r="U591" i="70"/>
  <c r="Y591" i="70" l="1"/>
  <c r="AA591" i="70"/>
  <c r="Z591" i="70"/>
  <c r="U592" i="70"/>
  <c r="AA592" i="70" l="1"/>
  <c r="Y592" i="70"/>
  <c r="Z592" i="70"/>
  <c r="U593" i="70"/>
  <c r="AA593" i="70" l="1"/>
  <c r="Z593" i="70"/>
  <c r="Y593" i="70"/>
  <c r="U594" i="70"/>
  <c r="AA594" i="70" l="1"/>
  <c r="Y594" i="70"/>
  <c r="Z594" i="70"/>
  <c r="U595" i="70"/>
  <c r="Y595" i="70" l="1"/>
  <c r="AA595" i="70"/>
  <c r="Z595" i="70"/>
  <c r="U596" i="70"/>
  <c r="Y596" i="70" l="1"/>
  <c r="AA596" i="70"/>
  <c r="Z596" i="70"/>
  <c r="U597" i="70"/>
  <c r="AA597" i="70" l="1"/>
  <c r="Y597" i="70"/>
  <c r="Z597" i="70"/>
  <c r="U598" i="70"/>
  <c r="AA598" i="70" l="1"/>
  <c r="Y598" i="70"/>
  <c r="Z598" i="70"/>
  <c r="U599" i="70"/>
  <c r="Y599" i="70" l="1"/>
  <c r="AA599" i="70"/>
  <c r="Z599" i="70"/>
  <c r="U600" i="70"/>
  <c r="AA600" i="70" l="1"/>
  <c r="Y600" i="70"/>
  <c r="Z600" i="70"/>
  <c r="U601" i="70"/>
  <c r="AA601" i="70" l="1"/>
  <c r="Y601" i="70"/>
  <c r="Z601" i="70"/>
  <c r="U602" i="70"/>
  <c r="AA602" i="70" l="1"/>
  <c r="Y602" i="70"/>
  <c r="Z602" i="70"/>
  <c r="E28" i="57" l="1"/>
  <c r="E5" i="57"/>
  <c r="E16" i="57"/>
  <c r="E13" i="57"/>
  <c r="E3" i="57"/>
  <c r="E45" i="57"/>
  <c r="E49" i="57" l="1"/>
  <c r="E57" i="57"/>
  <c r="E50" i="57"/>
  <c r="I70" i="5" l="1"/>
  <c r="Q29" i="10" l="1"/>
  <c r="Q30" i="10" l="1"/>
  <c r="K105" i="10" l="1"/>
  <c r="K78" i="10"/>
  <c r="K87" i="10"/>
  <c r="K45" i="10"/>
  <c r="K67" i="10"/>
  <c r="K96" i="10"/>
  <c r="E4" i="57" l="1"/>
  <c r="E6" i="57"/>
  <c r="E9" i="57"/>
  <c r="AA14" i="11"/>
  <c r="J7" i="27" l="1"/>
  <c r="Q70" i="5" l="1"/>
  <c r="Q71" i="5"/>
  <c r="AE17" i="27" l="1"/>
  <c r="AQ33" i="70" s="1"/>
  <c r="Q78" i="5"/>
  <c r="Q143" i="5" s="1"/>
  <c r="Q42" i="10" s="1"/>
  <c r="Q43" i="10" s="1"/>
  <c r="AN44" i="70" s="1"/>
  <c r="AB335" i="70" l="1"/>
  <c r="AB431" i="70"/>
  <c r="AB495" i="70"/>
  <c r="AB583" i="70"/>
  <c r="AB344" i="70"/>
  <c r="AB424" i="70"/>
  <c r="AB488" i="70"/>
  <c r="AB321" i="70"/>
  <c r="AB401" i="70"/>
  <c r="AB465" i="70"/>
  <c r="AB529" i="70"/>
  <c r="AB322" i="70"/>
  <c r="AB402" i="70"/>
  <c r="AB466" i="70"/>
  <c r="AB530" i="70"/>
  <c r="AB594" i="70"/>
  <c r="AB355" i="70"/>
  <c r="AB419" i="70"/>
  <c r="AB483" i="70"/>
  <c r="AB332" i="70"/>
  <c r="AB412" i="70"/>
  <c r="AB476" i="70"/>
  <c r="AB540" i="70"/>
  <c r="AB341" i="70"/>
  <c r="AB421" i="70"/>
  <c r="AB485" i="70"/>
  <c r="AB326" i="70"/>
  <c r="AB414" i="70"/>
  <c r="AB478" i="70"/>
  <c r="AB542" i="70"/>
  <c r="AB581" i="70"/>
  <c r="AB502" i="70"/>
  <c r="AB316" i="70"/>
  <c r="AB590" i="70"/>
  <c r="AB343" i="70"/>
  <c r="AB439" i="70"/>
  <c r="AB503" i="70"/>
  <c r="AB591" i="70"/>
  <c r="AB352" i="70"/>
  <c r="AB432" i="70"/>
  <c r="AB496" i="70"/>
  <c r="AB329" i="70"/>
  <c r="AB409" i="70"/>
  <c r="AB473" i="70"/>
  <c r="AB537" i="70"/>
  <c r="AB330" i="70"/>
  <c r="AB410" i="70"/>
  <c r="AB474" i="70"/>
  <c r="AB538" i="70"/>
  <c r="AB602" i="70"/>
  <c r="AB427" i="70"/>
  <c r="AB491" i="70"/>
  <c r="AB340" i="70"/>
  <c r="AB420" i="70"/>
  <c r="AB484" i="70"/>
  <c r="AB580" i="70"/>
  <c r="AB349" i="70"/>
  <c r="AB429" i="70"/>
  <c r="AB493" i="70"/>
  <c r="AB334" i="70"/>
  <c r="AB422" i="70"/>
  <c r="AB486" i="70"/>
  <c r="AB445" i="70"/>
  <c r="AB350" i="70"/>
  <c r="AB325" i="70"/>
  <c r="AB398" i="70"/>
  <c r="AB351" i="70"/>
  <c r="AB447" i="70"/>
  <c r="AB511" i="70"/>
  <c r="AB599" i="70"/>
  <c r="AB360" i="70"/>
  <c r="AB440" i="70"/>
  <c r="AB504" i="70"/>
  <c r="AB576" i="70"/>
  <c r="AB337" i="70"/>
  <c r="AB417" i="70"/>
  <c r="AB481" i="70"/>
  <c r="AB577" i="70"/>
  <c r="AB338" i="70"/>
  <c r="AB418" i="70"/>
  <c r="AB482" i="70"/>
  <c r="AB307" i="70"/>
  <c r="AB435" i="70"/>
  <c r="AB499" i="70"/>
  <c r="AB579" i="70"/>
  <c r="AB348" i="70"/>
  <c r="AB428" i="70"/>
  <c r="AB492" i="70"/>
  <c r="AB588" i="70"/>
  <c r="AB357" i="70"/>
  <c r="AB437" i="70"/>
  <c r="AB501" i="70"/>
  <c r="AB573" i="70"/>
  <c r="AB342" i="70"/>
  <c r="AB430" i="70"/>
  <c r="AB494" i="70"/>
  <c r="AB596" i="70"/>
  <c r="AB438" i="70"/>
  <c r="AB405" i="70"/>
  <c r="AB533" i="70"/>
  <c r="AB534" i="70"/>
  <c r="AB359" i="70"/>
  <c r="AB455" i="70"/>
  <c r="AB519" i="70"/>
  <c r="AB304" i="70"/>
  <c r="AB448" i="70"/>
  <c r="AB512" i="70"/>
  <c r="AB584" i="70"/>
  <c r="AB345" i="70"/>
  <c r="AB425" i="70"/>
  <c r="AB489" i="70"/>
  <c r="AB585" i="70"/>
  <c r="AB346" i="70"/>
  <c r="AB426" i="70"/>
  <c r="AB490" i="70"/>
  <c r="AB315" i="70"/>
  <c r="AB443" i="70"/>
  <c r="AB507" i="70"/>
  <c r="AB587" i="70"/>
  <c r="AB356" i="70"/>
  <c r="AB436" i="70"/>
  <c r="AB500" i="70"/>
  <c r="AB509" i="70"/>
  <c r="AB469" i="70"/>
  <c r="AB462" i="70"/>
  <c r="AB303" i="70"/>
  <c r="AB399" i="70"/>
  <c r="AB463" i="70"/>
  <c r="AB527" i="70"/>
  <c r="AB312" i="70"/>
  <c r="AB456" i="70"/>
  <c r="AB520" i="70"/>
  <c r="AB592" i="70"/>
  <c r="AB353" i="70"/>
  <c r="AB433" i="70"/>
  <c r="AB497" i="70"/>
  <c r="AB593" i="70"/>
  <c r="AB354" i="70"/>
  <c r="AB434" i="70"/>
  <c r="AB498" i="70"/>
  <c r="AB323" i="70"/>
  <c r="AB451" i="70"/>
  <c r="AB515" i="70"/>
  <c r="AB595" i="70"/>
  <c r="AB444" i="70"/>
  <c r="AB508" i="70"/>
  <c r="AB309" i="70"/>
  <c r="AB453" i="70"/>
  <c r="AB517" i="70"/>
  <c r="AB589" i="70"/>
  <c r="AB358" i="70"/>
  <c r="AB446" i="70"/>
  <c r="AB510" i="70"/>
  <c r="AB574" i="70"/>
  <c r="AB454" i="70"/>
  <c r="AB582" i="70"/>
  <c r="AB396" i="70"/>
  <c r="AB310" i="70"/>
  <c r="AB311" i="70"/>
  <c r="AB407" i="70"/>
  <c r="AB471" i="70"/>
  <c r="AB535" i="70"/>
  <c r="AB320" i="70"/>
  <c r="AB400" i="70"/>
  <c r="AB464" i="70"/>
  <c r="AB528" i="70"/>
  <c r="AB600" i="70"/>
  <c r="AB361" i="70"/>
  <c r="AB441" i="70"/>
  <c r="AB505" i="70"/>
  <c r="AB601" i="70"/>
  <c r="AB362" i="70"/>
  <c r="AB442" i="70"/>
  <c r="AB506" i="70"/>
  <c r="AB331" i="70"/>
  <c r="AB395" i="70"/>
  <c r="AB459" i="70"/>
  <c r="AB523" i="70"/>
  <c r="AB308" i="70"/>
  <c r="AB452" i="70"/>
  <c r="AB516" i="70"/>
  <c r="AB317" i="70"/>
  <c r="AB397" i="70"/>
  <c r="AB461" i="70"/>
  <c r="AB525" i="70"/>
  <c r="AB597" i="70"/>
  <c r="AB518" i="70"/>
  <c r="AB460" i="70"/>
  <c r="AB526" i="70"/>
  <c r="AB319" i="70"/>
  <c r="AB415" i="70"/>
  <c r="AB479" i="70"/>
  <c r="AB328" i="70"/>
  <c r="AB408" i="70"/>
  <c r="AB472" i="70"/>
  <c r="AB536" i="70"/>
  <c r="AB305" i="70"/>
  <c r="AB385" i="70"/>
  <c r="AB449" i="70"/>
  <c r="AB513" i="70"/>
  <c r="AB306" i="70"/>
  <c r="AB450" i="70"/>
  <c r="AB514" i="70"/>
  <c r="AB578" i="70"/>
  <c r="AB339" i="70"/>
  <c r="AB403" i="70"/>
  <c r="AB467" i="70"/>
  <c r="AB531" i="70"/>
  <c r="AB524" i="70"/>
  <c r="AB327" i="70"/>
  <c r="AB423" i="70"/>
  <c r="AB487" i="70"/>
  <c r="AB575" i="70"/>
  <c r="AB336" i="70"/>
  <c r="AB416" i="70"/>
  <c r="AB480" i="70"/>
  <c r="AB552" i="70"/>
  <c r="AB313" i="70"/>
  <c r="AB393" i="70"/>
  <c r="AB457" i="70"/>
  <c r="AB521" i="70"/>
  <c r="AB314" i="70"/>
  <c r="AB394" i="70"/>
  <c r="AB458" i="70"/>
  <c r="AB522" i="70"/>
  <c r="AB586" i="70"/>
  <c r="AB347" i="70"/>
  <c r="AB411" i="70"/>
  <c r="AB475" i="70"/>
  <c r="AB539" i="70"/>
  <c r="AB324" i="70"/>
  <c r="AB404" i="70"/>
  <c r="AB468" i="70"/>
  <c r="AB532" i="70"/>
  <c r="AB333" i="70"/>
  <c r="AB413" i="70"/>
  <c r="AB477" i="70"/>
  <c r="AB541" i="70"/>
  <c r="AB318" i="70"/>
  <c r="AB406" i="70"/>
  <c r="AB470" i="70"/>
  <c r="AB598" i="70"/>
  <c r="AA12" i="70"/>
  <c r="AB12" i="70" s="1"/>
  <c r="AA363" i="70"/>
  <c r="AB363" i="70" s="1"/>
  <c r="AA562" i="70"/>
  <c r="AB562" i="70" s="1"/>
  <c r="AA380" i="70"/>
  <c r="AB380" i="70" s="1"/>
  <c r="AA384" i="70"/>
  <c r="AB384" i="70" s="1"/>
  <c r="AA557" i="70"/>
  <c r="AB557" i="70" s="1"/>
  <c r="AA550" i="70"/>
  <c r="AB550" i="70" s="1"/>
  <c r="AA565" i="70"/>
  <c r="AB565" i="70" s="1"/>
  <c r="AA568" i="70"/>
  <c r="AB568" i="70" s="1"/>
  <c r="AA371" i="70"/>
  <c r="AB371" i="70" s="1"/>
  <c r="AA570" i="70"/>
  <c r="AB570" i="70" s="1"/>
  <c r="AA388" i="70"/>
  <c r="AB388" i="70" s="1"/>
  <c r="AA385" i="70"/>
  <c r="AA558" i="70"/>
  <c r="AB558" i="70" s="1"/>
  <c r="AA566" i="70"/>
  <c r="AB566" i="70" s="1"/>
  <c r="AA551" i="70"/>
  <c r="AB551" i="70" s="1"/>
  <c r="AA369" i="70"/>
  <c r="AB369" i="70" s="1"/>
  <c r="AA379" i="70"/>
  <c r="AB379" i="70" s="1"/>
  <c r="AA389" i="70"/>
  <c r="AB389" i="70" s="1"/>
  <c r="AA546" i="70"/>
  <c r="AB546" i="70" s="1"/>
  <c r="AA544" i="70"/>
  <c r="AB544" i="70" s="1"/>
  <c r="AA377" i="70"/>
  <c r="AB377" i="70" s="1"/>
  <c r="AA559" i="70"/>
  <c r="AB559" i="70" s="1"/>
  <c r="AA378" i="70"/>
  <c r="AB378" i="70" s="1"/>
  <c r="AA370" i="70"/>
  <c r="AB370" i="70" s="1"/>
  <c r="AA387" i="70"/>
  <c r="AB387" i="70" s="1"/>
  <c r="AA563" i="70"/>
  <c r="AB563" i="70" s="1"/>
  <c r="AA554" i="70"/>
  <c r="AB554" i="70" s="1"/>
  <c r="AA365" i="70"/>
  <c r="AB365" i="70" s="1"/>
  <c r="AA552" i="70"/>
  <c r="AA386" i="70"/>
  <c r="AB386" i="70" s="1"/>
  <c r="AA368" i="70"/>
  <c r="AB368" i="70" s="1"/>
  <c r="AA560" i="70"/>
  <c r="AB560" i="70" s="1"/>
  <c r="AA545" i="70"/>
  <c r="AB545" i="70" s="1"/>
  <c r="AA548" i="70"/>
  <c r="AB548" i="70" s="1"/>
  <c r="AA555" i="70"/>
  <c r="AB555" i="70" s="1"/>
  <c r="AA373" i="70"/>
  <c r="AB373" i="70" s="1"/>
  <c r="AA366" i="70"/>
  <c r="AB366" i="70" s="1"/>
  <c r="AA367" i="70"/>
  <c r="AB367" i="70" s="1"/>
  <c r="AA376" i="70"/>
  <c r="AB376" i="70" s="1"/>
  <c r="AA553" i="70"/>
  <c r="AB553" i="70" s="1"/>
  <c r="AA572" i="70"/>
  <c r="AB572" i="70" s="1"/>
  <c r="AA571" i="70"/>
  <c r="AB571" i="70" s="1"/>
  <c r="AA381" i="70"/>
  <c r="AB381" i="70" s="1"/>
  <c r="AA374" i="70"/>
  <c r="AB374" i="70" s="1"/>
  <c r="AA375" i="70"/>
  <c r="AB375" i="70" s="1"/>
  <c r="AA392" i="70"/>
  <c r="AB392" i="70" s="1"/>
  <c r="AA561" i="70"/>
  <c r="AB561" i="70" s="1"/>
  <c r="AA364" i="70"/>
  <c r="AB364" i="70" s="1"/>
  <c r="AA556" i="70"/>
  <c r="AB556" i="70" s="1"/>
  <c r="AA547" i="70"/>
  <c r="AB547" i="70" s="1"/>
  <c r="AA382" i="70"/>
  <c r="AB382" i="70" s="1"/>
  <c r="AA383" i="70"/>
  <c r="AB383" i="70" s="1"/>
  <c r="AA543" i="70"/>
  <c r="AB543" i="70" s="1"/>
  <c r="AA569" i="70"/>
  <c r="AB569" i="70" s="1"/>
  <c r="AA372" i="70"/>
  <c r="AB372" i="70" s="1"/>
  <c r="AA549" i="70"/>
  <c r="AB549" i="70" s="1"/>
  <c r="AA564" i="70"/>
  <c r="AB564" i="70" s="1"/>
  <c r="AA390" i="70"/>
  <c r="AB390" i="70" s="1"/>
  <c r="AA391" i="70"/>
  <c r="AB391" i="70" s="1"/>
  <c r="AA567" i="70"/>
  <c r="AB567" i="70" s="1"/>
  <c r="AA209" i="70"/>
  <c r="AB209" i="70" s="1"/>
  <c r="AA201" i="70"/>
  <c r="AB201" i="70" s="1"/>
  <c r="AA206" i="70"/>
  <c r="AB206" i="70" s="1"/>
  <c r="AA27" i="70"/>
  <c r="AB27" i="70" s="1"/>
  <c r="AA184" i="70"/>
  <c r="AB184" i="70" s="1"/>
  <c r="AA28" i="70"/>
  <c r="AB28" i="70" s="1"/>
  <c r="AA190" i="70"/>
  <c r="AB190" i="70" s="1"/>
  <c r="AA202" i="70"/>
  <c r="AB202" i="70" s="1"/>
  <c r="AA18" i="70"/>
  <c r="AB18" i="70" s="1"/>
  <c r="AA6" i="70"/>
  <c r="AB6" i="70" s="1"/>
  <c r="AA189" i="70"/>
  <c r="AB189" i="70" s="1"/>
  <c r="AA9" i="70"/>
  <c r="AB9" i="70" s="1"/>
  <c r="AA13" i="70"/>
  <c r="AB13" i="70" s="1"/>
  <c r="AA23" i="70"/>
  <c r="AB23" i="70" s="1"/>
  <c r="AA11" i="70"/>
  <c r="AB11" i="70" s="1"/>
  <c r="AA197" i="70"/>
  <c r="AB197" i="70" s="1"/>
  <c r="AA20" i="70"/>
  <c r="AB20" i="70" s="1"/>
  <c r="AA185" i="70"/>
  <c r="AB185" i="70" s="1"/>
  <c r="AA186" i="70"/>
  <c r="AB186" i="70" s="1"/>
  <c r="AA21" i="70"/>
  <c r="AB21" i="70" s="1"/>
  <c r="AA191" i="70"/>
  <c r="AB191" i="70" s="1"/>
  <c r="AA208" i="70"/>
  <c r="AB208" i="70" s="1"/>
  <c r="AA187" i="70"/>
  <c r="AB187" i="70" s="1"/>
  <c r="AA211" i="70"/>
  <c r="AB211" i="70" s="1"/>
  <c r="AA194" i="70"/>
  <c r="AB194" i="70" s="1"/>
  <c r="AA14" i="70"/>
  <c r="AB14" i="70" s="1"/>
  <c r="AA207" i="70"/>
  <c r="AB207" i="70" s="1"/>
  <c r="AA210" i="70"/>
  <c r="AB210" i="70" s="1"/>
  <c r="AA30" i="70"/>
  <c r="AB30" i="70" s="1"/>
  <c r="AA196" i="70"/>
  <c r="AB196" i="70" s="1"/>
  <c r="AA183" i="70"/>
  <c r="AB183" i="70" s="1"/>
  <c r="AA25" i="70"/>
  <c r="AB25" i="70" s="1"/>
  <c r="AA5" i="70"/>
  <c r="AB5" i="70" s="1"/>
  <c r="AA26" i="70"/>
  <c r="AB26" i="70" s="1"/>
  <c r="AA29" i="70"/>
  <c r="AB29" i="70" s="1"/>
  <c r="AA8" i="70"/>
  <c r="AB8" i="70" s="1"/>
  <c r="AA10" i="70"/>
  <c r="AB10" i="70" s="1"/>
  <c r="AA205" i="70"/>
  <c r="AB205" i="70" s="1"/>
  <c r="AA16" i="70"/>
  <c r="AB16" i="70" s="1"/>
  <c r="AA31" i="70"/>
  <c r="AB31" i="70" s="1"/>
  <c r="AA32" i="70"/>
  <c r="AB32" i="70" s="1"/>
  <c r="AA4" i="70"/>
  <c r="AB4" i="70" s="1"/>
  <c r="AA17" i="70"/>
  <c r="AB17" i="70" s="1"/>
  <c r="AA192" i="70"/>
  <c r="AB192" i="70" s="1"/>
  <c r="AA24" i="70"/>
  <c r="AB24" i="70" s="1"/>
  <c r="AA199" i="70"/>
  <c r="AB199" i="70" s="1"/>
  <c r="AA193" i="70"/>
  <c r="AB193" i="70" s="1"/>
  <c r="AA198" i="70"/>
  <c r="AB198" i="70" s="1"/>
  <c r="AA7" i="70"/>
  <c r="AB7" i="70" s="1"/>
  <c r="AA195" i="70"/>
  <c r="AB195" i="70" s="1"/>
  <c r="AA200" i="70"/>
  <c r="AB200" i="70" s="1"/>
  <c r="AA22" i="70"/>
  <c r="AB22" i="70" s="1"/>
  <c r="AA188" i="70"/>
  <c r="AB188" i="70" s="1"/>
  <c r="AA15" i="70"/>
  <c r="AB15" i="70" s="1"/>
  <c r="AA204" i="70"/>
  <c r="AB204" i="70" s="1"/>
  <c r="AA19" i="70"/>
  <c r="AB19" i="70" s="1"/>
  <c r="AA3" i="70"/>
  <c r="AB3" i="70" s="1"/>
  <c r="AA203" i="70"/>
  <c r="AB203" i="70" s="1"/>
  <c r="AA212" i="70"/>
  <c r="AB212" i="70" s="1"/>
  <c r="F8" i="4"/>
  <c r="K4" i="5"/>
  <c r="AB225" i="70"/>
  <c r="AB297" i="70"/>
  <c r="AB138" i="70"/>
  <c r="AB249" i="70"/>
  <c r="AB243" i="70"/>
  <c r="AB294" i="70"/>
  <c r="AB41" i="70"/>
  <c r="AB275" i="70"/>
  <c r="AB177" i="70"/>
  <c r="AB56" i="70"/>
  <c r="AB247" i="70"/>
  <c r="AB46" i="70"/>
  <c r="AB301" i="70"/>
  <c r="AB279" i="70"/>
  <c r="AB259" i="70"/>
  <c r="AB232" i="70"/>
  <c r="AB162" i="70"/>
  <c r="AB266" i="70"/>
  <c r="AB114" i="70"/>
  <c r="AB102" i="70"/>
  <c r="AB82" i="70"/>
  <c r="AB70" i="70"/>
  <c r="AB248" i="70"/>
  <c r="AB58" i="70"/>
  <c r="AB178" i="70"/>
  <c r="AB34" i="70"/>
  <c r="AB215" i="70"/>
  <c r="AB265" i="70"/>
  <c r="AB164" i="70"/>
  <c r="AB68" i="70"/>
  <c r="AB47" i="70"/>
  <c r="AB51" i="70"/>
  <c r="AB231" i="70"/>
  <c r="AB79" i="70"/>
  <c r="AB223" i="70"/>
  <c r="AB216" i="70"/>
  <c r="AB221" i="70"/>
  <c r="AB132" i="70"/>
  <c r="AB98" i="70"/>
  <c r="AB123" i="70"/>
  <c r="AB151" i="70"/>
  <c r="AB149" i="70"/>
  <c r="AB75" i="70"/>
  <c r="AB267" i="70"/>
  <c r="AB168" i="70"/>
  <c r="AB155" i="70"/>
  <c r="AB169" i="70"/>
  <c r="AB65" i="70"/>
  <c r="AB33" i="70"/>
  <c r="AB64" i="70"/>
  <c r="AB145" i="70"/>
  <c r="AB158" i="70"/>
  <c r="AB137" i="70"/>
  <c r="AB292" i="70"/>
  <c r="AB228" i="70"/>
  <c r="AB45" i="70"/>
  <c r="AB290" i="70"/>
  <c r="AB173" i="70"/>
  <c r="AB251" i="70"/>
  <c r="AB119" i="70"/>
  <c r="AB257" i="70"/>
  <c r="AB89" i="70"/>
  <c r="AB226" i="70"/>
  <c r="AB121" i="70"/>
  <c r="AB83" i="70"/>
  <c r="AB43" i="70"/>
  <c r="AB92" i="70"/>
  <c r="AB244" i="70"/>
  <c r="AB113" i="70"/>
  <c r="AB230" i="70"/>
  <c r="AB274" i="70"/>
  <c r="AB128" i="70"/>
  <c r="AB59" i="70"/>
  <c r="AB222" i="70"/>
  <c r="AB182" i="70"/>
  <c r="AB88" i="70"/>
  <c r="AB94" i="70"/>
  <c r="AB295" i="70"/>
  <c r="AB181" i="70"/>
  <c r="AB174" i="70"/>
  <c r="AB85" i="70"/>
  <c r="AB118" i="70"/>
  <c r="AB284" i="70"/>
  <c r="AB286" i="70"/>
  <c r="AB166" i="70"/>
  <c r="AB63" i="70"/>
  <c r="AB250" i="70"/>
  <c r="AB280" i="70"/>
  <c r="AB281" i="70"/>
  <c r="AB172" i="70"/>
  <c r="AB217" i="70"/>
  <c r="AB139" i="70"/>
  <c r="AB135" i="70"/>
  <c r="AB165" i="70"/>
  <c r="AB293" i="70"/>
  <c r="AB116" i="70"/>
  <c r="AB53" i="70"/>
  <c r="AB170" i="70"/>
  <c r="AB175" i="70"/>
  <c r="AB40" i="70"/>
  <c r="AB288" i="70"/>
  <c r="AB282" i="70"/>
  <c r="AB67" i="70"/>
  <c r="AB213" i="70"/>
  <c r="AB218" i="70"/>
  <c r="AB131" i="70"/>
  <c r="AB258" i="70"/>
  <c r="AB298" i="70"/>
  <c r="AB133" i="70"/>
  <c r="AB176" i="70"/>
  <c r="AB273" i="70"/>
  <c r="AB48" i="70"/>
  <c r="AB269" i="70"/>
  <c r="AB252" i="70"/>
  <c r="AB261" i="70"/>
  <c r="AB254" i="70"/>
  <c r="AB255" i="70"/>
  <c r="AB153" i="70"/>
  <c r="AB49" i="70"/>
  <c r="AB125" i="70"/>
  <c r="AB69" i="70"/>
  <c r="AB115" i="70"/>
  <c r="AB234" i="70"/>
  <c r="AB157" i="70"/>
  <c r="AB36" i="70"/>
  <c r="AB52" i="70"/>
  <c r="AB291" i="70"/>
  <c r="AB90" i="70"/>
  <c r="AB112" i="70"/>
  <c r="AB214" i="70"/>
  <c r="AB227" i="70"/>
  <c r="AB99" i="70"/>
  <c r="AB57" i="70"/>
  <c r="AB37" i="70"/>
  <c r="AB130" i="70"/>
  <c r="AB84" i="70"/>
  <c r="AB71" i="70"/>
  <c r="AB161" i="70"/>
  <c r="AB95" i="70"/>
  <c r="AB160" i="70"/>
  <c r="AB245" i="70"/>
  <c r="AB44" i="70"/>
  <c r="AB35" i="70"/>
  <c r="AB110" i="70"/>
  <c r="AB107" i="70"/>
  <c r="AB60" i="70"/>
  <c r="AB144" i="70"/>
  <c r="AB219" i="70"/>
  <c r="AB271" i="70"/>
  <c r="AB180" i="70"/>
  <c r="AB97" i="70"/>
  <c r="AB237" i="70"/>
  <c r="AB150" i="70"/>
  <c r="AB167" i="70"/>
  <c r="AB111" i="70"/>
  <c r="AB76" i="70"/>
  <c r="AB163" i="70"/>
  <c r="AB42" i="70"/>
  <c r="AB272" i="70"/>
  <c r="AB241" i="70"/>
  <c r="AB239" i="70"/>
  <c r="AB287" i="70"/>
  <c r="AB260" i="70"/>
  <c r="AB120" i="70"/>
  <c r="AB62" i="70"/>
  <c r="AB240" i="70"/>
  <c r="AB276" i="70"/>
  <c r="AB238" i="70"/>
  <c r="AB143" i="70"/>
  <c r="AB283" i="70"/>
  <c r="AB289" i="70"/>
  <c r="AB104" i="70"/>
  <c r="AB122" i="70"/>
  <c r="AB264" i="70"/>
  <c r="AB124" i="70"/>
  <c r="AB242" i="70"/>
  <c r="AB285" i="70"/>
  <c r="AB136" i="70"/>
  <c r="AB127" i="70"/>
  <c r="AB91" i="70"/>
  <c r="AB55" i="70"/>
  <c r="AB96" i="70"/>
  <c r="AB154" i="70"/>
  <c r="AB159" i="70"/>
  <c r="AB66" i="70"/>
  <c r="AB61" i="70"/>
  <c r="AB101" i="70"/>
  <c r="AB142" i="70"/>
  <c r="AB93" i="70"/>
  <c r="AB134" i="70"/>
  <c r="AB87" i="70"/>
  <c r="AB109" i="70"/>
  <c r="AB147" i="70"/>
  <c r="AB78" i="70"/>
  <c r="AB235" i="70"/>
  <c r="AB106" i="70"/>
  <c r="AB152" i="70"/>
  <c r="AB171" i="70"/>
  <c r="AB140" i="70"/>
  <c r="AB256" i="70"/>
  <c r="AB263" i="70"/>
  <c r="AB129" i="70"/>
  <c r="AB100" i="70"/>
  <c r="AB141" i="70"/>
  <c r="AB50" i="70"/>
  <c r="AB38" i="70"/>
  <c r="AB80" i="70"/>
  <c r="AB224" i="70"/>
  <c r="AB270" i="70"/>
  <c r="AB302" i="70"/>
  <c r="AB277" i="70"/>
  <c r="AB105" i="70"/>
  <c r="AB253" i="70"/>
  <c r="AB179" i="70"/>
  <c r="AB103" i="70"/>
  <c r="AB81" i="70"/>
  <c r="AB278" i="70"/>
  <c r="AB77" i="70"/>
  <c r="AB39" i="70"/>
  <c r="AB74" i="70"/>
  <c r="AB73" i="70"/>
  <c r="AB233" i="70"/>
  <c r="AB108" i="70"/>
  <c r="AB126" i="70"/>
  <c r="AB117" i="70"/>
  <c r="AB299" i="70"/>
  <c r="AB54" i="70"/>
  <c r="AB220" i="70"/>
  <c r="AB262" i="70"/>
  <c r="AB72" i="70"/>
  <c r="AB148" i="70"/>
  <c r="AB236" i="70"/>
  <c r="AB296" i="70"/>
  <c r="AB86" i="70"/>
  <c r="AB268" i="70"/>
  <c r="AB300" i="70"/>
  <c r="AB146" i="70"/>
  <c r="AB229" i="70"/>
  <c r="AB246" i="70"/>
  <c r="AB156" i="70"/>
  <c r="AB1" i="70" l="1"/>
  <c r="M3" i="10" s="1"/>
  <c r="AA1" i="70"/>
  <c r="M4" i="10" s="1"/>
  <c r="Y1" i="70" l="1"/>
  <c r="E78" i="5" s="1"/>
  <c r="E104" i="5" s="1"/>
  <c r="E143" i="5" s="1"/>
  <c r="L6" i="5" s="1"/>
  <c r="Z1" i="70"/>
  <c r="K4" i="11"/>
  <c r="L4" i="11"/>
  <c r="I78" i="5" l="1"/>
  <c r="AE24" i="27"/>
  <c r="H3" i="4"/>
  <c r="H8" i="4" s="1"/>
  <c r="L7" i="5" s="1"/>
  <c r="L1" i="5"/>
  <c r="I143" i="5"/>
  <c r="I4" i="5" l="1"/>
  <c r="F29" i="11"/>
  <c r="F27" i="11"/>
  <c r="F31" i="11"/>
  <c r="F2" i="4"/>
  <c r="F28" i="11"/>
  <c r="F30" i="11"/>
  <c r="M9" i="10"/>
  <c r="AF24" i="27"/>
  <c r="AG24" i="27" s="1"/>
  <c r="AH24" i="27" s="1"/>
  <c r="AI24" i="27" s="1"/>
  <c r="AJ24" i="27" s="1"/>
  <c r="AK24" i="27" s="1"/>
  <c r="AL24" i="27" s="1"/>
  <c r="AM24" i="27" s="1"/>
  <c r="AN24" i="27" s="1"/>
  <c r="AO24" i="27" s="1"/>
  <c r="AP24" i="27" s="1"/>
  <c r="AQ24" i="27" s="1"/>
  <c r="AR24" i="27" s="1"/>
  <c r="AS24" i="27" s="1"/>
  <c r="AT24" i="27" s="1"/>
  <c r="AU24" i="27" s="1"/>
  <c r="AV24" i="27" s="1"/>
  <c r="AW24" i="27" s="1"/>
  <c r="AX24" i="27" s="1"/>
  <c r="AY24" i="27" s="1"/>
  <c r="AT23" i="27"/>
  <c r="AR23" i="27"/>
  <c r="AY23" i="27"/>
  <c r="AN23" i="27"/>
  <c r="AG23" i="27"/>
  <c r="AO23" i="27"/>
  <c r="AM23" i="27"/>
  <c r="AJ23" i="27"/>
  <c r="AL23" i="27"/>
  <c r="AK23" i="27"/>
  <c r="AX23" i="27"/>
  <c r="AQ23" i="27"/>
  <c r="AV23" i="27"/>
  <c r="AI23" i="27"/>
  <c r="AF23" i="27"/>
  <c r="AH23" i="27"/>
  <c r="AU23" i="27"/>
  <c r="AS23" i="27"/>
  <c r="AW23" i="27"/>
  <c r="AP23" i="27"/>
  <c r="AE25" i="27"/>
  <c r="B5" i="10" l="1"/>
  <c r="B2" i="10"/>
  <c r="AF26" i="27"/>
  <c r="AF28" i="27" s="1"/>
  <c r="AF25" i="27"/>
  <c r="D2" i="10" l="1"/>
  <c r="B4" i="10"/>
  <c r="C2" i="10"/>
  <c r="B3" i="10"/>
  <c r="AG26" i="27"/>
  <c r="AG28" i="27" s="1"/>
  <c r="AG25" i="27"/>
  <c r="C5" i="10"/>
  <c r="B7" i="10"/>
  <c r="B6" i="10"/>
  <c r="D5" i="10"/>
  <c r="AH26" i="27" l="1"/>
  <c r="AH28" i="27" s="1"/>
  <c r="AH25" i="27"/>
  <c r="C6" i="10"/>
  <c r="C7" i="10"/>
  <c r="C3" i="10"/>
  <c r="C4" i="10"/>
  <c r="D6" i="10"/>
  <c r="D7" i="10"/>
  <c r="D3" i="10"/>
  <c r="D4" i="10"/>
  <c r="AI26" i="27" l="1"/>
  <c r="AI28" i="27" s="1"/>
  <c r="AI25" i="27"/>
  <c r="AJ26" i="27" l="1"/>
  <c r="AJ28" i="27" s="1"/>
  <c r="AJ25" i="27"/>
  <c r="AK26" i="27" l="1"/>
  <c r="AK28" i="27" s="1"/>
  <c r="AK25" i="27"/>
  <c r="AL26" i="27" l="1"/>
  <c r="AL28" i="27" s="1"/>
  <c r="AL25" i="27"/>
  <c r="AM25" i="27" l="1"/>
  <c r="AM26" i="27"/>
  <c r="AM28" i="27" s="1"/>
  <c r="AN25" i="27" l="1"/>
  <c r="AN26" i="27"/>
  <c r="AN28" i="27" s="1"/>
  <c r="AO25" i="27" l="1"/>
  <c r="AO26" i="27"/>
  <c r="AO28" i="27" s="1"/>
  <c r="AP25" i="27" l="1"/>
  <c r="AP26" i="27"/>
  <c r="AP28" i="27" s="1"/>
  <c r="AQ26" i="27" l="1"/>
  <c r="AQ28" i="27" s="1"/>
  <c r="AQ25" i="27"/>
  <c r="AR26" i="27" l="1"/>
  <c r="AR28" i="27" s="1"/>
  <c r="AR25" i="27"/>
  <c r="AS26" i="27" l="1"/>
  <c r="AS28" i="27" s="1"/>
  <c r="AS25" i="27"/>
  <c r="AT26" i="27" l="1"/>
  <c r="AT28" i="27" s="1"/>
  <c r="AT25" i="27"/>
  <c r="AU26" i="27" l="1"/>
  <c r="AU28" i="27" s="1"/>
  <c r="AU25" i="27"/>
  <c r="AV25" i="27" l="1"/>
  <c r="AV26" i="27"/>
  <c r="AV28" i="27" s="1"/>
  <c r="AW25" i="27" l="1"/>
  <c r="AW26" i="27"/>
  <c r="AW28" i="27" s="1"/>
  <c r="AX25" i="27" l="1"/>
  <c r="AX26" i="27"/>
  <c r="AX28" i="27" s="1"/>
  <c r="AY25" i="27" l="1"/>
  <c r="AY26" i="27"/>
  <c r="AY28" i="27" l="1"/>
  <c r="AE28" i="27" s="1"/>
  <c r="AE29" i="27" s="1"/>
  <c r="E6" i="5" s="1"/>
  <c r="M8" i="10" s="1"/>
  <c r="AZ26" i="27"/>
  <c r="D23" i="10" l="1"/>
  <c r="K23" i="10"/>
  <c r="B23" i="10"/>
  <c r="F23" i="10"/>
  <c r="Q46" i="11" l="1"/>
  <c r="F24" i="10"/>
  <c r="T7" i="11"/>
  <c r="H55" i="10"/>
  <c r="L55" i="10" s="1"/>
  <c r="R46" i="11"/>
  <c r="H56" i="10"/>
  <c r="L56" i="10" s="1"/>
  <c r="W16" i="29"/>
  <c r="H2" i="10"/>
  <c r="F5" i="4"/>
  <c r="B24" i="10"/>
  <c r="E4" i="10" s="1"/>
  <c r="H53" i="10"/>
  <c r="L53" i="10" s="1"/>
  <c r="T4" i="11"/>
  <c r="K24" i="10"/>
  <c r="K25" i="10" s="1"/>
  <c r="H57" i="10"/>
  <c r="L57" i="10" s="1"/>
  <c r="H5" i="10"/>
  <c r="D24" i="10"/>
  <c r="H54" i="10"/>
  <c r="L54" i="10" s="1"/>
  <c r="H97" i="10" l="1"/>
  <c r="L97" i="10" s="1"/>
  <c r="H46" i="10"/>
  <c r="L46" i="10" s="1"/>
  <c r="H79" i="10"/>
  <c r="L79" i="10" s="1"/>
  <c r="H68" i="10"/>
  <c r="L68" i="10" s="1"/>
  <c r="H88" i="10"/>
  <c r="L88" i="10" s="1"/>
  <c r="H106" i="10"/>
  <c r="L106" i="10" s="1"/>
  <c r="T3" i="11"/>
  <c r="T5" i="11" s="1"/>
  <c r="U4" i="11" s="1"/>
  <c r="V31" i="11"/>
  <c r="T30" i="11"/>
  <c r="S28" i="11"/>
  <c r="U28" i="11"/>
  <c r="U30" i="11"/>
  <c r="U31" i="11"/>
  <c r="V30" i="11"/>
  <c r="T29" i="11"/>
  <c r="T37" i="11" s="1"/>
  <c r="T31" i="11"/>
  <c r="S29" i="11"/>
  <c r="S38" i="11" s="1"/>
  <c r="R29" i="11"/>
  <c r="R39" i="11" s="1"/>
  <c r="J18" i="11" s="1"/>
  <c r="V28" i="11"/>
  <c r="V29" i="11"/>
  <c r="R28" i="11"/>
  <c r="S30" i="11"/>
  <c r="S39" i="11" s="1"/>
  <c r="K18" i="11" s="1"/>
  <c r="U29" i="11"/>
  <c r="T28" i="11"/>
  <c r="E2" i="10"/>
  <c r="W17" i="29"/>
  <c r="T6" i="11"/>
  <c r="T8" i="11" s="1"/>
  <c r="U7" i="11" s="1"/>
  <c r="F25" i="10"/>
  <c r="E5" i="10"/>
  <c r="D25" i="10"/>
  <c r="N29" i="11"/>
  <c r="L29" i="11"/>
  <c r="L34" i="11" s="1"/>
  <c r="M29" i="11"/>
  <c r="K30" i="11"/>
  <c r="L28" i="11"/>
  <c r="K28" i="11"/>
  <c r="J29" i="11"/>
  <c r="J45" i="11" s="1"/>
  <c r="J17" i="11" s="1"/>
  <c r="K29" i="11"/>
  <c r="N30" i="11"/>
  <c r="M30" i="11"/>
  <c r="M35" i="11" s="1"/>
  <c r="N28" i="11"/>
  <c r="L31" i="11"/>
  <c r="L30" i="11"/>
  <c r="N31" i="11"/>
  <c r="J28" i="11"/>
  <c r="M31" i="11"/>
  <c r="M28" i="11"/>
  <c r="N35" i="11" l="1"/>
  <c r="U6" i="11"/>
  <c r="M34" i="11"/>
  <c r="M33" i="11"/>
  <c r="M38" i="11" s="1"/>
  <c r="M32" i="11"/>
  <c r="N34" i="11"/>
  <c r="H76" i="10"/>
  <c r="L76" i="10" s="1"/>
  <c r="H43" i="10"/>
  <c r="L43" i="10" s="1"/>
  <c r="H85" i="10"/>
  <c r="L85" i="10" s="1"/>
  <c r="H94" i="10"/>
  <c r="L94" i="10" s="1"/>
  <c r="H103" i="10"/>
  <c r="L103" i="10" s="1"/>
  <c r="H65" i="10"/>
  <c r="G5" i="10"/>
  <c r="H1" i="11"/>
  <c r="I1" i="11" s="1"/>
  <c r="U3" i="11"/>
  <c r="P5" i="11" s="1"/>
  <c r="J42" i="11"/>
  <c r="J43" i="11"/>
  <c r="J15" i="11" s="1"/>
  <c r="J44" i="11"/>
  <c r="E7" i="10"/>
  <c r="I5" i="10"/>
  <c r="J5" i="10" s="1"/>
  <c r="E6" i="10"/>
  <c r="R35" i="11"/>
  <c r="R38" i="11"/>
  <c r="R40" i="11" s="1"/>
  <c r="R36" i="11"/>
  <c r="K33" i="11"/>
  <c r="K45" i="11" s="1"/>
  <c r="K17" i="11" s="1"/>
  <c r="K32" i="11"/>
  <c r="H66" i="10"/>
  <c r="L66" i="10" s="1"/>
  <c r="H105" i="10"/>
  <c r="L105" i="10" s="1"/>
  <c r="I67" i="10"/>
  <c r="H78" i="10"/>
  <c r="L78" i="10" s="1"/>
  <c r="H87" i="10"/>
  <c r="L87" i="10" s="1"/>
  <c r="H95" i="10"/>
  <c r="L95" i="10" s="1"/>
  <c r="H104" i="10"/>
  <c r="L104" i="10" s="1"/>
  <c r="H45" i="10"/>
  <c r="L45" i="10" s="1"/>
  <c r="H77" i="10"/>
  <c r="L77" i="10" s="1"/>
  <c r="H86" i="10"/>
  <c r="L86" i="10" s="1"/>
  <c r="I87" i="10"/>
  <c r="H44" i="10"/>
  <c r="L44" i="10" s="1"/>
  <c r="I78" i="10"/>
  <c r="AR33" i="30"/>
  <c r="AR34" i="30" s="1"/>
  <c r="I45" i="10"/>
  <c r="I105" i="10"/>
  <c r="H96" i="10"/>
  <c r="L96" i="10" s="1"/>
  <c r="H67" i="10"/>
  <c r="L67" i="10" s="1"/>
  <c r="I96" i="10"/>
  <c r="L33" i="11"/>
  <c r="L32" i="11"/>
  <c r="V33" i="11"/>
  <c r="V32" i="11"/>
  <c r="V34" i="11" s="1"/>
  <c r="U33" i="11"/>
  <c r="U38" i="11" s="1"/>
  <c r="U32" i="11"/>
  <c r="W21" i="29"/>
  <c r="X21" i="29"/>
  <c r="S35" i="11"/>
  <c r="S37" i="11"/>
  <c r="S40" i="11" s="1"/>
  <c r="S36" i="11"/>
  <c r="N32" i="11"/>
  <c r="N33" i="11"/>
  <c r="E3" i="10"/>
  <c r="I2" i="10"/>
  <c r="T33" i="11"/>
  <c r="T39" i="11" s="1"/>
  <c r="L18" i="11" s="1"/>
  <c r="T32" i="11"/>
  <c r="S9" i="11" l="1"/>
  <c r="X10" i="11" s="1"/>
  <c r="Y10" i="11" s="1"/>
  <c r="I9" i="10" s="1"/>
  <c r="J9" i="10" s="1"/>
  <c r="S8" i="11"/>
  <c r="S7" i="11"/>
  <c r="S6" i="11"/>
  <c r="S5" i="11"/>
  <c r="S10" i="11"/>
  <c r="K42" i="11"/>
  <c r="N38" i="11"/>
  <c r="K43" i="11"/>
  <c r="K15" i="11" s="1"/>
  <c r="I235" i="11" s="1"/>
  <c r="J235" i="11" s="1"/>
  <c r="T38" i="11"/>
  <c r="T40" i="11" s="1"/>
  <c r="T35" i="11"/>
  <c r="L37" i="11"/>
  <c r="L45" i="11" s="1"/>
  <c r="L17" i="11" s="1"/>
  <c r="L36" i="11"/>
  <c r="M78" i="10"/>
  <c r="J78" i="10"/>
  <c r="F22" i="11"/>
  <c r="F35" i="11"/>
  <c r="F21" i="11"/>
  <c r="F24" i="11"/>
  <c r="F34" i="11"/>
  <c r="F23" i="11"/>
  <c r="F38" i="11"/>
  <c r="F36" i="11"/>
  <c r="F20" i="11"/>
  <c r="F37" i="11"/>
  <c r="O6" i="11"/>
  <c r="J2" i="10"/>
  <c r="M96" i="10"/>
  <c r="J96" i="10"/>
  <c r="M87" i="10"/>
  <c r="J87" i="10"/>
  <c r="M67" i="10"/>
  <c r="J67" i="10"/>
  <c r="I4" i="11"/>
  <c r="C7" i="11" s="1"/>
  <c r="AR25" i="30"/>
  <c r="U37" i="11"/>
  <c r="U40" i="11" s="1"/>
  <c r="U35" i="11"/>
  <c r="U36" i="11"/>
  <c r="M36" i="11"/>
  <c r="M37" i="11"/>
  <c r="N37" i="11"/>
  <c r="N36" i="11"/>
  <c r="J105" i="10"/>
  <c r="M105" i="10"/>
  <c r="I56" i="10"/>
  <c r="J45" i="10"/>
  <c r="M45" i="10"/>
  <c r="J47" i="11"/>
  <c r="J16" i="11"/>
  <c r="K44" i="11"/>
  <c r="V37" i="11"/>
  <c r="V40" i="11" s="1"/>
  <c r="V35" i="11"/>
  <c r="V36" i="11"/>
  <c r="T36" i="11"/>
  <c r="R71" i="11"/>
  <c r="R121" i="11"/>
  <c r="R254" i="11"/>
  <c r="R78" i="11"/>
  <c r="R261" i="11"/>
  <c r="R106" i="11"/>
  <c r="R88" i="11"/>
  <c r="R80" i="11"/>
  <c r="R82" i="11"/>
  <c r="R271" i="11"/>
  <c r="I239" i="11"/>
  <c r="J239" i="11" s="1"/>
  <c r="R259" i="11"/>
  <c r="R66" i="11"/>
  <c r="R61" i="11"/>
  <c r="R265" i="11"/>
  <c r="R268" i="11"/>
  <c r="R263" i="11"/>
  <c r="I234" i="11"/>
  <c r="J234" i="11" s="1"/>
  <c r="R85" i="11"/>
  <c r="R76" i="11"/>
  <c r="R244" i="11"/>
  <c r="R116" i="11"/>
  <c r="R234" i="11"/>
  <c r="R249" i="11"/>
  <c r="R111" i="11"/>
  <c r="R101" i="11"/>
  <c r="I56" i="11"/>
  <c r="R91" i="11"/>
  <c r="R126" i="11"/>
  <c r="R96" i="11"/>
  <c r="R131" i="11"/>
  <c r="O7" i="11" l="1"/>
  <c r="P7" i="11" s="1"/>
  <c r="R79" i="11"/>
  <c r="R132" i="11"/>
  <c r="R81" i="11"/>
  <c r="R255" i="11"/>
  <c r="R112" i="11"/>
  <c r="R272" i="11"/>
  <c r="R86" i="11"/>
  <c r="R260" i="11"/>
  <c r="R67" i="11"/>
  <c r="I57" i="11"/>
  <c r="S57" i="11" s="1"/>
  <c r="R266" i="11"/>
  <c r="R235" i="11"/>
  <c r="I240" i="11"/>
  <c r="J240" i="11" s="1"/>
  <c r="R264" i="11"/>
  <c r="R127" i="11"/>
  <c r="R97" i="11"/>
  <c r="R89" i="11"/>
  <c r="R269" i="11"/>
  <c r="R245" i="11"/>
  <c r="R62" i="11"/>
  <c r="R122" i="11"/>
  <c r="R77" i="11"/>
  <c r="R92" i="11"/>
  <c r="R117" i="11"/>
  <c r="R250" i="11"/>
  <c r="R102" i="11"/>
  <c r="R72" i="11"/>
  <c r="R262" i="11"/>
  <c r="R83" i="11"/>
  <c r="R107" i="11"/>
  <c r="J56" i="11"/>
  <c r="S56" i="11"/>
  <c r="N245" i="11"/>
  <c r="N126" i="11"/>
  <c r="N131" i="11"/>
  <c r="M234" i="11"/>
  <c r="N96" i="11"/>
  <c r="N254" i="11"/>
  <c r="K234" i="11"/>
  <c r="L234" i="11" s="1"/>
  <c r="K239" i="11"/>
  <c r="L239" i="11" s="1"/>
  <c r="N101" i="11"/>
  <c r="O56" i="11"/>
  <c r="N106" i="11"/>
  <c r="N248" i="11"/>
  <c r="N141" i="11"/>
  <c r="N116" i="11"/>
  <c r="N121" i="11"/>
  <c r="N71" i="11"/>
  <c r="K56" i="11"/>
  <c r="N275" i="11"/>
  <c r="N234" i="11"/>
  <c r="N244" i="11"/>
  <c r="N249" i="11"/>
  <c r="N246" i="11"/>
  <c r="N136" i="11"/>
  <c r="N146" i="11"/>
  <c r="N91" i="11"/>
  <c r="M56" i="11"/>
  <c r="N247" i="11"/>
  <c r="N66" i="11"/>
  <c r="M239" i="11"/>
  <c r="N111" i="11"/>
  <c r="N61" i="11"/>
  <c r="M40" i="11"/>
  <c r="M45" i="11" s="1"/>
  <c r="M17" i="11" s="1"/>
  <c r="M39" i="11"/>
  <c r="L44" i="11"/>
  <c r="L43" i="11"/>
  <c r="L15" i="11" s="1"/>
  <c r="J56" i="10"/>
  <c r="K56" i="10"/>
  <c r="M56" i="10"/>
  <c r="N40" i="11"/>
  <c r="N39" i="11"/>
  <c r="N41" i="11" s="1"/>
  <c r="H8" i="11"/>
  <c r="J4" i="11"/>
  <c r="H9" i="11" s="1"/>
  <c r="K47" i="11"/>
  <c r="K16" i="11"/>
  <c r="L42" i="11"/>
  <c r="J57" i="11" l="1"/>
  <c r="S123" i="11"/>
  <c r="R103" i="11"/>
  <c r="R98" i="11"/>
  <c r="R270" i="11"/>
  <c r="S93" i="11"/>
  <c r="I245" i="11"/>
  <c r="J245" i="11" s="1"/>
  <c r="R108" i="11"/>
  <c r="I241" i="11"/>
  <c r="J241" i="11" s="1"/>
  <c r="R73" i="11"/>
  <c r="I93" i="11"/>
  <c r="J93" i="11" s="1"/>
  <c r="I244" i="11"/>
  <c r="J244" i="11" s="1"/>
  <c r="R90" i="11"/>
  <c r="S91" i="11"/>
  <c r="R251" i="11"/>
  <c r="S121" i="11"/>
  <c r="I91" i="11"/>
  <c r="J91" i="11" s="1"/>
  <c r="I62" i="11"/>
  <c r="R273" i="11"/>
  <c r="I61" i="11"/>
  <c r="R84" i="11"/>
  <c r="R113" i="11"/>
  <c r="I246" i="11"/>
  <c r="J246" i="11" s="1"/>
  <c r="S92" i="11"/>
  <c r="S106" i="11"/>
  <c r="I58" i="11"/>
  <c r="R118" i="11"/>
  <c r="I63" i="11"/>
  <c r="S122" i="11"/>
  <c r="S107" i="11"/>
  <c r="R87" i="11"/>
  <c r="R236" i="11"/>
  <c r="R93" i="11"/>
  <c r="R267" i="11"/>
  <c r="R133" i="11"/>
  <c r="R256" i="11"/>
  <c r="I236" i="11"/>
  <c r="J236" i="11" s="1"/>
  <c r="R68" i="11"/>
  <c r="R128" i="11"/>
  <c r="R63" i="11"/>
  <c r="S108" i="11"/>
  <c r="R246" i="11"/>
  <c r="R123" i="11"/>
  <c r="I92" i="11"/>
  <c r="J92" i="11" s="1"/>
  <c r="L16" i="11"/>
  <c r="K245" i="11" s="1"/>
  <c r="L47" i="11"/>
  <c r="N112" i="11"/>
  <c r="N137" i="11"/>
  <c r="N67" i="11"/>
  <c r="O57" i="11"/>
  <c r="N107" i="11"/>
  <c r="N122" i="11"/>
  <c r="N250" i="11"/>
  <c r="N255" i="11"/>
  <c r="N62" i="11"/>
  <c r="N132" i="11"/>
  <c r="N72" i="11"/>
  <c r="N276" i="11"/>
  <c r="M57" i="11"/>
  <c r="N92" i="11"/>
  <c r="N142" i="11"/>
  <c r="N127" i="11"/>
  <c r="K240" i="11"/>
  <c r="L240" i="11" s="1"/>
  <c r="Q240" i="11" s="1"/>
  <c r="X240" i="11" s="1"/>
  <c r="Y240" i="11" s="1"/>
  <c r="M240" i="11"/>
  <c r="N117" i="11"/>
  <c r="N97" i="11"/>
  <c r="M235" i="11"/>
  <c r="N102" i="11"/>
  <c r="K57" i="11"/>
  <c r="N147" i="11"/>
  <c r="K235" i="11"/>
  <c r="L235" i="11" s="1"/>
  <c r="N235" i="11"/>
  <c r="Q239" i="11"/>
  <c r="X239" i="11" s="1"/>
  <c r="Q234" i="11"/>
  <c r="N42" i="11"/>
  <c r="N44" i="11"/>
  <c r="N43" i="11"/>
  <c r="M42" i="11"/>
  <c r="M44" i="11"/>
  <c r="M43" i="11"/>
  <c r="M15" i="11" s="1"/>
  <c r="L56" i="11"/>
  <c r="Q56" i="11" s="1"/>
  <c r="L57" i="11" l="1"/>
  <c r="Q57" i="11" s="1"/>
  <c r="X57" i="11" s="1"/>
  <c r="Y57" i="11" s="1"/>
  <c r="M62" i="11"/>
  <c r="R94" i="11"/>
  <c r="I97" i="11"/>
  <c r="J97" i="11" s="1"/>
  <c r="I260" i="11"/>
  <c r="J260" i="11" s="1"/>
  <c r="R109" i="11"/>
  <c r="S96" i="11"/>
  <c r="R114" i="11"/>
  <c r="R74" i="11"/>
  <c r="S129" i="11"/>
  <c r="R104" i="11"/>
  <c r="S126" i="11"/>
  <c r="I76" i="11"/>
  <c r="R99" i="11"/>
  <c r="I67" i="11"/>
  <c r="I99" i="11"/>
  <c r="J99" i="11" s="1"/>
  <c r="R124" i="11"/>
  <c r="I94" i="11"/>
  <c r="J94" i="11" s="1"/>
  <c r="R247" i="11"/>
  <c r="S112" i="11"/>
  <c r="I111" i="11"/>
  <c r="J111" i="11" s="1"/>
  <c r="I64" i="11"/>
  <c r="I249" i="11"/>
  <c r="J249" i="11" s="1"/>
  <c r="I250" i="11"/>
  <c r="J250" i="11" s="1"/>
  <c r="R134" i="11"/>
  <c r="I78" i="11"/>
  <c r="I252" i="11"/>
  <c r="J252" i="11" s="1"/>
  <c r="I262" i="11"/>
  <c r="J262" i="11" s="1"/>
  <c r="S98" i="11"/>
  <c r="S99" i="11"/>
  <c r="R252" i="11"/>
  <c r="R64" i="11"/>
  <c r="I69" i="11"/>
  <c r="S111" i="11"/>
  <c r="S114" i="11"/>
  <c r="S97" i="11"/>
  <c r="I114" i="11"/>
  <c r="J114" i="11" s="1"/>
  <c r="I112" i="11"/>
  <c r="J112" i="11" s="1"/>
  <c r="S127" i="11"/>
  <c r="R129" i="11"/>
  <c r="I259" i="11"/>
  <c r="J259" i="11" s="1"/>
  <c r="I237" i="11"/>
  <c r="J237" i="11" s="1"/>
  <c r="S124" i="11"/>
  <c r="I242" i="11"/>
  <c r="J242" i="11" s="1"/>
  <c r="I247" i="11"/>
  <c r="J247" i="11" s="1"/>
  <c r="I59" i="11"/>
  <c r="I109" i="11"/>
  <c r="J109" i="11" s="1"/>
  <c r="I68" i="11"/>
  <c r="I79" i="11"/>
  <c r="R119" i="11"/>
  <c r="R69" i="11"/>
  <c r="I77" i="11"/>
  <c r="I66" i="11"/>
  <c r="I261" i="11"/>
  <c r="J261" i="11" s="1"/>
  <c r="R257" i="11"/>
  <c r="I96" i="11"/>
  <c r="J96" i="11" s="1"/>
  <c r="R237" i="11"/>
  <c r="S109" i="11"/>
  <c r="S94" i="11"/>
  <c r="S128" i="11"/>
  <c r="M16" i="11"/>
  <c r="M47" i="11"/>
  <c r="I113" i="11"/>
  <c r="J113" i="11" s="1"/>
  <c r="I107" i="11"/>
  <c r="J107" i="11" s="1"/>
  <c r="L245" i="11"/>
  <c r="Q245" i="11" s="1"/>
  <c r="I251" i="11"/>
  <c r="J251" i="11" s="1"/>
  <c r="Q235" i="11"/>
  <c r="X235" i="11" s="1"/>
  <c r="Y235" i="11" s="1"/>
  <c r="AN37" i="70"/>
  <c r="N15" i="11"/>
  <c r="I124" i="11" s="1"/>
  <c r="J124" i="11" s="1"/>
  <c r="S113" i="11"/>
  <c r="O107" i="11"/>
  <c r="N128" i="11"/>
  <c r="N138" i="11"/>
  <c r="N93" i="11"/>
  <c r="O63" i="11"/>
  <c r="O83" i="11"/>
  <c r="N98" i="11"/>
  <c r="O110" i="11"/>
  <c r="O91" i="11"/>
  <c r="O124" i="11"/>
  <c r="N103" i="11"/>
  <c r="K236" i="11"/>
  <c r="L236" i="11" s="1"/>
  <c r="O82" i="11"/>
  <c r="N133" i="11"/>
  <c r="O76" i="11"/>
  <c r="O121" i="11"/>
  <c r="K63" i="11"/>
  <c r="O122" i="11"/>
  <c r="N68" i="11"/>
  <c r="O106" i="11"/>
  <c r="O137" i="11"/>
  <c r="M236" i="11"/>
  <c r="N236" i="11"/>
  <c r="K246" i="11"/>
  <c r="L246" i="11" s="1"/>
  <c r="Q246" i="11" s="1"/>
  <c r="M241" i="11"/>
  <c r="N256" i="11"/>
  <c r="N108" i="11"/>
  <c r="O84" i="11"/>
  <c r="N118" i="11"/>
  <c r="O125" i="11"/>
  <c r="K58" i="11"/>
  <c r="M58" i="11"/>
  <c r="O62" i="11"/>
  <c r="O109" i="11"/>
  <c r="O77" i="11"/>
  <c r="N73" i="11"/>
  <c r="O94" i="11"/>
  <c r="N113" i="11"/>
  <c r="N123" i="11"/>
  <c r="O65" i="11"/>
  <c r="M63" i="11"/>
  <c r="O61" i="11"/>
  <c r="O108" i="11"/>
  <c r="M246" i="11"/>
  <c r="M93" i="11"/>
  <c r="O139" i="11"/>
  <c r="O92" i="11"/>
  <c r="N63" i="11"/>
  <c r="O95" i="11"/>
  <c r="K241" i="11"/>
  <c r="L241" i="11" s="1"/>
  <c r="Q241" i="11" s="1"/>
  <c r="X241" i="11" s="1"/>
  <c r="N251" i="11"/>
  <c r="O136" i="11"/>
  <c r="O140" i="11"/>
  <c r="O64" i="11"/>
  <c r="K93" i="11"/>
  <c r="L93" i="11" s="1"/>
  <c r="O58" i="11"/>
  <c r="N277" i="11"/>
  <c r="O93" i="11"/>
  <c r="O123" i="11"/>
  <c r="O138" i="11"/>
  <c r="N143" i="11"/>
  <c r="N148" i="11"/>
  <c r="M61" i="11"/>
  <c r="M91" i="11"/>
  <c r="M244" i="11"/>
  <c r="K61" i="11"/>
  <c r="K244" i="11"/>
  <c r="L244" i="11" s="1"/>
  <c r="Q244" i="11" s="1"/>
  <c r="K91" i="11"/>
  <c r="L91" i="11" s="1"/>
  <c r="Q91" i="11" s="1"/>
  <c r="N16" i="11"/>
  <c r="N47" i="11"/>
  <c r="I108" i="11"/>
  <c r="J108" i="11" s="1"/>
  <c r="S63" i="11"/>
  <c r="J63" i="11"/>
  <c r="S61" i="11"/>
  <c r="J61" i="11"/>
  <c r="I106" i="11"/>
  <c r="J106" i="11" s="1"/>
  <c r="M245" i="11"/>
  <c r="AB240" i="11"/>
  <c r="AF240" i="11" s="1"/>
  <c r="AG240" i="11" s="1"/>
  <c r="I98" i="11"/>
  <c r="J98" i="11" s="1"/>
  <c r="K92" i="11"/>
  <c r="L92" i="11" s="1"/>
  <c r="Q92" i="11" s="1"/>
  <c r="K62" i="11"/>
  <c r="S58" i="11"/>
  <c r="J58" i="11"/>
  <c r="S62" i="11"/>
  <c r="J62" i="11"/>
  <c r="X56" i="11"/>
  <c r="Y56" i="11" s="1"/>
  <c r="V56" i="11"/>
  <c r="U234" i="11"/>
  <c r="Z234" i="11" s="1"/>
  <c r="X234" i="11"/>
  <c r="Y234" i="11" s="1"/>
  <c r="AH234" i="11"/>
  <c r="Y239" i="11"/>
  <c r="AB239" i="11"/>
  <c r="M92" i="11"/>
  <c r="AI56" i="11"/>
  <c r="V57" i="11" l="1"/>
  <c r="AI57" i="11"/>
  <c r="AA57" i="11"/>
  <c r="AF57" i="11" s="1"/>
  <c r="AG57" i="11" s="1"/>
  <c r="I129" i="11"/>
  <c r="J129" i="11" s="1"/>
  <c r="S139" i="11"/>
  <c r="S142" i="11"/>
  <c r="I119" i="11"/>
  <c r="J119" i="11" s="1"/>
  <c r="S134" i="11"/>
  <c r="I264" i="11"/>
  <c r="J264" i="11" s="1"/>
  <c r="I128" i="11"/>
  <c r="J128" i="11" s="1"/>
  <c r="R278" i="11"/>
  <c r="L58" i="11"/>
  <c r="Q58" i="11" s="1"/>
  <c r="X58" i="11" s="1"/>
  <c r="Y58" i="11" s="1"/>
  <c r="Q93" i="11"/>
  <c r="X93" i="11" s="1"/>
  <c r="AF239" i="11"/>
  <c r="AG239" i="11" s="1"/>
  <c r="Q236" i="11"/>
  <c r="AH236" i="11" s="1"/>
  <c r="AA56" i="11"/>
  <c r="AF56" i="11" s="1"/>
  <c r="AG56" i="11" s="1"/>
  <c r="R149" i="11"/>
  <c r="AH92" i="11"/>
  <c r="X92" i="11"/>
  <c r="U92" i="11"/>
  <c r="Z92" i="11" s="1"/>
  <c r="AH91" i="11"/>
  <c r="X91" i="11"/>
  <c r="AA91" i="11" s="1"/>
  <c r="U91" i="11"/>
  <c r="Z91" i="11" s="1"/>
  <c r="AH246" i="11"/>
  <c r="X246" i="11"/>
  <c r="U246" i="11"/>
  <c r="Z246" i="11" s="1"/>
  <c r="J79" i="11"/>
  <c r="S79" i="11"/>
  <c r="J69" i="11"/>
  <c r="S69" i="11"/>
  <c r="S68" i="11"/>
  <c r="J68" i="11"/>
  <c r="L62" i="11"/>
  <c r="Q62" i="11" s="1"/>
  <c r="V62" i="11" s="1"/>
  <c r="AH235" i="11"/>
  <c r="J67" i="11"/>
  <c r="S67" i="11"/>
  <c r="AF234" i="11"/>
  <c r="AG234" i="11" s="1"/>
  <c r="U235" i="11"/>
  <c r="Z235" i="11" s="1"/>
  <c r="AF235" i="11" s="1"/>
  <c r="AG235" i="11" s="1"/>
  <c r="S59" i="11"/>
  <c r="J59" i="11"/>
  <c r="S64" i="11"/>
  <c r="J64" i="11"/>
  <c r="U244" i="11"/>
  <c r="Z244" i="11" s="1"/>
  <c r="AH244" i="11"/>
  <c r="X244" i="11"/>
  <c r="K276" i="11"/>
  <c r="P145" i="11"/>
  <c r="O103" i="11"/>
  <c r="P148" i="11"/>
  <c r="N115" i="11"/>
  <c r="P281" i="11"/>
  <c r="M143" i="11"/>
  <c r="K243" i="11"/>
  <c r="P279" i="11"/>
  <c r="O105" i="11"/>
  <c r="M253" i="11"/>
  <c r="P147" i="11"/>
  <c r="O119" i="11"/>
  <c r="P283" i="11"/>
  <c r="K146" i="11"/>
  <c r="M125" i="11"/>
  <c r="P139" i="11"/>
  <c r="M100" i="11"/>
  <c r="P274" i="11"/>
  <c r="K110" i="11"/>
  <c r="O104" i="11"/>
  <c r="N265" i="11"/>
  <c r="M89" i="11"/>
  <c r="N272" i="11"/>
  <c r="K269" i="11"/>
  <c r="K86" i="11"/>
  <c r="K265" i="11"/>
  <c r="M255" i="11"/>
  <c r="N267" i="11"/>
  <c r="M123" i="11"/>
  <c r="M87" i="11"/>
  <c r="M256" i="11"/>
  <c r="M280" i="11"/>
  <c r="K125" i="11"/>
  <c r="N110" i="11"/>
  <c r="M150" i="11"/>
  <c r="O60" i="11"/>
  <c r="M274" i="11"/>
  <c r="P144" i="11"/>
  <c r="M243" i="11"/>
  <c r="M139" i="11"/>
  <c r="K60" i="11"/>
  <c r="O72" i="11"/>
  <c r="K147" i="11"/>
  <c r="O74" i="11"/>
  <c r="P278" i="11"/>
  <c r="N135" i="11"/>
  <c r="M120" i="11"/>
  <c r="K150" i="11"/>
  <c r="K238" i="11"/>
  <c r="P138" i="11"/>
  <c r="O71" i="11"/>
  <c r="O101" i="11"/>
  <c r="M88" i="11"/>
  <c r="N266" i="11"/>
  <c r="K102" i="11"/>
  <c r="M122" i="11"/>
  <c r="M266" i="11"/>
  <c r="N88" i="11"/>
  <c r="K122" i="11"/>
  <c r="M84" i="11"/>
  <c r="K73" i="11"/>
  <c r="M267" i="11"/>
  <c r="N284" i="11"/>
  <c r="P146" i="11"/>
  <c r="M95" i="11"/>
  <c r="N75" i="11"/>
  <c r="K149" i="11"/>
  <c r="O89" i="11"/>
  <c r="P284" i="11"/>
  <c r="K145" i="11"/>
  <c r="M135" i="11"/>
  <c r="N145" i="11"/>
  <c r="K65" i="11"/>
  <c r="M283" i="11"/>
  <c r="K137" i="11"/>
  <c r="O135" i="11"/>
  <c r="K283" i="11"/>
  <c r="O88" i="11"/>
  <c r="N65" i="11"/>
  <c r="P149" i="11"/>
  <c r="M70" i="11"/>
  <c r="M138" i="11"/>
  <c r="O102" i="11"/>
  <c r="N283" i="11"/>
  <c r="N86" i="11"/>
  <c r="M117" i="11"/>
  <c r="K266" i="11"/>
  <c r="N269" i="11"/>
  <c r="M86" i="11"/>
  <c r="M272" i="11"/>
  <c r="K72" i="11"/>
  <c r="N270" i="11"/>
  <c r="K123" i="11"/>
  <c r="K270" i="11"/>
  <c r="N90" i="11"/>
  <c r="P140" i="11"/>
  <c r="N125" i="11"/>
  <c r="K274" i="11"/>
  <c r="M137" i="11"/>
  <c r="K115" i="11"/>
  <c r="M278" i="11"/>
  <c r="K135" i="11"/>
  <c r="N100" i="11"/>
  <c r="M140" i="11"/>
  <c r="O117" i="11"/>
  <c r="P275" i="11"/>
  <c r="M141" i="11"/>
  <c r="M105" i="11"/>
  <c r="K136" i="11"/>
  <c r="M248" i="11"/>
  <c r="M284" i="11"/>
  <c r="P142" i="11"/>
  <c r="N105" i="11"/>
  <c r="K142" i="11"/>
  <c r="O75" i="11"/>
  <c r="N83" i="11"/>
  <c r="M83" i="11"/>
  <c r="K116" i="11"/>
  <c r="K85" i="11"/>
  <c r="M101" i="11"/>
  <c r="K255" i="11"/>
  <c r="K89" i="11"/>
  <c r="N89" i="11"/>
  <c r="N87" i="11"/>
  <c r="M103" i="11"/>
  <c r="K87" i="11"/>
  <c r="M90" i="11"/>
  <c r="K148" i="11"/>
  <c r="N238" i="11"/>
  <c r="M282" i="11"/>
  <c r="O149" i="11"/>
  <c r="M110" i="11"/>
  <c r="M147" i="11"/>
  <c r="M258" i="11"/>
  <c r="O133" i="11"/>
  <c r="K140" i="11"/>
  <c r="N253" i="11"/>
  <c r="K278" i="11"/>
  <c r="O90" i="11"/>
  <c r="M130" i="11"/>
  <c r="M136" i="11"/>
  <c r="K100" i="11"/>
  <c r="K279" i="11"/>
  <c r="P143" i="11"/>
  <c r="M60" i="11"/>
  <c r="O147" i="11"/>
  <c r="M65" i="11"/>
  <c r="K272" i="11"/>
  <c r="M269" i="11"/>
  <c r="N282" i="11"/>
  <c r="M271" i="11"/>
  <c r="K268" i="11"/>
  <c r="K101" i="11"/>
  <c r="K254" i="11"/>
  <c r="M121" i="11"/>
  <c r="K84" i="11"/>
  <c r="K118" i="11"/>
  <c r="N273" i="11"/>
  <c r="K256" i="11"/>
  <c r="M144" i="11"/>
  <c r="K248" i="11"/>
  <c r="P276" i="11"/>
  <c r="M148" i="11"/>
  <c r="O132" i="11"/>
  <c r="O148" i="11"/>
  <c r="K258" i="11"/>
  <c r="N279" i="11"/>
  <c r="M142" i="11"/>
  <c r="O116" i="11"/>
  <c r="M277" i="11"/>
  <c r="K70" i="11"/>
  <c r="N120" i="11"/>
  <c r="P141" i="11"/>
  <c r="O120" i="11"/>
  <c r="M279" i="11"/>
  <c r="K138" i="11"/>
  <c r="M276" i="11"/>
  <c r="P150" i="11"/>
  <c r="K105" i="11"/>
  <c r="M102" i="11"/>
  <c r="K131" i="11"/>
  <c r="M85" i="11"/>
  <c r="M116" i="11"/>
  <c r="M265" i="11"/>
  <c r="K88" i="11"/>
  <c r="N271" i="11"/>
  <c r="M254" i="11"/>
  <c r="N84" i="11"/>
  <c r="M270" i="11"/>
  <c r="K90" i="11"/>
  <c r="K273" i="11"/>
  <c r="K282" i="11"/>
  <c r="O146" i="11"/>
  <c r="K120" i="11"/>
  <c r="K277" i="11"/>
  <c r="K253" i="11"/>
  <c r="O73" i="11"/>
  <c r="K139" i="11"/>
  <c r="N95" i="11"/>
  <c r="K281" i="11"/>
  <c r="M149" i="11"/>
  <c r="K95" i="11"/>
  <c r="K144" i="11"/>
  <c r="K130" i="11"/>
  <c r="P280" i="11"/>
  <c r="N140" i="11"/>
  <c r="O80" i="11"/>
  <c r="P277" i="11"/>
  <c r="N258" i="11"/>
  <c r="K284" i="11"/>
  <c r="P136" i="11"/>
  <c r="O118" i="11"/>
  <c r="M268" i="11"/>
  <c r="K132" i="11"/>
  <c r="K117" i="11"/>
  <c r="N82" i="11"/>
  <c r="M82" i="11"/>
  <c r="N268" i="11"/>
  <c r="K121" i="11"/>
  <c r="K271" i="11"/>
  <c r="K267" i="11"/>
  <c r="M273" i="11"/>
  <c r="M118" i="11"/>
  <c r="M133" i="11"/>
  <c r="P282" i="11"/>
  <c r="N150" i="11"/>
  <c r="K75" i="11"/>
  <c r="O150" i="11"/>
  <c r="M115" i="11"/>
  <c r="N70" i="11"/>
  <c r="K141" i="11"/>
  <c r="O134" i="11"/>
  <c r="M281" i="11"/>
  <c r="K143" i="11"/>
  <c r="M75" i="11"/>
  <c r="M145" i="11"/>
  <c r="M238" i="11"/>
  <c r="M275" i="11"/>
  <c r="M146" i="11"/>
  <c r="O131" i="11"/>
  <c r="K275" i="11"/>
  <c r="O81" i="11"/>
  <c r="K280" i="11"/>
  <c r="P137" i="11"/>
  <c r="N130" i="11"/>
  <c r="K82" i="11"/>
  <c r="K83" i="11"/>
  <c r="M132" i="11"/>
  <c r="M72" i="11"/>
  <c r="K71" i="11"/>
  <c r="M71" i="11"/>
  <c r="M131" i="11"/>
  <c r="N85" i="11"/>
  <c r="M73" i="11"/>
  <c r="K103" i="11"/>
  <c r="K133" i="11"/>
  <c r="AI91" i="11"/>
  <c r="V91" i="11"/>
  <c r="O144" i="11"/>
  <c r="M134" i="11"/>
  <c r="O142" i="11"/>
  <c r="K104" i="11"/>
  <c r="N237" i="11"/>
  <c r="N119" i="11"/>
  <c r="M119" i="11"/>
  <c r="K109" i="11"/>
  <c r="L109" i="11" s="1"/>
  <c r="O66" i="11"/>
  <c r="M74" i="11"/>
  <c r="M129" i="11"/>
  <c r="M127" i="11"/>
  <c r="M81" i="11"/>
  <c r="M259" i="11"/>
  <c r="K126" i="11"/>
  <c r="M260" i="11"/>
  <c r="K79" i="11"/>
  <c r="O114" i="11"/>
  <c r="N278" i="11"/>
  <c r="O79" i="11"/>
  <c r="N149" i="11"/>
  <c r="N104" i="11"/>
  <c r="O78" i="11"/>
  <c r="K134" i="11"/>
  <c r="M247" i="11"/>
  <c r="O67" i="11"/>
  <c r="M124" i="11"/>
  <c r="K114" i="11"/>
  <c r="L114" i="11" s="1"/>
  <c r="K78" i="11"/>
  <c r="K67" i="11"/>
  <c r="N81" i="11"/>
  <c r="K107" i="11"/>
  <c r="L107" i="11" s="1"/>
  <c r="Q107" i="11" s="1"/>
  <c r="N281" i="11"/>
  <c r="O70" i="11"/>
  <c r="O143" i="11"/>
  <c r="N109" i="11"/>
  <c r="O111" i="11"/>
  <c r="O96" i="11"/>
  <c r="O97" i="11"/>
  <c r="N139" i="11"/>
  <c r="N129" i="11"/>
  <c r="M59" i="11"/>
  <c r="N144" i="11"/>
  <c r="O130" i="11"/>
  <c r="K249" i="11"/>
  <c r="L249" i="11" s="1"/>
  <c r="Q249" i="11" s="1"/>
  <c r="K262" i="11"/>
  <c r="L262" i="11" s="1"/>
  <c r="M250" i="11"/>
  <c r="K260" i="11"/>
  <c r="L260" i="11" s="1"/>
  <c r="M264" i="11"/>
  <c r="M79" i="11"/>
  <c r="M109" i="11"/>
  <c r="O113" i="11"/>
  <c r="M242" i="11"/>
  <c r="K59" i="11"/>
  <c r="N134" i="11"/>
  <c r="K69" i="11"/>
  <c r="O86" i="11"/>
  <c r="M64" i="11"/>
  <c r="K252" i="11"/>
  <c r="L252" i="11" s="1"/>
  <c r="N69" i="11"/>
  <c r="N124" i="11"/>
  <c r="N78" i="11"/>
  <c r="M249" i="11"/>
  <c r="K81" i="11"/>
  <c r="N260" i="11"/>
  <c r="M97" i="11"/>
  <c r="K80" i="11"/>
  <c r="M69" i="11"/>
  <c r="O85" i="11"/>
  <c r="N114" i="11"/>
  <c r="O99" i="11"/>
  <c r="M104" i="11"/>
  <c r="K64" i="11"/>
  <c r="O115" i="11"/>
  <c r="M257" i="11"/>
  <c r="O100" i="11"/>
  <c r="N64" i="11"/>
  <c r="K124" i="11"/>
  <c r="L124" i="11" s="1"/>
  <c r="M66" i="11"/>
  <c r="M76" i="11"/>
  <c r="M261" i="11"/>
  <c r="M106" i="11"/>
  <c r="M126" i="11"/>
  <c r="O128" i="11"/>
  <c r="K237" i="11"/>
  <c r="L237" i="11" s="1"/>
  <c r="M114" i="11"/>
  <c r="N94" i="11"/>
  <c r="K257" i="11"/>
  <c r="O127" i="11"/>
  <c r="O69" i="11"/>
  <c r="O145" i="11"/>
  <c r="O129" i="11"/>
  <c r="K242" i="11"/>
  <c r="L242" i="11" s="1"/>
  <c r="Q242" i="11" s="1"/>
  <c r="X242" i="11" s="1"/>
  <c r="N262" i="11"/>
  <c r="K261" i="11"/>
  <c r="L261" i="11" s="1"/>
  <c r="N280" i="11"/>
  <c r="K106" i="11"/>
  <c r="L106" i="11" s="1"/>
  <c r="Q106" i="11" s="1"/>
  <c r="AI106" i="11" s="1"/>
  <c r="M263" i="11"/>
  <c r="K259" i="11"/>
  <c r="L259" i="11" s="1"/>
  <c r="O59" i="11"/>
  <c r="N99" i="11"/>
  <c r="O87" i="11"/>
  <c r="M99" i="11"/>
  <c r="K119" i="11"/>
  <c r="N74" i="11"/>
  <c r="M94" i="11"/>
  <c r="O126" i="11"/>
  <c r="N252" i="11"/>
  <c r="M237" i="11"/>
  <c r="K74" i="11"/>
  <c r="O112" i="11"/>
  <c r="K247" i="11"/>
  <c r="L247" i="11" s="1"/>
  <c r="Q247" i="11" s="1"/>
  <c r="O141" i="11"/>
  <c r="K99" i="11"/>
  <c r="L99" i="11" s="1"/>
  <c r="K94" i="11"/>
  <c r="L94" i="11" s="1"/>
  <c r="N79" i="11"/>
  <c r="M111" i="11"/>
  <c r="M77" i="11"/>
  <c r="M107" i="11"/>
  <c r="M108" i="11"/>
  <c r="N263" i="11"/>
  <c r="N259" i="11"/>
  <c r="M113" i="11"/>
  <c r="K112" i="11"/>
  <c r="L112" i="11" s="1"/>
  <c r="Q112" i="11" s="1"/>
  <c r="K96" i="11"/>
  <c r="L96" i="11" s="1"/>
  <c r="Q96" i="11" s="1"/>
  <c r="M67" i="11"/>
  <c r="M96" i="11"/>
  <c r="K98" i="11"/>
  <c r="L98" i="11" s="1"/>
  <c r="Q98" i="11" s="1"/>
  <c r="K251" i="11"/>
  <c r="L251" i="11" s="1"/>
  <c r="Q251" i="11" s="1"/>
  <c r="M68" i="11"/>
  <c r="M128" i="11"/>
  <c r="N264" i="11"/>
  <c r="M80" i="11"/>
  <c r="M112" i="11"/>
  <c r="M98" i="11"/>
  <c r="K68" i="11"/>
  <c r="K113" i="11"/>
  <c r="L113" i="11" s="1"/>
  <c r="Q113" i="11" s="1"/>
  <c r="N257" i="11"/>
  <c r="K250" i="11"/>
  <c r="L250" i="11" s="1"/>
  <c r="Q250" i="11" s="1"/>
  <c r="K127" i="11"/>
  <c r="M262" i="11"/>
  <c r="N76" i="11"/>
  <c r="K108" i="11"/>
  <c r="L108" i="11" s="1"/>
  <c r="Q108" i="11" s="1"/>
  <c r="O98" i="11"/>
  <c r="K66" i="11"/>
  <c r="K97" i="11"/>
  <c r="L97" i="11" s="1"/>
  <c r="Q97" i="11" s="1"/>
  <c r="N77" i="11"/>
  <c r="K129" i="11"/>
  <c r="N261" i="11"/>
  <c r="M78" i="11"/>
  <c r="N80" i="11"/>
  <c r="M251" i="11"/>
  <c r="K128" i="11"/>
  <c r="O68" i="11"/>
  <c r="K76" i="11"/>
  <c r="K263" i="11"/>
  <c r="M252" i="11"/>
  <c r="K111" i="11"/>
  <c r="L111" i="11" s="1"/>
  <c r="Q111" i="11" s="1"/>
  <c r="K264" i="11"/>
  <c r="K77" i="11"/>
  <c r="J66" i="11"/>
  <c r="S66" i="11"/>
  <c r="S76" i="11"/>
  <c r="J76" i="11"/>
  <c r="AB241" i="11"/>
  <c r="Y241" i="11"/>
  <c r="L61" i="11"/>
  <c r="Q61" i="11" s="1"/>
  <c r="S77" i="11"/>
  <c r="J77" i="11"/>
  <c r="AI92" i="11"/>
  <c r="V92" i="11"/>
  <c r="L63" i="11"/>
  <c r="Q63" i="11" s="1"/>
  <c r="AH63" i="11" s="1"/>
  <c r="T137" i="11"/>
  <c r="I279" i="11"/>
  <c r="J279" i="11" s="1"/>
  <c r="S125" i="11"/>
  <c r="T138" i="11"/>
  <c r="T147" i="11"/>
  <c r="S149" i="11"/>
  <c r="I248" i="11"/>
  <c r="J248" i="11" s="1"/>
  <c r="I147" i="11"/>
  <c r="J147" i="11" s="1"/>
  <c r="T277" i="11"/>
  <c r="I281" i="11"/>
  <c r="J281" i="11" s="1"/>
  <c r="R75" i="11"/>
  <c r="S110" i="11"/>
  <c r="S95" i="11"/>
  <c r="R146" i="11"/>
  <c r="I86" i="11"/>
  <c r="S116" i="11"/>
  <c r="I272" i="11"/>
  <c r="J272" i="11" s="1"/>
  <c r="R281" i="11"/>
  <c r="S137" i="11"/>
  <c r="I87" i="11"/>
  <c r="S138" i="11"/>
  <c r="R144" i="11"/>
  <c r="R139" i="11"/>
  <c r="S148" i="11"/>
  <c r="T279" i="11"/>
  <c r="S130" i="11"/>
  <c r="T139" i="11"/>
  <c r="I140" i="11"/>
  <c r="J140" i="11" s="1"/>
  <c r="I146" i="11"/>
  <c r="J146" i="11" s="1"/>
  <c r="T284" i="11"/>
  <c r="I138" i="11"/>
  <c r="J138" i="11" s="1"/>
  <c r="I284" i="11"/>
  <c r="J284" i="11" s="1"/>
  <c r="I274" i="11"/>
  <c r="J274" i="11" s="1"/>
  <c r="I65" i="11"/>
  <c r="R130" i="11"/>
  <c r="I238" i="11"/>
  <c r="J238" i="11" s="1"/>
  <c r="I131" i="11"/>
  <c r="J131" i="11" s="1"/>
  <c r="I254" i="11"/>
  <c r="J254" i="11" s="1"/>
  <c r="R276" i="11"/>
  <c r="R282" i="11"/>
  <c r="S132" i="11"/>
  <c r="S140" i="11"/>
  <c r="S103" i="11"/>
  <c r="I273" i="11"/>
  <c r="J273" i="11" s="1"/>
  <c r="I257" i="11"/>
  <c r="J257" i="11" s="1"/>
  <c r="I145" i="11"/>
  <c r="J145" i="11" s="1"/>
  <c r="I278" i="11"/>
  <c r="J278" i="11" s="1"/>
  <c r="R248" i="11"/>
  <c r="T150" i="11"/>
  <c r="R279" i="11"/>
  <c r="I141" i="11"/>
  <c r="J141" i="11" s="1"/>
  <c r="I283" i="11"/>
  <c r="J283" i="11" s="1"/>
  <c r="R70" i="11"/>
  <c r="S146" i="11"/>
  <c r="R145" i="11"/>
  <c r="R258" i="11"/>
  <c r="I253" i="11"/>
  <c r="J253" i="11" s="1"/>
  <c r="R125" i="11"/>
  <c r="R283" i="11"/>
  <c r="R280" i="11"/>
  <c r="I117" i="11"/>
  <c r="J117" i="11" s="1"/>
  <c r="I116" i="11"/>
  <c r="J116" i="11" s="1"/>
  <c r="I83" i="11"/>
  <c r="I121" i="11"/>
  <c r="J121" i="11" s="1"/>
  <c r="S136" i="11"/>
  <c r="I90" i="11"/>
  <c r="I104" i="11"/>
  <c r="J104" i="11" s="1"/>
  <c r="I137" i="11"/>
  <c r="J137" i="11" s="1"/>
  <c r="T136" i="11"/>
  <c r="R65" i="11"/>
  <c r="I143" i="11"/>
  <c r="J143" i="11" s="1"/>
  <c r="T276" i="11"/>
  <c r="R120" i="11"/>
  <c r="I275" i="11"/>
  <c r="J275" i="11" s="1"/>
  <c r="R238" i="11"/>
  <c r="T146" i="11"/>
  <c r="S147" i="11"/>
  <c r="I100" i="11"/>
  <c r="J100" i="11" s="1"/>
  <c r="S115" i="11"/>
  <c r="S105" i="11"/>
  <c r="R141" i="11"/>
  <c r="I265" i="11"/>
  <c r="J265" i="11" s="1"/>
  <c r="I71" i="11"/>
  <c r="I72" i="11"/>
  <c r="R275" i="11"/>
  <c r="S133" i="11"/>
  <c r="I267" i="11"/>
  <c r="J267" i="11" s="1"/>
  <c r="R143" i="11"/>
  <c r="S104" i="11"/>
  <c r="R284" i="11"/>
  <c r="I110" i="11"/>
  <c r="J110" i="11" s="1"/>
  <c r="T145" i="11"/>
  <c r="I95" i="11"/>
  <c r="J95" i="11" s="1"/>
  <c r="T283" i="11"/>
  <c r="T282" i="11"/>
  <c r="S100" i="11"/>
  <c r="T142" i="11"/>
  <c r="I105" i="11"/>
  <c r="J105" i="11" s="1"/>
  <c r="T140" i="11"/>
  <c r="T148" i="11"/>
  <c r="R100" i="11"/>
  <c r="I258" i="11"/>
  <c r="J258" i="11" s="1"/>
  <c r="I243" i="11"/>
  <c r="J243" i="11" s="1"/>
  <c r="I85" i="11"/>
  <c r="I89" i="11"/>
  <c r="I82" i="11"/>
  <c r="I255" i="11"/>
  <c r="J255" i="11" s="1"/>
  <c r="I101" i="11"/>
  <c r="J101" i="11" s="1"/>
  <c r="I73" i="11"/>
  <c r="I122" i="11"/>
  <c r="J122" i="11" s="1"/>
  <c r="R138" i="11"/>
  <c r="S143" i="11"/>
  <c r="S119" i="11"/>
  <c r="S144" i="11"/>
  <c r="T278" i="11"/>
  <c r="R95" i="11"/>
  <c r="S150" i="11"/>
  <c r="T275" i="11"/>
  <c r="T281" i="11"/>
  <c r="I276" i="11"/>
  <c r="J276" i="11" s="1"/>
  <c r="R135" i="11"/>
  <c r="R150" i="11"/>
  <c r="I75" i="11"/>
  <c r="I149" i="11"/>
  <c r="J149" i="11" s="1"/>
  <c r="I144" i="11"/>
  <c r="J144" i="11" s="1"/>
  <c r="S120" i="11"/>
  <c r="I125" i="11"/>
  <c r="J125" i="11" s="1"/>
  <c r="R137" i="11"/>
  <c r="R136" i="11"/>
  <c r="S102" i="11"/>
  <c r="I268" i="11"/>
  <c r="J268" i="11" s="1"/>
  <c r="I266" i="11"/>
  <c r="J266" i="11" s="1"/>
  <c r="R277" i="11"/>
  <c r="I118" i="11"/>
  <c r="J118" i="11" s="1"/>
  <c r="I103" i="11"/>
  <c r="J103" i="11" s="1"/>
  <c r="I256" i="11"/>
  <c r="J256" i="11" s="1"/>
  <c r="I134" i="11"/>
  <c r="J134" i="11" s="1"/>
  <c r="I282" i="11"/>
  <c r="J282" i="11" s="1"/>
  <c r="R253" i="11"/>
  <c r="T149" i="11"/>
  <c r="T280" i="11"/>
  <c r="I277" i="11"/>
  <c r="J277" i="11" s="1"/>
  <c r="I150" i="11"/>
  <c r="J150" i="11" s="1"/>
  <c r="R105" i="11"/>
  <c r="R140" i="11"/>
  <c r="I120" i="11"/>
  <c r="J120" i="11" s="1"/>
  <c r="I139" i="11"/>
  <c r="J139" i="11" s="1"/>
  <c r="I136" i="11"/>
  <c r="J136" i="11" s="1"/>
  <c r="R115" i="11"/>
  <c r="I130" i="11"/>
  <c r="J130" i="11" s="1"/>
  <c r="S117" i="11"/>
  <c r="I269" i="11"/>
  <c r="J269" i="11" s="1"/>
  <c r="I132" i="11"/>
  <c r="J132" i="11" s="1"/>
  <c r="I102" i="11"/>
  <c r="J102" i="11" s="1"/>
  <c r="S101" i="11"/>
  <c r="I123" i="11"/>
  <c r="J123" i="11" s="1"/>
  <c r="R148" i="11"/>
  <c r="I84" i="11"/>
  <c r="I74" i="11"/>
  <c r="I80" i="11"/>
  <c r="I127" i="11"/>
  <c r="J127" i="11" s="1"/>
  <c r="I263" i="11"/>
  <c r="J263" i="11" s="1"/>
  <c r="T143" i="11"/>
  <c r="R110" i="11"/>
  <c r="I142" i="11"/>
  <c r="J142" i="11" s="1"/>
  <c r="I280" i="11"/>
  <c r="J280" i="11" s="1"/>
  <c r="T141" i="11"/>
  <c r="T144" i="11"/>
  <c r="I135" i="11"/>
  <c r="J135" i="11" s="1"/>
  <c r="I148" i="11"/>
  <c r="J148" i="11" s="1"/>
  <c r="I60" i="11"/>
  <c r="T274" i="11"/>
  <c r="S135" i="11"/>
  <c r="I115" i="11"/>
  <c r="J115" i="11" s="1"/>
  <c r="I70" i="11"/>
  <c r="I88" i="11"/>
  <c r="R142" i="11"/>
  <c r="I271" i="11"/>
  <c r="J271" i="11" s="1"/>
  <c r="R147" i="11"/>
  <c r="S131" i="11"/>
  <c r="I133" i="11"/>
  <c r="J133" i="11" s="1"/>
  <c r="I270" i="11"/>
  <c r="J270" i="11" s="1"/>
  <c r="S118" i="11"/>
  <c r="S141" i="11"/>
  <c r="I126" i="11"/>
  <c r="J126" i="11" s="1"/>
  <c r="I81" i="11"/>
  <c r="S145" i="11"/>
  <c r="AH245" i="11"/>
  <c r="U245" i="11"/>
  <c r="Z245" i="11" s="1"/>
  <c r="X245" i="11"/>
  <c r="J78" i="11"/>
  <c r="S78" i="11"/>
  <c r="L128" i="11" l="1"/>
  <c r="Q128" i="11" s="1"/>
  <c r="AI128" i="11" s="1"/>
  <c r="AH93" i="11"/>
  <c r="L129" i="11"/>
  <c r="Q129" i="11" s="1"/>
  <c r="AH129" i="11" s="1"/>
  <c r="L119" i="11"/>
  <c r="Q119" i="11" s="1"/>
  <c r="U119" i="11" s="1"/>
  <c r="Z119" i="11" s="1"/>
  <c r="L125" i="11"/>
  <c r="Q125" i="11" s="1"/>
  <c r="U125" i="11" s="1"/>
  <c r="Z125" i="11" s="1"/>
  <c r="L264" i="11"/>
  <c r="Q264" i="11" s="1"/>
  <c r="AH264" i="11" s="1"/>
  <c r="AI58" i="11"/>
  <c r="V58" i="11"/>
  <c r="L134" i="11"/>
  <c r="Q134" i="11" s="1"/>
  <c r="AI134" i="11" s="1"/>
  <c r="L248" i="11"/>
  <c r="Q248" i="11" s="1"/>
  <c r="AH248" i="11" s="1"/>
  <c r="L284" i="11"/>
  <c r="Q284" i="11" s="1"/>
  <c r="U284" i="11" s="1"/>
  <c r="Z284" i="11" s="1"/>
  <c r="L243" i="11"/>
  <c r="Q243" i="11" s="1"/>
  <c r="X243" i="11" s="1"/>
  <c r="AB243" i="11" s="1"/>
  <c r="L117" i="11"/>
  <c r="Q117" i="11" s="1"/>
  <c r="X117" i="11" s="1"/>
  <c r="AB117" i="11" s="1"/>
  <c r="L146" i="11"/>
  <c r="Q146" i="11" s="1"/>
  <c r="AH146" i="11" s="1"/>
  <c r="U236" i="11"/>
  <c r="Z236" i="11" s="1"/>
  <c r="L270" i="11"/>
  <c r="Q270" i="11" s="1"/>
  <c r="AH270" i="11" s="1"/>
  <c r="L116" i="11"/>
  <c r="Q116" i="11" s="1"/>
  <c r="V116" i="11" s="1"/>
  <c r="L145" i="11"/>
  <c r="Q145" i="11" s="1"/>
  <c r="AH145" i="11" s="1"/>
  <c r="L69" i="11"/>
  <c r="Q69" i="11" s="1"/>
  <c r="L67" i="11"/>
  <c r="Q67" i="11" s="1"/>
  <c r="AH67" i="11" s="1"/>
  <c r="L79" i="11"/>
  <c r="Q79" i="11" s="1"/>
  <c r="AI79" i="11" s="1"/>
  <c r="X236" i="11"/>
  <c r="Y236" i="11" s="1"/>
  <c r="L278" i="11"/>
  <c r="Q278" i="11" s="1"/>
  <c r="X278" i="11" s="1"/>
  <c r="Y278" i="11" s="1"/>
  <c r="L143" i="11"/>
  <c r="Q143" i="11" s="1"/>
  <c r="W143" i="11" s="1"/>
  <c r="AD143" i="11" s="1"/>
  <c r="L64" i="11"/>
  <c r="Q64" i="11" s="1"/>
  <c r="L135" i="11"/>
  <c r="Q135" i="11" s="1"/>
  <c r="V135" i="11" s="1"/>
  <c r="L142" i="11"/>
  <c r="Q142" i="11" s="1"/>
  <c r="U142" i="11" s="1"/>
  <c r="Z142" i="11" s="1"/>
  <c r="L95" i="11"/>
  <c r="Q95" i="11" s="1"/>
  <c r="AH95" i="11" s="1"/>
  <c r="L254" i="11"/>
  <c r="Q254" i="11" s="1"/>
  <c r="X254" i="11" s="1"/>
  <c r="AB254" i="11" s="1"/>
  <c r="L120" i="11"/>
  <c r="Q120" i="11" s="1"/>
  <c r="AH120" i="11" s="1"/>
  <c r="L265" i="11"/>
  <c r="Q265" i="11" s="1"/>
  <c r="U265" i="11" s="1"/>
  <c r="L126" i="11"/>
  <c r="Q126" i="11" s="1"/>
  <c r="AH126" i="11" s="1"/>
  <c r="L274" i="11"/>
  <c r="Q274" i="11" s="1"/>
  <c r="AJ274" i="11" s="1"/>
  <c r="Q262" i="11"/>
  <c r="U262" i="11" s="1"/>
  <c r="Z262" i="11" s="1"/>
  <c r="L101" i="11"/>
  <c r="Q101" i="11" s="1"/>
  <c r="AI101" i="11" s="1"/>
  <c r="L238" i="11"/>
  <c r="Q238" i="11" s="1"/>
  <c r="X238" i="11" s="1"/>
  <c r="Y238" i="11" s="1"/>
  <c r="L255" i="11"/>
  <c r="Q255" i="11" s="1"/>
  <c r="AH255" i="11" s="1"/>
  <c r="L275" i="11"/>
  <c r="Q275" i="11" s="1"/>
  <c r="AJ275" i="11" s="1"/>
  <c r="L150" i="11"/>
  <c r="Q150" i="11" s="1"/>
  <c r="AJ150" i="11" s="1"/>
  <c r="L138" i="11"/>
  <c r="Q138" i="11" s="1"/>
  <c r="AJ138" i="11" s="1"/>
  <c r="L140" i="11"/>
  <c r="Q140" i="11" s="1"/>
  <c r="W140" i="11" s="1"/>
  <c r="L268" i="11"/>
  <c r="Q268" i="11" s="1"/>
  <c r="U268" i="11" s="1"/>
  <c r="Z268" i="11" s="1"/>
  <c r="L148" i="11"/>
  <c r="Q148" i="11" s="1"/>
  <c r="X148" i="11" s="1"/>
  <c r="Y148" i="11" s="1"/>
  <c r="L281" i="11"/>
  <c r="Q281" i="11" s="1"/>
  <c r="W281" i="11" s="1"/>
  <c r="L282" i="11"/>
  <c r="Q282" i="11" s="1"/>
  <c r="L269" i="11"/>
  <c r="Q269" i="11" s="1"/>
  <c r="U269" i="11" s="1"/>
  <c r="L276" i="11"/>
  <c r="Q276" i="11" s="1"/>
  <c r="X276" i="11" s="1"/>
  <c r="Y276" i="11" s="1"/>
  <c r="L110" i="11"/>
  <c r="Q110" i="11" s="1"/>
  <c r="AH110" i="11" s="1"/>
  <c r="L105" i="11"/>
  <c r="Q105" i="11" s="1"/>
  <c r="AH105" i="11" s="1"/>
  <c r="V93" i="11"/>
  <c r="AI93" i="11"/>
  <c r="U93" i="11"/>
  <c r="Z93" i="11" s="1"/>
  <c r="L78" i="11"/>
  <c r="Q78" i="11" s="1"/>
  <c r="L133" i="11"/>
  <c r="Q133" i="11" s="1"/>
  <c r="AI133" i="11" s="1"/>
  <c r="L102" i="11"/>
  <c r="Q102" i="11" s="1"/>
  <c r="X102" i="11" s="1"/>
  <c r="AB102" i="11" s="1"/>
  <c r="L279" i="11"/>
  <c r="Q279" i="11" s="1"/>
  <c r="U279" i="11" s="1"/>
  <c r="L256" i="11"/>
  <c r="Q256" i="11" s="1"/>
  <c r="X256" i="11" s="1"/>
  <c r="AB256" i="11" s="1"/>
  <c r="L266" i="11"/>
  <c r="Q266" i="11" s="1"/>
  <c r="AH266" i="11" s="1"/>
  <c r="L273" i="11"/>
  <c r="Q273" i="11" s="1"/>
  <c r="AH273" i="11" s="1"/>
  <c r="Q261" i="11"/>
  <c r="X261" i="11" s="1"/>
  <c r="Y261" i="11" s="1"/>
  <c r="L132" i="11"/>
  <c r="Q132" i="11" s="1"/>
  <c r="V132" i="11" s="1"/>
  <c r="L139" i="11"/>
  <c r="Q139" i="11" s="1"/>
  <c r="AH139" i="11" s="1"/>
  <c r="L258" i="11"/>
  <c r="Q258" i="11" s="1"/>
  <c r="AH258" i="11" s="1"/>
  <c r="L100" i="11"/>
  <c r="Q100" i="11" s="1"/>
  <c r="U100" i="11" s="1"/>
  <c r="Z100" i="11" s="1"/>
  <c r="L121" i="11"/>
  <c r="Q121" i="11" s="1"/>
  <c r="X121" i="11" s="1"/>
  <c r="AA121" i="11" s="1"/>
  <c r="L147" i="11"/>
  <c r="Q147" i="11" s="1"/>
  <c r="AI147" i="11" s="1"/>
  <c r="L280" i="11"/>
  <c r="Q280" i="11" s="1"/>
  <c r="U280" i="11" s="1"/>
  <c r="L277" i="11"/>
  <c r="Q277" i="11" s="1"/>
  <c r="AH277" i="11" s="1"/>
  <c r="L122" i="11"/>
  <c r="Q122" i="11" s="1"/>
  <c r="V122" i="11" s="1"/>
  <c r="L144" i="11"/>
  <c r="Q144" i="11" s="1"/>
  <c r="X144" i="11" s="1"/>
  <c r="Y144" i="11" s="1"/>
  <c r="L253" i="11"/>
  <c r="Q253" i="11" s="1"/>
  <c r="X253" i="11" s="1"/>
  <c r="AB253" i="11" s="1"/>
  <c r="L272" i="11"/>
  <c r="Q272" i="11" s="1"/>
  <c r="AH272" i="11" s="1"/>
  <c r="L149" i="11"/>
  <c r="Q149" i="11" s="1"/>
  <c r="V149" i="11" s="1"/>
  <c r="L137" i="11"/>
  <c r="Q137" i="11" s="1"/>
  <c r="W137" i="11" s="1"/>
  <c r="AD137" i="11" s="1"/>
  <c r="L115" i="11"/>
  <c r="Q115" i="11" s="1"/>
  <c r="X115" i="11" s="1"/>
  <c r="AB115" i="11" s="1"/>
  <c r="AA58" i="11"/>
  <c r="AF58" i="11" s="1"/>
  <c r="AG58" i="11" s="1"/>
  <c r="L271" i="11"/>
  <c r="Q271" i="11" s="1"/>
  <c r="X271" i="11" s="1"/>
  <c r="AB271" i="11" s="1"/>
  <c r="L130" i="11"/>
  <c r="Q130" i="11" s="1"/>
  <c r="L267" i="11"/>
  <c r="Q267" i="11" s="1"/>
  <c r="L118" i="11"/>
  <c r="Q118" i="11" s="1"/>
  <c r="AI118" i="11" s="1"/>
  <c r="L257" i="11"/>
  <c r="Q257" i="11" s="1"/>
  <c r="AH257" i="11" s="1"/>
  <c r="L131" i="11"/>
  <c r="Q131" i="11" s="1"/>
  <c r="AI131" i="11" s="1"/>
  <c r="L123" i="11"/>
  <c r="Q123" i="11" s="1"/>
  <c r="X123" i="11" s="1"/>
  <c r="AA123" i="11" s="1"/>
  <c r="L136" i="11"/>
  <c r="Q136" i="11" s="1"/>
  <c r="AJ136" i="11" s="1"/>
  <c r="L283" i="11"/>
  <c r="Q283" i="11" s="1"/>
  <c r="AH283" i="11" s="1"/>
  <c r="L263" i="11"/>
  <c r="Q263" i="11" s="1"/>
  <c r="AH263" i="11" s="1"/>
  <c r="L127" i="11"/>
  <c r="Q127" i="11" s="1"/>
  <c r="X127" i="11" s="1"/>
  <c r="L103" i="11"/>
  <c r="Q103" i="11" s="1"/>
  <c r="AH103" i="11" s="1"/>
  <c r="L104" i="11"/>
  <c r="Q104" i="11" s="1"/>
  <c r="L141" i="11"/>
  <c r="Q141" i="11" s="1"/>
  <c r="V141" i="11" s="1"/>
  <c r="AF241" i="11"/>
  <c r="AG241" i="11" s="1"/>
  <c r="Q124" i="11"/>
  <c r="AH124" i="11" s="1"/>
  <c r="S89" i="11"/>
  <c r="J89" i="11"/>
  <c r="L89" i="11" s="1"/>
  <c r="Q89" i="11" s="1"/>
  <c r="L77" i="11"/>
  <c r="Q77" i="11" s="1"/>
  <c r="U77" i="11" s="1"/>
  <c r="Z77" i="11" s="1"/>
  <c r="X96" i="11"/>
  <c r="U96" i="11"/>
  <c r="Z96" i="11" s="1"/>
  <c r="AH96" i="11"/>
  <c r="Q99" i="11"/>
  <c r="U99" i="11" s="1"/>
  <c r="Z99" i="11" s="1"/>
  <c r="Y242" i="11"/>
  <c r="AB242" i="11"/>
  <c r="AH249" i="11"/>
  <c r="X249" i="11"/>
  <c r="U249" i="11"/>
  <c r="Z249" i="11" s="1"/>
  <c r="V111" i="11"/>
  <c r="AI111" i="11"/>
  <c r="Q237" i="11"/>
  <c r="J88" i="11"/>
  <c r="L88" i="11" s="1"/>
  <c r="Q88" i="11" s="1"/>
  <c r="S88" i="11"/>
  <c r="J80" i="11"/>
  <c r="L80" i="11" s="1"/>
  <c r="Q80" i="11" s="1"/>
  <c r="AI80" i="11" s="1"/>
  <c r="S80" i="11"/>
  <c r="J85" i="11"/>
  <c r="L85" i="11" s="1"/>
  <c r="Q85" i="11" s="1"/>
  <c r="S85" i="11"/>
  <c r="V63" i="11"/>
  <c r="X63" i="11"/>
  <c r="Y63" i="11" s="1"/>
  <c r="L76" i="11"/>
  <c r="Q76" i="11" s="1"/>
  <c r="AH76" i="11" s="1"/>
  <c r="X112" i="11"/>
  <c r="AH112" i="11"/>
  <c r="U112" i="11"/>
  <c r="Z112" i="11" s="1"/>
  <c r="Q252" i="11"/>
  <c r="X252" i="11" s="1"/>
  <c r="V113" i="11"/>
  <c r="AI113" i="11"/>
  <c r="Q109" i="11"/>
  <c r="AH109" i="11" s="1"/>
  <c r="AI63" i="11"/>
  <c r="J70" i="11"/>
  <c r="L70" i="11" s="1"/>
  <c r="Q70" i="11" s="1"/>
  <c r="S70" i="11"/>
  <c r="S74" i="11"/>
  <c r="J74" i="11"/>
  <c r="L74" i="11" s="1"/>
  <c r="Q74" i="11" s="1"/>
  <c r="J83" i="11"/>
  <c r="L83" i="11" s="1"/>
  <c r="Q83" i="11" s="1"/>
  <c r="S83" i="11"/>
  <c r="S86" i="11"/>
  <c r="J86" i="11"/>
  <c r="L86" i="11" s="1"/>
  <c r="Q86" i="11" s="1"/>
  <c r="U250" i="11"/>
  <c r="Z250" i="11" s="1"/>
  <c r="X250" i="11"/>
  <c r="AH250" i="11"/>
  <c r="AB244" i="11"/>
  <c r="Y244" i="11"/>
  <c r="L59" i="11"/>
  <c r="Q59" i="11" s="1"/>
  <c r="V59" i="11" s="1"/>
  <c r="AA93" i="11"/>
  <c r="AB93" i="11"/>
  <c r="Y93" i="11"/>
  <c r="Y245" i="11"/>
  <c r="AB245" i="11"/>
  <c r="J84" i="11"/>
  <c r="L84" i="11" s="1"/>
  <c r="Q84" i="11" s="1"/>
  <c r="S84" i="11"/>
  <c r="U63" i="11"/>
  <c r="Z63" i="11" s="1"/>
  <c r="AH97" i="11"/>
  <c r="X97" i="11"/>
  <c r="U97" i="11"/>
  <c r="Z97" i="11" s="1"/>
  <c r="Q259" i="11"/>
  <c r="S73" i="11"/>
  <c r="J73" i="11"/>
  <c r="L73" i="11" s="1"/>
  <c r="Q73" i="11" s="1"/>
  <c r="L66" i="11"/>
  <c r="Q66" i="11" s="1"/>
  <c r="X113" i="11"/>
  <c r="U113" i="11"/>
  <c r="Z113" i="11" s="1"/>
  <c r="AH113" i="11"/>
  <c r="X251" i="11"/>
  <c r="AH251" i="11"/>
  <c r="U251" i="11"/>
  <c r="Z251" i="11" s="1"/>
  <c r="AH106" i="11"/>
  <c r="U106" i="11"/>
  <c r="Z106" i="11" s="1"/>
  <c r="V106" i="11"/>
  <c r="X106" i="11"/>
  <c r="Q260" i="11"/>
  <c r="J72" i="11"/>
  <c r="L72" i="11" s="1"/>
  <c r="Q72" i="11" s="1"/>
  <c r="S72" i="11"/>
  <c r="J87" i="11"/>
  <c r="L87" i="11" s="1"/>
  <c r="Q87" i="11" s="1"/>
  <c r="S87" i="11"/>
  <c r="V61" i="11"/>
  <c r="U61" i="11"/>
  <c r="Z61" i="11" s="1"/>
  <c r="AH61" i="11"/>
  <c r="X61" i="11"/>
  <c r="Y61" i="11" s="1"/>
  <c r="AI98" i="11"/>
  <c r="V98" i="11"/>
  <c r="U98" i="11"/>
  <c r="Z98" i="11" s="1"/>
  <c r="AH98" i="11"/>
  <c r="X98" i="11"/>
  <c r="AH247" i="11"/>
  <c r="X247" i="11"/>
  <c r="U247" i="11"/>
  <c r="Z247" i="11" s="1"/>
  <c r="AI107" i="11"/>
  <c r="X107" i="11"/>
  <c r="AH107" i="11"/>
  <c r="U107" i="11"/>
  <c r="Z107" i="11" s="1"/>
  <c r="V107" i="11"/>
  <c r="AI61" i="11"/>
  <c r="AI62" i="11"/>
  <c r="X62" i="11"/>
  <c r="Y62" i="11" s="1"/>
  <c r="AH62" i="11"/>
  <c r="U62" i="11"/>
  <c r="Z62" i="11" s="1"/>
  <c r="AB92" i="11"/>
  <c r="Y92" i="11"/>
  <c r="J60" i="11"/>
  <c r="L60" i="11" s="1"/>
  <c r="Q60" i="11" s="1"/>
  <c r="S60" i="11"/>
  <c r="J75" i="11"/>
  <c r="L75" i="11" s="1"/>
  <c r="Q75" i="11" s="1"/>
  <c r="S75" i="11"/>
  <c r="J71" i="11"/>
  <c r="L71" i="11" s="1"/>
  <c r="Q71" i="11" s="1"/>
  <c r="S71" i="11"/>
  <c r="U108" i="11"/>
  <c r="Z108" i="11" s="1"/>
  <c r="V108" i="11"/>
  <c r="AI108" i="11"/>
  <c r="AH108" i="11"/>
  <c r="X108" i="11"/>
  <c r="V112" i="11"/>
  <c r="AI112" i="11"/>
  <c r="Q94" i="11"/>
  <c r="V97" i="11"/>
  <c r="AI97" i="11"/>
  <c r="L68" i="11"/>
  <c r="Q68" i="11" s="1"/>
  <c r="AB91" i="11"/>
  <c r="Y91" i="11"/>
  <c r="AA92" i="11"/>
  <c r="S81" i="11"/>
  <c r="J81" i="11"/>
  <c r="L81" i="11" s="1"/>
  <c r="Q81" i="11" s="1"/>
  <c r="S82" i="11"/>
  <c r="J82" i="11"/>
  <c r="L82" i="11" s="1"/>
  <c r="Q82" i="11" s="1"/>
  <c r="S90" i="11"/>
  <c r="J90" i="11"/>
  <c r="L90" i="11" s="1"/>
  <c r="Q90" i="11" s="1"/>
  <c r="J65" i="11"/>
  <c r="L65" i="11" s="1"/>
  <c r="Q65" i="11" s="1"/>
  <c r="S65" i="11"/>
  <c r="U111" i="11"/>
  <c r="Z111" i="11" s="1"/>
  <c r="AH111" i="11"/>
  <c r="X111" i="11"/>
  <c r="Q114" i="11"/>
  <c r="AH114" i="11" s="1"/>
  <c r="V96" i="11"/>
  <c r="AI96" i="11"/>
  <c r="Y246" i="11"/>
  <c r="AB246" i="11"/>
  <c r="AH128" i="11" l="1"/>
  <c r="U128" i="11"/>
  <c r="Z128" i="11" s="1"/>
  <c r="X128" i="11"/>
  <c r="AB128" i="11" s="1"/>
  <c r="V128" i="11"/>
  <c r="AJ143" i="11"/>
  <c r="X125" i="11"/>
  <c r="AA125" i="11" s="1"/>
  <c r="U248" i="11"/>
  <c r="Z248" i="11" s="1"/>
  <c r="AH125" i="11"/>
  <c r="AI125" i="11"/>
  <c r="V125" i="11"/>
  <c r="X248" i="11"/>
  <c r="AB248" i="11" s="1"/>
  <c r="X95" i="11"/>
  <c r="AA95" i="11" s="1"/>
  <c r="Y243" i="11"/>
  <c r="AF243" i="11" s="1"/>
  <c r="AG243" i="11" s="1"/>
  <c r="Y117" i="11"/>
  <c r="U117" i="11"/>
  <c r="Z117" i="11" s="1"/>
  <c r="AH117" i="11"/>
  <c r="AI117" i="11"/>
  <c r="V117" i="11"/>
  <c r="U146" i="11"/>
  <c r="Z146" i="11" s="1"/>
  <c r="AJ146" i="11"/>
  <c r="V146" i="11"/>
  <c r="AI146" i="11"/>
  <c r="W146" i="11"/>
  <c r="AD146" i="11" s="1"/>
  <c r="X146" i="11"/>
  <c r="Y146" i="11" s="1"/>
  <c r="AJ145" i="11"/>
  <c r="V145" i="11"/>
  <c r="AI67" i="11"/>
  <c r="V67" i="11"/>
  <c r="X67" i="11"/>
  <c r="AA67" i="11" s="1"/>
  <c r="U67" i="11"/>
  <c r="Z67" i="11" s="1"/>
  <c r="AA117" i="11"/>
  <c r="AF236" i="11"/>
  <c r="AG236" i="11" s="1"/>
  <c r="V95" i="11"/>
  <c r="U145" i="11"/>
  <c r="Z145" i="11" s="1"/>
  <c r="X145" i="11"/>
  <c r="Y145" i="11" s="1"/>
  <c r="X116" i="11"/>
  <c r="AA116" i="11" s="1"/>
  <c r="Y254" i="11"/>
  <c r="AI145" i="11"/>
  <c r="W145" i="11"/>
  <c r="AD145" i="11" s="1"/>
  <c r="AH116" i="11"/>
  <c r="U116" i="11"/>
  <c r="Z116" i="11" s="1"/>
  <c r="AI116" i="11"/>
  <c r="X122" i="11"/>
  <c r="AA122" i="11" s="1"/>
  <c r="U258" i="11"/>
  <c r="Z258" i="11" s="1"/>
  <c r="U143" i="11"/>
  <c r="Z143" i="11" s="1"/>
  <c r="X143" i="11"/>
  <c r="Y143" i="11" s="1"/>
  <c r="AI143" i="11"/>
  <c r="V143" i="11"/>
  <c r="AH143" i="11"/>
  <c r="X142" i="11"/>
  <c r="Y142" i="11" s="1"/>
  <c r="U261" i="11"/>
  <c r="Z261" i="11" s="1"/>
  <c r="AI142" i="11"/>
  <c r="V119" i="11"/>
  <c r="V142" i="11"/>
  <c r="X269" i="11"/>
  <c r="AB269" i="11" s="1"/>
  <c r="AI119" i="11"/>
  <c r="V133" i="11"/>
  <c r="U133" i="11"/>
  <c r="Z133" i="11" s="1"/>
  <c r="X133" i="11"/>
  <c r="AB133" i="11" s="1"/>
  <c r="AJ142" i="11"/>
  <c r="AH142" i="11"/>
  <c r="W142" i="11"/>
  <c r="AD142" i="11" s="1"/>
  <c r="AH133" i="11"/>
  <c r="AH261" i="11"/>
  <c r="AI135" i="11"/>
  <c r="AH135" i="11"/>
  <c r="U135" i="11"/>
  <c r="Z135" i="11" s="1"/>
  <c r="X135" i="11"/>
  <c r="AA135" i="11" s="1"/>
  <c r="X100" i="11"/>
  <c r="AA100" i="11" s="1"/>
  <c r="AH262" i="11"/>
  <c r="AJ276" i="11"/>
  <c r="AH254" i="11"/>
  <c r="U101" i="11"/>
  <c r="Z101" i="11" s="1"/>
  <c r="V150" i="11"/>
  <c r="W150" i="11"/>
  <c r="AD150" i="11" s="1"/>
  <c r="Y102" i="11"/>
  <c r="AA102" i="11"/>
  <c r="AI150" i="11"/>
  <c r="AI102" i="11"/>
  <c r="X101" i="11"/>
  <c r="AB101" i="11" s="1"/>
  <c r="U150" i="11"/>
  <c r="Z150" i="11" s="1"/>
  <c r="X262" i="11"/>
  <c r="AB262" i="11" s="1"/>
  <c r="AH101" i="11"/>
  <c r="U254" i="11"/>
  <c r="Z254" i="11" s="1"/>
  <c r="AH80" i="11"/>
  <c r="X126" i="11"/>
  <c r="AA126" i="11" s="1"/>
  <c r="V126" i="11"/>
  <c r="U126" i="11"/>
  <c r="Z126" i="11" s="1"/>
  <c r="X140" i="11"/>
  <c r="Y140" i="11" s="1"/>
  <c r="AI126" i="11"/>
  <c r="AI100" i="11"/>
  <c r="AH119" i="11"/>
  <c r="V101" i="11"/>
  <c r="X150" i="11"/>
  <c r="Y150" i="11" s="1"/>
  <c r="AJ140" i="11"/>
  <c r="X119" i="11"/>
  <c r="AA119" i="11" s="1"/>
  <c r="AI95" i="11"/>
  <c r="AH102" i="11"/>
  <c r="AH276" i="11"/>
  <c r="U95" i="11"/>
  <c r="Z95" i="11" s="1"/>
  <c r="W276" i="11"/>
  <c r="AD276" i="11" s="1"/>
  <c r="V102" i="11"/>
  <c r="X134" i="11"/>
  <c r="AA134" i="11" s="1"/>
  <c r="V134" i="11"/>
  <c r="AH238" i="11"/>
  <c r="X138" i="11"/>
  <c r="Y138" i="11" s="1"/>
  <c r="AH134" i="11"/>
  <c r="W138" i="11"/>
  <c r="AD138" i="11" s="1"/>
  <c r="U238" i="11"/>
  <c r="Z238" i="11" s="1"/>
  <c r="AF238" i="11" s="1"/>
  <c r="AG238" i="11" s="1"/>
  <c r="U134" i="11"/>
  <c r="Z134" i="11" s="1"/>
  <c r="W274" i="11"/>
  <c r="AD274" i="11" s="1"/>
  <c r="AH274" i="11"/>
  <c r="X274" i="11"/>
  <c r="Y274" i="11" s="1"/>
  <c r="Z274" i="11"/>
  <c r="Y121" i="11"/>
  <c r="AI140" i="11"/>
  <c r="X255" i="11"/>
  <c r="Y255" i="11" s="1"/>
  <c r="AD140" i="11"/>
  <c r="V140" i="11"/>
  <c r="U140" i="11"/>
  <c r="Z140" i="11" s="1"/>
  <c r="AH140" i="11"/>
  <c r="U144" i="11"/>
  <c r="Z144" i="11" s="1"/>
  <c r="AH150" i="11"/>
  <c r="U110" i="11"/>
  <c r="Z110" i="11" s="1"/>
  <c r="U102" i="11"/>
  <c r="Z102" i="11" s="1"/>
  <c r="AB121" i="11"/>
  <c r="V100" i="11"/>
  <c r="U105" i="11"/>
  <c r="Z105" i="11" s="1"/>
  <c r="U276" i="11"/>
  <c r="Z276" i="11" s="1"/>
  <c r="U255" i="11"/>
  <c r="Z255" i="11" s="1"/>
  <c r="X268" i="11"/>
  <c r="AB268" i="11" s="1"/>
  <c r="X110" i="11"/>
  <c r="AA110" i="11" s="1"/>
  <c r="AH122" i="11"/>
  <c r="AH269" i="11"/>
  <c r="Z269" i="11"/>
  <c r="V121" i="11"/>
  <c r="AH121" i="11"/>
  <c r="AI105" i="11"/>
  <c r="AI121" i="11"/>
  <c r="X105" i="11"/>
  <c r="AA105" i="11" s="1"/>
  <c r="V105" i="11"/>
  <c r="AI110" i="11"/>
  <c r="V110" i="11"/>
  <c r="U120" i="11"/>
  <c r="Z120" i="11" s="1"/>
  <c r="AJ149" i="11"/>
  <c r="U149" i="11"/>
  <c r="Z149" i="11" s="1"/>
  <c r="W149" i="11"/>
  <c r="AD149" i="11" s="1"/>
  <c r="W278" i="11"/>
  <c r="AD278" i="11" s="1"/>
  <c r="X149" i="11"/>
  <c r="Y149" i="11" s="1"/>
  <c r="V120" i="11"/>
  <c r="AI149" i="11"/>
  <c r="AI120" i="11"/>
  <c r="U256" i="11"/>
  <c r="Z256" i="11" s="1"/>
  <c r="AH138" i="11"/>
  <c r="AI138" i="11"/>
  <c r="AA148" i="11"/>
  <c r="W148" i="11"/>
  <c r="AD148" i="11" s="1"/>
  <c r="V148" i="11"/>
  <c r="Y256" i="11"/>
  <c r="AH148" i="11"/>
  <c r="W275" i="11"/>
  <c r="AD275" i="11" s="1"/>
  <c r="X132" i="11"/>
  <c r="AB132" i="11" s="1"/>
  <c r="AH275" i="11"/>
  <c r="U148" i="11"/>
  <c r="Z148" i="11" s="1"/>
  <c r="AH256" i="11"/>
  <c r="X275" i="11"/>
  <c r="Y275" i="11" s="1"/>
  <c r="AJ148" i="11"/>
  <c r="AI148" i="11"/>
  <c r="AH268" i="11"/>
  <c r="V138" i="11"/>
  <c r="U138" i="11"/>
  <c r="Z138" i="11" s="1"/>
  <c r="U275" i="11"/>
  <c r="Z275" i="11" s="1"/>
  <c r="X266" i="11"/>
  <c r="U266" i="11"/>
  <c r="Z266" i="11" s="1"/>
  <c r="X272" i="11"/>
  <c r="AB272" i="11" s="1"/>
  <c r="Y271" i="11"/>
  <c r="AH271" i="11"/>
  <c r="U271" i="11"/>
  <c r="Z271" i="11" s="1"/>
  <c r="AJ278" i="11"/>
  <c r="X282" i="11"/>
  <c r="Y282" i="11" s="1"/>
  <c r="AH282" i="11"/>
  <c r="U282" i="11"/>
  <c r="Z282" i="11" s="1"/>
  <c r="AJ282" i="11"/>
  <c r="W282" i="11"/>
  <c r="AD282" i="11" s="1"/>
  <c r="AH100" i="11"/>
  <c r="U121" i="11"/>
  <c r="Z121" i="11" s="1"/>
  <c r="W136" i="11"/>
  <c r="AD136" i="11" s="1"/>
  <c r="U273" i="11"/>
  <c r="Z273" i="11" s="1"/>
  <c r="X273" i="11"/>
  <c r="AB273" i="11" s="1"/>
  <c r="AJ279" i="11"/>
  <c r="U270" i="11"/>
  <c r="Z270" i="11" s="1"/>
  <c r="Y253" i="11"/>
  <c r="AH253" i="11"/>
  <c r="AH265" i="11"/>
  <c r="X265" i="11"/>
  <c r="AB265" i="11" s="1"/>
  <c r="W279" i="11"/>
  <c r="AD279" i="11" s="1"/>
  <c r="Z265" i="11"/>
  <c r="AH279" i="11"/>
  <c r="U253" i="11"/>
  <c r="Z253" i="11" s="1"/>
  <c r="Z279" i="11"/>
  <c r="X279" i="11"/>
  <c r="Y279" i="11" s="1"/>
  <c r="U136" i="11"/>
  <c r="Z136" i="11" s="1"/>
  <c r="AI132" i="11"/>
  <c r="X284" i="11"/>
  <c r="Y284" i="11" s="1"/>
  <c r="AH147" i="11"/>
  <c r="AJ284" i="11"/>
  <c r="AH284" i="11"/>
  <c r="V136" i="11"/>
  <c r="V147" i="11"/>
  <c r="U278" i="11"/>
  <c r="Z278" i="11" s="1"/>
  <c r="U272" i="11"/>
  <c r="Z272" i="11" s="1"/>
  <c r="U147" i="11"/>
  <c r="Z147" i="11" s="1"/>
  <c r="X147" i="11"/>
  <c r="Y147" i="11" s="1"/>
  <c r="AH149" i="11"/>
  <c r="U132" i="11"/>
  <c r="Z132" i="11" s="1"/>
  <c r="W284" i="11"/>
  <c r="AD284" i="11" s="1"/>
  <c r="AJ283" i="11"/>
  <c r="AI136" i="11"/>
  <c r="W283" i="11"/>
  <c r="AD283" i="11" s="1"/>
  <c r="U283" i="11"/>
  <c r="Z283" i="11" s="1"/>
  <c r="AH278" i="11"/>
  <c r="V129" i="11"/>
  <c r="X270" i="11"/>
  <c r="AB270" i="11" s="1"/>
  <c r="AI122" i="11"/>
  <c r="AH132" i="11"/>
  <c r="AJ147" i="11"/>
  <c r="U122" i="11"/>
  <c r="Z122" i="11" s="1"/>
  <c r="X258" i="11"/>
  <c r="AB261" i="11"/>
  <c r="AI137" i="11"/>
  <c r="X277" i="11"/>
  <c r="Y277" i="11" s="1"/>
  <c r="AJ137" i="11"/>
  <c r="U137" i="11"/>
  <c r="Z137" i="11" s="1"/>
  <c r="V137" i="11"/>
  <c r="U277" i="11"/>
  <c r="Z277" i="11" s="1"/>
  <c r="W277" i="11"/>
  <c r="AD277" i="11" s="1"/>
  <c r="AJ277" i="11"/>
  <c r="X137" i="11"/>
  <c r="Y137" i="11" s="1"/>
  <c r="AH137" i="11"/>
  <c r="V123" i="11"/>
  <c r="AJ280" i="11"/>
  <c r="V144" i="11"/>
  <c r="AJ144" i="11"/>
  <c r="AH144" i="11"/>
  <c r="X281" i="11"/>
  <c r="Y281" i="11" s="1"/>
  <c r="AA144" i="11"/>
  <c r="AJ139" i="11"/>
  <c r="AI144" i="11"/>
  <c r="W144" i="11"/>
  <c r="AD144" i="11" s="1"/>
  <c r="W139" i="11"/>
  <c r="AD139" i="11" s="1"/>
  <c r="W147" i="11"/>
  <c r="AD147" i="11" s="1"/>
  <c r="U115" i="11"/>
  <c r="Z115" i="11" s="1"/>
  <c r="Y115" i="11"/>
  <c r="AI115" i="11"/>
  <c r="V115" i="11"/>
  <c r="AH281" i="11"/>
  <c r="AJ281" i="11"/>
  <c r="U281" i="11"/>
  <c r="Z281" i="11" s="1"/>
  <c r="W280" i="11"/>
  <c r="AD280" i="11" s="1"/>
  <c r="X139" i="11"/>
  <c r="AD281" i="11"/>
  <c r="X120" i="11"/>
  <c r="AB120" i="11" s="1"/>
  <c r="AA115" i="11"/>
  <c r="X283" i="11"/>
  <c r="Y283" i="11" s="1"/>
  <c r="AH115" i="11"/>
  <c r="V99" i="11"/>
  <c r="U131" i="11"/>
  <c r="Z131" i="11" s="1"/>
  <c r="X263" i="11"/>
  <c r="AB263" i="11" s="1"/>
  <c r="U123" i="11"/>
  <c r="Z123" i="11" s="1"/>
  <c r="AH131" i="11"/>
  <c r="X129" i="11"/>
  <c r="AA129" i="11" s="1"/>
  <c r="V118" i="11"/>
  <c r="AI129" i="11"/>
  <c r="Y123" i="11"/>
  <c r="AB123" i="11"/>
  <c r="U129" i="11"/>
  <c r="Z129" i="11" s="1"/>
  <c r="X118" i="11"/>
  <c r="AH123" i="11"/>
  <c r="AI123" i="11"/>
  <c r="AH118" i="11"/>
  <c r="X131" i="11"/>
  <c r="X136" i="11"/>
  <c r="AA136" i="11" s="1"/>
  <c r="AH136" i="11"/>
  <c r="AH130" i="11"/>
  <c r="X130" i="11"/>
  <c r="Y130" i="11" s="1"/>
  <c r="AI130" i="11"/>
  <c r="V130" i="11"/>
  <c r="U130" i="11"/>
  <c r="Z130" i="11" s="1"/>
  <c r="X280" i="11"/>
  <c r="Y280" i="11" s="1"/>
  <c r="AH280" i="11"/>
  <c r="Z280" i="11"/>
  <c r="V131" i="11"/>
  <c r="U139" i="11"/>
  <c r="Z139" i="11" s="1"/>
  <c r="V139" i="11"/>
  <c r="AI139" i="11"/>
  <c r="U118" i="11"/>
  <c r="Z118" i="11" s="1"/>
  <c r="U267" i="11"/>
  <c r="Z267" i="11" s="1"/>
  <c r="AH267" i="11"/>
  <c r="X267" i="11"/>
  <c r="U264" i="11"/>
  <c r="Z264" i="11" s="1"/>
  <c r="X264" i="11"/>
  <c r="AB264" i="11" s="1"/>
  <c r="U103" i="11"/>
  <c r="Z103" i="11" s="1"/>
  <c r="AA61" i="11"/>
  <c r="AF61" i="11" s="1"/>
  <c r="AG61" i="11" s="1"/>
  <c r="U263" i="11"/>
  <c r="Z263" i="11" s="1"/>
  <c r="AB127" i="11"/>
  <c r="Y127" i="11"/>
  <c r="AA127" i="11"/>
  <c r="AI99" i="11"/>
  <c r="AH141" i="11"/>
  <c r="X141" i="11"/>
  <c r="AI141" i="11"/>
  <c r="U141" i="11"/>
  <c r="Z141" i="11" s="1"/>
  <c r="W141" i="11"/>
  <c r="AD141" i="11" s="1"/>
  <c r="AJ141" i="11"/>
  <c r="AI103" i="11"/>
  <c r="X103" i="11"/>
  <c r="V103" i="11"/>
  <c r="V104" i="11"/>
  <c r="X104" i="11"/>
  <c r="AH104" i="11"/>
  <c r="AI104" i="11"/>
  <c r="U104" i="11"/>
  <c r="Z104" i="11" s="1"/>
  <c r="U127" i="11"/>
  <c r="Z127" i="11" s="1"/>
  <c r="AH127" i="11"/>
  <c r="V127" i="11"/>
  <c r="AI127" i="11"/>
  <c r="U257" i="11"/>
  <c r="Z257" i="11" s="1"/>
  <c r="X257" i="11"/>
  <c r="U124" i="11"/>
  <c r="Z124" i="11" s="1"/>
  <c r="AI64" i="11"/>
  <c r="AH64" i="11"/>
  <c r="U64" i="11"/>
  <c r="Z64" i="11" s="1"/>
  <c r="V64" i="11"/>
  <c r="X64" i="11"/>
  <c r="U80" i="11"/>
  <c r="Z80" i="11" s="1"/>
  <c r="AI124" i="11"/>
  <c r="V124" i="11"/>
  <c r="X124" i="11"/>
  <c r="AF246" i="11"/>
  <c r="AG246" i="11" s="1"/>
  <c r="AH79" i="11"/>
  <c r="AF242" i="11"/>
  <c r="AG242" i="11" s="1"/>
  <c r="U79" i="11"/>
  <c r="Z79" i="11" s="1"/>
  <c r="AI59" i="11"/>
  <c r="AA63" i="11"/>
  <c r="AF63" i="11" s="1"/>
  <c r="AG63" i="11" s="1"/>
  <c r="AH82" i="11"/>
  <c r="U82" i="11"/>
  <c r="Z82" i="11" s="1"/>
  <c r="X82" i="11"/>
  <c r="V82" i="11"/>
  <c r="AI82" i="11"/>
  <c r="AF91" i="11"/>
  <c r="AG91" i="11" s="1"/>
  <c r="AA106" i="11"/>
  <c r="Y106" i="11"/>
  <c r="AB106" i="11"/>
  <c r="X259" i="11"/>
  <c r="U259" i="11"/>
  <c r="Z259" i="11" s="1"/>
  <c r="AH259" i="11"/>
  <c r="AH84" i="11"/>
  <c r="X84" i="11"/>
  <c r="AI84" i="11"/>
  <c r="V84" i="11"/>
  <c r="U84" i="11"/>
  <c r="Z84" i="11" s="1"/>
  <c r="AF244" i="11"/>
  <c r="AG244" i="11" s="1"/>
  <c r="U69" i="11"/>
  <c r="Z69" i="11" s="1"/>
  <c r="V69" i="11"/>
  <c r="AI69" i="11"/>
  <c r="AH69" i="11"/>
  <c r="X69" i="11"/>
  <c r="AI89" i="11"/>
  <c r="AH89" i="11"/>
  <c r="V89" i="11"/>
  <c r="U89" i="11"/>
  <c r="Z89" i="11" s="1"/>
  <c r="X89" i="11"/>
  <c r="AA111" i="11"/>
  <c r="Y111" i="11"/>
  <c r="AB111" i="11"/>
  <c r="AA113" i="11"/>
  <c r="Y113" i="11"/>
  <c r="AB113" i="11"/>
  <c r="U237" i="11"/>
  <c r="Z237" i="11" s="1"/>
  <c r="X237" i="11"/>
  <c r="Y237" i="11" s="1"/>
  <c r="AH237" i="11"/>
  <c r="AI81" i="11"/>
  <c r="X81" i="11"/>
  <c r="Y81" i="11" s="1"/>
  <c r="V81" i="11"/>
  <c r="AH81" i="11"/>
  <c r="U81" i="11"/>
  <c r="Z81" i="11" s="1"/>
  <c r="U68" i="11"/>
  <c r="Z68" i="11" s="1"/>
  <c r="AH68" i="11"/>
  <c r="X68" i="11"/>
  <c r="Y68" i="11" s="1"/>
  <c r="AA108" i="11"/>
  <c r="Y108" i="11"/>
  <c r="AB108" i="11"/>
  <c r="AI71" i="11"/>
  <c r="V71" i="11"/>
  <c r="X71" i="11"/>
  <c r="U71" i="11"/>
  <c r="Z71" i="11" s="1"/>
  <c r="AH71" i="11"/>
  <c r="Y107" i="11"/>
  <c r="AB107" i="11"/>
  <c r="AA107" i="11"/>
  <c r="AI87" i="11"/>
  <c r="X87" i="11"/>
  <c r="V87" i="11"/>
  <c r="AH87" i="11"/>
  <c r="U87" i="11"/>
  <c r="Z87" i="11" s="1"/>
  <c r="AH66" i="11"/>
  <c r="X66" i="11"/>
  <c r="Y66" i="11" s="1"/>
  <c r="U66" i="11"/>
  <c r="Z66" i="11" s="1"/>
  <c r="AA97" i="11"/>
  <c r="AB97" i="11"/>
  <c r="Y97" i="11"/>
  <c r="AF245" i="11"/>
  <c r="AG245" i="11" s="1"/>
  <c r="U83" i="11"/>
  <c r="Z83" i="11" s="1"/>
  <c r="AH83" i="11"/>
  <c r="X83" i="11"/>
  <c r="V83" i="11"/>
  <c r="AI83" i="11"/>
  <c r="AH85" i="11"/>
  <c r="U85" i="11"/>
  <c r="Z85" i="11" s="1"/>
  <c r="X85" i="11"/>
  <c r="V85" i="11"/>
  <c r="AA62" i="11"/>
  <c r="AF62" i="11" s="1"/>
  <c r="AG62" i="11" s="1"/>
  <c r="V73" i="11"/>
  <c r="U73" i="11"/>
  <c r="Z73" i="11" s="1"/>
  <c r="AH73" i="11"/>
  <c r="AI73" i="11"/>
  <c r="X73" i="11"/>
  <c r="AF93" i="11"/>
  <c r="AG93" i="11" s="1"/>
  <c r="Y250" i="11"/>
  <c r="AB250" i="11"/>
  <c r="V74" i="11"/>
  <c r="AH74" i="11"/>
  <c r="AI74" i="11"/>
  <c r="X74" i="11"/>
  <c r="U74" i="11"/>
  <c r="Z74" i="11" s="1"/>
  <c r="AI109" i="11"/>
  <c r="X109" i="11"/>
  <c r="AA109" i="11" s="1"/>
  <c r="V109" i="11"/>
  <c r="AH99" i="11"/>
  <c r="X99" i="11"/>
  <c r="U78" i="11"/>
  <c r="Z78" i="11" s="1"/>
  <c r="V78" i="11"/>
  <c r="AH78" i="11"/>
  <c r="AI78" i="11"/>
  <c r="X78" i="11"/>
  <c r="Y78" i="11" s="1"/>
  <c r="U75" i="11"/>
  <c r="Z75" i="11" s="1"/>
  <c r="AI75" i="11"/>
  <c r="V75" i="11"/>
  <c r="AH75" i="11"/>
  <c r="X75" i="11"/>
  <c r="AI72" i="11"/>
  <c r="V72" i="11"/>
  <c r="X72" i="11"/>
  <c r="U72" i="11"/>
  <c r="Z72" i="11" s="1"/>
  <c r="AH72" i="11"/>
  <c r="V68" i="11"/>
  <c r="Y252" i="11"/>
  <c r="AB252" i="11"/>
  <c r="AA112" i="11"/>
  <c r="Y112" i="11"/>
  <c r="AB112" i="11"/>
  <c r="V80" i="11"/>
  <c r="X80" i="11"/>
  <c r="X114" i="11"/>
  <c r="AA114" i="11" s="1"/>
  <c r="U114" i="11"/>
  <c r="Z114" i="11" s="1"/>
  <c r="AI114" i="11"/>
  <c r="X65" i="11"/>
  <c r="AI65" i="11"/>
  <c r="V65" i="11"/>
  <c r="AH65" i="11"/>
  <c r="U65" i="11"/>
  <c r="Z65" i="11" s="1"/>
  <c r="AB247" i="11"/>
  <c r="Y247" i="11"/>
  <c r="V66" i="11"/>
  <c r="V114" i="11"/>
  <c r="AI68" i="11"/>
  <c r="U109" i="11"/>
  <c r="Z109" i="11" s="1"/>
  <c r="U252" i="11"/>
  <c r="Z252" i="11" s="1"/>
  <c r="Y249" i="11"/>
  <c r="AB249" i="11"/>
  <c r="AH90" i="11"/>
  <c r="X90" i="11"/>
  <c r="V90" i="11"/>
  <c r="U90" i="11"/>
  <c r="Z90" i="11" s="1"/>
  <c r="AI90" i="11"/>
  <c r="V60" i="11"/>
  <c r="AI60" i="11"/>
  <c r="X60" i="11"/>
  <c r="AI66" i="11"/>
  <c r="Y251" i="11"/>
  <c r="AB251" i="11"/>
  <c r="AH77" i="11"/>
  <c r="AI77" i="11"/>
  <c r="X77" i="11"/>
  <c r="Y77" i="11" s="1"/>
  <c r="V77" i="11"/>
  <c r="AH70" i="11"/>
  <c r="U70" i="11"/>
  <c r="Z70" i="11" s="1"/>
  <c r="X70" i="11"/>
  <c r="AI70" i="11"/>
  <c r="V70" i="11"/>
  <c r="AH252" i="11"/>
  <c r="U88" i="11"/>
  <c r="Z88" i="11" s="1"/>
  <c r="V88" i="11"/>
  <c r="AI88" i="11"/>
  <c r="X88" i="11"/>
  <c r="AH88" i="11"/>
  <c r="AA96" i="11"/>
  <c r="AB96" i="11"/>
  <c r="Y96" i="11"/>
  <c r="V76" i="11"/>
  <c r="AI76" i="11"/>
  <c r="X76" i="11"/>
  <c r="U76" i="11"/>
  <c r="Z76" i="11" s="1"/>
  <c r="AH94" i="11"/>
  <c r="U94" i="11"/>
  <c r="Z94" i="11" s="1"/>
  <c r="AI94" i="11"/>
  <c r="X94" i="11"/>
  <c r="V94" i="11"/>
  <c r="AF92" i="11"/>
  <c r="AG92" i="11" s="1"/>
  <c r="AA98" i="11"/>
  <c r="Y98" i="11"/>
  <c r="AB98" i="11"/>
  <c r="AH260" i="11"/>
  <c r="X260" i="11"/>
  <c r="U260" i="11"/>
  <c r="Z260" i="11" s="1"/>
  <c r="X59" i="11"/>
  <c r="Y59" i="11" s="1"/>
  <c r="V86" i="11"/>
  <c r="U86" i="11"/>
  <c r="Z86" i="11" s="1"/>
  <c r="X86" i="11"/>
  <c r="AH86" i="11"/>
  <c r="AI86" i="11"/>
  <c r="V79" i="11"/>
  <c r="X79" i="11"/>
  <c r="AI85" i="11"/>
  <c r="Y128" i="11" l="1"/>
  <c r="AA128" i="11"/>
  <c r="AB125" i="11"/>
  <c r="Y125" i="11"/>
  <c r="AB95" i="11"/>
  <c r="Y95" i="11"/>
  <c r="AF254" i="11"/>
  <c r="AG254" i="11" s="1"/>
  <c r="Y248" i="11"/>
  <c r="AF248" i="11" s="1"/>
  <c r="AG248" i="11" s="1"/>
  <c r="AF117" i="11"/>
  <c r="AG117" i="11" s="1"/>
  <c r="Y116" i="11"/>
  <c r="Y67" i="11"/>
  <c r="AF67" i="11" s="1"/>
  <c r="AG67" i="11" s="1"/>
  <c r="AA145" i="11"/>
  <c r="AF145" i="11" s="1"/>
  <c r="AG145" i="11" s="1"/>
  <c r="AA146" i="11"/>
  <c r="AF146" i="11" s="1"/>
  <c r="AG146" i="11" s="1"/>
  <c r="Y135" i="11"/>
  <c r="AB116" i="11"/>
  <c r="Y122" i="11"/>
  <c r="AB122" i="11"/>
  <c r="AB135" i="11"/>
  <c r="AA143" i="11"/>
  <c r="AF143" i="11" s="1"/>
  <c r="AG143" i="11" s="1"/>
  <c r="AB134" i="11"/>
  <c r="AA142" i="11"/>
  <c r="AF142" i="11" s="1"/>
  <c r="AG142" i="11" s="1"/>
  <c r="AA133" i="11"/>
  <c r="Y262" i="11"/>
  <c r="AF262" i="11" s="1"/>
  <c r="AG262" i="11" s="1"/>
  <c r="Y269" i="11"/>
  <c r="AF269" i="11" s="1"/>
  <c r="AG269" i="11" s="1"/>
  <c r="AF284" i="11"/>
  <c r="AG284" i="11" s="1"/>
  <c r="AF261" i="11"/>
  <c r="AG261" i="11" s="1"/>
  <c r="Y119" i="11"/>
  <c r="Y133" i="11"/>
  <c r="AB100" i="11"/>
  <c r="Y100" i="11"/>
  <c r="Y134" i="11"/>
  <c r="AB110" i="11"/>
  <c r="AA140" i="11"/>
  <c r="AF140" i="11" s="1"/>
  <c r="AG140" i="11" s="1"/>
  <c r="Y126" i="11"/>
  <c r="AB126" i="11"/>
  <c r="AF274" i="11"/>
  <c r="AG274" i="11" s="1"/>
  <c r="AF102" i="11"/>
  <c r="AG102" i="11" s="1"/>
  <c r="AA150" i="11"/>
  <c r="AF150" i="11" s="1"/>
  <c r="AG150" i="11" s="1"/>
  <c r="AA101" i="11"/>
  <c r="Y101" i="11"/>
  <c r="AF276" i="11"/>
  <c r="AG276" i="11" s="1"/>
  <c r="AA138" i="11"/>
  <c r="AF138" i="11" s="1"/>
  <c r="AG138" i="11" s="1"/>
  <c r="AB119" i="11"/>
  <c r="Y268" i="11"/>
  <c r="AF268" i="11" s="1"/>
  <c r="AG268" i="11" s="1"/>
  <c r="AB255" i="11"/>
  <c r="AF255" i="11" s="1"/>
  <c r="AG255" i="11" s="1"/>
  <c r="Y273" i="11"/>
  <c r="AF273" i="11" s="1"/>
  <c r="AG273" i="11" s="1"/>
  <c r="AF121" i="11"/>
  <c r="AG121" i="11" s="1"/>
  <c r="AF253" i="11"/>
  <c r="AG253" i="11" s="1"/>
  <c r="AB105" i="11"/>
  <c r="Y110" i="11"/>
  <c r="Y105" i="11"/>
  <c r="AF148" i="11"/>
  <c r="AG148" i="11" s="1"/>
  <c r="AF256" i="11"/>
  <c r="AG256" i="11" s="1"/>
  <c r="Y272" i="11"/>
  <c r="AF272" i="11" s="1"/>
  <c r="AG272" i="11" s="1"/>
  <c r="AA132" i="11"/>
  <c r="Y132" i="11"/>
  <c r="AF278" i="11"/>
  <c r="AG278" i="11" s="1"/>
  <c r="AF283" i="11"/>
  <c r="AG283" i="11" s="1"/>
  <c r="AA149" i="11"/>
  <c r="AF149" i="11" s="1"/>
  <c r="AG149" i="11" s="1"/>
  <c r="AF275" i="11"/>
  <c r="AG275" i="11" s="1"/>
  <c r="AF271" i="11"/>
  <c r="AG271" i="11" s="1"/>
  <c r="Y266" i="11"/>
  <c r="AB266" i="11"/>
  <c r="AF282" i="11"/>
  <c r="AG282" i="11" s="1"/>
  <c r="AA147" i="11"/>
  <c r="AF147" i="11" s="1"/>
  <c r="AG147" i="11" s="1"/>
  <c r="AF279" i="11"/>
  <c r="AG279" i="11" s="1"/>
  <c r="AA137" i="11"/>
  <c r="AF137" i="11" s="1"/>
  <c r="AG137" i="11" s="1"/>
  <c r="Y136" i="11"/>
  <c r="AF136" i="11" s="1"/>
  <c r="AG136" i="11" s="1"/>
  <c r="Y270" i="11"/>
  <c r="AF270" i="11" s="1"/>
  <c r="AG270" i="11" s="1"/>
  <c r="Y265" i="11"/>
  <c r="AF265" i="11" s="1"/>
  <c r="AG265" i="11" s="1"/>
  <c r="AB258" i="11"/>
  <c r="Y258" i="11"/>
  <c r="AF115" i="11"/>
  <c r="AG115" i="11" s="1"/>
  <c r="AF144" i="11"/>
  <c r="AG144" i="11" s="1"/>
  <c r="AF277" i="11"/>
  <c r="AG277" i="11" s="1"/>
  <c r="AF127" i="11"/>
  <c r="AG127" i="11" s="1"/>
  <c r="AB129" i="11"/>
  <c r="Y129" i="11"/>
  <c r="AF281" i="11"/>
  <c r="AG281" i="11" s="1"/>
  <c r="Y139" i="11"/>
  <c r="AA139" i="11"/>
  <c r="AF123" i="11"/>
  <c r="AG123" i="11" s="1"/>
  <c r="AA120" i="11"/>
  <c r="Y120" i="11"/>
  <c r="Y263" i="11"/>
  <c r="AF263" i="11" s="1"/>
  <c r="AG263" i="11" s="1"/>
  <c r="AF280" i="11"/>
  <c r="AG280" i="11" s="1"/>
  <c r="AA118" i="11"/>
  <c r="AB118" i="11"/>
  <c r="Y118" i="11"/>
  <c r="Y131" i="11"/>
  <c r="AA131" i="11"/>
  <c r="AB131" i="11"/>
  <c r="AA130" i="11"/>
  <c r="AB130" i="11"/>
  <c r="AB267" i="11"/>
  <c r="Y267" i="11"/>
  <c r="Y264" i="11"/>
  <c r="AF264" i="11" s="1"/>
  <c r="AG264" i="11" s="1"/>
  <c r="AA81" i="11"/>
  <c r="AF81" i="11" s="1"/>
  <c r="AG81" i="11" s="1"/>
  <c r="AA103" i="11"/>
  <c r="AB103" i="11"/>
  <c r="Y103" i="11"/>
  <c r="AA104" i="11"/>
  <c r="AB104" i="11"/>
  <c r="Y104" i="11"/>
  <c r="Y141" i="11"/>
  <c r="AA141" i="11"/>
  <c r="AA77" i="11"/>
  <c r="AF77" i="11" s="1"/>
  <c r="AG77" i="11" s="1"/>
  <c r="AB257" i="11"/>
  <c r="Y257" i="11"/>
  <c r="Y64" i="11"/>
  <c r="AA64" i="11"/>
  <c r="AF96" i="11"/>
  <c r="AG96" i="11" s="1"/>
  <c r="AA68" i="11"/>
  <c r="AF68" i="11" s="1"/>
  <c r="AG68" i="11" s="1"/>
  <c r="AF249" i="11"/>
  <c r="AG249" i="11" s="1"/>
  <c r="AA124" i="11"/>
  <c r="AB124" i="11"/>
  <c r="Y124" i="11"/>
  <c r="AF251" i="11"/>
  <c r="AG251" i="11" s="1"/>
  <c r="AA66" i="11"/>
  <c r="AF66" i="11" s="1"/>
  <c r="AG66" i="11" s="1"/>
  <c r="AF112" i="11"/>
  <c r="AG112" i="11" s="1"/>
  <c r="AA79" i="11"/>
  <c r="Y79" i="11"/>
  <c r="Y88" i="11"/>
  <c r="AA88" i="11"/>
  <c r="Y90" i="11"/>
  <c r="AA90" i="11"/>
  <c r="Y65" i="11"/>
  <c r="AA65" i="11"/>
  <c r="Y72" i="11"/>
  <c r="AA72" i="11"/>
  <c r="AB99" i="11"/>
  <c r="Y99" i="11"/>
  <c r="Y71" i="11"/>
  <c r="AA71" i="11"/>
  <c r="Y87" i="11"/>
  <c r="AA87" i="11"/>
  <c r="AF237" i="11"/>
  <c r="AG237" i="11" s="1"/>
  <c r="Y89" i="11"/>
  <c r="AA89" i="11"/>
  <c r="Y260" i="11"/>
  <c r="AB260" i="11"/>
  <c r="AA94" i="11"/>
  <c r="AB94" i="11"/>
  <c r="Y94" i="11"/>
  <c r="Y60" i="11"/>
  <c r="AA60" i="11"/>
  <c r="AF247" i="11"/>
  <c r="AG247" i="11" s="1"/>
  <c r="Y82" i="11"/>
  <c r="AA82" i="11"/>
  <c r="Y83" i="11"/>
  <c r="AA83" i="11"/>
  <c r="AB259" i="11"/>
  <c r="Y259" i="11"/>
  <c r="Y86" i="11"/>
  <c r="AA86" i="11"/>
  <c r="Y114" i="11"/>
  <c r="AB114" i="11"/>
  <c r="AF252" i="11"/>
  <c r="AG252" i="11" s="1"/>
  <c r="Y109" i="11"/>
  <c r="AB109" i="11"/>
  <c r="AF250" i="11"/>
  <c r="AG250" i="11" s="1"/>
  <c r="AF108" i="11"/>
  <c r="AG108" i="11" s="1"/>
  <c r="AF113" i="11"/>
  <c r="AG113" i="11" s="1"/>
  <c r="AF98" i="11"/>
  <c r="AG98" i="11" s="1"/>
  <c r="Y75" i="11"/>
  <c r="AA75" i="11"/>
  <c r="Y85" i="11"/>
  <c r="AA85" i="11"/>
  <c r="AF107" i="11"/>
  <c r="AG107" i="11" s="1"/>
  <c r="AF106" i="11"/>
  <c r="AG106" i="11" s="1"/>
  <c r="Y80" i="11"/>
  <c r="AA80" i="11"/>
  <c r="Y73" i="11"/>
  <c r="AA73" i="11"/>
  <c r="Y69" i="11"/>
  <c r="AA69" i="11"/>
  <c r="AA59" i="11"/>
  <c r="AF59" i="11" s="1"/>
  <c r="AG59" i="11" s="1"/>
  <c r="Y76" i="11"/>
  <c r="AA76" i="11"/>
  <c r="Y70" i="11"/>
  <c r="AA70" i="11"/>
  <c r="AA99" i="11"/>
  <c r="Y74" i="11"/>
  <c r="AA74" i="11"/>
  <c r="AF97" i="11"/>
  <c r="AG97" i="11" s="1"/>
  <c r="AF111" i="11"/>
  <c r="AG111" i="11" s="1"/>
  <c r="Y84" i="11"/>
  <c r="AA84" i="11"/>
  <c r="AA78" i="11"/>
  <c r="AF78" i="11" s="1"/>
  <c r="AG78" i="11" s="1"/>
  <c r="AF128" i="11" l="1"/>
  <c r="AG128" i="11" s="1"/>
  <c r="AF125" i="11"/>
  <c r="AG125" i="11" s="1"/>
  <c r="AF95" i="11"/>
  <c r="AG95" i="11" s="1"/>
  <c r="AF116" i="11"/>
  <c r="AG116" i="11" s="1"/>
  <c r="AF122" i="11"/>
  <c r="AG122" i="11" s="1"/>
  <c r="AF135" i="11"/>
  <c r="AG135" i="11" s="1"/>
  <c r="AF134" i="11"/>
  <c r="AG134" i="11" s="1"/>
  <c r="AF133" i="11"/>
  <c r="AG133" i="11" s="1"/>
  <c r="AF126" i="11"/>
  <c r="AG126" i="11" s="1"/>
  <c r="AF119" i="11"/>
  <c r="AG119" i="11" s="1"/>
  <c r="AF100" i="11"/>
  <c r="AG100" i="11" s="1"/>
  <c r="AF110" i="11"/>
  <c r="AG110" i="11" s="1"/>
  <c r="AF101" i="11"/>
  <c r="AG101" i="11" s="1"/>
  <c r="AF105" i="11"/>
  <c r="AG105" i="11" s="1"/>
  <c r="AF132" i="11"/>
  <c r="AG132" i="11" s="1"/>
  <c r="AF266" i="11"/>
  <c r="AG266" i="11" s="1"/>
  <c r="AF258" i="11"/>
  <c r="AG258" i="11" s="1"/>
  <c r="AF129" i="11"/>
  <c r="AG129" i="11" s="1"/>
  <c r="AF139" i="11"/>
  <c r="AG139" i="11" s="1"/>
  <c r="AF120" i="11"/>
  <c r="AG120" i="11" s="1"/>
  <c r="AF90" i="11"/>
  <c r="AG90" i="11" s="1"/>
  <c r="AF118" i="11"/>
  <c r="AG118" i="11" s="1"/>
  <c r="AF267" i="11"/>
  <c r="AG267" i="11" s="1"/>
  <c r="AF131" i="11"/>
  <c r="AG131" i="11" s="1"/>
  <c r="AF130" i="11"/>
  <c r="AG130" i="11" s="1"/>
  <c r="AF64" i="11"/>
  <c r="AG64" i="11" s="1"/>
  <c r="AF257" i="11"/>
  <c r="AG257" i="11" s="1"/>
  <c r="AF103" i="11"/>
  <c r="AG103" i="11" s="1"/>
  <c r="AF76" i="11"/>
  <c r="AG76" i="11" s="1"/>
  <c r="AF80" i="11"/>
  <c r="AG80" i="11" s="1"/>
  <c r="AF104" i="11"/>
  <c r="AG104" i="11" s="1"/>
  <c r="AF141" i="11"/>
  <c r="AG141" i="11" s="1"/>
  <c r="AF260" i="11"/>
  <c r="AG260" i="11" s="1"/>
  <c r="AF74" i="11"/>
  <c r="AG74" i="11" s="1"/>
  <c r="AF69" i="11"/>
  <c r="AG69" i="11" s="1"/>
  <c r="AF60" i="11"/>
  <c r="AG60" i="11" s="1"/>
  <c r="AF79" i="11"/>
  <c r="AG79" i="11" s="1"/>
  <c r="AF124" i="11"/>
  <c r="AG124" i="11" s="1"/>
  <c r="AF94" i="11"/>
  <c r="AG94" i="11" s="1"/>
  <c r="AF87" i="11"/>
  <c r="AG87" i="11" s="1"/>
  <c r="AF109" i="11"/>
  <c r="AG109" i="11" s="1"/>
  <c r="AF84" i="11"/>
  <c r="AG84" i="11" s="1"/>
  <c r="AF65" i="11"/>
  <c r="AG65" i="11" s="1"/>
  <c r="AF114" i="11"/>
  <c r="AG114" i="11" s="1"/>
  <c r="AF82" i="11"/>
  <c r="AG82" i="11" s="1"/>
  <c r="AF86" i="11"/>
  <c r="AG86" i="11" s="1"/>
  <c r="AF71" i="11"/>
  <c r="AG71" i="11" s="1"/>
  <c r="AF99" i="11"/>
  <c r="AG99" i="11" s="1"/>
  <c r="AF85" i="11"/>
  <c r="AG85" i="11" s="1"/>
  <c r="AF259" i="11"/>
  <c r="AG259" i="11" s="1"/>
  <c r="AF89" i="11"/>
  <c r="AG89" i="11" s="1"/>
  <c r="AF88" i="11"/>
  <c r="AG88" i="11" s="1"/>
  <c r="AF70" i="11"/>
  <c r="AG70" i="11" s="1"/>
  <c r="AF73" i="11"/>
  <c r="AG73" i="11" s="1"/>
  <c r="AF75" i="11"/>
  <c r="AG75" i="11" s="1"/>
  <c r="AF83" i="11"/>
  <c r="AG83" i="11" s="1"/>
  <c r="AF72" i="11"/>
  <c r="AG72" i="11" s="1"/>
  <c r="X2" i="11" l="1"/>
  <c r="AL59" i="11" l="1"/>
  <c r="AL139" i="11"/>
  <c r="AA13" i="11"/>
  <c r="AL121" i="11"/>
  <c r="AL137" i="11"/>
  <c r="W11" i="11"/>
  <c r="AL138" i="11"/>
  <c r="W14" i="11"/>
  <c r="AL240" i="11"/>
  <c r="AL279" i="11"/>
  <c r="AR45" i="70"/>
  <c r="AN45" i="70" s="1"/>
  <c r="AL234" i="11"/>
  <c r="AL278" i="11"/>
  <c r="AL57" i="11"/>
  <c r="AL239" i="11"/>
  <c r="AL117" i="11"/>
  <c r="AL131" i="11"/>
  <c r="AL111" i="11"/>
  <c r="AL60" i="11"/>
  <c r="AL58" i="11"/>
  <c r="AL150" i="11"/>
  <c r="X4" i="11"/>
  <c r="W12" i="11"/>
  <c r="E12" i="10" s="1"/>
  <c r="AL141" i="11"/>
  <c r="AL149" i="11"/>
  <c r="AL144" i="11"/>
  <c r="AL243" i="11"/>
  <c r="AL143" i="11"/>
  <c r="AL116" i="11"/>
  <c r="AL274" i="11"/>
  <c r="AL127" i="11"/>
  <c r="Z9" i="11"/>
  <c r="AL140" i="11"/>
  <c r="AL132" i="11"/>
  <c r="AL147" i="11"/>
  <c r="AL142" i="11"/>
  <c r="AL126" i="11"/>
  <c r="AL241" i="11"/>
  <c r="AA12" i="11"/>
  <c r="AA11" i="11"/>
  <c r="AL242" i="11"/>
  <c r="AL235" i="11"/>
  <c r="AL275" i="11"/>
  <c r="AL277" i="11"/>
  <c r="Z2" i="11"/>
  <c r="X6" i="11"/>
  <c r="X3" i="11" s="1"/>
  <c r="AL276" i="11"/>
  <c r="AL148" i="11"/>
  <c r="AL101" i="11"/>
  <c r="X7" i="11"/>
  <c r="E11" i="10" s="1"/>
  <c r="X5" i="11"/>
  <c r="AL146" i="11"/>
  <c r="AL56" i="11"/>
  <c r="Z3" i="11"/>
  <c r="Y9" i="11" s="1"/>
  <c r="AB4" i="11"/>
  <c r="X8" i="11"/>
  <c r="AL136" i="11"/>
  <c r="Y21" i="29" l="1"/>
  <c r="AE3" i="70"/>
  <c r="AF3" i="70" s="1"/>
  <c r="AH3" i="70" s="1"/>
  <c r="AL61" i="11"/>
  <c r="B8" i="10"/>
  <c r="D8" i="10" s="1"/>
  <c r="AN46" i="70"/>
  <c r="E8" i="10"/>
  <c r="W15" i="11"/>
  <c r="Y4" i="11" s="1"/>
  <c r="Y8" i="11"/>
  <c r="I51" i="11"/>
  <c r="E2" i="5"/>
  <c r="B1" i="4"/>
  <c r="D45" i="57"/>
  <c r="AI3" i="70" l="1"/>
  <c r="AJ3" i="70"/>
  <c r="AE4" i="70"/>
  <c r="AE5" i="70" s="1"/>
  <c r="AF5" i="70" s="1"/>
  <c r="AL62" i="11"/>
  <c r="AB13" i="11"/>
  <c r="X14" i="11"/>
  <c r="Y5" i="11"/>
  <c r="X11" i="11"/>
  <c r="Y3" i="11"/>
  <c r="E10" i="10" s="1"/>
  <c r="AF4" i="70" l="1"/>
  <c r="AH4" i="70" s="1"/>
  <c r="AH5" i="70" s="1"/>
  <c r="AE6" i="70"/>
  <c r="AF6" i="70" s="1"/>
  <c r="AG6" i="70" s="1"/>
  <c r="Q52" i="10"/>
  <c r="AG5" i="70"/>
  <c r="AL63" i="11"/>
  <c r="K86" i="10"/>
  <c r="I86" i="10" s="1"/>
  <c r="M86" i="10" s="1"/>
  <c r="K66" i="10"/>
  <c r="I66" i="10" s="1"/>
  <c r="M66" i="10" s="1"/>
  <c r="Q18" i="10"/>
  <c r="K79" i="10" s="1"/>
  <c r="I79" i="10" s="1"/>
  <c r="M79" i="10" s="1"/>
  <c r="D53" i="57"/>
  <c r="AG3" i="70"/>
  <c r="K95" i="10"/>
  <c r="I95" i="10" s="1"/>
  <c r="J95" i="10" s="1"/>
  <c r="K44" i="10"/>
  <c r="I44" i="10" s="1"/>
  <c r="J44" i="10" s="1"/>
  <c r="K104" i="10"/>
  <c r="I104" i="10" s="1"/>
  <c r="J104" i="10" s="1"/>
  <c r="K77" i="10"/>
  <c r="I77" i="10" s="1"/>
  <c r="J77" i="10" s="1"/>
  <c r="Q17" i="10"/>
  <c r="Q21" i="10" s="1"/>
  <c r="X15" i="11"/>
  <c r="AE7" i="70" l="1"/>
  <c r="AF7" i="70" s="1"/>
  <c r="AG7" i="70" s="1"/>
  <c r="AJ4" i="70"/>
  <c r="AJ5" i="70" s="1"/>
  <c r="AJ6" i="70" s="1"/>
  <c r="AG4" i="70"/>
  <c r="AI4" i="70"/>
  <c r="AI5" i="70" s="1"/>
  <c r="AI6" i="70" s="1"/>
  <c r="AH6" i="70"/>
  <c r="J86" i="10"/>
  <c r="J66" i="10"/>
  <c r="K68" i="10"/>
  <c r="I68" i="10" s="1"/>
  <c r="J68" i="10" s="1"/>
  <c r="J79" i="10"/>
  <c r="K88" i="10"/>
  <c r="I88" i="10" s="1"/>
  <c r="M88" i="10" s="1"/>
  <c r="AL64" i="11"/>
  <c r="K46" i="10"/>
  <c r="I46" i="10" s="1"/>
  <c r="J46" i="10" s="1"/>
  <c r="K97" i="10"/>
  <c r="I97" i="10" s="1"/>
  <c r="J97" i="10" s="1"/>
  <c r="K106" i="10"/>
  <c r="I106" i="10" s="1"/>
  <c r="M106" i="10" s="1"/>
  <c r="I11" i="10"/>
  <c r="J11" i="10" s="1"/>
  <c r="I12" i="10"/>
  <c r="J12" i="10" s="1"/>
  <c r="I10" i="10"/>
  <c r="J10" i="10" s="1"/>
  <c r="M104" i="10"/>
  <c r="M95" i="10"/>
  <c r="M44" i="10"/>
  <c r="I55" i="10"/>
  <c r="K55" i="10" s="1"/>
  <c r="M77" i="10"/>
  <c r="R17" i="10"/>
  <c r="I8" i="10"/>
  <c r="D6" i="57"/>
  <c r="R18" i="10"/>
  <c r="AE8" i="70" l="1"/>
  <c r="AF8" i="70" s="1"/>
  <c r="AG8" i="70" s="1"/>
  <c r="AI7" i="70"/>
  <c r="AH7" i="70"/>
  <c r="AJ7" i="70"/>
  <c r="M68" i="10"/>
  <c r="I57" i="10"/>
  <c r="M57" i="10" s="1"/>
  <c r="J88" i="10"/>
  <c r="M46" i="10"/>
  <c r="M97" i="10"/>
  <c r="AL65" i="11"/>
  <c r="AL66" i="11" s="1"/>
  <c r="AL67" i="11" s="1"/>
  <c r="AL68" i="11" s="1"/>
  <c r="C4" i="5"/>
  <c r="J106" i="10"/>
  <c r="O4" i="4"/>
  <c r="J55" i="10"/>
  <c r="M55" i="10"/>
  <c r="AH8" i="70" l="1"/>
  <c r="AI8" i="70"/>
  <c r="AE9" i="70"/>
  <c r="AF9" i="70" s="1"/>
  <c r="AG9" i="70" s="1"/>
  <c r="AJ8" i="70"/>
  <c r="K57" i="10"/>
  <c r="J57" i="10"/>
  <c r="AL69" i="11"/>
  <c r="AL70" i="11" s="1"/>
  <c r="AL71" i="11" s="1"/>
  <c r="AL72" i="11" s="1"/>
  <c r="AL73" i="11" s="1"/>
  <c r="AL74" i="11" s="1"/>
  <c r="AL75" i="11" s="1"/>
  <c r="AL76" i="11" s="1"/>
  <c r="AL77" i="11" s="1"/>
  <c r="AL78" i="11" s="1"/>
  <c r="AL79" i="11" s="1"/>
  <c r="AL80" i="11" s="1"/>
  <c r="AL81" i="11" s="1"/>
  <c r="AL82" i="11" s="1"/>
  <c r="AL83" i="11" s="1"/>
  <c r="AL84" i="11" s="1"/>
  <c r="AL85" i="11" s="1"/>
  <c r="AL86" i="11" s="1"/>
  <c r="AL87" i="11" s="1"/>
  <c r="AL88" i="11" s="1"/>
  <c r="AL89" i="11" s="1"/>
  <c r="AL90" i="11" s="1"/>
  <c r="AL91" i="11" s="1"/>
  <c r="AE10" i="70" l="1"/>
  <c r="AE11" i="70" s="1"/>
  <c r="AE12" i="70" s="1"/>
  <c r="AJ9" i="70"/>
  <c r="AH9" i="70"/>
  <c r="AI9" i="70"/>
  <c r="AL92" i="11"/>
  <c r="AL93" i="11" s="1"/>
  <c r="AF11" i="70" l="1"/>
  <c r="AG11" i="70" s="1"/>
  <c r="AF10" i="70"/>
  <c r="AJ10" i="70" s="1"/>
  <c r="AL94" i="11"/>
  <c r="AF12" i="70"/>
  <c r="AG12" i="70" s="1"/>
  <c r="AE13" i="70"/>
  <c r="AJ11" i="70" l="1"/>
  <c r="AJ12" i="70" s="1"/>
  <c r="AG10" i="70"/>
  <c r="AH10" i="70"/>
  <c r="AH11" i="70" s="1"/>
  <c r="AH12" i="70" s="1"/>
  <c r="AI10" i="70"/>
  <c r="AI11" i="70" s="1"/>
  <c r="AI12" i="70" s="1"/>
  <c r="AL95" i="11"/>
  <c r="AF13" i="70"/>
  <c r="AG13" i="70" s="1"/>
  <c r="AE14" i="70"/>
  <c r="AL96" i="11" l="1"/>
  <c r="AL97" i="11" s="1"/>
  <c r="AJ13" i="70"/>
  <c r="AI13" i="70"/>
  <c r="AH13" i="70"/>
  <c r="AF14" i="70"/>
  <c r="AG14" i="70" s="1"/>
  <c r="AE15" i="70"/>
  <c r="AL98" i="11" l="1"/>
  <c r="AL99" i="11" s="1"/>
  <c r="AL100" i="11" s="1"/>
  <c r="AL102" i="11" s="1"/>
  <c r="AL103" i="11" s="1"/>
  <c r="AJ14" i="70"/>
  <c r="AI14" i="70"/>
  <c r="AF15" i="70"/>
  <c r="AG15" i="70" s="1"/>
  <c r="AE16" i="70"/>
  <c r="AH14" i="70"/>
  <c r="AL104" i="11" l="1"/>
  <c r="AH15" i="70"/>
  <c r="AI15" i="70"/>
  <c r="AJ15" i="70"/>
  <c r="AF16" i="70"/>
  <c r="AG16" i="70" s="1"/>
  <c r="AE17" i="70"/>
  <c r="AL105" i="11" l="1"/>
  <c r="AI16" i="70"/>
  <c r="AF17" i="70"/>
  <c r="AG17" i="70" s="1"/>
  <c r="AE18" i="70"/>
  <c r="AH16" i="70"/>
  <c r="AJ16" i="70"/>
  <c r="AL106" i="11" l="1"/>
  <c r="AL107" i="11" s="1"/>
  <c r="AJ17" i="70"/>
  <c r="AI17" i="70"/>
  <c r="AH17" i="70"/>
  <c r="AF18" i="70"/>
  <c r="AG18" i="70" s="1"/>
  <c r="AE19" i="70"/>
  <c r="AL108" i="11" l="1"/>
  <c r="AL109" i="11" s="1"/>
  <c r="AL110" i="11" s="1"/>
  <c r="AL112" i="11" s="1"/>
  <c r="AF19" i="70"/>
  <c r="AG19" i="70" s="1"/>
  <c r="AE20" i="70"/>
  <c r="AI18" i="70"/>
  <c r="AH18" i="70"/>
  <c r="AJ18" i="70"/>
  <c r="AL113" i="11" l="1"/>
  <c r="AL114" i="11" s="1"/>
  <c r="AL115" i="11" s="1"/>
  <c r="AJ19" i="70"/>
  <c r="AH19" i="70"/>
  <c r="AI19" i="70"/>
  <c r="AF20" i="70"/>
  <c r="AG20" i="70" s="1"/>
  <c r="AE21" i="70"/>
  <c r="AL118" i="11" l="1"/>
  <c r="AJ20" i="70"/>
  <c r="AF21" i="70"/>
  <c r="AG21" i="70" s="1"/>
  <c r="AE22" i="70"/>
  <c r="AI20" i="70"/>
  <c r="AH20" i="70"/>
  <c r="AL119" i="11" l="1"/>
  <c r="AH21" i="70"/>
  <c r="AI21" i="70"/>
  <c r="AF22" i="70"/>
  <c r="AG22" i="70" s="1"/>
  <c r="AE23" i="70"/>
  <c r="AJ21" i="70"/>
  <c r="AL120" i="11" l="1"/>
  <c r="AL122" i="11" s="1"/>
  <c r="AJ22" i="70"/>
  <c r="AF23" i="70"/>
  <c r="AG23" i="70" s="1"/>
  <c r="AE24" i="70"/>
  <c r="AI22" i="70"/>
  <c r="AH22" i="70"/>
  <c r="AL123" i="11" l="1"/>
  <c r="AL124" i="11" s="1"/>
  <c r="AL125" i="11" s="1"/>
  <c r="AL128" i="11" s="1"/>
  <c r="AH23" i="70"/>
  <c r="AI23" i="70"/>
  <c r="AF24" i="70"/>
  <c r="AG24" i="70" s="1"/>
  <c r="AE25" i="70"/>
  <c r="AJ23" i="70"/>
  <c r="AL129" i="11" l="1"/>
  <c r="AL130" i="11" s="1"/>
  <c r="AL133" i="11" s="1"/>
  <c r="AJ24" i="70"/>
  <c r="AF25" i="70"/>
  <c r="AG25" i="70" s="1"/>
  <c r="AE26" i="70"/>
  <c r="AI24" i="70"/>
  <c r="AH24" i="70"/>
  <c r="AL134" i="11" l="1"/>
  <c r="AL135" i="11" s="1"/>
  <c r="AI25" i="70"/>
  <c r="AH25" i="70"/>
  <c r="AF26" i="70"/>
  <c r="AG26" i="70" s="1"/>
  <c r="AE27" i="70"/>
  <c r="AJ25" i="70"/>
  <c r="AL236" i="11" l="1"/>
  <c r="AL145" i="11"/>
  <c r="AJ26" i="70"/>
  <c r="AI26" i="70"/>
  <c r="AF27" i="70"/>
  <c r="AG27" i="70" s="1"/>
  <c r="AE28" i="70"/>
  <c r="AH26" i="70"/>
  <c r="AL237" i="11" l="1"/>
  <c r="AL238" i="11" s="1"/>
  <c r="AL244" i="11" s="1"/>
  <c r="AL245" i="11" s="1"/>
  <c r="AH27" i="70"/>
  <c r="AF28" i="70"/>
  <c r="AG28" i="70" s="1"/>
  <c r="AE29" i="70"/>
  <c r="AI27" i="70"/>
  <c r="AJ27" i="70"/>
  <c r="AL246" i="11" l="1"/>
  <c r="AL247" i="11" s="1"/>
  <c r="AL248" i="11" s="1"/>
  <c r="AL249" i="11" s="1"/>
  <c r="AL250" i="11" s="1"/>
  <c r="AL251" i="11" s="1"/>
  <c r="AJ28" i="70"/>
  <c r="AI28" i="70"/>
  <c r="AF29" i="70"/>
  <c r="AG29" i="70" s="1"/>
  <c r="AE30" i="70"/>
  <c r="AH28" i="70"/>
  <c r="AL252" i="11" l="1"/>
  <c r="AH29" i="70"/>
  <c r="AF30" i="70"/>
  <c r="AG30" i="70" s="1"/>
  <c r="AE31" i="70"/>
  <c r="AI29" i="70"/>
  <c r="AJ29" i="70"/>
  <c r="AL253" i="11" l="1"/>
  <c r="AI30" i="70"/>
  <c r="AJ30" i="70"/>
  <c r="AF31" i="70"/>
  <c r="AG31" i="70" s="1"/>
  <c r="AE32" i="70"/>
  <c r="AH30" i="70"/>
  <c r="AL254" i="11" l="1"/>
  <c r="AL255" i="11" s="1"/>
  <c r="AL256" i="11" s="1"/>
  <c r="AL257" i="11" s="1"/>
  <c r="AL258" i="11" s="1"/>
  <c r="AH31" i="70"/>
  <c r="AF32" i="70"/>
  <c r="AG32" i="70" s="1"/>
  <c r="AE33" i="70"/>
  <c r="AI31" i="70"/>
  <c r="AJ31" i="70"/>
  <c r="AL259" i="11" l="1"/>
  <c r="AJ32" i="70"/>
  <c r="AI32" i="70"/>
  <c r="AF33" i="70"/>
  <c r="AG33" i="70" s="1"/>
  <c r="AE34" i="70"/>
  <c r="AH32" i="70"/>
  <c r="AL260" i="11" l="1"/>
  <c r="AH33" i="70"/>
  <c r="AF34" i="70"/>
  <c r="AG34" i="70" s="1"/>
  <c r="AE35" i="70"/>
  <c r="AJ33" i="70"/>
  <c r="AI33" i="70"/>
  <c r="AL261" i="11" l="1"/>
  <c r="AI34" i="70"/>
  <c r="AJ34" i="70"/>
  <c r="AF35" i="70"/>
  <c r="AG35" i="70" s="1"/>
  <c r="AE36" i="70"/>
  <c r="AH34" i="70"/>
  <c r="AL262" i="11" l="1"/>
  <c r="AH35" i="70"/>
  <c r="AF36" i="70"/>
  <c r="AG36" i="70" s="1"/>
  <c r="AE37" i="70"/>
  <c r="AI35" i="70"/>
  <c r="AJ35" i="70"/>
  <c r="AL263" i="11" l="1"/>
  <c r="AJ36" i="70"/>
  <c r="AI36" i="70"/>
  <c r="AF37" i="70"/>
  <c r="AG37" i="70" s="1"/>
  <c r="AE38" i="70"/>
  <c r="AH36" i="70"/>
  <c r="AL264" i="11" l="1"/>
  <c r="AH37" i="70"/>
  <c r="AF38" i="70"/>
  <c r="AG38" i="70" s="1"/>
  <c r="AE39" i="70"/>
  <c r="AJ37" i="70"/>
  <c r="AI37" i="70"/>
  <c r="AL265" i="11" l="1"/>
  <c r="AI38" i="70"/>
  <c r="AJ38" i="70"/>
  <c r="AF39" i="70"/>
  <c r="AG39" i="70" s="1"/>
  <c r="AE40" i="70"/>
  <c r="AH38" i="70"/>
  <c r="AL266" i="11" l="1"/>
  <c r="AL267" i="11" s="1"/>
  <c r="AH39" i="70"/>
  <c r="AF40" i="70"/>
  <c r="AG40" i="70" s="1"/>
  <c r="AE41" i="70"/>
  <c r="AI39" i="70"/>
  <c r="AJ39" i="70"/>
  <c r="AL268" i="11" l="1"/>
  <c r="AL269" i="11" s="1"/>
  <c r="AL270" i="11" s="1"/>
  <c r="AL271" i="11" s="1"/>
  <c r="AL272" i="11" s="1"/>
  <c r="AL273" i="11" s="1"/>
  <c r="AL280" i="11" s="1"/>
  <c r="AL281" i="11" s="1"/>
  <c r="AL282" i="11" s="1"/>
  <c r="AL283" i="11" s="1"/>
  <c r="AL284" i="11" s="1"/>
  <c r="AJ40" i="70"/>
  <c r="AI40" i="70"/>
  <c r="AF41" i="70"/>
  <c r="AG41" i="70" s="1"/>
  <c r="AE42" i="70"/>
  <c r="AH40" i="70"/>
  <c r="AP84" i="11" l="1"/>
  <c r="AP56" i="11"/>
  <c r="AP58" i="11"/>
  <c r="AP61" i="11"/>
  <c r="AP57" i="11"/>
  <c r="AP62" i="11"/>
  <c r="AP59" i="11"/>
  <c r="AP60" i="11"/>
  <c r="AP69" i="11"/>
  <c r="AP71" i="11"/>
  <c r="AP65" i="11"/>
  <c r="AP63" i="11"/>
  <c r="AP66" i="11"/>
  <c r="AP78" i="11"/>
  <c r="AP81" i="11"/>
  <c r="AP64" i="11"/>
  <c r="AP68" i="11"/>
  <c r="AP82" i="11"/>
  <c r="AP77" i="11"/>
  <c r="AP75" i="11"/>
  <c r="AP70" i="11"/>
  <c r="AP74" i="11"/>
  <c r="AP80" i="11"/>
  <c r="AP83" i="11"/>
  <c r="AP79" i="11"/>
  <c r="AP67" i="11"/>
  <c r="AP73" i="11"/>
  <c r="AP76" i="11"/>
  <c r="AP72" i="11"/>
  <c r="AP85" i="11"/>
  <c r="AP86" i="11"/>
  <c r="AP87" i="11"/>
  <c r="AP88" i="11"/>
  <c r="AP90" i="11"/>
  <c r="AP92" i="11"/>
  <c r="AP91" i="11"/>
  <c r="AP98" i="11"/>
  <c r="AP99" i="11"/>
  <c r="AP101" i="11"/>
  <c r="AP89" i="11"/>
  <c r="AP93" i="11"/>
  <c r="AP96" i="11"/>
  <c r="AP95" i="11"/>
  <c r="AP94" i="11"/>
  <c r="AP97" i="11"/>
  <c r="AP127" i="11"/>
  <c r="AP130" i="11"/>
  <c r="AP100" i="11"/>
  <c r="AP105" i="11"/>
  <c r="AP145" i="11"/>
  <c r="AP104" i="11"/>
  <c r="AP102" i="11"/>
  <c r="AP103" i="11"/>
  <c r="AP131" i="11"/>
  <c r="AP134" i="11"/>
  <c r="AP140" i="11"/>
  <c r="AP146" i="11"/>
  <c r="AP143" i="11"/>
  <c r="AP129" i="11"/>
  <c r="AP133" i="11"/>
  <c r="AP137" i="11"/>
  <c r="AP121" i="11"/>
  <c r="AP109" i="11"/>
  <c r="AP123" i="11"/>
  <c r="AP115" i="11"/>
  <c r="AP116" i="11"/>
  <c r="AP117" i="11"/>
  <c r="AP107" i="11"/>
  <c r="AP120" i="11"/>
  <c r="AP138" i="11"/>
  <c r="AP144" i="11"/>
  <c r="AP142" i="11"/>
  <c r="AP119" i="11"/>
  <c r="AP149" i="11"/>
  <c r="AP113" i="11"/>
  <c r="AP126" i="11"/>
  <c r="AP125" i="11"/>
  <c r="AP122" i="11"/>
  <c r="AP148" i="11"/>
  <c r="AP106" i="11"/>
  <c r="AP108" i="11"/>
  <c r="AP147" i="11"/>
  <c r="AP136" i="11"/>
  <c r="AP141" i="11"/>
  <c r="AP124" i="11"/>
  <c r="AP132" i="11"/>
  <c r="AP114" i="11"/>
  <c r="AP139" i="11"/>
  <c r="AP118" i="11"/>
  <c r="AP135" i="11"/>
  <c r="AP150" i="11"/>
  <c r="AP128" i="11"/>
  <c r="AP111" i="11"/>
  <c r="AP110" i="11"/>
  <c r="AP112" i="11"/>
  <c r="AH41" i="70"/>
  <c r="AF42" i="70"/>
  <c r="AG42" i="70" s="1"/>
  <c r="AE43" i="70"/>
  <c r="AJ41" i="70"/>
  <c r="AI41" i="70"/>
  <c r="AI42" i="70" l="1"/>
  <c r="AJ42" i="70"/>
  <c r="AF43" i="70"/>
  <c r="AG43" i="70" s="1"/>
  <c r="AE44" i="70"/>
  <c r="AH42" i="70"/>
  <c r="AH43" i="70" l="1"/>
  <c r="AF44" i="70"/>
  <c r="AG44" i="70" s="1"/>
  <c r="AE45" i="70"/>
  <c r="AI43" i="70"/>
  <c r="AJ43" i="70"/>
  <c r="AJ44" i="70" l="1"/>
  <c r="AI44" i="70"/>
  <c r="AF45" i="70"/>
  <c r="AG45" i="70" s="1"/>
  <c r="AE46" i="70"/>
  <c r="AH44" i="70"/>
  <c r="AH45" i="70" l="1"/>
  <c r="AF46" i="70"/>
  <c r="AG46" i="70" s="1"/>
  <c r="AE47" i="70"/>
  <c r="AJ45" i="70"/>
  <c r="AI45" i="70"/>
  <c r="AI46" i="70" l="1"/>
  <c r="AJ46" i="70"/>
  <c r="AF47" i="70"/>
  <c r="AG47" i="70" s="1"/>
  <c r="AE48" i="70"/>
  <c r="AH46" i="70"/>
  <c r="AH47" i="70" l="1"/>
  <c r="AF48" i="70"/>
  <c r="AG48" i="70" s="1"/>
  <c r="AE49" i="70"/>
  <c r="AJ47" i="70"/>
  <c r="AI47" i="70"/>
  <c r="AJ48" i="70" l="1"/>
  <c r="AI48" i="70"/>
  <c r="AH48" i="70"/>
  <c r="AF49" i="70"/>
  <c r="AG49" i="70" s="1"/>
  <c r="AE50" i="70"/>
  <c r="AF50" i="70" l="1"/>
  <c r="AG50" i="70" s="1"/>
  <c r="AE51" i="70"/>
  <c r="AI49" i="70"/>
  <c r="AH49" i="70"/>
  <c r="AJ49" i="70"/>
  <c r="AJ50" i="70" l="1"/>
  <c r="AH50" i="70"/>
  <c r="AI50" i="70"/>
  <c r="AF51" i="70"/>
  <c r="AG51" i="70" s="1"/>
  <c r="AE52" i="70"/>
  <c r="AF52" i="70" l="1"/>
  <c r="AG52" i="70" s="1"/>
  <c r="AE53" i="70"/>
  <c r="AJ51" i="70"/>
  <c r="AI51" i="70"/>
  <c r="AH51" i="70"/>
  <c r="AH52" i="70" l="1"/>
  <c r="AI52" i="70"/>
  <c r="AJ52" i="70"/>
  <c r="AF53" i="70"/>
  <c r="AG53" i="70" s="1"/>
  <c r="AE54" i="70"/>
  <c r="AF54" i="70" l="1"/>
  <c r="AG54" i="70" s="1"/>
  <c r="AE55" i="70"/>
  <c r="AI53" i="70"/>
  <c r="AJ53" i="70"/>
  <c r="AH53" i="70"/>
  <c r="AH54" i="70" l="1"/>
  <c r="AJ54" i="70"/>
  <c r="AI54" i="70"/>
  <c r="AF55" i="70"/>
  <c r="AG55" i="70" s="1"/>
  <c r="AE56" i="70"/>
  <c r="AF56" i="70" l="1"/>
  <c r="AG56" i="70" s="1"/>
  <c r="AE57" i="70"/>
  <c r="AJ55" i="70"/>
  <c r="AH55" i="70"/>
  <c r="AI55" i="70"/>
  <c r="AI56" i="70" l="1"/>
  <c r="AH56" i="70"/>
  <c r="AJ56" i="70"/>
  <c r="AF57" i="70"/>
  <c r="AG57" i="70" s="1"/>
  <c r="AE58" i="70"/>
  <c r="AF58" i="70" l="1"/>
  <c r="AG58" i="70" s="1"/>
  <c r="AE59" i="70"/>
  <c r="AH57" i="70"/>
  <c r="AI57" i="70"/>
  <c r="AJ57" i="70"/>
  <c r="AJ58" i="70" l="1"/>
  <c r="AI58" i="70"/>
  <c r="AH58" i="70"/>
  <c r="AF59" i="70"/>
  <c r="AG59" i="70" s="1"/>
  <c r="AE60" i="70"/>
  <c r="AF60" i="70" l="1"/>
  <c r="AG60" i="70" s="1"/>
  <c r="AE61" i="70"/>
  <c r="AJ59" i="70"/>
  <c r="AH59" i="70"/>
  <c r="AI59" i="70"/>
  <c r="AH60" i="70" l="1"/>
  <c r="AJ60" i="70"/>
  <c r="AI60" i="70"/>
  <c r="AF61" i="70"/>
  <c r="AG61" i="70" s="1"/>
  <c r="AE62" i="70"/>
  <c r="AF62" i="70" l="1"/>
  <c r="AG62" i="70" s="1"/>
  <c r="AE63" i="70"/>
  <c r="AJ61" i="70"/>
  <c r="AH61" i="70"/>
  <c r="AI61" i="70"/>
  <c r="AH62" i="70" l="1"/>
  <c r="AJ62" i="70"/>
  <c r="AI62" i="70"/>
  <c r="AF63" i="70"/>
  <c r="AG63" i="70" s="1"/>
  <c r="AE64" i="70"/>
  <c r="AF64" i="70" l="1"/>
  <c r="AG64" i="70" s="1"/>
  <c r="AE65" i="70"/>
  <c r="AJ63" i="70"/>
  <c r="AH63" i="70"/>
  <c r="AI63" i="70"/>
  <c r="AH64" i="70" l="1"/>
  <c r="AI64" i="70"/>
  <c r="AJ64" i="70"/>
  <c r="AF65" i="70"/>
  <c r="AG65" i="70" s="1"/>
  <c r="AE66" i="70"/>
  <c r="AF66" i="70" l="1"/>
  <c r="AG66" i="70" s="1"/>
  <c r="AE67" i="70"/>
  <c r="AJ65" i="70"/>
  <c r="AI65" i="70"/>
  <c r="AH65" i="70"/>
  <c r="AH66" i="70" l="1"/>
  <c r="AI66" i="70"/>
  <c r="AJ66" i="70"/>
  <c r="AF67" i="70"/>
  <c r="AG67" i="70" s="1"/>
  <c r="AE68" i="70"/>
  <c r="AF68" i="70" l="1"/>
  <c r="AG68" i="70" s="1"/>
  <c r="AE69" i="70"/>
  <c r="AI67" i="70"/>
  <c r="AH67" i="70"/>
  <c r="AJ67" i="70"/>
  <c r="AH68" i="70" l="1"/>
  <c r="AJ68" i="70"/>
  <c r="AI68" i="70"/>
  <c r="AF69" i="70"/>
  <c r="AG69" i="70" s="1"/>
  <c r="AE70" i="70"/>
  <c r="AF70" i="70" l="1"/>
  <c r="AG70" i="70" s="1"/>
  <c r="AE71" i="70"/>
  <c r="AH69" i="70"/>
  <c r="AJ69" i="70"/>
  <c r="AI69" i="70"/>
  <c r="AJ70" i="70" l="1"/>
  <c r="AI70" i="70"/>
  <c r="AH70" i="70"/>
  <c r="AF71" i="70"/>
  <c r="AG71" i="70" s="1"/>
  <c r="AE72" i="70"/>
  <c r="AF72" i="70" l="1"/>
  <c r="AG72" i="70" s="1"/>
  <c r="AE73" i="70"/>
  <c r="AJ71" i="70"/>
  <c r="AI71" i="70"/>
  <c r="AH71" i="70"/>
  <c r="AH72" i="70" l="1"/>
  <c r="AI72" i="70"/>
  <c r="AJ72" i="70"/>
  <c r="AF73" i="70"/>
  <c r="AG73" i="70" s="1"/>
  <c r="AE74" i="70"/>
  <c r="AF74" i="70" l="1"/>
  <c r="AG74" i="70" s="1"/>
  <c r="AE75" i="70"/>
  <c r="AI73" i="70"/>
  <c r="AJ73" i="70"/>
  <c r="AH73" i="70"/>
  <c r="AH74" i="70" l="1"/>
  <c r="AJ74" i="70"/>
  <c r="AI74" i="70"/>
  <c r="AF75" i="70"/>
  <c r="AG75" i="70" s="1"/>
  <c r="AE76" i="70"/>
  <c r="AF76" i="70" l="1"/>
  <c r="AG76" i="70" s="1"/>
  <c r="AE77" i="70"/>
  <c r="AJ75" i="70"/>
  <c r="AH75" i="70"/>
  <c r="AI75" i="70"/>
  <c r="AI76" i="70" l="1"/>
  <c r="AH76" i="70"/>
  <c r="AJ76" i="70"/>
  <c r="AF77" i="70"/>
  <c r="AG77" i="70" s="1"/>
  <c r="AE78" i="70"/>
  <c r="AF78" i="70" l="1"/>
  <c r="AG78" i="70" s="1"/>
  <c r="AE79" i="70"/>
  <c r="AH77" i="70"/>
  <c r="AI77" i="70"/>
  <c r="AJ77" i="70"/>
  <c r="AI78" i="70" l="1"/>
  <c r="AJ78" i="70"/>
  <c r="AH78" i="70"/>
  <c r="AF79" i="70"/>
  <c r="AG79" i="70" s="1"/>
  <c r="AE80" i="70"/>
  <c r="AF80" i="70" l="1"/>
  <c r="AG80" i="70" s="1"/>
  <c r="AE81" i="70"/>
  <c r="AJ79" i="70"/>
  <c r="AH79" i="70"/>
  <c r="AI79" i="70"/>
  <c r="AH80" i="70" l="1"/>
  <c r="AJ80" i="70"/>
  <c r="AI80" i="70"/>
  <c r="AF81" i="70"/>
  <c r="AG81" i="70" s="1"/>
  <c r="AE82" i="70"/>
  <c r="AF82" i="70" l="1"/>
  <c r="AG82" i="70" s="1"/>
  <c r="AE83" i="70"/>
  <c r="AJ81" i="70"/>
  <c r="AH81" i="70"/>
  <c r="AI81" i="70"/>
  <c r="AI82" i="70" l="1"/>
  <c r="AH82" i="70"/>
  <c r="AJ82" i="70"/>
  <c r="AF83" i="70"/>
  <c r="AG83" i="70" s="1"/>
  <c r="AE84" i="70"/>
  <c r="AF84" i="70" l="1"/>
  <c r="AG84" i="70" s="1"/>
  <c r="AE85" i="70"/>
  <c r="AI83" i="70"/>
  <c r="AH83" i="70"/>
  <c r="AJ83" i="70"/>
  <c r="AJ84" i="70" l="1"/>
  <c r="AH84" i="70"/>
  <c r="AI84" i="70"/>
  <c r="AF85" i="70"/>
  <c r="AG85" i="70" s="1"/>
  <c r="AE86" i="70"/>
  <c r="AF86" i="70" l="1"/>
  <c r="AG86" i="70" s="1"/>
  <c r="AE87" i="70"/>
  <c r="AI85" i="70"/>
  <c r="AJ85" i="70"/>
  <c r="AH85" i="70"/>
  <c r="AJ86" i="70" l="1"/>
  <c r="AH86" i="70"/>
  <c r="AI86" i="70"/>
  <c r="AF87" i="70"/>
  <c r="AG87" i="70" s="1"/>
  <c r="AE88" i="70"/>
  <c r="AF88" i="70" l="1"/>
  <c r="AG88" i="70" s="1"/>
  <c r="AE89" i="70"/>
  <c r="AI87" i="70"/>
  <c r="AJ87" i="70"/>
  <c r="AH87" i="70"/>
  <c r="AH88" i="70" l="1"/>
  <c r="AJ88" i="70"/>
  <c r="AI88" i="70"/>
  <c r="AF89" i="70"/>
  <c r="AG89" i="70" s="1"/>
  <c r="AE90" i="70"/>
  <c r="AF90" i="70" l="1"/>
  <c r="AG90" i="70" s="1"/>
  <c r="AE91" i="70"/>
  <c r="AI89" i="70"/>
  <c r="AJ89" i="70"/>
  <c r="AH89" i="70"/>
  <c r="AH90" i="70" l="1"/>
  <c r="AJ90" i="70"/>
  <c r="AI90" i="70"/>
  <c r="AF91" i="70"/>
  <c r="AG91" i="70" s="1"/>
  <c r="AE92" i="70"/>
  <c r="AF92" i="70" l="1"/>
  <c r="AG92" i="70" s="1"/>
  <c r="AE93" i="70"/>
  <c r="AI91" i="70"/>
  <c r="AJ91" i="70"/>
  <c r="AH91" i="70"/>
  <c r="AH92" i="70" l="1"/>
  <c r="AI92" i="70"/>
  <c r="AJ92" i="70"/>
  <c r="AF93" i="70"/>
  <c r="AG93" i="70" s="1"/>
  <c r="AE94" i="70"/>
  <c r="AF94" i="70" l="1"/>
  <c r="AG94" i="70" s="1"/>
  <c r="AE95" i="70"/>
  <c r="AI93" i="70"/>
  <c r="AJ93" i="70"/>
  <c r="AH93" i="70"/>
  <c r="AH94" i="70" l="1"/>
  <c r="AJ94" i="70"/>
  <c r="AI94" i="70"/>
  <c r="AF95" i="70"/>
  <c r="AG95" i="70" s="1"/>
  <c r="AE96" i="70"/>
  <c r="AF96" i="70" l="1"/>
  <c r="AG96" i="70" s="1"/>
  <c r="AE97" i="70"/>
  <c r="AI95" i="70"/>
  <c r="AJ95" i="70"/>
  <c r="AH95" i="70"/>
  <c r="AH96" i="70" l="1"/>
  <c r="AJ96" i="70"/>
  <c r="AI96" i="70"/>
  <c r="AF97" i="70"/>
  <c r="AG97" i="70" s="1"/>
  <c r="AE98" i="70"/>
  <c r="AF98" i="70" l="1"/>
  <c r="AG98" i="70" s="1"/>
  <c r="AE99" i="70"/>
  <c r="AI97" i="70"/>
  <c r="AJ97" i="70"/>
  <c r="AH97" i="70"/>
  <c r="AH98" i="70" l="1"/>
  <c r="AI98" i="70"/>
  <c r="AJ98" i="70"/>
  <c r="AF99" i="70"/>
  <c r="AG99" i="70" s="1"/>
  <c r="AE100" i="70"/>
  <c r="AF100" i="70" l="1"/>
  <c r="AG100" i="70" s="1"/>
  <c r="AE101" i="70"/>
  <c r="AI99" i="70"/>
  <c r="AJ99" i="70"/>
  <c r="AH99" i="70"/>
  <c r="AH100" i="70" l="1"/>
  <c r="AJ100" i="70"/>
  <c r="AI100" i="70"/>
  <c r="AF101" i="70"/>
  <c r="AG101" i="70" s="1"/>
  <c r="AE102" i="70"/>
  <c r="AF102" i="70" l="1"/>
  <c r="AG102" i="70" s="1"/>
  <c r="AE103" i="70"/>
  <c r="AH101" i="70"/>
  <c r="AI101" i="70"/>
  <c r="AJ101" i="70"/>
  <c r="AJ102" i="70" l="1"/>
  <c r="AH102" i="70"/>
  <c r="AI102" i="70"/>
  <c r="AF103" i="70"/>
  <c r="AG103" i="70" s="1"/>
  <c r="AE104" i="70"/>
  <c r="AF104" i="70" l="1"/>
  <c r="AG104" i="70" s="1"/>
  <c r="AE105" i="70"/>
  <c r="AH103" i="70"/>
  <c r="AI103" i="70"/>
  <c r="AJ103" i="70"/>
  <c r="AI104" i="70" l="1"/>
  <c r="AJ104" i="70"/>
  <c r="AH104" i="70"/>
  <c r="AF105" i="70"/>
  <c r="AG105" i="70" s="1"/>
  <c r="AE106" i="70"/>
  <c r="AF106" i="70" l="1"/>
  <c r="AG106" i="70" s="1"/>
  <c r="AE107" i="70"/>
  <c r="AH105" i="70"/>
  <c r="AI105" i="70"/>
  <c r="AJ105" i="70"/>
  <c r="AJ106" i="70" l="1"/>
  <c r="AI106" i="70"/>
  <c r="AH106" i="70"/>
  <c r="AF107" i="70"/>
  <c r="AG107" i="70" s="1"/>
  <c r="AE108" i="70"/>
  <c r="AF108" i="70" l="1"/>
  <c r="AG108" i="70" s="1"/>
  <c r="AE109" i="70"/>
  <c r="AH107" i="70"/>
  <c r="AI107" i="70"/>
  <c r="AJ107" i="70"/>
  <c r="AJ108" i="70" l="1"/>
  <c r="AI108" i="70"/>
  <c r="AH108" i="70"/>
  <c r="AF109" i="70"/>
  <c r="AG109" i="70" s="1"/>
  <c r="AE110" i="70"/>
  <c r="AF110" i="70" l="1"/>
  <c r="AG110" i="70" s="1"/>
  <c r="AE111" i="70"/>
  <c r="AH109" i="70"/>
  <c r="AI109" i="70"/>
  <c r="AJ109" i="70"/>
  <c r="AJ110" i="70" l="1"/>
  <c r="AH110" i="70"/>
  <c r="AI110" i="70"/>
  <c r="AF111" i="70"/>
  <c r="AG111" i="70" s="1"/>
  <c r="AE112" i="70"/>
  <c r="AF112" i="70" l="1"/>
  <c r="AG112" i="70" s="1"/>
  <c r="AE113" i="70"/>
  <c r="AI111" i="70"/>
  <c r="AH111" i="70"/>
  <c r="AJ111" i="70"/>
  <c r="AH112" i="70" l="1"/>
  <c r="AI112" i="70"/>
  <c r="AJ112" i="70"/>
  <c r="AF113" i="70"/>
  <c r="AG113" i="70" s="1"/>
  <c r="AE114" i="70"/>
  <c r="AF114" i="70" l="1"/>
  <c r="AG114" i="70" s="1"/>
  <c r="AE115" i="70"/>
  <c r="AJ113" i="70"/>
  <c r="AI113" i="70"/>
  <c r="AH113" i="70"/>
  <c r="AH114" i="70" l="1"/>
  <c r="AI114" i="70"/>
  <c r="AJ114" i="70"/>
  <c r="AF115" i="70"/>
  <c r="AG115" i="70" s="1"/>
  <c r="AE116" i="70"/>
  <c r="AF116" i="70" l="1"/>
  <c r="AG116" i="70" s="1"/>
  <c r="AE117" i="70"/>
  <c r="AI115" i="70"/>
  <c r="AH115" i="70"/>
  <c r="AJ115" i="70"/>
  <c r="AJ116" i="70" l="1"/>
  <c r="AH116" i="70"/>
  <c r="AI116" i="70"/>
  <c r="AF117" i="70"/>
  <c r="AG117" i="70" s="1"/>
  <c r="AE118" i="70"/>
  <c r="AF118" i="70" l="1"/>
  <c r="AG118" i="70" s="1"/>
  <c r="AE119" i="70"/>
  <c r="AH117" i="70"/>
  <c r="AJ117" i="70"/>
  <c r="AI117" i="70"/>
  <c r="AI118" i="70" l="1"/>
  <c r="AJ118" i="70"/>
  <c r="AH118" i="70"/>
  <c r="AF119" i="70"/>
  <c r="AG119" i="70" s="1"/>
  <c r="AE120" i="70"/>
  <c r="AF120" i="70" l="1"/>
  <c r="AG120" i="70" s="1"/>
  <c r="AE121" i="70"/>
  <c r="AJ119" i="70"/>
  <c r="AI119" i="70"/>
  <c r="AH119" i="70"/>
  <c r="AH120" i="70" l="1"/>
  <c r="AI120" i="70"/>
  <c r="AJ120" i="70"/>
  <c r="AF121" i="70"/>
  <c r="AG121" i="70" s="1"/>
  <c r="AE122" i="70"/>
  <c r="AF122" i="70" l="1"/>
  <c r="AG122" i="70" s="1"/>
  <c r="AE123" i="70"/>
  <c r="AJ121" i="70"/>
  <c r="AI121" i="70"/>
  <c r="AH121" i="70"/>
  <c r="AH122" i="70" l="1"/>
  <c r="AI122" i="70"/>
  <c r="AJ122" i="70"/>
  <c r="AF123" i="70"/>
  <c r="AG123" i="70" s="1"/>
  <c r="AE124" i="70"/>
  <c r="AF124" i="70" l="1"/>
  <c r="AG124" i="70" s="1"/>
  <c r="AE125" i="70"/>
  <c r="AI123" i="70"/>
  <c r="AJ123" i="70"/>
  <c r="AH123" i="70"/>
  <c r="AH124" i="70" l="1"/>
  <c r="AI124" i="70"/>
  <c r="AJ124" i="70"/>
  <c r="AF125" i="70"/>
  <c r="AG125" i="70" s="1"/>
  <c r="AE126" i="70"/>
  <c r="AF126" i="70" l="1"/>
  <c r="AG126" i="70" s="1"/>
  <c r="AE127" i="70"/>
  <c r="AJ125" i="70"/>
  <c r="AH125" i="70"/>
  <c r="AI125" i="70"/>
  <c r="AI126" i="70" l="1"/>
  <c r="AH126" i="70"/>
  <c r="AJ126" i="70"/>
  <c r="AF127" i="70"/>
  <c r="AG127" i="70" s="1"/>
  <c r="AE128" i="70"/>
  <c r="AF128" i="70" l="1"/>
  <c r="AG128" i="70" s="1"/>
  <c r="AE129" i="70"/>
  <c r="AJ127" i="70"/>
  <c r="AH127" i="70"/>
  <c r="AI127" i="70"/>
  <c r="AH128" i="70" l="1"/>
  <c r="AJ128" i="70"/>
  <c r="AI128" i="70"/>
  <c r="AF129" i="70"/>
  <c r="AG129" i="70" s="1"/>
  <c r="AE130" i="70"/>
  <c r="AF130" i="70" l="1"/>
  <c r="AG130" i="70" s="1"/>
  <c r="AE131" i="70"/>
  <c r="AH129" i="70"/>
  <c r="AJ129" i="70"/>
  <c r="AI129" i="70"/>
  <c r="AI130" i="70" l="1"/>
  <c r="AJ130" i="70"/>
  <c r="AH130" i="70"/>
  <c r="AF131" i="70"/>
  <c r="AG131" i="70" s="1"/>
  <c r="AE132" i="70"/>
  <c r="AF132" i="70" l="1"/>
  <c r="AG132" i="70" s="1"/>
  <c r="AE133" i="70"/>
  <c r="AI131" i="70"/>
  <c r="AH131" i="70"/>
  <c r="AJ131" i="70"/>
  <c r="AH132" i="70" l="1"/>
  <c r="AJ132" i="70"/>
  <c r="AI132" i="70"/>
  <c r="AF133" i="70"/>
  <c r="AG133" i="70" s="1"/>
  <c r="AE134" i="70"/>
  <c r="AF134" i="70" l="1"/>
  <c r="AG134" i="70" s="1"/>
  <c r="AE135" i="70"/>
  <c r="AH133" i="70"/>
  <c r="AJ133" i="70"/>
  <c r="AI133" i="70"/>
  <c r="AI134" i="70" l="1"/>
  <c r="AJ134" i="70"/>
  <c r="AH134" i="70"/>
  <c r="AF135" i="70"/>
  <c r="AG135" i="70" s="1"/>
  <c r="AE136" i="70"/>
  <c r="AF136" i="70" l="1"/>
  <c r="AG136" i="70" s="1"/>
  <c r="AE137" i="70"/>
  <c r="AI135" i="70"/>
  <c r="AH135" i="70"/>
  <c r="AJ135" i="70"/>
  <c r="AJ136" i="70" l="1"/>
  <c r="AH136" i="70"/>
  <c r="AI136" i="70"/>
  <c r="AF137" i="70"/>
  <c r="AG137" i="70" s="1"/>
  <c r="AE138" i="70"/>
  <c r="AF138" i="70" l="1"/>
  <c r="AG138" i="70" s="1"/>
  <c r="AE139" i="70"/>
  <c r="AJ137" i="70"/>
  <c r="AI137" i="70"/>
  <c r="AH137" i="70"/>
  <c r="AH138" i="70" l="1"/>
  <c r="AI138" i="70"/>
  <c r="AJ138" i="70"/>
  <c r="AF139" i="70"/>
  <c r="AG139" i="70" s="1"/>
  <c r="AE140" i="70"/>
  <c r="AF140" i="70" l="1"/>
  <c r="AG140" i="70" s="1"/>
  <c r="AE141" i="70"/>
  <c r="AJ139" i="70"/>
  <c r="AI139" i="70"/>
  <c r="AH139" i="70"/>
  <c r="AH140" i="70" l="1"/>
  <c r="AI140" i="70"/>
  <c r="AJ140" i="70"/>
  <c r="AF141" i="70"/>
  <c r="AG141" i="70" s="1"/>
  <c r="AE142" i="70"/>
  <c r="AF142" i="70" l="1"/>
  <c r="AG142" i="70" s="1"/>
  <c r="AE143" i="70"/>
  <c r="AJ141" i="70"/>
  <c r="AI141" i="70"/>
  <c r="AH141" i="70"/>
  <c r="AH142" i="70" l="1"/>
  <c r="AI142" i="70"/>
  <c r="AJ142" i="70"/>
  <c r="AF143" i="70"/>
  <c r="AG143" i="70" s="1"/>
  <c r="AE144" i="70"/>
  <c r="AF144" i="70" l="1"/>
  <c r="AG144" i="70" s="1"/>
  <c r="AE145" i="70"/>
  <c r="AJ143" i="70"/>
  <c r="AI143" i="70"/>
  <c r="AH143" i="70"/>
  <c r="AH144" i="70" l="1"/>
  <c r="AI144" i="70"/>
  <c r="AJ144" i="70"/>
  <c r="AF145" i="70"/>
  <c r="AG145" i="70" s="1"/>
  <c r="AE146" i="70"/>
  <c r="AF146" i="70" l="1"/>
  <c r="AG146" i="70" s="1"/>
  <c r="AE147" i="70"/>
  <c r="AJ145" i="70"/>
  <c r="AI145" i="70"/>
  <c r="AH145" i="70"/>
  <c r="AH146" i="70" l="1"/>
  <c r="AJ146" i="70"/>
  <c r="AI146" i="70"/>
  <c r="AF147" i="70"/>
  <c r="AG147" i="70" s="1"/>
  <c r="AE148" i="70"/>
  <c r="AF148" i="70" l="1"/>
  <c r="AG148" i="70" s="1"/>
  <c r="AE149" i="70"/>
  <c r="AH147" i="70"/>
  <c r="AJ147" i="70"/>
  <c r="AI147" i="70"/>
  <c r="AI148" i="70" l="1"/>
  <c r="AJ148" i="70"/>
  <c r="AH148" i="70"/>
  <c r="AF149" i="70"/>
  <c r="AG149" i="70" s="1"/>
  <c r="AE150" i="70"/>
  <c r="AF150" i="70" l="1"/>
  <c r="AG150" i="70" s="1"/>
  <c r="AE151" i="70"/>
  <c r="AH149" i="70"/>
  <c r="AJ149" i="70"/>
  <c r="AI149" i="70"/>
  <c r="AI150" i="70" l="1"/>
  <c r="AJ150" i="70"/>
  <c r="AH150" i="70"/>
  <c r="AF151" i="70"/>
  <c r="AG151" i="70" s="1"/>
  <c r="AE152" i="70"/>
  <c r="AF152" i="70" l="1"/>
  <c r="AG152" i="70" s="1"/>
  <c r="AE153" i="70"/>
  <c r="AH151" i="70"/>
  <c r="AJ151" i="70"/>
  <c r="AI151" i="70"/>
  <c r="AI152" i="70" l="1"/>
  <c r="AJ152" i="70"/>
  <c r="AH152" i="70"/>
  <c r="AF153" i="70"/>
  <c r="AG153" i="70" s="1"/>
  <c r="AE154" i="70"/>
  <c r="AF154" i="70" l="1"/>
  <c r="AG154" i="70" s="1"/>
  <c r="AE155" i="70"/>
  <c r="AJ153" i="70"/>
  <c r="AH153" i="70"/>
  <c r="AI153" i="70"/>
  <c r="AI154" i="70" l="1"/>
  <c r="AH154" i="70"/>
  <c r="AJ154" i="70"/>
  <c r="AF155" i="70"/>
  <c r="AG155" i="70" s="1"/>
  <c r="AE156" i="70"/>
  <c r="AF156" i="70" l="1"/>
  <c r="AG156" i="70" s="1"/>
  <c r="AE157" i="70"/>
  <c r="AH155" i="70"/>
  <c r="AJ155" i="70"/>
  <c r="AI155" i="70"/>
  <c r="AI156" i="70" l="1"/>
  <c r="AJ156" i="70"/>
  <c r="AH156" i="70"/>
  <c r="AF157" i="70"/>
  <c r="AG157" i="70" s="1"/>
  <c r="AE158" i="70"/>
  <c r="AF158" i="70" l="1"/>
  <c r="AG158" i="70" s="1"/>
  <c r="AE159" i="70"/>
  <c r="AJ157" i="70"/>
  <c r="AI157" i="70"/>
  <c r="AH157" i="70"/>
  <c r="AH158" i="70" l="1"/>
  <c r="AJ158" i="70"/>
  <c r="AI158" i="70"/>
  <c r="AF159" i="70"/>
  <c r="AG159" i="70" s="1"/>
  <c r="AE160" i="70"/>
  <c r="AF160" i="70" l="1"/>
  <c r="AG160" i="70" s="1"/>
  <c r="AE161" i="70"/>
  <c r="AH159" i="70"/>
  <c r="AJ159" i="70"/>
  <c r="AI159" i="70"/>
  <c r="AI160" i="70" l="1"/>
  <c r="AJ160" i="70"/>
  <c r="AH160" i="70"/>
  <c r="AF161" i="70"/>
  <c r="AG161" i="70" s="1"/>
  <c r="AE162" i="70"/>
  <c r="AF162" i="70" l="1"/>
  <c r="AG162" i="70" s="1"/>
  <c r="AE163" i="70"/>
  <c r="AJ161" i="70"/>
  <c r="AI161" i="70"/>
  <c r="AH161" i="70"/>
  <c r="AH162" i="70" l="1"/>
  <c r="AI162" i="70"/>
  <c r="AJ162" i="70"/>
  <c r="AF163" i="70"/>
  <c r="AG163" i="70" s="1"/>
  <c r="AE164" i="70"/>
  <c r="AF164" i="70" l="1"/>
  <c r="AG164" i="70" s="1"/>
  <c r="AE165" i="70"/>
  <c r="AI163" i="70"/>
  <c r="AH163" i="70"/>
  <c r="AJ163" i="70"/>
  <c r="AH164" i="70" l="1"/>
  <c r="AJ164" i="70"/>
  <c r="AI164" i="70"/>
  <c r="AF165" i="70"/>
  <c r="AG165" i="70" s="1"/>
  <c r="AE166" i="70"/>
  <c r="AF166" i="70" l="1"/>
  <c r="AG166" i="70" s="1"/>
  <c r="AE167" i="70"/>
  <c r="AH165" i="70"/>
  <c r="AJ165" i="70"/>
  <c r="AI165" i="70"/>
  <c r="AI166" i="70" l="1"/>
  <c r="AJ166" i="70"/>
  <c r="AH166" i="70"/>
  <c r="AF167" i="70"/>
  <c r="AG167" i="70" s="1"/>
  <c r="AE168" i="70"/>
  <c r="AF168" i="70" l="1"/>
  <c r="AG168" i="70" s="1"/>
  <c r="AE169" i="70"/>
  <c r="AH167" i="70"/>
  <c r="AJ167" i="70"/>
  <c r="AI167" i="70"/>
  <c r="AI168" i="70" l="1"/>
  <c r="AJ168" i="70"/>
  <c r="AH168" i="70"/>
  <c r="AF169" i="70"/>
  <c r="AG169" i="70" s="1"/>
  <c r="AE170" i="70"/>
  <c r="AF170" i="70" l="1"/>
  <c r="AG170" i="70" s="1"/>
  <c r="AE171" i="70"/>
  <c r="AH169" i="70"/>
  <c r="AJ169" i="70"/>
  <c r="AI169" i="70"/>
  <c r="AJ170" i="70" l="1"/>
  <c r="AI170" i="70"/>
  <c r="AH170" i="70"/>
  <c r="AF171" i="70"/>
  <c r="AG171" i="70" s="1"/>
  <c r="AE172" i="70"/>
  <c r="AF172" i="70" l="1"/>
  <c r="AG172" i="70" s="1"/>
  <c r="AE173" i="70"/>
  <c r="AH171" i="70"/>
  <c r="AI171" i="70"/>
  <c r="AJ171" i="70"/>
  <c r="AJ172" i="70" l="1"/>
  <c r="AH172" i="70"/>
  <c r="AI172" i="70"/>
  <c r="AF173" i="70"/>
  <c r="AG173" i="70" s="1"/>
  <c r="AE174" i="70"/>
  <c r="AF174" i="70" l="1"/>
  <c r="AG174" i="70" s="1"/>
  <c r="AE175" i="70"/>
  <c r="AH173" i="70"/>
  <c r="AI173" i="70"/>
  <c r="AJ173" i="70"/>
  <c r="AH174" i="70" l="1"/>
  <c r="AJ174" i="70"/>
  <c r="AI174" i="70"/>
  <c r="AF175" i="70"/>
  <c r="AG175" i="70" s="1"/>
  <c r="AE176" i="70"/>
  <c r="AF176" i="70" l="1"/>
  <c r="AG176" i="70" s="1"/>
  <c r="AE177" i="70"/>
  <c r="AH175" i="70"/>
  <c r="AI175" i="70"/>
  <c r="AJ175" i="70"/>
  <c r="AJ176" i="70" l="1"/>
  <c r="AH176" i="70"/>
  <c r="AI176" i="70"/>
  <c r="AF177" i="70"/>
  <c r="AG177" i="70" s="1"/>
  <c r="AE178" i="70"/>
  <c r="AF178" i="70" l="1"/>
  <c r="AG178" i="70" s="1"/>
  <c r="AE179" i="70"/>
  <c r="AI177" i="70"/>
  <c r="AH177" i="70"/>
  <c r="AJ177" i="70"/>
  <c r="AJ178" i="70" l="1"/>
  <c r="AH178" i="70"/>
  <c r="AI178" i="70"/>
  <c r="AF179" i="70"/>
  <c r="AG179" i="70" s="1"/>
  <c r="AE180" i="70"/>
  <c r="AF180" i="70" l="1"/>
  <c r="AG180" i="70" s="1"/>
  <c r="AE181" i="70"/>
  <c r="AH179" i="70"/>
  <c r="AJ179" i="70"/>
  <c r="AI179" i="70"/>
  <c r="AI180" i="70" l="1"/>
  <c r="AJ180" i="70"/>
  <c r="AH180" i="70"/>
  <c r="AF181" i="70"/>
  <c r="AG181" i="70" s="1"/>
  <c r="AE182" i="70"/>
  <c r="AF182" i="70" l="1"/>
  <c r="AG182" i="70" s="1"/>
  <c r="AE183" i="70"/>
  <c r="AJ181" i="70"/>
  <c r="AI181" i="70"/>
  <c r="AH181" i="70"/>
  <c r="AH182" i="70" l="1"/>
  <c r="AI182" i="70"/>
  <c r="AJ182" i="70"/>
  <c r="AF183" i="70"/>
  <c r="AG183" i="70" s="1"/>
  <c r="AE184" i="70"/>
  <c r="AF184" i="70" l="1"/>
  <c r="AG184" i="70" s="1"/>
  <c r="AE185" i="70"/>
  <c r="AI183" i="70"/>
  <c r="AH183" i="70"/>
  <c r="AJ183" i="70"/>
  <c r="AJ184" i="70" l="1"/>
  <c r="AH184" i="70"/>
  <c r="AI184" i="70"/>
  <c r="AF185" i="70"/>
  <c r="AG185" i="70" s="1"/>
  <c r="AE186" i="70"/>
  <c r="AF186" i="70" l="1"/>
  <c r="AG186" i="70" s="1"/>
  <c r="AE187" i="70"/>
  <c r="AH185" i="70"/>
  <c r="AJ185" i="70"/>
  <c r="AI185" i="70"/>
  <c r="AI186" i="70" l="1"/>
  <c r="AJ186" i="70"/>
  <c r="AH186" i="70"/>
  <c r="AF187" i="70"/>
  <c r="AG187" i="70" s="1"/>
  <c r="AE188" i="70"/>
  <c r="AF188" i="70" l="1"/>
  <c r="AG188" i="70" s="1"/>
  <c r="AE189" i="70"/>
  <c r="AI187" i="70"/>
  <c r="AH187" i="70"/>
  <c r="AJ187" i="70"/>
  <c r="AJ188" i="70" l="1"/>
  <c r="AI188" i="70"/>
  <c r="AH188" i="70"/>
  <c r="AF189" i="70"/>
  <c r="AG189" i="70" s="1"/>
  <c r="AE190" i="70"/>
  <c r="AF190" i="70" l="1"/>
  <c r="AG190" i="70" s="1"/>
  <c r="AE191" i="70"/>
  <c r="AH189" i="70"/>
  <c r="AI189" i="70"/>
  <c r="AJ189" i="70"/>
  <c r="AJ190" i="70" l="1"/>
  <c r="AI190" i="70"/>
  <c r="AH190" i="70"/>
  <c r="AF191" i="70"/>
  <c r="AG191" i="70" s="1"/>
  <c r="AE192" i="70"/>
  <c r="AF192" i="70" l="1"/>
  <c r="AG192" i="70" s="1"/>
  <c r="AE193" i="70"/>
  <c r="AI191" i="70"/>
  <c r="AJ191" i="70"/>
  <c r="AH191" i="70"/>
  <c r="AH192" i="70" l="1"/>
  <c r="AJ192" i="70"/>
  <c r="AI192" i="70"/>
  <c r="AF193" i="70"/>
  <c r="AG193" i="70" s="1"/>
  <c r="AE194" i="70"/>
  <c r="AF194" i="70" l="1"/>
  <c r="AG194" i="70" s="1"/>
  <c r="AE195" i="70"/>
  <c r="AJ193" i="70"/>
  <c r="AH193" i="70"/>
  <c r="AI193" i="70"/>
  <c r="AJ194" i="70" l="1"/>
  <c r="AI194" i="70"/>
  <c r="AH194" i="70"/>
  <c r="AF195" i="70"/>
  <c r="AG195" i="70" s="1"/>
  <c r="AE196" i="70"/>
  <c r="AF196" i="70" l="1"/>
  <c r="AG196" i="70" s="1"/>
  <c r="AE197" i="70"/>
  <c r="AJ195" i="70"/>
  <c r="AH195" i="70"/>
  <c r="AI195" i="70"/>
  <c r="AI196" i="70" l="1"/>
  <c r="AH196" i="70"/>
  <c r="AJ196" i="70"/>
  <c r="AF197" i="70"/>
  <c r="AG197" i="70" s="1"/>
  <c r="AE198" i="70"/>
  <c r="AF198" i="70" l="1"/>
  <c r="AG198" i="70" s="1"/>
  <c r="AE199" i="70"/>
  <c r="AJ197" i="70"/>
  <c r="AH197" i="70"/>
  <c r="AI197" i="70"/>
  <c r="AH198" i="70" l="1"/>
  <c r="AJ198" i="70"/>
  <c r="AI198" i="70"/>
  <c r="AF199" i="70"/>
  <c r="AG199" i="70" s="1"/>
  <c r="AE200" i="70"/>
  <c r="AF200" i="70" l="1"/>
  <c r="AG200" i="70" s="1"/>
  <c r="AE201" i="70"/>
  <c r="AJ199" i="70"/>
  <c r="AH199" i="70"/>
  <c r="AI199" i="70"/>
  <c r="AH200" i="70" l="1"/>
  <c r="AJ200" i="70"/>
  <c r="AI200" i="70"/>
  <c r="AF201" i="70"/>
  <c r="AG201" i="70" s="1"/>
  <c r="AE202" i="70"/>
  <c r="AF202" i="70" l="1"/>
  <c r="AG202" i="70" s="1"/>
  <c r="AE203" i="70"/>
  <c r="AJ201" i="70"/>
  <c r="AH201" i="70"/>
  <c r="AI201" i="70"/>
  <c r="AH202" i="70" l="1"/>
  <c r="AJ202" i="70"/>
  <c r="AI202" i="70"/>
  <c r="AF203" i="70"/>
  <c r="AG203" i="70" s="1"/>
  <c r="AE204" i="70"/>
  <c r="AF204" i="70" l="1"/>
  <c r="AG204" i="70" s="1"/>
  <c r="AE205" i="70"/>
  <c r="AJ203" i="70"/>
  <c r="AH203" i="70"/>
  <c r="AI203" i="70"/>
  <c r="AI204" i="70" l="1"/>
  <c r="AH204" i="70"/>
  <c r="AJ204" i="70"/>
  <c r="AF205" i="70"/>
  <c r="AG205" i="70" s="1"/>
  <c r="AE206" i="70"/>
  <c r="AF206" i="70" l="1"/>
  <c r="AG206" i="70" s="1"/>
  <c r="AE207" i="70"/>
  <c r="AI205" i="70"/>
  <c r="AJ205" i="70"/>
  <c r="AH205" i="70"/>
  <c r="AH206" i="70" l="1"/>
  <c r="AJ206" i="70"/>
  <c r="AI206" i="70"/>
  <c r="AF207" i="70"/>
  <c r="AG207" i="70" s="1"/>
  <c r="AE208" i="70"/>
  <c r="AF208" i="70" l="1"/>
  <c r="AG208" i="70" s="1"/>
  <c r="AE209" i="70"/>
  <c r="AJ207" i="70"/>
  <c r="AH207" i="70"/>
  <c r="AI207" i="70"/>
  <c r="AI208" i="70" l="1"/>
  <c r="AH208" i="70"/>
  <c r="AJ208" i="70"/>
  <c r="AF209" i="70"/>
  <c r="AG209" i="70" s="1"/>
  <c r="AE210" i="70"/>
  <c r="AF210" i="70" l="1"/>
  <c r="AG210" i="70" s="1"/>
  <c r="AE211" i="70"/>
  <c r="AH209" i="70"/>
  <c r="AI209" i="70"/>
  <c r="AJ209" i="70"/>
  <c r="AI210" i="70" l="1"/>
  <c r="AH210" i="70"/>
  <c r="AJ210" i="70"/>
  <c r="AF211" i="70"/>
  <c r="AG211" i="70" s="1"/>
  <c r="AE212" i="70"/>
  <c r="AF212" i="70" l="1"/>
  <c r="AG212" i="70" s="1"/>
  <c r="AE213" i="70"/>
  <c r="AI211" i="70"/>
  <c r="AJ211" i="70"/>
  <c r="AH211" i="70"/>
  <c r="AJ212" i="70" l="1"/>
  <c r="AH212" i="70"/>
  <c r="AI212" i="70"/>
  <c r="AF213" i="70"/>
  <c r="AG213" i="70" s="1"/>
  <c r="AE214" i="70"/>
  <c r="AF214" i="70" l="1"/>
  <c r="AG214" i="70" s="1"/>
  <c r="AE215" i="70"/>
  <c r="AJ213" i="70"/>
  <c r="AI213" i="70"/>
  <c r="AH213" i="70"/>
  <c r="AH214" i="70" l="1"/>
  <c r="AI214" i="70"/>
  <c r="AJ214" i="70"/>
  <c r="AF215" i="70"/>
  <c r="AG215" i="70" s="1"/>
  <c r="AE216" i="70"/>
  <c r="AF216" i="70" l="1"/>
  <c r="AG216" i="70" s="1"/>
  <c r="AE217" i="70"/>
  <c r="AI215" i="70"/>
  <c r="AH215" i="70"/>
  <c r="AJ215" i="70"/>
  <c r="AH216" i="70" l="1"/>
  <c r="AI216" i="70"/>
  <c r="AJ216" i="70"/>
  <c r="AF217" i="70"/>
  <c r="AG217" i="70" s="1"/>
  <c r="AE218" i="70"/>
  <c r="AF218" i="70" l="1"/>
  <c r="AG218" i="70" s="1"/>
  <c r="AE219" i="70"/>
  <c r="AJ217" i="70"/>
  <c r="AI217" i="70"/>
  <c r="AH217" i="70"/>
  <c r="AH218" i="70" l="1"/>
  <c r="AI218" i="70"/>
  <c r="AJ218" i="70"/>
  <c r="AF219" i="70"/>
  <c r="AG219" i="70" s="1"/>
  <c r="AE220" i="70"/>
  <c r="AF220" i="70" l="1"/>
  <c r="AG220" i="70" s="1"/>
  <c r="AE221" i="70"/>
  <c r="AI219" i="70"/>
  <c r="AH219" i="70"/>
  <c r="AJ219" i="70"/>
  <c r="AJ220" i="70" l="1"/>
  <c r="AH220" i="70"/>
  <c r="AI220" i="70"/>
  <c r="AF221" i="70"/>
  <c r="AG221" i="70" s="1"/>
  <c r="AE222" i="70"/>
  <c r="AF222" i="70" l="1"/>
  <c r="AG222" i="70" s="1"/>
  <c r="AE223" i="70"/>
  <c r="AH221" i="70"/>
  <c r="AJ221" i="70"/>
  <c r="AI221" i="70"/>
  <c r="AI222" i="70" l="1"/>
  <c r="AH222" i="70"/>
  <c r="AJ222" i="70"/>
  <c r="AF223" i="70"/>
  <c r="AG223" i="70" s="1"/>
  <c r="AE224" i="70"/>
  <c r="AF224" i="70" l="1"/>
  <c r="AG224" i="70" s="1"/>
  <c r="AE225" i="70"/>
  <c r="AH223" i="70"/>
  <c r="AJ223" i="70"/>
  <c r="AI223" i="70"/>
  <c r="AJ224" i="70" l="1"/>
  <c r="AI224" i="70"/>
  <c r="AH224" i="70"/>
  <c r="AF225" i="70"/>
  <c r="AG225" i="70" s="1"/>
  <c r="AE226" i="70"/>
  <c r="AF226" i="70" l="1"/>
  <c r="AG226" i="70" s="1"/>
  <c r="AE227" i="70"/>
  <c r="AJ225" i="70"/>
  <c r="AI225" i="70"/>
  <c r="AH225" i="70"/>
  <c r="AH226" i="70" l="1"/>
  <c r="AI226" i="70"/>
  <c r="AJ226" i="70"/>
  <c r="AF227" i="70"/>
  <c r="AG227" i="70" s="1"/>
  <c r="AE228" i="70"/>
  <c r="AF228" i="70" l="1"/>
  <c r="AG228" i="70" s="1"/>
  <c r="AE229" i="70"/>
  <c r="AI227" i="70"/>
  <c r="AH227" i="70"/>
  <c r="AJ227" i="70"/>
  <c r="AJ228" i="70" l="1"/>
  <c r="AH228" i="70"/>
  <c r="AI228" i="70"/>
  <c r="AF229" i="70"/>
  <c r="AG229" i="70" s="1"/>
  <c r="AE230" i="70"/>
  <c r="AF230" i="70" l="1"/>
  <c r="AG230" i="70" s="1"/>
  <c r="AE231" i="70"/>
  <c r="AJ229" i="70"/>
  <c r="AI229" i="70"/>
  <c r="AH229" i="70"/>
  <c r="AH230" i="70" l="1"/>
  <c r="AJ230" i="70"/>
  <c r="AI230" i="70"/>
  <c r="AF231" i="70"/>
  <c r="AG231" i="70" s="1"/>
  <c r="AE232" i="70"/>
  <c r="AF232" i="70" l="1"/>
  <c r="AG232" i="70" s="1"/>
  <c r="AE233" i="70"/>
  <c r="AJ231" i="70"/>
  <c r="AI231" i="70"/>
  <c r="AH231" i="70"/>
  <c r="AH232" i="70" l="1"/>
  <c r="AI232" i="70"/>
  <c r="AJ232" i="70"/>
  <c r="AF233" i="70"/>
  <c r="AG233" i="70" s="1"/>
  <c r="AE234" i="70"/>
  <c r="AF234" i="70" l="1"/>
  <c r="AG234" i="70" s="1"/>
  <c r="AE235" i="70"/>
  <c r="AJ233" i="70"/>
  <c r="AI233" i="70"/>
  <c r="AH233" i="70"/>
  <c r="AH234" i="70" l="1"/>
  <c r="AI234" i="70"/>
  <c r="AJ234" i="70"/>
  <c r="AF235" i="70"/>
  <c r="AG235" i="70" s="1"/>
  <c r="AE236" i="70"/>
  <c r="AF236" i="70" l="1"/>
  <c r="AG236" i="70" s="1"/>
  <c r="AE237" i="70"/>
  <c r="AJ235" i="70"/>
  <c r="AI235" i="70"/>
  <c r="AH235" i="70"/>
  <c r="AH236" i="70" l="1"/>
  <c r="AI236" i="70"/>
  <c r="AJ236" i="70"/>
  <c r="AF237" i="70"/>
  <c r="AG237" i="70" s="1"/>
  <c r="AE238" i="70"/>
  <c r="AF238" i="70" l="1"/>
  <c r="AG238" i="70" s="1"/>
  <c r="AE239" i="70"/>
  <c r="AJ237" i="70"/>
  <c r="AI237" i="70"/>
  <c r="AH237" i="70"/>
  <c r="AJ238" i="70" l="1"/>
  <c r="AH238" i="70"/>
  <c r="AI238" i="70"/>
  <c r="AF239" i="70"/>
  <c r="AG239" i="70" s="1"/>
  <c r="AE240" i="70"/>
  <c r="AF240" i="70" l="1"/>
  <c r="AG240" i="70" s="1"/>
  <c r="AE241" i="70"/>
  <c r="AI239" i="70"/>
  <c r="AH239" i="70"/>
  <c r="AJ239" i="70"/>
  <c r="AJ240" i="70" l="1"/>
  <c r="AI240" i="70"/>
  <c r="AH240" i="70"/>
  <c r="AF241" i="70"/>
  <c r="AG241" i="70" s="1"/>
  <c r="AE242" i="70"/>
  <c r="AF242" i="70" l="1"/>
  <c r="AG242" i="70" s="1"/>
  <c r="AE243" i="70"/>
  <c r="AJ241" i="70"/>
  <c r="AI241" i="70"/>
  <c r="AH241" i="70"/>
  <c r="AH242" i="70" l="1"/>
  <c r="AI242" i="70"/>
  <c r="AJ242" i="70"/>
  <c r="AF243" i="70"/>
  <c r="AG243" i="70" s="1"/>
  <c r="AE244" i="70"/>
  <c r="AF244" i="70" l="1"/>
  <c r="AG244" i="70" s="1"/>
  <c r="AE245" i="70"/>
  <c r="AI243" i="70"/>
  <c r="AH243" i="70"/>
  <c r="AJ243" i="70"/>
  <c r="AJ244" i="70" l="1"/>
  <c r="AH244" i="70"/>
  <c r="AI244" i="70"/>
  <c r="AF245" i="70"/>
  <c r="AG245" i="70" s="1"/>
  <c r="AE246" i="70"/>
  <c r="AF246" i="70" l="1"/>
  <c r="AG246" i="70" s="1"/>
  <c r="AE247" i="70"/>
  <c r="AH245" i="70"/>
  <c r="AJ245" i="70"/>
  <c r="AI245" i="70"/>
  <c r="AJ246" i="70" l="1"/>
  <c r="AI246" i="70"/>
  <c r="AH246" i="70"/>
  <c r="AF247" i="70"/>
  <c r="AG247" i="70" s="1"/>
  <c r="AE248" i="70"/>
  <c r="AF248" i="70" l="1"/>
  <c r="AG248" i="70" s="1"/>
  <c r="AE249" i="70"/>
  <c r="AI247" i="70"/>
  <c r="AH247" i="70"/>
  <c r="AJ247" i="70"/>
  <c r="AJ248" i="70" l="1"/>
  <c r="AH248" i="70"/>
  <c r="AI248" i="70"/>
  <c r="AF249" i="70"/>
  <c r="AG249" i="70" s="1"/>
  <c r="AE250" i="70"/>
  <c r="AI249" i="70" l="1"/>
  <c r="AH249" i="70"/>
  <c r="AJ249" i="70"/>
  <c r="AF250" i="70"/>
  <c r="AG250" i="70" s="1"/>
  <c r="AE251" i="70"/>
  <c r="AI250" i="70" l="1"/>
  <c r="AH250" i="70"/>
  <c r="AF251" i="70"/>
  <c r="AG251" i="70" s="1"/>
  <c r="AE252" i="70"/>
  <c r="AJ250" i="70"/>
  <c r="AJ251" i="70" l="1"/>
  <c r="AF252" i="70"/>
  <c r="AG252" i="70" s="1"/>
  <c r="AE253" i="70"/>
  <c r="AI251" i="70"/>
  <c r="AH251" i="70"/>
  <c r="AH252" i="70" l="1"/>
  <c r="AI252" i="70"/>
  <c r="AF253" i="70"/>
  <c r="AG253" i="70" s="1"/>
  <c r="AE254" i="70"/>
  <c r="AJ252" i="70"/>
  <c r="AJ253" i="70" l="1"/>
  <c r="AH253" i="70"/>
  <c r="AF254" i="70"/>
  <c r="AG254" i="70" s="1"/>
  <c r="AE255" i="70"/>
  <c r="AI253" i="70"/>
  <c r="AI254" i="70" l="1"/>
  <c r="AJ254" i="70"/>
  <c r="AF255" i="70"/>
  <c r="AG255" i="70" s="1"/>
  <c r="AE256" i="70"/>
  <c r="AH254" i="70"/>
  <c r="AH255" i="70" l="1"/>
  <c r="AF256" i="70"/>
  <c r="AG256" i="70" s="1"/>
  <c r="AE257" i="70"/>
  <c r="AI255" i="70"/>
  <c r="AJ255" i="70"/>
  <c r="AJ256" i="70" l="1"/>
  <c r="AI256" i="70"/>
  <c r="AF257" i="70"/>
  <c r="AG257" i="70" s="1"/>
  <c r="AE258" i="70"/>
  <c r="AH256" i="70"/>
  <c r="AH257" i="70" l="1"/>
  <c r="AJ257" i="70"/>
  <c r="AF258" i="70"/>
  <c r="AG258" i="70" s="1"/>
  <c r="AE259" i="70"/>
  <c r="AI257" i="70"/>
  <c r="AI258" i="70" l="1"/>
  <c r="AF259" i="70"/>
  <c r="AG259" i="70" s="1"/>
  <c r="AE260" i="70"/>
  <c r="AJ258" i="70"/>
  <c r="AH258" i="70"/>
  <c r="AH259" i="70" l="1"/>
  <c r="AJ259" i="70"/>
  <c r="AF260" i="70"/>
  <c r="AG260" i="70" s="1"/>
  <c r="AE261" i="70"/>
  <c r="AI259" i="70"/>
  <c r="AI260" i="70" l="1"/>
  <c r="AF261" i="70"/>
  <c r="AG261" i="70" s="1"/>
  <c r="AE262" i="70"/>
  <c r="AJ260" i="70"/>
  <c r="AH260" i="70"/>
  <c r="AH261" i="70" l="1"/>
  <c r="AJ261" i="70"/>
  <c r="AF262" i="70"/>
  <c r="AG262" i="70" s="1"/>
  <c r="AE263" i="70"/>
  <c r="AI261" i="70"/>
  <c r="AI262" i="70" l="1"/>
  <c r="AF263" i="70"/>
  <c r="AG263" i="70" s="1"/>
  <c r="AE264" i="70"/>
  <c r="AH262" i="70"/>
  <c r="AJ262" i="70"/>
  <c r="AJ263" i="70" l="1"/>
  <c r="AH263" i="70"/>
  <c r="AF264" i="70"/>
  <c r="AG264" i="70" s="1"/>
  <c r="AE265" i="70"/>
  <c r="AI263" i="70"/>
  <c r="AI264" i="70" l="1"/>
  <c r="AF265" i="70"/>
  <c r="AG265" i="70" s="1"/>
  <c r="AE266" i="70"/>
  <c r="AJ264" i="70"/>
  <c r="AH264" i="70"/>
  <c r="AH265" i="70" l="1"/>
  <c r="AJ265" i="70"/>
  <c r="AF266" i="70"/>
  <c r="AG266" i="70" s="1"/>
  <c r="AE267" i="70"/>
  <c r="AI265" i="70"/>
  <c r="AI266" i="70" l="1"/>
  <c r="AF267" i="70"/>
  <c r="AG267" i="70" s="1"/>
  <c r="AE268" i="70"/>
  <c r="AH266" i="70"/>
  <c r="AJ266" i="70"/>
  <c r="AJ267" i="70" l="1"/>
  <c r="AH267" i="70"/>
  <c r="AF268" i="70"/>
  <c r="AG268" i="70" s="1"/>
  <c r="AE269" i="70"/>
  <c r="AI267" i="70"/>
  <c r="AI268" i="70" l="1"/>
  <c r="AF269" i="70"/>
  <c r="AG269" i="70" s="1"/>
  <c r="AE270" i="70"/>
  <c r="AJ268" i="70"/>
  <c r="AH268" i="70"/>
  <c r="AH269" i="70" l="1"/>
  <c r="AJ269" i="70"/>
  <c r="AF270" i="70"/>
  <c r="AG270" i="70" s="1"/>
  <c r="AE271" i="70"/>
  <c r="AI269" i="70"/>
  <c r="AI270" i="70" l="1"/>
  <c r="AF271" i="70"/>
  <c r="AG271" i="70" s="1"/>
  <c r="AE272" i="70"/>
  <c r="AJ270" i="70"/>
  <c r="AH270" i="70"/>
  <c r="AH271" i="70" l="1"/>
  <c r="AJ271" i="70"/>
  <c r="AF272" i="70"/>
  <c r="AG272" i="70" s="1"/>
  <c r="AE273" i="70"/>
  <c r="AI271" i="70"/>
  <c r="AI272" i="70" l="1"/>
  <c r="AF273" i="70"/>
  <c r="AG273" i="70" s="1"/>
  <c r="AE274" i="70"/>
  <c r="AJ272" i="70"/>
  <c r="AH272" i="70"/>
  <c r="AH273" i="70" l="1"/>
  <c r="AJ273" i="70"/>
  <c r="AF274" i="70"/>
  <c r="AG274" i="70" s="1"/>
  <c r="AE275" i="70"/>
  <c r="AI273" i="70"/>
  <c r="AI274" i="70" l="1"/>
  <c r="AF275" i="70"/>
  <c r="AG275" i="70" s="1"/>
  <c r="AE276" i="70"/>
  <c r="AJ274" i="70"/>
  <c r="AH274" i="70"/>
  <c r="AH275" i="70" l="1"/>
  <c r="AJ275" i="70"/>
  <c r="AF276" i="70"/>
  <c r="AG276" i="70" s="1"/>
  <c r="AE277" i="70"/>
  <c r="AI275" i="70"/>
  <c r="AI276" i="70" l="1"/>
  <c r="AF277" i="70"/>
  <c r="AG277" i="70" s="1"/>
  <c r="AE278" i="70"/>
  <c r="AJ276" i="70"/>
  <c r="AH276" i="70"/>
  <c r="AH277" i="70" l="1"/>
  <c r="AJ277" i="70"/>
  <c r="AF278" i="70"/>
  <c r="AG278" i="70" s="1"/>
  <c r="AE279" i="70"/>
  <c r="AI277" i="70"/>
  <c r="AI278" i="70" l="1"/>
  <c r="AF279" i="70"/>
  <c r="AG279" i="70" s="1"/>
  <c r="AE280" i="70"/>
  <c r="AJ278" i="70"/>
  <c r="AH278" i="70"/>
  <c r="AJ279" i="70" l="1"/>
  <c r="AH279" i="70"/>
  <c r="AF280" i="70"/>
  <c r="AG280" i="70" s="1"/>
  <c r="AE281" i="70"/>
  <c r="AI279" i="70"/>
  <c r="AI280" i="70" l="1"/>
  <c r="AF281" i="70"/>
  <c r="AG281" i="70" s="1"/>
  <c r="AE282" i="70"/>
  <c r="AJ280" i="70"/>
  <c r="AH280" i="70"/>
  <c r="AJ281" i="70" l="1"/>
  <c r="AH281" i="70"/>
  <c r="AF282" i="70"/>
  <c r="AG282" i="70" s="1"/>
  <c r="AE283" i="70"/>
  <c r="AI281" i="70"/>
  <c r="AI282" i="70" l="1"/>
  <c r="AF283" i="70"/>
  <c r="AG283" i="70" s="1"/>
  <c r="AE284" i="70"/>
  <c r="AJ282" i="70"/>
  <c r="AH282" i="70"/>
  <c r="AH283" i="70" l="1"/>
  <c r="AJ283" i="70"/>
  <c r="AF284" i="70"/>
  <c r="AG284" i="70" s="1"/>
  <c r="AE285" i="70"/>
  <c r="AI283" i="70"/>
  <c r="AI284" i="70" l="1"/>
  <c r="AF285" i="70"/>
  <c r="AG285" i="70" s="1"/>
  <c r="AE286" i="70"/>
  <c r="AJ284" i="70"/>
  <c r="AH284" i="70"/>
  <c r="AH285" i="70" l="1"/>
  <c r="AJ285" i="70"/>
  <c r="AF286" i="70"/>
  <c r="AG286" i="70" s="1"/>
  <c r="AE287" i="70"/>
  <c r="AI285" i="70"/>
  <c r="AI286" i="70" l="1"/>
  <c r="AF287" i="70"/>
  <c r="AG287" i="70" s="1"/>
  <c r="AE288" i="70"/>
  <c r="AJ286" i="70"/>
  <c r="AH286" i="70"/>
  <c r="AH287" i="70" l="1"/>
  <c r="AJ287" i="70"/>
  <c r="AF288" i="70"/>
  <c r="AG288" i="70" s="1"/>
  <c r="AE289" i="70"/>
  <c r="AI287" i="70"/>
  <c r="AI288" i="70" l="1"/>
  <c r="AF289" i="70"/>
  <c r="AG289" i="70" s="1"/>
  <c r="AE290" i="70"/>
  <c r="AJ288" i="70"/>
  <c r="AH288" i="70"/>
  <c r="AH289" i="70" l="1"/>
  <c r="AJ289" i="70"/>
  <c r="AF290" i="70"/>
  <c r="AG290" i="70" s="1"/>
  <c r="AE291" i="70"/>
  <c r="AI289" i="70"/>
  <c r="AI290" i="70" l="1"/>
  <c r="AF291" i="70"/>
  <c r="AG291" i="70" s="1"/>
  <c r="AE292" i="70"/>
  <c r="AJ290" i="70"/>
  <c r="AH290" i="70"/>
  <c r="AJ291" i="70" l="1"/>
  <c r="AH291" i="70"/>
  <c r="AF292" i="70"/>
  <c r="AG292" i="70" s="1"/>
  <c r="AE293" i="70"/>
  <c r="AI291" i="70"/>
  <c r="AI292" i="70" l="1"/>
  <c r="AF293" i="70"/>
  <c r="AG293" i="70" s="1"/>
  <c r="AE294" i="70"/>
  <c r="AH292" i="70"/>
  <c r="AJ292" i="70"/>
  <c r="AJ293" i="70" l="1"/>
  <c r="AH293" i="70"/>
  <c r="AF294" i="70"/>
  <c r="AG294" i="70" s="1"/>
  <c r="AE295" i="70"/>
  <c r="AI293" i="70"/>
  <c r="AI294" i="70" l="1"/>
  <c r="AF295" i="70"/>
  <c r="AG295" i="70" s="1"/>
  <c r="AE296" i="70"/>
  <c r="AJ294" i="70"/>
  <c r="AH294" i="70"/>
  <c r="AH295" i="70" l="1"/>
  <c r="AJ295" i="70"/>
  <c r="AF296" i="70"/>
  <c r="AG296" i="70" s="1"/>
  <c r="AE297" i="70"/>
  <c r="AI295" i="70"/>
  <c r="AI296" i="70" l="1"/>
  <c r="AF297" i="70"/>
  <c r="AG297" i="70" s="1"/>
  <c r="AE298" i="70"/>
  <c r="AH296" i="70"/>
  <c r="AJ296" i="70"/>
  <c r="AJ297" i="70" l="1"/>
  <c r="AH297" i="70"/>
  <c r="AF298" i="70"/>
  <c r="AG298" i="70" s="1"/>
  <c r="AE299" i="70"/>
  <c r="AI297" i="70"/>
  <c r="AI298" i="70" l="1"/>
  <c r="AF299" i="70"/>
  <c r="AG299" i="70" s="1"/>
  <c r="AE300" i="70"/>
  <c r="AJ298" i="70"/>
  <c r="AH298" i="70"/>
  <c r="AH299" i="70" l="1"/>
  <c r="AJ299" i="70"/>
  <c r="AF300" i="70"/>
  <c r="AG300" i="70" s="1"/>
  <c r="AE301" i="70"/>
  <c r="AI299" i="70"/>
  <c r="AI300" i="70" l="1"/>
  <c r="AF301" i="70"/>
  <c r="AG301" i="70" s="1"/>
  <c r="AE302" i="70"/>
  <c r="AH300" i="70"/>
  <c r="AJ300" i="70"/>
  <c r="AF302" i="70" l="1"/>
  <c r="AE303" i="70"/>
  <c r="AJ301" i="70"/>
  <c r="AH301" i="70"/>
  <c r="AG302" i="70"/>
  <c r="AI301" i="70"/>
  <c r="AH302" i="70" l="1"/>
  <c r="AJ302" i="70"/>
  <c r="AF303" i="70"/>
  <c r="AE304" i="70"/>
  <c r="AI302" i="70"/>
  <c r="AI303" i="70" l="1"/>
  <c r="AG303" i="70"/>
  <c r="AF304" i="70"/>
  <c r="AG304" i="70" s="1"/>
  <c r="AE305" i="70"/>
  <c r="AJ303" i="70"/>
  <c r="AH303" i="70"/>
  <c r="AH304" i="70" l="1"/>
  <c r="AJ304" i="70"/>
  <c r="AF305" i="70"/>
  <c r="AE306" i="70"/>
  <c r="AI304" i="70"/>
  <c r="AG305" i="70" l="1"/>
  <c r="AI305" i="70"/>
  <c r="AF306" i="70"/>
  <c r="AG306" i="70" s="1"/>
  <c r="AE307" i="70"/>
  <c r="AJ305" i="70"/>
  <c r="AH305" i="70"/>
  <c r="X37" i="18"/>
  <c r="X36" i="18"/>
  <c r="AH306" i="70" l="1"/>
  <c r="AJ306" i="70"/>
  <c r="AF307" i="70"/>
  <c r="AE308" i="70"/>
  <c r="AI306" i="70"/>
  <c r="V38" i="18"/>
  <c r="AG307" i="70" l="1"/>
  <c r="AF308" i="70"/>
  <c r="AG308" i="70" s="1"/>
  <c r="AE309" i="70"/>
  <c r="AI307" i="70"/>
  <c r="AJ307" i="70"/>
  <c r="AH307" i="70"/>
  <c r="X38" i="18"/>
  <c r="AI308" i="70" l="1"/>
  <c r="AH308" i="70"/>
  <c r="AJ308" i="70"/>
  <c r="AF309" i="70"/>
  <c r="AG309" i="70" s="1"/>
  <c r="AE310" i="70"/>
  <c r="V39" i="18"/>
  <c r="AF310" i="70" l="1"/>
  <c r="AG310" i="70" s="1"/>
  <c r="AE311" i="70"/>
  <c r="AI309" i="70"/>
  <c r="AJ309" i="70"/>
  <c r="AH309" i="70"/>
  <c r="X39" i="18"/>
  <c r="V40" i="18" s="1"/>
  <c r="AJ310" i="70" l="1"/>
  <c r="AH310" i="70"/>
  <c r="AI310" i="70"/>
  <c r="AF311" i="70"/>
  <c r="AG311" i="70" s="1"/>
  <c r="AE312" i="70"/>
  <c r="X40" i="18"/>
  <c r="V41" i="18" s="1"/>
  <c r="X41" i="18" s="1"/>
  <c r="AF312" i="70" l="1"/>
  <c r="AG312" i="70" s="1"/>
  <c r="AE313" i="70"/>
  <c r="AI311" i="70"/>
  <c r="AH311" i="70"/>
  <c r="AJ311" i="70"/>
  <c r="X42" i="18"/>
  <c r="AJ312" i="70" l="1"/>
  <c r="AH312" i="70"/>
  <c r="AI312" i="70"/>
  <c r="AF313" i="70"/>
  <c r="AG313" i="70" s="1"/>
  <c r="AE314" i="70"/>
  <c r="AF314" i="70" l="1"/>
  <c r="AG314" i="70" s="1"/>
  <c r="AE315" i="70"/>
  <c r="AI313" i="70"/>
  <c r="AH313" i="70"/>
  <c r="AJ313" i="70"/>
  <c r="AJ314" i="70" l="1"/>
  <c r="AH314" i="70"/>
  <c r="AI314" i="70"/>
  <c r="AF315" i="70"/>
  <c r="AG315" i="70" s="1"/>
  <c r="AE316" i="70"/>
  <c r="AF316" i="70" l="1"/>
  <c r="AG316" i="70" s="1"/>
  <c r="AE317" i="70"/>
  <c r="AI315" i="70"/>
  <c r="AH315" i="70"/>
  <c r="AJ315" i="70"/>
  <c r="AJ316" i="70" l="1"/>
  <c r="AH316" i="70"/>
  <c r="AI316" i="70"/>
  <c r="AF317" i="70"/>
  <c r="AG317" i="70" s="1"/>
  <c r="AE318" i="70"/>
  <c r="AF318" i="70" l="1"/>
  <c r="AG318" i="70" s="1"/>
  <c r="AE319" i="70"/>
  <c r="AI317" i="70"/>
  <c r="AH317" i="70"/>
  <c r="AJ317" i="70"/>
  <c r="AH318" i="70" l="1"/>
  <c r="AI318" i="70"/>
  <c r="AJ318" i="70"/>
  <c r="AF319" i="70"/>
  <c r="AG319" i="70" s="1"/>
  <c r="AE320" i="70"/>
  <c r="AF320" i="70" l="1"/>
  <c r="AG320" i="70" s="1"/>
  <c r="AE321" i="70"/>
  <c r="AJ319" i="70"/>
  <c r="AI319" i="70"/>
  <c r="AH319" i="70"/>
  <c r="AI320" i="70" l="1"/>
  <c r="AH320" i="70"/>
  <c r="AJ320" i="70"/>
  <c r="AF321" i="70"/>
  <c r="AG321" i="70" s="1"/>
  <c r="AE322" i="70"/>
  <c r="AH321" i="70" l="1"/>
  <c r="AI321" i="70"/>
  <c r="AJ321" i="70"/>
  <c r="AF322" i="70"/>
  <c r="AG322" i="70" s="1"/>
  <c r="AE323" i="70"/>
  <c r="AF323" i="70" l="1"/>
  <c r="AG323" i="70" s="1"/>
  <c r="AE324" i="70"/>
  <c r="AJ322" i="70"/>
  <c r="AI322" i="70"/>
  <c r="AH322" i="70"/>
  <c r="AH323" i="70" l="1"/>
  <c r="AI323" i="70"/>
  <c r="AJ323" i="70"/>
  <c r="AF324" i="70"/>
  <c r="AG324" i="70" s="1"/>
  <c r="AE325" i="70"/>
  <c r="AF325" i="70" l="1"/>
  <c r="AG325" i="70" s="1"/>
  <c r="AE326" i="70"/>
  <c r="AJ324" i="70"/>
  <c r="AI324" i="70"/>
  <c r="AH324" i="70"/>
  <c r="AH325" i="70" l="1"/>
  <c r="AI325" i="70"/>
  <c r="AJ325" i="70"/>
  <c r="AF326" i="70"/>
  <c r="AG326" i="70" s="1"/>
  <c r="AE327" i="70"/>
  <c r="AF327" i="70" l="1"/>
  <c r="AG327" i="70" s="1"/>
  <c r="AE328" i="70"/>
  <c r="AJ326" i="70"/>
  <c r="AI326" i="70"/>
  <c r="AH326" i="70"/>
  <c r="AI327" i="70" l="1"/>
  <c r="AJ327" i="70"/>
  <c r="AH327" i="70"/>
  <c r="AF328" i="70"/>
  <c r="AG328" i="70" s="1"/>
  <c r="AE329" i="70"/>
  <c r="AF329" i="70" l="1"/>
  <c r="AG329" i="70" s="1"/>
  <c r="AE330" i="70"/>
  <c r="AH328" i="70"/>
  <c r="AJ328" i="70"/>
  <c r="AI328" i="70"/>
  <c r="AI329" i="70" l="1"/>
  <c r="AJ329" i="70"/>
  <c r="AH329" i="70"/>
  <c r="AF330" i="70"/>
  <c r="AG330" i="70" s="1"/>
  <c r="AE331" i="70"/>
  <c r="AF331" i="70" l="1"/>
  <c r="AG331" i="70" s="1"/>
  <c r="AE332" i="70"/>
  <c r="AH330" i="70"/>
  <c r="AJ330" i="70"/>
  <c r="AI330" i="70"/>
  <c r="AI331" i="70" l="1"/>
  <c r="AH331" i="70"/>
  <c r="AJ331" i="70"/>
  <c r="AF332" i="70"/>
  <c r="AG332" i="70" s="1"/>
  <c r="AE333" i="70"/>
  <c r="AF333" i="70" l="1"/>
  <c r="AG333" i="70" s="1"/>
  <c r="AE334" i="70"/>
  <c r="AJ332" i="70"/>
  <c r="AH332" i="70"/>
  <c r="AI332" i="70"/>
  <c r="AJ333" i="70" l="1"/>
  <c r="AI333" i="70"/>
  <c r="AH333" i="70"/>
  <c r="AF334" i="70"/>
  <c r="AG334" i="70" s="1"/>
  <c r="AE335" i="70"/>
  <c r="AF335" i="70" l="1"/>
  <c r="AG335" i="70" s="1"/>
  <c r="AE336" i="70"/>
  <c r="AH334" i="70"/>
  <c r="AI334" i="70"/>
  <c r="AJ334" i="70"/>
  <c r="AJ335" i="70" l="1"/>
  <c r="AI335" i="70"/>
  <c r="AH335" i="70"/>
  <c r="AF336" i="70"/>
  <c r="AG336" i="70" s="1"/>
  <c r="AE337" i="70"/>
  <c r="AF337" i="70" l="1"/>
  <c r="AG337" i="70" s="1"/>
  <c r="AE338" i="70"/>
  <c r="AH336" i="70"/>
  <c r="AI336" i="70"/>
  <c r="AJ336" i="70"/>
  <c r="AJ337" i="70" l="1"/>
  <c r="AH337" i="70"/>
  <c r="AI337" i="70"/>
  <c r="AF338" i="70"/>
  <c r="AG338" i="70" s="1"/>
  <c r="AE339" i="70"/>
  <c r="AF339" i="70" l="1"/>
  <c r="AG339" i="70" s="1"/>
  <c r="AE340" i="70"/>
  <c r="AI338" i="70"/>
  <c r="AH338" i="70"/>
  <c r="AJ338" i="70"/>
  <c r="AJ339" i="70" l="1"/>
  <c r="AI339" i="70"/>
  <c r="AH339" i="70"/>
  <c r="AF340" i="70"/>
  <c r="AG340" i="70" s="1"/>
  <c r="AE341" i="70"/>
  <c r="AF341" i="70" l="1"/>
  <c r="AG341" i="70" s="1"/>
  <c r="AE342" i="70"/>
  <c r="AH340" i="70"/>
  <c r="AI340" i="70"/>
  <c r="AJ340" i="70"/>
  <c r="AJ341" i="70" l="1"/>
  <c r="AI341" i="70"/>
  <c r="AH341" i="70"/>
  <c r="AF342" i="70"/>
  <c r="AG342" i="70" s="1"/>
  <c r="AE343" i="70"/>
  <c r="AF343" i="70" l="1"/>
  <c r="AG343" i="70" s="1"/>
  <c r="AE344" i="70"/>
  <c r="AH342" i="70"/>
  <c r="AI342" i="70"/>
  <c r="AJ342" i="70"/>
  <c r="AH343" i="70" l="1"/>
  <c r="AJ343" i="70"/>
  <c r="AI343" i="70"/>
  <c r="AF344" i="70"/>
  <c r="AG344" i="70" s="1"/>
  <c r="AE345" i="70"/>
  <c r="AF345" i="70" l="1"/>
  <c r="AG345" i="70" s="1"/>
  <c r="AE346" i="70"/>
  <c r="AI344" i="70"/>
  <c r="AJ344" i="70"/>
  <c r="AH344" i="70"/>
  <c r="AH345" i="70" l="1"/>
  <c r="AJ345" i="70"/>
  <c r="AI345" i="70"/>
  <c r="AF346" i="70"/>
  <c r="AG346" i="70" s="1"/>
  <c r="AE347" i="70"/>
  <c r="AF347" i="70" l="1"/>
  <c r="AG347" i="70" s="1"/>
  <c r="AE348" i="70"/>
  <c r="AI346" i="70"/>
  <c r="AJ346" i="70"/>
  <c r="AH346" i="70"/>
  <c r="AJ347" i="70" l="1"/>
  <c r="AI347" i="70"/>
  <c r="AH347" i="70"/>
  <c r="AF348" i="70"/>
  <c r="AG348" i="70" s="1"/>
  <c r="AE349" i="70"/>
  <c r="AF349" i="70" l="1"/>
  <c r="AG349" i="70" s="1"/>
  <c r="AE350" i="70"/>
  <c r="AH348" i="70"/>
  <c r="AI348" i="70"/>
  <c r="AJ348" i="70"/>
  <c r="AJ349" i="70" l="1"/>
  <c r="AH349" i="70"/>
  <c r="AI349" i="70"/>
  <c r="AF350" i="70"/>
  <c r="AG350" i="70" s="1"/>
  <c r="AE351" i="70"/>
  <c r="AF351" i="70" l="1"/>
  <c r="AG351" i="70" s="1"/>
  <c r="AE352" i="70"/>
  <c r="AI350" i="70"/>
  <c r="AH350" i="70"/>
  <c r="AJ350" i="70"/>
  <c r="AJ351" i="70" l="1"/>
  <c r="AI351" i="70"/>
  <c r="AH351" i="70"/>
  <c r="AF352" i="70"/>
  <c r="AG352" i="70" s="1"/>
  <c r="AE353" i="70"/>
  <c r="AF353" i="70" l="1"/>
  <c r="AG353" i="70" s="1"/>
  <c r="AE354" i="70"/>
  <c r="AH352" i="70"/>
  <c r="AI352" i="70"/>
  <c r="AJ352" i="70"/>
  <c r="AJ353" i="70" l="1"/>
  <c r="AH353" i="70"/>
  <c r="AI353" i="70"/>
  <c r="AF354" i="70"/>
  <c r="AG354" i="70" s="1"/>
  <c r="AE355" i="70"/>
  <c r="AF355" i="70" l="1"/>
  <c r="AG355" i="70" s="1"/>
  <c r="AE356" i="70"/>
  <c r="AI354" i="70"/>
  <c r="AH354" i="70"/>
  <c r="AJ354" i="70"/>
  <c r="AJ355" i="70" l="1"/>
  <c r="AI355" i="70"/>
  <c r="AH355" i="70"/>
  <c r="AF356" i="70"/>
  <c r="AG356" i="70" s="1"/>
  <c r="AE357" i="70"/>
  <c r="AF357" i="70" l="1"/>
  <c r="AG357" i="70" s="1"/>
  <c r="AE358" i="70"/>
  <c r="AH356" i="70"/>
  <c r="AI356" i="70"/>
  <c r="AJ356" i="70"/>
  <c r="AJ357" i="70" l="1"/>
  <c r="AH357" i="70"/>
  <c r="AI357" i="70"/>
  <c r="AF358" i="70"/>
  <c r="AG358" i="70" s="1"/>
  <c r="AE359" i="70"/>
  <c r="AF359" i="70" l="1"/>
  <c r="AG359" i="70" s="1"/>
  <c r="AE360" i="70"/>
  <c r="AI358" i="70"/>
  <c r="AH358" i="70"/>
  <c r="AJ358" i="70"/>
  <c r="AJ359" i="70" l="1"/>
  <c r="AI359" i="70"/>
  <c r="AH359" i="70"/>
  <c r="AF360" i="70"/>
  <c r="AG360" i="70" s="1"/>
  <c r="AE361" i="70"/>
  <c r="AF361" i="70" l="1"/>
  <c r="AG361" i="70" s="1"/>
  <c r="AE362" i="70"/>
  <c r="AH360" i="70"/>
  <c r="AI360" i="70"/>
  <c r="AJ360" i="70"/>
  <c r="AI361" i="70" l="1"/>
  <c r="AH361" i="70"/>
  <c r="AJ361" i="70"/>
  <c r="AF362" i="70"/>
  <c r="AG362" i="70" s="1"/>
  <c r="AE363" i="70"/>
  <c r="AF363" i="70" l="1"/>
  <c r="AG363" i="70" s="1"/>
  <c r="AE364" i="70"/>
  <c r="AJ362" i="70"/>
  <c r="AH362" i="70"/>
  <c r="AI362" i="70"/>
  <c r="AI363" i="70" l="1"/>
  <c r="AJ363" i="70"/>
  <c r="AH363" i="70"/>
  <c r="AF364" i="70"/>
  <c r="AG364" i="70" s="1"/>
  <c r="AE365" i="70"/>
  <c r="AF365" i="70" l="1"/>
  <c r="AG365" i="70" s="1"/>
  <c r="AE366" i="70"/>
  <c r="AH364" i="70"/>
  <c r="AJ364" i="70"/>
  <c r="AI364" i="70"/>
  <c r="AJ365" i="70" l="1"/>
  <c r="AH365" i="70"/>
  <c r="AI365" i="70"/>
  <c r="AF366" i="70"/>
  <c r="AG366" i="70" s="1"/>
  <c r="AE367" i="70"/>
  <c r="AF367" i="70" l="1"/>
  <c r="AG367" i="70" s="1"/>
  <c r="AE368" i="70"/>
  <c r="AI366" i="70"/>
  <c r="AH366" i="70"/>
  <c r="AJ366" i="70"/>
  <c r="AH367" i="70" l="1"/>
  <c r="AF368" i="70"/>
  <c r="AG368" i="70" s="1"/>
  <c r="AE369" i="70"/>
  <c r="AJ367" i="70"/>
  <c r="AI367" i="70"/>
  <c r="AI368" i="70" l="1"/>
  <c r="AJ368" i="70"/>
  <c r="AF369" i="70"/>
  <c r="AG369" i="70" s="1"/>
  <c r="AE370" i="70"/>
  <c r="AH368" i="70"/>
  <c r="AH369" i="70" l="1"/>
  <c r="AF370" i="70"/>
  <c r="AG370" i="70" s="1"/>
  <c r="AE371" i="70"/>
  <c r="AJ369" i="70"/>
  <c r="AI369" i="70"/>
  <c r="AI370" i="70" l="1"/>
  <c r="AJ370" i="70"/>
  <c r="AF371" i="70"/>
  <c r="AG371" i="70" s="1"/>
  <c r="AE372" i="70"/>
  <c r="AH370" i="70"/>
  <c r="AH371" i="70" l="1"/>
  <c r="AF372" i="70"/>
  <c r="AG372" i="70" s="1"/>
  <c r="AE373" i="70"/>
  <c r="AJ371" i="70"/>
  <c r="AI371" i="70"/>
  <c r="AI372" i="70" l="1"/>
  <c r="AJ372" i="70"/>
  <c r="AF373" i="70"/>
  <c r="AG373" i="70" s="1"/>
  <c r="AE374" i="70"/>
  <c r="AH372" i="70"/>
  <c r="AH373" i="70" l="1"/>
  <c r="AF374" i="70"/>
  <c r="AG374" i="70" s="1"/>
  <c r="AE375" i="70"/>
  <c r="AJ373" i="70"/>
  <c r="AI373" i="70"/>
  <c r="AJ374" i="70" l="1"/>
  <c r="AI374" i="70"/>
  <c r="AF375" i="70"/>
  <c r="AG375" i="70" s="1"/>
  <c r="AE376" i="70"/>
  <c r="AH374" i="70"/>
  <c r="AH375" i="70" l="1"/>
  <c r="AF376" i="70"/>
  <c r="AG376" i="70" s="1"/>
  <c r="AE377" i="70"/>
  <c r="AI375" i="70"/>
  <c r="AJ375" i="70"/>
  <c r="AI376" i="70" l="1"/>
  <c r="AJ376" i="70"/>
  <c r="AF377" i="70"/>
  <c r="AG377" i="70" s="1"/>
  <c r="AE378" i="70"/>
  <c r="AH376" i="70"/>
  <c r="AH377" i="70" l="1"/>
  <c r="AF378" i="70"/>
  <c r="AG378" i="70" s="1"/>
  <c r="AE379" i="70"/>
  <c r="AJ377" i="70"/>
  <c r="AI377" i="70"/>
  <c r="AI378" i="70" l="1"/>
  <c r="AJ378" i="70"/>
  <c r="AF379" i="70"/>
  <c r="AG379" i="70" s="1"/>
  <c r="AE380" i="70"/>
  <c r="AH378" i="70"/>
  <c r="AH379" i="70" l="1"/>
  <c r="AF380" i="70"/>
  <c r="AG380" i="70" s="1"/>
  <c r="AE381" i="70"/>
  <c r="AJ379" i="70"/>
  <c r="AI379" i="70"/>
  <c r="AI380" i="70" l="1"/>
  <c r="AJ380" i="70"/>
  <c r="AF381" i="70"/>
  <c r="AG381" i="70" s="1"/>
  <c r="AE382" i="70"/>
  <c r="AH380" i="70"/>
  <c r="AH381" i="70" l="1"/>
  <c r="AF382" i="70"/>
  <c r="AG382" i="70" s="1"/>
  <c r="AE383" i="70"/>
  <c r="AJ381" i="70"/>
  <c r="AI381" i="70"/>
  <c r="AI382" i="70" l="1"/>
  <c r="AJ382" i="70"/>
  <c r="AF383" i="70"/>
  <c r="AG383" i="70" s="1"/>
  <c r="AE384" i="70"/>
  <c r="AH382" i="70"/>
  <c r="AH383" i="70" l="1"/>
  <c r="AF384" i="70"/>
  <c r="AG384" i="70" s="1"/>
  <c r="AE385" i="70"/>
  <c r="AJ383" i="70"/>
  <c r="AI383" i="70"/>
  <c r="AI384" i="70" l="1"/>
  <c r="AJ384" i="70"/>
  <c r="AF385" i="70"/>
  <c r="AG385" i="70" s="1"/>
  <c r="AE386" i="70"/>
  <c r="AH384" i="70"/>
  <c r="AH385" i="70" l="1"/>
  <c r="AF386" i="70"/>
  <c r="AG386" i="70" s="1"/>
  <c r="AE387" i="70"/>
  <c r="AJ385" i="70"/>
  <c r="AI385" i="70"/>
  <c r="AJ386" i="70" l="1"/>
  <c r="AI386" i="70"/>
  <c r="AF387" i="70"/>
  <c r="AG387" i="70" s="1"/>
  <c r="AE388" i="70"/>
  <c r="AH386" i="70"/>
  <c r="AH387" i="70" l="1"/>
  <c r="AF388" i="70"/>
  <c r="AG388" i="70" s="1"/>
  <c r="AE389" i="70"/>
  <c r="AI387" i="70"/>
  <c r="AJ387" i="70"/>
  <c r="AJ388" i="70" l="1"/>
  <c r="AI388" i="70"/>
  <c r="AF389" i="70"/>
  <c r="AG389" i="70" s="1"/>
  <c r="AE390" i="70"/>
  <c r="AH388" i="70"/>
  <c r="AH389" i="70" l="1"/>
  <c r="AF390" i="70"/>
  <c r="AG390" i="70" s="1"/>
  <c r="AE391" i="70"/>
  <c r="AI389" i="70"/>
  <c r="AJ389" i="70"/>
  <c r="AJ390" i="70" l="1"/>
  <c r="AI390" i="70"/>
  <c r="AF391" i="70"/>
  <c r="AG391" i="70" s="1"/>
  <c r="AE392" i="70"/>
  <c r="AH390" i="70"/>
  <c r="AH391" i="70" l="1"/>
  <c r="AF392" i="70"/>
  <c r="AG392" i="70" s="1"/>
  <c r="AE393" i="70"/>
  <c r="AI391" i="70"/>
  <c r="AJ391" i="70"/>
  <c r="AJ392" i="70" l="1"/>
  <c r="AI392" i="70"/>
  <c r="AF393" i="70"/>
  <c r="AG393" i="70" s="1"/>
  <c r="AE394" i="70"/>
  <c r="AH392" i="70"/>
  <c r="AH393" i="70" l="1"/>
  <c r="AF394" i="70"/>
  <c r="AG394" i="70" s="1"/>
  <c r="AE395" i="70"/>
  <c r="AI393" i="70"/>
  <c r="AJ393" i="70"/>
  <c r="AJ394" i="70" l="1"/>
  <c r="AI394" i="70"/>
  <c r="AF395" i="70"/>
  <c r="AG395" i="70" s="1"/>
  <c r="AE396" i="70"/>
  <c r="AH394" i="70"/>
  <c r="AH395" i="70" l="1"/>
  <c r="AF396" i="70"/>
  <c r="AG396" i="70" s="1"/>
  <c r="AE397" i="70"/>
  <c r="AI395" i="70"/>
  <c r="AJ395" i="70"/>
  <c r="AJ396" i="70" l="1"/>
  <c r="AI396" i="70"/>
  <c r="AF397" i="70"/>
  <c r="AG397" i="70" s="1"/>
  <c r="AE398" i="70"/>
  <c r="AH396" i="70"/>
  <c r="AH397" i="70" l="1"/>
  <c r="AF398" i="70"/>
  <c r="AG398" i="70" s="1"/>
  <c r="AE399" i="70"/>
  <c r="AI397" i="70"/>
  <c r="AJ397" i="70"/>
  <c r="AI398" i="70" l="1"/>
  <c r="AJ398" i="70"/>
  <c r="AF399" i="70"/>
  <c r="AG399" i="70" s="1"/>
  <c r="AE400" i="70"/>
  <c r="AH398" i="70"/>
  <c r="AH399" i="70" l="1"/>
  <c r="AF400" i="70"/>
  <c r="AG400" i="70" s="1"/>
  <c r="AE401" i="70"/>
  <c r="AJ399" i="70"/>
  <c r="AI399" i="70"/>
  <c r="AJ400" i="70" l="1"/>
  <c r="AI400" i="70"/>
  <c r="AF401" i="70"/>
  <c r="AG401" i="70" s="1"/>
  <c r="AE402" i="70"/>
  <c r="AH400" i="70"/>
  <c r="AH401" i="70" l="1"/>
  <c r="AF402" i="70"/>
  <c r="AG402" i="70" s="1"/>
  <c r="AE403" i="70"/>
  <c r="AI401" i="70"/>
  <c r="AJ401" i="70"/>
  <c r="AJ402" i="70" l="1"/>
  <c r="AI402" i="70"/>
  <c r="AF403" i="70"/>
  <c r="AG403" i="70" s="1"/>
  <c r="AE404" i="70"/>
  <c r="AH402" i="70"/>
  <c r="AH403" i="70" l="1"/>
  <c r="AF404" i="70"/>
  <c r="AG404" i="70" s="1"/>
  <c r="AE405" i="70"/>
  <c r="AI403" i="70"/>
  <c r="AJ403" i="70"/>
  <c r="AJ404" i="70" l="1"/>
  <c r="AI404" i="70"/>
  <c r="AF405" i="70"/>
  <c r="AG405" i="70" s="1"/>
  <c r="AE406" i="70"/>
  <c r="AH404" i="70"/>
  <c r="AH405" i="70" l="1"/>
  <c r="AF406" i="70"/>
  <c r="AG406" i="70" s="1"/>
  <c r="AE407" i="70"/>
  <c r="AI405" i="70"/>
  <c r="AJ405" i="70"/>
  <c r="AJ406" i="70" l="1"/>
  <c r="AI406" i="70"/>
  <c r="AF407" i="70"/>
  <c r="AG407" i="70" s="1"/>
  <c r="AE408" i="70"/>
  <c r="AH406" i="70"/>
  <c r="AH407" i="70" l="1"/>
  <c r="AF408" i="70"/>
  <c r="AG408" i="70" s="1"/>
  <c r="AE409" i="70"/>
  <c r="AI407" i="70"/>
  <c r="AJ407" i="70"/>
  <c r="AJ408" i="70" l="1"/>
  <c r="AI408" i="70"/>
  <c r="AF409" i="70"/>
  <c r="AG409" i="70" s="1"/>
  <c r="AE410" i="70"/>
  <c r="AH408" i="70"/>
  <c r="AH409" i="70" l="1"/>
  <c r="AF410" i="70"/>
  <c r="AG410" i="70" s="1"/>
  <c r="AE411" i="70"/>
  <c r="AI409" i="70"/>
  <c r="AJ409" i="70"/>
  <c r="AJ410" i="70" l="1"/>
  <c r="AI410" i="70"/>
  <c r="AF411" i="70"/>
  <c r="AG411" i="70" s="1"/>
  <c r="AE412" i="70"/>
  <c r="AH410" i="70"/>
  <c r="AH411" i="70" l="1"/>
  <c r="AF412" i="70"/>
  <c r="AG412" i="70" s="1"/>
  <c r="AE413" i="70"/>
  <c r="AI411" i="70"/>
  <c r="AJ411" i="70"/>
  <c r="AJ412" i="70" l="1"/>
  <c r="AI412" i="70"/>
  <c r="AF413" i="70"/>
  <c r="AG413" i="70" s="1"/>
  <c r="AE414" i="70"/>
  <c r="AH412" i="70"/>
  <c r="AH413" i="70" l="1"/>
  <c r="AF414" i="70"/>
  <c r="AG414" i="70" s="1"/>
  <c r="AE415" i="70"/>
  <c r="AI413" i="70"/>
  <c r="AJ413" i="70"/>
  <c r="AJ414" i="70" l="1"/>
  <c r="AI414" i="70"/>
  <c r="AF415" i="70"/>
  <c r="AG415" i="70" s="1"/>
  <c r="AE416" i="70"/>
  <c r="AH414" i="70"/>
  <c r="AH415" i="70" l="1"/>
  <c r="AF416" i="70"/>
  <c r="AG416" i="70" s="1"/>
  <c r="AE417" i="70"/>
  <c r="AI415" i="70"/>
  <c r="AJ415" i="70"/>
  <c r="AJ416" i="70" l="1"/>
  <c r="AI416" i="70"/>
  <c r="AF417" i="70"/>
  <c r="AG417" i="70" s="1"/>
  <c r="AE418" i="70"/>
  <c r="AH416" i="70"/>
  <c r="AH417" i="70" l="1"/>
  <c r="AF418" i="70"/>
  <c r="AG418" i="70" s="1"/>
  <c r="AE419" i="70"/>
  <c r="AI417" i="70"/>
  <c r="AJ417" i="70"/>
  <c r="AJ418" i="70" l="1"/>
  <c r="AI418" i="70"/>
  <c r="AF419" i="70"/>
  <c r="AG419" i="70" s="1"/>
  <c r="AE420" i="70"/>
  <c r="AH418" i="70"/>
  <c r="AH419" i="70" l="1"/>
  <c r="AF420" i="70"/>
  <c r="AG420" i="70" s="1"/>
  <c r="AE421" i="70"/>
  <c r="AI419" i="70"/>
  <c r="AJ419" i="70"/>
  <c r="AJ420" i="70" l="1"/>
  <c r="AI420" i="70"/>
  <c r="AF421" i="70"/>
  <c r="AG421" i="70" s="1"/>
  <c r="AE422" i="70"/>
  <c r="AH420" i="70"/>
  <c r="AH421" i="70" l="1"/>
  <c r="AF422" i="70"/>
  <c r="AG422" i="70" s="1"/>
  <c r="AE423" i="70"/>
  <c r="AI421" i="70"/>
  <c r="AJ421" i="70"/>
  <c r="AJ422" i="70" l="1"/>
  <c r="AI422" i="70"/>
  <c r="AF423" i="70"/>
  <c r="AG423" i="70" s="1"/>
  <c r="AE424" i="70"/>
  <c r="AH422" i="70"/>
  <c r="AH423" i="70" l="1"/>
  <c r="AF424" i="70"/>
  <c r="AG424" i="70" s="1"/>
  <c r="AE425" i="70"/>
  <c r="AI423" i="70"/>
  <c r="AJ423" i="70"/>
  <c r="AJ424" i="70" l="1"/>
  <c r="AI424" i="70"/>
  <c r="AF425" i="70"/>
  <c r="AG425" i="70" s="1"/>
  <c r="AE426" i="70"/>
  <c r="AH424" i="70"/>
  <c r="AH425" i="70" l="1"/>
  <c r="AF426" i="70"/>
  <c r="AG426" i="70" s="1"/>
  <c r="AE427" i="70"/>
  <c r="AI425" i="70"/>
  <c r="AJ425" i="70"/>
  <c r="AJ426" i="70" l="1"/>
  <c r="AI426" i="70"/>
  <c r="AF427" i="70"/>
  <c r="AG427" i="70" s="1"/>
  <c r="AE428" i="70"/>
  <c r="AH426" i="70"/>
  <c r="AH427" i="70" l="1"/>
  <c r="AF428" i="70"/>
  <c r="AG428" i="70" s="1"/>
  <c r="AE429" i="70"/>
  <c r="AI427" i="70"/>
  <c r="AJ427" i="70"/>
  <c r="AJ428" i="70" l="1"/>
  <c r="AF429" i="70"/>
  <c r="AG429" i="70" s="1"/>
  <c r="AE430" i="70"/>
  <c r="AI428" i="70"/>
  <c r="AH428" i="70"/>
  <c r="AI429" i="70" l="1"/>
  <c r="AH429" i="70"/>
  <c r="AF430" i="70"/>
  <c r="AG430" i="70" s="1"/>
  <c r="AE431" i="70"/>
  <c r="AJ429" i="70"/>
  <c r="AJ430" i="70" l="1"/>
  <c r="AF431" i="70"/>
  <c r="AG431" i="70" s="1"/>
  <c r="AE432" i="70"/>
  <c r="AI430" i="70"/>
  <c r="AH430" i="70"/>
  <c r="AH431" i="70" l="1"/>
  <c r="AI431" i="70"/>
  <c r="AF432" i="70"/>
  <c r="AG432" i="70" s="1"/>
  <c r="AE433" i="70"/>
  <c r="AJ431" i="70"/>
  <c r="AJ432" i="70" l="1"/>
  <c r="AF433" i="70"/>
  <c r="AG433" i="70" s="1"/>
  <c r="AE434" i="70"/>
  <c r="AI432" i="70"/>
  <c r="AH432" i="70"/>
  <c r="AH433" i="70" l="1"/>
  <c r="AI433" i="70"/>
  <c r="AF434" i="70"/>
  <c r="AG434" i="70" s="1"/>
  <c r="AE435" i="70"/>
  <c r="AJ433" i="70"/>
  <c r="AJ434" i="70" l="1"/>
  <c r="AF435" i="70"/>
  <c r="AG435" i="70" s="1"/>
  <c r="AE436" i="70"/>
  <c r="AI434" i="70"/>
  <c r="AH434" i="70"/>
  <c r="AH435" i="70" l="1"/>
  <c r="AI435" i="70"/>
  <c r="AF436" i="70"/>
  <c r="AG436" i="70" s="1"/>
  <c r="AE437" i="70"/>
  <c r="AJ435" i="70"/>
  <c r="AJ436" i="70" l="1"/>
  <c r="AF437" i="70"/>
  <c r="AG437" i="70" s="1"/>
  <c r="AE438" i="70"/>
  <c r="AI436" i="70"/>
  <c r="AH436" i="70"/>
  <c r="AH437" i="70" l="1"/>
  <c r="AI437" i="70"/>
  <c r="AF438" i="70"/>
  <c r="AG438" i="70" s="1"/>
  <c r="AE439" i="70"/>
  <c r="AJ437" i="70"/>
  <c r="AJ438" i="70" l="1"/>
  <c r="AF439" i="70"/>
  <c r="AG439" i="70" s="1"/>
  <c r="AE440" i="70"/>
  <c r="AI438" i="70"/>
  <c r="AH438" i="70"/>
  <c r="AH439" i="70" l="1"/>
  <c r="AI439" i="70"/>
  <c r="AF440" i="70"/>
  <c r="AG440" i="70" s="1"/>
  <c r="AE441" i="70"/>
  <c r="AJ439" i="70"/>
  <c r="AJ440" i="70" l="1"/>
  <c r="AF441" i="70"/>
  <c r="AG441" i="70" s="1"/>
  <c r="AE442" i="70"/>
  <c r="AI440" i="70"/>
  <c r="AH440" i="70"/>
  <c r="AH441" i="70" l="1"/>
  <c r="AI441" i="70"/>
  <c r="AF442" i="70"/>
  <c r="AG442" i="70" s="1"/>
  <c r="AE443" i="70"/>
  <c r="AJ441" i="70"/>
  <c r="AJ442" i="70" l="1"/>
  <c r="AF443" i="70"/>
  <c r="AG443" i="70" s="1"/>
  <c r="AE444" i="70"/>
  <c r="AI442" i="70"/>
  <c r="AH442" i="70"/>
  <c r="AH443" i="70" l="1"/>
  <c r="AI443" i="70"/>
  <c r="AF444" i="70"/>
  <c r="AG444" i="70" s="1"/>
  <c r="AE445" i="70"/>
  <c r="AJ443" i="70"/>
  <c r="AJ444" i="70" l="1"/>
  <c r="AF445" i="70"/>
  <c r="AG445" i="70" s="1"/>
  <c r="AE446" i="70"/>
  <c r="AI444" i="70"/>
  <c r="AH444" i="70"/>
  <c r="AI445" i="70" l="1"/>
  <c r="AH445" i="70"/>
  <c r="AF446" i="70"/>
  <c r="AG446" i="70" s="1"/>
  <c r="AE447" i="70"/>
  <c r="AJ445" i="70"/>
  <c r="AJ446" i="70" l="1"/>
  <c r="AF447" i="70"/>
  <c r="AG447" i="70" s="1"/>
  <c r="AE448" i="70"/>
  <c r="AH446" i="70"/>
  <c r="AI446" i="70"/>
  <c r="AH447" i="70" l="1"/>
  <c r="AI447" i="70"/>
  <c r="AF448" i="70"/>
  <c r="AG448" i="70" s="1"/>
  <c r="AE449" i="70"/>
  <c r="AJ447" i="70"/>
  <c r="AJ448" i="70" l="1"/>
  <c r="AF449" i="70"/>
  <c r="AG449" i="70" s="1"/>
  <c r="AE450" i="70"/>
  <c r="AI448" i="70"/>
  <c r="AH448" i="70"/>
  <c r="AF450" i="70" l="1"/>
  <c r="AG450" i="70" s="1"/>
  <c r="AE451" i="70"/>
  <c r="AH449" i="70"/>
  <c r="AI449" i="70"/>
  <c r="AJ449" i="70"/>
  <c r="AI450" i="70" l="1"/>
  <c r="AH450" i="70"/>
  <c r="AJ450" i="70"/>
  <c r="AF451" i="70"/>
  <c r="AG451" i="70" s="1"/>
  <c r="AE452" i="70"/>
  <c r="AF452" i="70" l="1"/>
  <c r="AG452" i="70" s="1"/>
  <c r="AE453" i="70"/>
  <c r="AI451" i="70"/>
  <c r="AH451" i="70"/>
  <c r="AJ451" i="70"/>
  <c r="AJ452" i="70" l="1"/>
  <c r="AH452" i="70"/>
  <c r="AI452" i="70"/>
  <c r="AF453" i="70"/>
  <c r="AG453" i="70" s="1"/>
  <c r="AE454" i="70"/>
  <c r="AF454" i="70" l="1"/>
  <c r="AG454" i="70" s="1"/>
  <c r="AE455" i="70"/>
  <c r="AI453" i="70"/>
  <c r="AH453" i="70"/>
  <c r="AJ453" i="70"/>
  <c r="AI454" i="70" l="1"/>
  <c r="AJ454" i="70"/>
  <c r="AH454" i="70"/>
  <c r="AF455" i="70"/>
  <c r="AG455" i="70" s="1"/>
  <c r="AE456" i="70"/>
  <c r="AF456" i="70" l="1"/>
  <c r="AG456" i="70" s="1"/>
  <c r="AE457" i="70"/>
  <c r="AH455" i="70"/>
  <c r="AJ455" i="70"/>
  <c r="AI455" i="70"/>
  <c r="AI456" i="70" l="1"/>
  <c r="AH456" i="70"/>
  <c r="AJ456" i="70"/>
  <c r="AF457" i="70"/>
  <c r="AG457" i="70" s="1"/>
  <c r="AE458" i="70"/>
  <c r="AF458" i="70" l="1"/>
  <c r="AG458" i="70" s="1"/>
  <c r="AE459" i="70"/>
  <c r="AJ457" i="70"/>
  <c r="AH457" i="70"/>
  <c r="AI457" i="70"/>
  <c r="AI458" i="70" l="1"/>
  <c r="AJ458" i="70"/>
  <c r="AH458" i="70"/>
  <c r="AF459" i="70"/>
  <c r="AG459" i="70" s="1"/>
  <c r="AE460" i="70"/>
  <c r="AF460" i="70" l="1"/>
  <c r="AG460" i="70" s="1"/>
  <c r="AE461" i="70"/>
  <c r="AH459" i="70"/>
  <c r="AJ459" i="70"/>
  <c r="AI459" i="70"/>
  <c r="AI460" i="70" l="1"/>
  <c r="AH460" i="70"/>
  <c r="AJ460" i="70"/>
  <c r="AF461" i="70"/>
  <c r="AG461" i="70" s="1"/>
  <c r="AE462" i="70"/>
  <c r="AF462" i="70" l="1"/>
  <c r="AG462" i="70" s="1"/>
  <c r="AE463" i="70"/>
  <c r="AJ461" i="70"/>
  <c r="AH461" i="70"/>
  <c r="AI461" i="70"/>
  <c r="AI462" i="70" l="1"/>
  <c r="AJ462" i="70"/>
  <c r="AH462" i="70"/>
  <c r="AF463" i="70"/>
  <c r="AG463" i="70" s="1"/>
  <c r="AE464" i="70"/>
  <c r="AF464" i="70" l="1"/>
  <c r="AG464" i="70" s="1"/>
  <c r="AE465" i="70"/>
  <c r="AH463" i="70"/>
  <c r="AJ463" i="70"/>
  <c r="AI463" i="70"/>
  <c r="AI464" i="70" l="1"/>
  <c r="AJ464" i="70"/>
  <c r="AH464" i="70"/>
  <c r="AF465" i="70"/>
  <c r="AG465" i="70" s="1"/>
  <c r="AE466" i="70"/>
  <c r="AF466" i="70" l="1"/>
  <c r="AG466" i="70" s="1"/>
  <c r="AE467" i="70"/>
  <c r="AH465" i="70"/>
  <c r="AJ465" i="70"/>
  <c r="AI465" i="70"/>
  <c r="AH466" i="70" l="1"/>
  <c r="AI466" i="70"/>
  <c r="AJ466" i="70"/>
  <c r="AF467" i="70"/>
  <c r="AG467" i="70" s="1"/>
  <c r="AE468" i="70"/>
  <c r="AF468" i="70" l="1"/>
  <c r="AG468" i="70" s="1"/>
  <c r="AE469" i="70"/>
  <c r="AJ467" i="70"/>
  <c r="AI467" i="70"/>
  <c r="AH467" i="70"/>
  <c r="AH468" i="70" l="1"/>
  <c r="AJ468" i="70"/>
  <c r="AI468" i="70"/>
  <c r="AF469" i="70"/>
  <c r="AG469" i="70" s="1"/>
  <c r="AE470" i="70"/>
  <c r="AF470" i="70" l="1"/>
  <c r="AG470" i="70" s="1"/>
  <c r="AE471" i="70"/>
  <c r="AI469" i="70"/>
  <c r="AJ469" i="70"/>
  <c r="AH469" i="70"/>
  <c r="AJ470" i="70" l="1"/>
  <c r="AI470" i="70"/>
  <c r="AH470" i="70"/>
  <c r="AF471" i="70"/>
  <c r="AG471" i="70" s="1"/>
  <c r="AE472" i="70"/>
  <c r="AF472" i="70" l="1"/>
  <c r="AG472" i="70" s="1"/>
  <c r="AE473" i="70"/>
  <c r="AH471" i="70"/>
  <c r="AI471" i="70"/>
  <c r="AJ471" i="70"/>
  <c r="AJ472" i="70" l="1"/>
  <c r="AH472" i="70"/>
  <c r="AI472" i="70"/>
  <c r="AF473" i="70"/>
  <c r="AG473" i="70" s="1"/>
  <c r="AE474" i="70"/>
  <c r="AF474" i="70" l="1"/>
  <c r="AG474" i="70" s="1"/>
  <c r="AE475" i="70"/>
  <c r="AI473" i="70"/>
  <c r="AH473" i="70"/>
  <c r="AJ473" i="70"/>
  <c r="AJ474" i="70" l="1"/>
  <c r="AI474" i="70"/>
  <c r="AH474" i="70"/>
  <c r="AF475" i="70"/>
  <c r="AG475" i="70" s="1"/>
  <c r="AE476" i="70"/>
  <c r="AF476" i="70" l="1"/>
  <c r="AG476" i="70" s="1"/>
  <c r="AE477" i="70"/>
  <c r="AH475" i="70"/>
  <c r="AI475" i="70"/>
  <c r="AJ475" i="70"/>
  <c r="AJ476" i="70" l="1"/>
  <c r="AH476" i="70"/>
  <c r="AI476" i="70"/>
  <c r="AF477" i="70"/>
  <c r="AG477" i="70" s="1"/>
  <c r="AE478" i="70"/>
  <c r="AF478" i="70" l="1"/>
  <c r="AG478" i="70" s="1"/>
  <c r="AE479" i="70"/>
  <c r="AI477" i="70"/>
  <c r="AH477" i="70"/>
  <c r="AJ477" i="70"/>
  <c r="AJ478" i="70" l="1"/>
  <c r="AI478" i="70"/>
  <c r="AH478" i="70"/>
  <c r="AF479" i="70"/>
  <c r="AG479" i="70" s="1"/>
  <c r="AE480" i="70"/>
  <c r="AF480" i="70" l="1"/>
  <c r="AG480" i="70" s="1"/>
  <c r="AE481" i="70"/>
  <c r="AH479" i="70"/>
  <c r="AI479" i="70"/>
  <c r="AJ479" i="70"/>
  <c r="AI480" i="70" l="1"/>
  <c r="AH480" i="70"/>
  <c r="AJ480" i="70"/>
  <c r="AF481" i="70"/>
  <c r="AG481" i="70" s="1"/>
  <c r="AE482" i="70"/>
  <c r="AF482" i="70" l="1"/>
  <c r="AG482" i="70" s="1"/>
  <c r="AE483" i="70"/>
  <c r="AJ481" i="70"/>
  <c r="AH481" i="70"/>
  <c r="AI481" i="70"/>
  <c r="AJ482" i="70" l="1"/>
  <c r="AI482" i="70"/>
  <c r="AH482" i="70"/>
  <c r="AF483" i="70"/>
  <c r="AG483" i="70" s="1"/>
  <c r="AE484" i="70"/>
  <c r="AF484" i="70" l="1"/>
  <c r="AG484" i="70" s="1"/>
  <c r="AE485" i="70"/>
  <c r="AH483" i="70"/>
  <c r="AI483" i="70"/>
  <c r="AJ483" i="70"/>
  <c r="AJ484" i="70" l="1"/>
  <c r="AI484" i="70"/>
  <c r="AH484" i="70"/>
  <c r="AF485" i="70"/>
  <c r="AG485" i="70" s="1"/>
  <c r="AE486" i="70"/>
  <c r="AF486" i="70" l="1"/>
  <c r="AG486" i="70" s="1"/>
  <c r="AE487" i="70"/>
  <c r="AH485" i="70"/>
  <c r="AI485" i="70"/>
  <c r="AJ485" i="70"/>
  <c r="AJ486" i="70" l="1"/>
  <c r="AH486" i="70"/>
  <c r="AI486" i="70"/>
  <c r="AF487" i="70"/>
  <c r="AG487" i="70" s="1"/>
  <c r="AE488" i="70"/>
  <c r="AF488" i="70" l="1"/>
  <c r="AG488" i="70" s="1"/>
  <c r="AE489" i="70"/>
  <c r="AI487" i="70"/>
  <c r="AH487" i="70"/>
  <c r="AJ487" i="70"/>
  <c r="AH488" i="70" l="1"/>
  <c r="AI488" i="70"/>
  <c r="AJ488" i="70"/>
  <c r="AF489" i="70"/>
  <c r="AG489" i="70" s="1"/>
  <c r="AE490" i="70"/>
  <c r="AF490" i="70" l="1"/>
  <c r="AG490" i="70" s="1"/>
  <c r="AE491" i="70"/>
  <c r="AJ489" i="70"/>
  <c r="AI489" i="70"/>
  <c r="AH489" i="70"/>
  <c r="AH490" i="70" l="1"/>
  <c r="AJ490" i="70"/>
  <c r="AI490" i="70"/>
  <c r="AF491" i="70"/>
  <c r="AG491" i="70" s="1"/>
  <c r="AE492" i="70"/>
  <c r="AF492" i="70" l="1"/>
  <c r="AG492" i="70" s="1"/>
  <c r="AE493" i="70"/>
  <c r="AI491" i="70"/>
  <c r="AJ491" i="70"/>
  <c r="AH491" i="70"/>
  <c r="AH492" i="70" l="1"/>
  <c r="AI492" i="70"/>
  <c r="AJ492" i="70"/>
  <c r="AF493" i="70"/>
  <c r="AG493" i="70" s="1"/>
  <c r="AE494" i="70"/>
  <c r="AF494" i="70" l="1"/>
  <c r="AG494" i="70" s="1"/>
  <c r="AE495" i="70"/>
  <c r="AJ493" i="70"/>
  <c r="AI493" i="70"/>
  <c r="AH493" i="70"/>
  <c r="AH494" i="70" l="1"/>
  <c r="AJ494" i="70"/>
  <c r="AI494" i="70"/>
  <c r="AF495" i="70"/>
  <c r="AG495" i="70" s="1"/>
  <c r="AE496" i="70"/>
  <c r="AF496" i="70" l="1"/>
  <c r="AG496" i="70" s="1"/>
  <c r="AE497" i="70"/>
  <c r="AI495" i="70"/>
  <c r="AJ495" i="70"/>
  <c r="AH495" i="70"/>
  <c r="AH496" i="70" l="1"/>
  <c r="AI496" i="70"/>
  <c r="AJ496" i="70"/>
  <c r="AF497" i="70"/>
  <c r="AG497" i="70" s="1"/>
  <c r="AE498" i="70"/>
  <c r="AF498" i="70" l="1"/>
  <c r="AG498" i="70" s="1"/>
  <c r="AE499" i="70"/>
  <c r="AJ497" i="70"/>
  <c r="AI497" i="70"/>
  <c r="AH497" i="70"/>
  <c r="AH498" i="70" l="1"/>
  <c r="AJ498" i="70"/>
  <c r="AI498" i="70"/>
  <c r="AF499" i="70"/>
  <c r="AG499" i="70" s="1"/>
  <c r="AE500" i="70"/>
  <c r="AF500" i="70" l="1"/>
  <c r="AG500" i="70" s="1"/>
  <c r="AE501" i="70"/>
  <c r="AI499" i="70"/>
  <c r="AJ499" i="70"/>
  <c r="AH499" i="70"/>
  <c r="AH500" i="70" l="1"/>
  <c r="AI500" i="70"/>
  <c r="AJ500" i="70"/>
  <c r="AF501" i="70"/>
  <c r="AG501" i="70" s="1"/>
  <c r="AE502" i="70"/>
  <c r="AF502" i="70" l="1"/>
  <c r="AG502" i="70" s="1"/>
  <c r="AE503" i="70"/>
  <c r="AJ501" i="70"/>
  <c r="AI501" i="70"/>
  <c r="AH501" i="70"/>
  <c r="AH502" i="70" l="1"/>
  <c r="AJ502" i="70"/>
  <c r="AI502" i="70"/>
  <c r="AF503" i="70"/>
  <c r="AG503" i="70" s="1"/>
  <c r="AE504" i="70"/>
  <c r="AF504" i="70" l="1"/>
  <c r="AG504" i="70" s="1"/>
  <c r="AE505" i="70"/>
  <c r="AI503" i="70"/>
  <c r="AJ503" i="70"/>
  <c r="AH503" i="70"/>
  <c r="AJ504" i="70" l="1"/>
  <c r="AH504" i="70"/>
  <c r="AI504" i="70"/>
  <c r="AF505" i="70"/>
  <c r="AG505" i="70" s="1"/>
  <c r="AE506" i="70"/>
  <c r="AF506" i="70" l="1"/>
  <c r="AG506" i="70" s="1"/>
  <c r="AE507" i="70"/>
  <c r="AI505" i="70"/>
  <c r="AH505" i="70"/>
  <c r="AJ505" i="70"/>
  <c r="AJ506" i="70" l="1"/>
  <c r="AH506" i="70"/>
  <c r="AI506" i="70"/>
  <c r="AF507" i="70"/>
  <c r="AG507" i="70" s="1"/>
  <c r="AE508" i="70"/>
  <c r="AF508" i="70" l="1"/>
  <c r="AG508" i="70" s="1"/>
  <c r="AE509" i="70"/>
  <c r="AI507" i="70"/>
  <c r="AH507" i="70"/>
  <c r="AJ507" i="70"/>
  <c r="AJ508" i="70" l="1"/>
  <c r="AI508" i="70"/>
  <c r="AH508" i="70"/>
  <c r="AF509" i="70"/>
  <c r="AG509" i="70" s="1"/>
  <c r="AE510" i="70"/>
  <c r="AF510" i="70" l="1"/>
  <c r="AG510" i="70" s="1"/>
  <c r="AE511" i="70"/>
  <c r="AH509" i="70"/>
  <c r="AI509" i="70"/>
  <c r="AJ509" i="70"/>
  <c r="AJ510" i="70" l="1"/>
  <c r="AH510" i="70"/>
  <c r="AI510" i="70"/>
  <c r="AF511" i="70"/>
  <c r="AG511" i="70" s="1"/>
  <c r="AE512" i="70"/>
  <c r="AF512" i="70" l="1"/>
  <c r="AG512" i="70" s="1"/>
  <c r="AE513" i="70"/>
  <c r="AI511" i="70"/>
  <c r="AH511" i="70"/>
  <c r="AJ511" i="70"/>
  <c r="AJ512" i="70" l="1"/>
  <c r="AI512" i="70"/>
  <c r="AH512" i="70"/>
  <c r="AF513" i="70"/>
  <c r="AG513" i="70" s="1"/>
  <c r="AE514" i="70"/>
  <c r="AF514" i="70" l="1"/>
  <c r="AG514" i="70" s="1"/>
  <c r="AE515" i="70"/>
  <c r="AH513" i="70"/>
  <c r="AI513" i="70"/>
  <c r="AJ513" i="70"/>
  <c r="AJ514" i="70" l="1"/>
  <c r="AH514" i="70"/>
  <c r="AI514" i="70"/>
  <c r="AF515" i="70"/>
  <c r="AG515" i="70" s="1"/>
  <c r="AE516" i="70"/>
  <c r="AF516" i="70" l="1"/>
  <c r="AG516" i="70" s="1"/>
  <c r="AE517" i="70"/>
  <c r="AI515" i="70"/>
  <c r="AH515" i="70"/>
  <c r="AJ515" i="70"/>
  <c r="AI516" i="70" l="1"/>
  <c r="AJ516" i="70"/>
  <c r="AH516" i="70"/>
  <c r="AF517" i="70"/>
  <c r="AG517" i="70" s="1"/>
  <c r="AE518" i="70"/>
  <c r="AF518" i="70" l="1"/>
  <c r="AG518" i="70" s="1"/>
  <c r="AE519" i="70"/>
  <c r="AH517" i="70"/>
  <c r="AJ517" i="70"/>
  <c r="AI517" i="70"/>
  <c r="AI518" i="70" l="1"/>
  <c r="AH518" i="70"/>
  <c r="AJ518" i="70"/>
  <c r="AF519" i="70"/>
  <c r="AG519" i="70" s="1"/>
  <c r="AE520" i="70"/>
  <c r="AF520" i="70" l="1"/>
  <c r="AG520" i="70" s="1"/>
  <c r="AE521" i="70"/>
  <c r="AJ519" i="70"/>
  <c r="AH519" i="70"/>
  <c r="AI519" i="70"/>
  <c r="AH520" i="70" l="1"/>
  <c r="AI520" i="70"/>
  <c r="AJ520" i="70"/>
  <c r="AF521" i="70"/>
  <c r="AG521" i="70" s="1"/>
  <c r="AE522" i="70"/>
  <c r="AF522" i="70" l="1"/>
  <c r="AG522" i="70" s="1"/>
  <c r="AE523" i="70"/>
  <c r="AJ521" i="70"/>
  <c r="AI521" i="70"/>
  <c r="AH521" i="70"/>
  <c r="AI522" i="70" l="1"/>
  <c r="AH522" i="70"/>
  <c r="AJ522" i="70"/>
  <c r="AF523" i="70"/>
  <c r="AG523" i="70" s="1"/>
  <c r="AE524" i="70"/>
  <c r="AF524" i="70" l="1"/>
  <c r="AG524" i="70" s="1"/>
  <c r="AE525" i="70"/>
  <c r="AJ523" i="70"/>
  <c r="AH523" i="70"/>
  <c r="AI523" i="70"/>
  <c r="AI524" i="70" l="1"/>
  <c r="AJ524" i="70"/>
  <c r="AH524" i="70"/>
  <c r="AF525" i="70"/>
  <c r="AG525" i="70" s="1"/>
  <c r="AE526" i="70"/>
  <c r="AF526" i="70" l="1"/>
  <c r="AG526" i="70" s="1"/>
  <c r="AE527" i="70"/>
  <c r="AH525" i="70"/>
  <c r="AJ525" i="70"/>
  <c r="AI525" i="70"/>
  <c r="AI526" i="70" l="1"/>
  <c r="AH526" i="70"/>
  <c r="AJ526" i="70"/>
  <c r="AF527" i="70"/>
  <c r="AG527" i="70" s="1"/>
  <c r="AE528" i="70"/>
  <c r="AF528" i="70" l="1"/>
  <c r="AG528" i="70" s="1"/>
  <c r="AE529" i="70"/>
  <c r="AJ527" i="70"/>
  <c r="AH527" i="70"/>
  <c r="AI527" i="70"/>
  <c r="AJ528" i="70" l="1"/>
  <c r="AI528" i="70"/>
  <c r="AH528" i="70"/>
  <c r="AF529" i="70"/>
  <c r="AG529" i="70" s="1"/>
  <c r="AE530" i="70"/>
  <c r="AF530" i="70" l="1"/>
  <c r="AG530" i="70" s="1"/>
  <c r="AE531" i="70"/>
  <c r="AH529" i="70"/>
  <c r="AI529" i="70"/>
  <c r="AJ529" i="70"/>
  <c r="AI530" i="70" l="1"/>
  <c r="AH530" i="70"/>
  <c r="AJ530" i="70"/>
  <c r="AF531" i="70"/>
  <c r="AG531" i="70" s="1"/>
  <c r="AE532" i="70"/>
  <c r="AF532" i="70" l="1"/>
  <c r="AG532" i="70" s="1"/>
  <c r="AE533" i="70"/>
  <c r="AJ531" i="70"/>
  <c r="AH531" i="70"/>
  <c r="AI531" i="70"/>
  <c r="AI532" i="70" l="1"/>
  <c r="AJ532" i="70"/>
  <c r="AH532" i="70"/>
  <c r="AF533" i="70"/>
  <c r="AG533" i="70" s="1"/>
  <c r="AE534" i="70"/>
  <c r="AF534" i="70" l="1"/>
  <c r="AG534" i="70" s="1"/>
  <c r="AE535" i="70"/>
  <c r="AH533" i="70"/>
  <c r="AJ533" i="70"/>
  <c r="AI533" i="70"/>
  <c r="AJ534" i="70" l="1"/>
  <c r="AH534" i="70"/>
  <c r="AI534" i="70"/>
  <c r="AF535" i="70"/>
  <c r="AG535" i="70" s="1"/>
  <c r="AE536" i="70"/>
  <c r="AF536" i="70" l="1"/>
  <c r="AG536" i="70" s="1"/>
  <c r="AE537" i="70"/>
  <c r="AI535" i="70"/>
  <c r="AH535" i="70"/>
  <c r="AJ535" i="70"/>
  <c r="AI536" i="70" l="1"/>
  <c r="AJ536" i="70"/>
  <c r="AH536" i="70"/>
  <c r="AF537" i="70"/>
  <c r="AG537" i="70" s="1"/>
  <c r="AE538" i="70"/>
  <c r="AF538" i="70" l="1"/>
  <c r="AG538" i="70" s="1"/>
  <c r="AE539" i="70"/>
  <c r="AH537" i="70"/>
  <c r="AJ537" i="70"/>
  <c r="AI537" i="70"/>
  <c r="AH538" i="70" l="1"/>
  <c r="AI538" i="70"/>
  <c r="AJ538" i="70"/>
  <c r="AF539" i="70"/>
  <c r="AG539" i="70" s="1"/>
  <c r="AE540" i="70"/>
  <c r="AF540" i="70" l="1"/>
  <c r="AG540" i="70" s="1"/>
  <c r="AE541" i="70"/>
  <c r="AJ539" i="70"/>
  <c r="AI539" i="70"/>
  <c r="AH539" i="70"/>
  <c r="AH540" i="70" l="1"/>
  <c r="AJ540" i="70"/>
  <c r="AI540" i="70"/>
  <c r="AF541" i="70"/>
  <c r="AG541" i="70" s="1"/>
  <c r="AE542" i="70"/>
  <c r="AF542" i="70" l="1"/>
  <c r="AG542" i="70" s="1"/>
  <c r="AE543" i="70"/>
  <c r="AI541" i="70"/>
  <c r="AJ541" i="70"/>
  <c r="AH541" i="70"/>
  <c r="AJ542" i="70" l="1"/>
  <c r="AI542" i="70"/>
  <c r="AH542" i="70"/>
  <c r="AF543" i="70"/>
  <c r="AG543" i="70" s="1"/>
  <c r="AE544" i="70"/>
  <c r="AF544" i="70" l="1"/>
  <c r="AG544" i="70" s="1"/>
  <c r="AE545" i="70"/>
  <c r="AH543" i="70"/>
  <c r="AI543" i="70"/>
  <c r="AJ543" i="70"/>
  <c r="AJ544" i="70" l="1"/>
  <c r="AH544" i="70"/>
  <c r="AI544" i="70"/>
  <c r="AF545" i="70"/>
  <c r="AG545" i="70" s="1"/>
  <c r="AE546" i="70"/>
  <c r="AF546" i="70" l="1"/>
  <c r="AG546" i="70" s="1"/>
  <c r="AE547" i="70"/>
  <c r="AI545" i="70"/>
  <c r="AH545" i="70"/>
  <c r="AJ545" i="70"/>
  <c r="AJ546" i="70" l="1"/>
  <c r="AH546" i="70"/>
  <c r="AI546" i="70"/>
  <c r="AF547" i="70"/>
  <c r="AG547" i="70" s="1"/>
  <c r="AE548" i="70"/>
  <c r="AF548" i="70" l="1"/>
  <c r="AG548" i="70" s="1"/>
  <c r="AE549" i="70"/>
  <c r="AI547" i="70"/>
  <c r="AH547" i="70"/>
  <c r="AJ547" i="70"/>
  <c r="AH548" i="70" l="1"/>
  <c r="AI548" i="70"/>
  <c r="AJ548" i="70"/>
  <c r="AF549" i="70"/>
  <c r="AG549" i="70" s="1"/>
  <c r="AE550" i="70"/>
  <c r="AF550" i="70" l="1"/>
  <c r="AG550" i="70" s="1"/>
  <c r="AE551" i="70"/>
  <c r="AJ549" i="70"/>
  <c r="AI549" i="70"/>
  <c r="AH549" i="70"/>
  <c r="AH550" i="70" l="1"/>
  <c r="AI550" i="70"/>
  <c r="AJ550" i="70"/>
  <c r="AF551" i="70"/>
  <c r="AG551" i="70" s="1"/>
  <c r="AE552" i="70"/>
  <c r="AF552" i="70" l="1"/>
  <c r="AG552" i="70" s="1"/>
  <c r="AE553" i="70"/>
  <c r="AJ551" i="70"/>
  <c r="AI551" i="70"/>
  <c r="AH551" i="70"/>
  <c r="AJ552" i="70" l="1"/>
  <c r="AH552" i="70"/>
  <c r="AI552" i="70"/>
  <c r="AF553" i="70"/>
  <c r="AG553" i="70" s="1"/>
  <c r="AE554" i="70"/>
  <c r="AF554" i="70" l="1"/>
  <c r="AG554" i="70" s="1"/>
  <c r="AE555" i="70"/>
  <c r="AI553" i="70"/>
  <c r="AH553" i="70"/>
  <c r="AJ553" i="70"/>
  <c r="AJ554" i="70" l="1"/>
  <c r="AI554" i="70"/>
  <c r="AH554" i="70"/>
  <c r="AF555" i="70"/>
  <c r="AG555" i="70" s="1"/>
  <c r="AE556" i="70"/>
  <c r="AF556" i="70" l="1"/>
  <c r="AG556" i="70" s="1"/>
  <c r="AE557" i="70"/>
  <c r="AH555" i="70"/>
  <c r="AI555" i="70"/>
  <c r="AJ555" i="70"/>
  <c r="AJ556" i="70" l="1"/>
  <c r="AH556" i="70"/>
  <c r="AI556" i="70"/>
  <c r="AF557" i="70"/>
  <c r="AG557" i="70" s="1"/>
  <c r="AE558" i="70"/>
  <c r="AF558" i="70" l="1"/>
  <c r="AG558" i="70" s="1"/>
  <c r="AE559" i="70"/>
  <c r="AI557" i="70"/>
  <c r="AH557" i="70"/>
  <c r="AJ557" i="70"/>
  <c r="AI558" i="70" l="1"/>
  <c r="AJ558" i="70"/>
  <c r="AH558" i="70"/>
  <c r="AF559" i="70"/>
  <c r="AG559" i="70" s="1"/>
  <c r="AE560" i="70"/>
  <c r="AF560" i="70" l="1"/>
  <c r="AG560" i="70" s="1"/>
  <c r="AE561" i="70"/>
  <c r="AH559" i="70"/>
  <c r="AJ559" i="70"/>
  <c r="AI559" i="70"/>
  <c r="AI560" i="70" l="1"/>
  <c r="AH560" i="70"/>
  <c r="AJ560" i="70"/>
  <c r="AF561" i="70"/>
  <c r="AG561" i="70" s="1"/>
  <c r="AE562" i="70"/>
  <c r="AF562" i="70" l="1"/>
  <c r="AG562" i="70" s="1"/>
  <c r="AE563" i="70"/>
  <c r="AJ561" i="70"/>
  <c r="AH561" i="70"/>
  <c r="AI561" i="70"/>
  <c r="AI562" i="70" l="1"/>
  <c r="AJ562" i="70"/>
  <c r="AH562" i="70"/>
  <c r="AF563" i="70"/>
  <c r="AG563" i="70" s="1"/>
  <c r="AE564" i="70"/>
  <c r="AF564" i="70" l="1"/>
  <c r="AG564" i="70" s="1"/>
  <c r="AE565" i="70"/>
  <c r="AH563" i="70"/>
  <c r="AJ563" i="70"/>
  <c r="AI563" i="70"/>
  <c r="AI564" i="70" l="1"/>
  <c r="AH564" i="70"/>
  <c r="AJ564" i="70"/>
  <c r="AF565" i="70"/>
  <c r="AG565" i="70" s="1"/>
  <c r="AE566" i="70"/>
  <c r="AF566" i="70" l="1"/>
  <c r="AG566" i="70" s="1"/>
  <c r="AE567" i="70"/>
  <c r="AJ565" i="70"/>
  <c r="AH565" i="70"/>
  <c r="AI565" i="70"/>
  <c r="AH566" i="70" l="1"/>
  <c r="AJ566" i="70"/>
  <c r="AI566" i="70"/>
  <c r="AF567" i="70"/>
  <c r="AG567" i="70" s="1"/>
  <c r="AE568" i="70"/>
  <c r="AF568" i="70" l="1"/>
  <c r="AG568" i="70" s="1"/>
  <c r="AE569" i="70"/>
  <c r="AI567" i="70"/>
  <c r="AJ567" i="70"/>
  <c r="AH567" i="70"/>
  <c r="AI568" i="70" l="1"/>
  <c r="AH568" i="70"/>
  <c r="AJ568" i="70"/>
  <c r="AF569" i="70"/>
  <c r="AG569" i="70" s="1"/>
  <c r="AE570" i="70"/>
  <c r="AF570" i="70" l="1"/>
  <c r="AG570" i="70" s="1"/>
  <c r="AE571" i="70"/>
  <c r="AJ569" i="70"/>
  <c r="AH569" i="70"/>
  <c r="AI569" i="70"/>
  <c r="AI570" i="70" l="1"/>
  <c r="AH570" i="70"/>
  <c r="AJ570" i="70"/>
  <c r="AF571" i="70"/>
  <c r="AG571" i="70" s="1"/>
  <c r="AE572" i="70"/>
  <c r="AF572" i="70" l="1"/>
  <c r="AG572" i="70" s="1"/>
  <c r="AE573" i="70"/>
  <c r="AJ571" i="70"/>
  <c r="AH571" i="70"/>
  <c r="AI571" i="70"/>
  <c r="AH572" i="70" l="1"/>
  <c r="AJ572" i="70"/>
  <c r="AI572" i="70"/>
  <c r="AF573" i="70"/>
  <c r="AG573" i="70" s="1"/>
  <c r="AE574" i="70"/>
  <c r="AF574" i="70" l="1"/>
  <c r="AG574" i="70" s="1"/>
  <c r="AE575" i="70"/>
  <c r="AI573" i="70"/>
  <c r="AJ573" i="70"/>
  <c r="AH573" i="70"/>
  <c r="AH574" i="70" l="1"/>
  <c r="AJ574" i="70"/>
  <c r="AI574" i="70"/>
  <c r="AF575" i="70"/>
  <c r="AG575" i="70" s="1"/>
  <c r="AE576" i="70"/>
  <c r="AF576" i="70" l="1"/>
  <c r="AG576" i="70" s="1"/>
  <c r="AE577" i="70"/>
  <c r="AI575" i="70"/>
  <c r="AJ575" i="70"/>
  <c r="AH575" i="70"/>
  <c r="AH576" i="70" l="1"/>
  <c r="AI576" i="70"/>
  <c r="AJ576" i="70"/>
  <c r="AF577" i="70"/>
  <c r="AG577" i="70" s="1"/>
  <c r="AE578" i="70"/>
  <c r="AF578" i="70" l="1"/>
  <c r="AG578" i="70" s="1"/>
  <c r="AE579" i="70"/>
  <c r="AJ577" i="70"/>
  <c r="AI577" i="70"/>
  <c r="AH577" i="70"/>
  <c r="AI578" i="70" l="1"/>
  <c r="AJ578" i="70"/>
  <c r="AH578" i="70"/>
  <c r="AF579" i="70"/>
  <c r="AG579" i="70" s="1"/>
  <c r="AE580" i="70"/>
  <c r="AF580" i="70" l="1"/>
  <c r="AG580" i="70" s="1"/>
  <c r="AE581" i="70"/>
  <c r="AH579" i="70"/>
  <c r="AJ579" i="70"/>
  <c r="AI579" i="70"/>
  <c r="AI580" i="70" l="1"/>
  <c r="AH580" i="70"/>
  <c r="AJ580" i="70"/>
  <c r="AF581" i="70"/>
  <c r="AG581" i="70" s="1"/>
  <c r="AE582" i="70"/>
  <c r="AF582" i="70" l="1"/>
  <c r="AG582" i="70" s="1"/>
  <c r="AE583" i="70"/>
  <c r="AJ581" i="70"/>
  <c r="AH581" i="70"/>
  <c r="AI581" i="70"/>
  <c r="AH582" i="70" l="1"/>
  <c r="AJ582" i="70"/>
  <c r="AI582" i="70"/>
  <c r="AF583" i="70"/>
  <c r="AG583" i="70" s="1"/>
  <c r="AE584" i="70"/>
  <c r="AF584" i="70" l="1"/>
  <c r="AG584" i="70" s="1"/>
  <c r="AE585" i="70"/>
  <c r="AI583" i="70"/>
  <c r="AJ583" i="70"/>
  <c r="AH583" i="70"/>
  <c r="AI584" i="70" l="1"/>
  <c r="AH584" i="70"/>
  <c r="AJ584" i="70"/>
  <c r="AF585" i="70"/>
  <c r="AG585" i="70" s="1"/>
  <c r="AE586" i="70"/>
  <c r="AF586" i="70" l="1"/>
  <c r="AG586" i="70" s="1"/>
  <c r="AE587" i="70"/>
  <c r="AJ585" i="70"/>
  <c r="AH585" i="70"/>
  <c r="AI585" i="70"/>
  <c r="AH586" i="70" l="1"/>
  <c r="AJ586" i="70"/>
  <c r="AI586" i="70"/>
  <c r="AF587" i="70"/>
  <c r="AG587" i="70" s="1"/>
  <c r="AE588" i="70"/>
  <c r="AF588" i="70" l="1"/>
  <c r="AG588" i="70" s="1"/>
  <c r="AE589" i="70"/>
  <c r="AI587" i="70"/>
  <c r="AJ587" i="70"/>
  <c r="AH587" i="70"/>
  <c r="AH588" i="70" l="1"/>
  <c r="AJ588" i="70"/>
  <c r="AI588" i="70"/>
  <c r="AF589" i="70"/>
  <c r="AG589" i="70" s="1"/>
  <c r="AE590" i="70"/>
  <c r="AF590" i="70" l="1"/>
  <c r="AG590" i="70" s="1"/>
  <c r="AE591" i="70"/>
  <c r="AI589" i="70"/>
  <c r="AJ589" i="70"/>
  <c r="AH589" i="70"/>
  <c r="AI590" i="70" l="1"/>
  <c r="AH590" i="70"/>
  <c r="AJ590" i="70"/>
  <c r="AF591" i="70"/>
  <c r="AG591" i="70" s="1"/>
  <c r="AE592" i="70"/>
  <c r="AF592" i="70" l="1"/>
  <c r="AG592" i="70" s="1"/>
  <c r="AE593" i="70"/>
  <c r="AJ591" i="70"/>
  <c r="AH591" i="70"/>
  <c r="AI591" i="70"/>
  <c r="AI592" i="70" l="1"/>
  <c r="AJ592" i="70"/>
  <c r="AH592" i="70"/>
  <c r="AF593" i="70"/>
  <c r="AG593" i="70" s="1"/>
  <c r="AE594" i="70"/>
  <c r="AF594" i="70" l="1"/>
  <c r="AG594" i="70" s="1"/>
  <c r="AE595" i="70"/>
  <c r="AH593" i="70"/>
  <c r="AJ593" i="70"/>
  <c r="AI593" i="70"/>
  <c r="AJ594" i="70" l="1"/>
  <c r="AI594" i="70"/>
  <c r="AH594" i="70"/>
  <c r="AF595" i="70"/>
  <c r="AG595" i="70" s="1"/>
  <c r="AE596" i="70"/>
  <c r="AF596" i="70" l="1"/>
  <c r="AG596" i="70" s="1"/>
  <c r="AE597" i="70"/>
  <c r="AH595" i="70"/>
  <c r="AI595" i="70"/>
  <c r="AJ595" i="70"/>
  <c r="AH596" i="70" l="1"/>
  <c r="AJ596" i="70"/>
  <c r="AI596" i="70"/>
  <c r="AF597" i="70"/>
  <c r="AG597" i="70" s="1"/>
  <c r="AE598" i="70"/>
  <c r="AF598" i="70" l="1"/>
  <c r="AG598" i="70" s="1"/>
  <c r="AE599" i="70"/>
  <c r="AI597" i="70"/>
  <c r="AJ597" i="70"/>
  <c r="AH597" i="70"/>
  <c r="AH598" i="70" l="1"/>
  <c r="AI598" i="70"/>
  <c r="AJ598" i="70"/>
  <c r="AF599" i="70"/>
  <c r="AG599" i="70" s="1"/>
  <c r="AE600" i="70"/>
  <c r="AF600" i="70" l="1"/>
  <c r="AG600" i="70" s="1"/>
  <c r="AE601" i="70"/>
  <c r="AJ599" i="70"/>
  <c r="AI599" i="70"/>
  <c r="AH599" i="70"/>
  <c r="AH600" i="70" l="1"/>
  <c r="AI600" i="70"/>
  <c r="AJ600" i="70"/>
  <c r="AF601" i="70"/>
  <c r="AG601" i="70" s="1"/>
  <c r="AE602" i="70"/>
  <c r="AF602" i="70" s="1"/>
  <c r="AG602" i="70" l="1"/>
  <c r="AG1" i="70" s="1"/>
  <c r="J8" i="10" s="1"/>
  <c r="AF1" i="70"/>
  <c r="AE1" i="70"/>
  <c r="AJ601" i="70"/>
  <c r="AI601" i="70"/>
  <c r="AH601" i="70"/>
  <c r="O3" i="4" l="1"/>
  <c r="C3" i="5"/>
  <c r="AH602" i="70"/>
  <c r="R49" i="11"/>
  <c r="Z6" i="11" s="1"/>
  <c r="AI602" i="70"/>
  <c r="S49" i="11"/>
  <c r="Z5" i="11" s="1"/>
  <c r="L7" i="4" s="1"/>
  <c r="AJ602" i="70"/>
  <c r="T49" i="11"/>
  <c r="Z7" i="11" s="1"/>
  <c r="F3" i="10" l="1"/>
  <c r="I6" i="10"/>
  <c r="J6" i="10" s="1"/>
  <c r="I3" i="10"/>
  <c r="H6" i="10"/>
  <c r="G6" i="10"/>
  <c r="F7" i="10" s="1"/>
  <c r="H3" i="10"/>
  <c r="L6" i="4"/>
  <c r="G3" i="10"/>
  <c r="D61" i="57"/>
  <c r="F6" i="10"/>
  <c r="I7" i="10" l="1"/>
  <c r="J7" i="10" s="1"/>
  <c r="G7" i="10"/>
  <c r="K65" i="10" s="1"/>
  <c r="K71" i="10" s="1"/>
  <c r="H7" i="10"/>
  <c r="I43" i="10"/>
  <c r="I65" i="10"/>
  <c r="Q14" i="10"/>
  <c r="J3" i="10"/>
  <c r="Q41" i="10"/>
  <c r="I85" i="10"/>
  <c r="I76" i="10"/>
  <c r="I94" i="10"/>
  <c r="I103" i="10"/>
  <c r="K103" i="10" l="1"/>
  <c r="K76" i="10"/>
  <c r="K94" i="10"/>
  <c r="K85" i="10"/>
  <c r="D46" i="10"/>
  <c r="C42" i="10" s="1"/>
  <c r="A51" i="10" s="1"/>
  <c r="Q16" i="10"/>
  <c r="D43" i="10"/>
  <c r="C45" i="10" s="1"/>
  <c r="K43" i="10"/>
  <c r="K49" i="10" s="1"/>
  <c r="Q51" i="29" s="1"/>
  <c r="M43" i="10"/>
  <c r="M49" i="10" s="1"/>
  <c r="I49" i="10"/>
  <c r="L49" i="10" s="1"/>
  <c r="I54" i="10"/>
  <c r="J43" i="10"/>
  <c r="I71" i="10"/>
  <c r="J71" i="10" s="1"/>
  <c r="J65" i="10"/>
  <c r="M85" i="10"/>
  <c r="J85" i="10"/>
  <c r="L65" i="10"/>
  <c r="L64" i="10"/>
  <c r="J76" i="10"/>
  <c r="M76" i="10"/>
  <c r="J103" i="10"/>
  <c r="M103" i="10"/>
  <c r="M94" i="10"/>
  <c r="J94" i="10"/>
  <c r="Q57" i="29" l="1"/>
  <c r="D51" i="10"/>
  <c r="C44" i="10"/>
  <c r="C54" i="10" s="1"/>
  <c r="C47" i="10"/>
  <c r="Q59" i="29"/>
  <c r="D20" i="57"/>
  <c r="D47" i="57"/>
  <c r="H71" i="10"/>
  <c r="Q41" i="29"/>
  <c r="D26" i="57"/>
  <c r="D8" i="57"/>
  <c r="E8" i="57" s="1"/>
  <c r="D18" i="57"/>
  <c r="E18" i="57" s="1"/>
  <c r="D50" i="57"/>
  <c r="D52" i="57"/>
  <c r="D10" i="57"/>
  <c r="AV39" i="30"/>
  <c r="I60" i="10"/>
  <c r="J60" i="10" s="1"/>
  <c r="J54" i="10"/>
  <c r="K54" i="10"/>
  <c r="K60" i="10" s="1"/>
  <c r="M54" i="10"/>
  <c r="M60" i="10" s="1"/>
  <c r="H49" i="10"/>
  <c r="J49" i="10"/>
  <c r="Q39" i="29"/>
  <c r="Q37" i="29"/>
  <c r="M65" i="10"/>
  <c r="M71" i="10" s="1"/>
  <c r="L71" i="10"/>
  <c r="Y17" i="5" l="1"/>
  <c r="X4" i="29"/>
  <c r="C53" i="10"/>
  <c r="C57" i="10"/>
  <c r="C59" i="10"/>
  <c r="C55" i="10"/>
  <c r="A52" i="10"/>
  <c r="C60" i="10"/>
  <c r="A54" i="10"/>
  <c r="D54" i="10"/>
  <c r="C52" i="10"/>
  <c r="D60" i="10"/>
  <c r="D52" i="10"/>
  <c r="C58" i="10"/>
  <c r="D59" i="10"/>
  <c r="D55" i="10"/>
  <c r="B52" i="10"/>
  <c r="B57" i="10"/>
  <c r="A58" i="10"/>
  <c r="A53" i="10"/>
  <c r="B56" i="10"/>
  <c r="C51" i="10"/>
  <c r="A57" i="10"/>
  <c r="B53" i="10"/>
  <c r="A59" i="10"/>
  <c r="C56" i="10"/>
  <c r="B51" i="10"/>
  <c r="B58" i="10"/>
  <c r="B55" i="10"/>
  <c r="D53" i="10"/>
  <c r="A55" i="10"/>
  <c r="A60" i="10"/>
  <c r="D56" i="10"/>
  <c r="B54" i="10"/>
  <c r="A56" i="10"/>
  <c r="D58" i="10"/>
  <c r="D57" i="10"/>
  <c r="B59" i="10"/>
  <c r="B60" i="10"/>
  <c r="AV42" i="30"/>
  <c r="AV44" i="30"/>
  <c r="H60" i="10"/>
  <c r="L60" i="10"/>
  <c r="D61" i="10" l="1"/>
  <c r="D45" i="10" s="1"/>
  <c r="C61" i="10"/>
  <c r="D47" i="10" s="1"/>
  <c r="W20" i="29" s="1"/>
  <c r="A61" i="10"/>
  <c r="D42" i="10" s="1"/>
  <c r="B61" i="10"/>
  <c r="D44" i="10" s="1"/>
  <c r="AV45" i="30"/>
  <c r="Y16" i="5" s="1"/>
  <c r="Y20" i="29" l="1"/>
  <c r="X20" i="29"/>
  <c r="D48" i="10"/>
  <c r="F4" i="10" s="1"/>
  <c r="I102" i="10" s="1"/>
  <c r="J102" i="10" s="1"/>
  <c r="W22" i="29" l="1"/>
  <c r="Q33" i="10" s="1"/>
  <c r="I4" i="10"/>
  <c r="J4" i="10" s="1"/>
  <c r="O2" i="4" s="1"/>
  <c r="G4" i="10"/>
  <c r="K42" i="10" s="1"/>
  <c r="K47" i="10" s="1"/>
  <c r="D16" i="57" s="1"/>
  <c r="H4" i="10"/>
  <c r="I93" i="10"/>
  <c r="J93" i="10" s="1"/>
  <c r="I75" i="10"/>
  <c r="M75" i="10" s="1"/>
  <c r="M80" i="10" s="1"/>
  <c r="I64" i="10"/>
  <c r="I70" i="10" s="1"/>
  <c r="J70" i="10" s="1"/>
  <c r="I42" i="10"/>
  <c r="M42" i="10" s="1"/>
  <c r="M48" i="10" s="1"/>
  <c r="I84" i="10"/>
  <c r="I89" i="10" s="1"/>
  <c r="J89" i="10" s="1"/>
  <c r="I107" i="10"/>
  <c r="J107" i="10" s="1"/>
  <c r="M102" i="10"/>
  <c r="M107" i="10" s="1"/>
  <c r="D58" i="57" l="1"/>
  <c r="E58" i="57" s="1"/>
  <c r="C2" i="5"/>
  <c r="Q19" i="10"/>
  <c r="Q20" i="10" s="1"/>
  <c r="Q46" i="10" s="1"/>
  <c r="D21" i="57"/>
  <c r="D15" i="57"/>
  <c r="D28" i="57"/>
  <c r="D4" i="57"/>
  <c r="D55" i="57"/>
  <c r="D13" i="57"/>
  <c r="K75" i="10"/>
  <c r="K80" i="10" s="1"/>
  <c r="D60" i="57"/>
  <c r="K93" i="10"/>
  <c r="K98" i="10" s="1"/>
  <c r="J75" i="10"/>
  <c r="K102" i="10"/>
  <c r="K107" i="10" s="1"/>
  <c r="D14" i="57"/>
  <c r="I98" i="10"/>
  <c r="J98" i="10" s="1"/>
  <c r="K64" i="10"/>
  <c r="K69" i="10" s="1"/>
  <c r="K84" i="10"/>
  <c r="K89" i="10" s="1"/>
  <c r="L70" i="10"/>
  <c r="H70" i="10"/>
  <c r="K70" i="10" s="1"/>
  <c r="I80" i="10"/>
  <c r="J80" i="10" s="1"/>
  <c r="M93" i="10"/>
  <c r="M98" i="10" s="1"/>
  <c r="M64" i="10"/>
  <c r="M69" i="10" s="1"/>
  <c r="J64" i="10"/>
  <c r="H89" i="10"/>
  <c r="I69" i="10"/>
  <c r="J69" i="10" s="1"/>
  <c r="L89" i="10"/>
  <c r="D27" i="57" s="1"/>
  <c r="M47" i="10"/>
  <c r="I53" i="10"/>
  <c r="K53" i="10" s="1"/>
  <c r="K58" i="10" s="1"/>
  <c r="D5" i="57" s="1"/>
  <c r="I48" i="10"/>
  <c r="L48" i="10" s="1"/>
  <c r="D25" i="57" s="1"/>
  <c r="J42" i="10"/>
  <c r="I47" i="10"/>
  <c r="H47" i="10" s="1"/>
  <c r="J84" i="10"/>
  <c r="M84" i="10"/>
  <c r="M89" i="10" s="1"/>
  <c r="L107" i="10"/>
  <c r="D48" i="57" s="1"/>
  <c r="E48" i="57" s="1"/>
  <c r="H107" i="10"/>
  <c r="W29" i="27" l="1"/>
  <c r="Q31" i="10"/>
  <c r="L98" i="10"/>
  <c r="D56" i="57" s="1"/>
  <c r="H98" i="10"/>
  <c r="L80" i="10"/>
  <c r="D2" i="57" s="1"/>
  <c r="E2" i="57" s="1"/>
  <c r="H80" i="10"/>
  <c r="M70" i="10"/>
  <c r="H69" i="10"/>
  <c r="L69" i="10"/>
  <c r="D12" i="57"/>
  <c r="E12" i="57" s="1"/>
  <c r="D51" i="57"/>
  <c r="M53" i="10"/>
  <c r="M59" i="10" s="1"/>
  <c r="D23" i="57"/>
  <c r="I59" i="10"/>
  <c r="H59" i="10" s="1"/>
  <c r="K59" i="10" s="1"/>
  <c r="H48" i="10"/>
  <c r="K48" i="10" s="1"/>
  <c r="D22" i="57"/>
  <c r="J48" i="10"/>
  <c r="D17" i="57"/>
  <c r="E17" i="57" s="1"/>
  <c r="Q5" i="29"/>
  <c r="Q9" i="29"/>
  <c r="D49" i="57"/>
  <c r="Q7" i="29"/>
  <c r="D7" i="57"/>
  <c r="E7" i="57" s="1"/>
  <c r="J53" i="10"/>
  <c r="I58" i="10"/>
  <c r="L47" i="10"/>
  <c r="Q34" i="10" s="1"/>
  <c r="D9" i="57"/>
  <c r="J47" i="10"/>
  <c r="AF71" i="5"/>
  <c r="Q29" i="29" l="1"/>
  <c r="AC14" i="29"/>
  <c r="AC13" i="29" s="1"/>
  <c r="Y11" i="5"/>
  <c r="X2" i="29"/>
  <c r="X6" i="29" s="1"/>
  <c r="AF70" i="5"/>
  <c r="Y29" i="27"/>
  <c r="M58" i="10"/>
  <c r="Q19" i="29"/>
  <c r="Q26" i="29"/>
  <c r="J59" i="10"/>
  <c r="Q25" i="29"/>
  <c r="L59" i="10"/>
  <c r="D19" i="57"/>
  <c r="D46" i="57"/>
  <c r="AT39" i="30"/>
  <c r="D37" i="57"/>
  <c r="D40" i="57"/>
  <c r="E62" i="57"/>
  <c r="D54" i="57"/>
  <c r="D30" i="57"/>
  <c r="J58" i="10"/>
  <c r="L58" i="10"/>
  <c r="D32" i="57"/>
  <c r="D57" i="57"/>
  <c r="D41" i="57"/>
  <c r="D24" i="57"/>
  <c r="D44" i="57"/>
  <c r="D3" i="57"/>
  <c r="D35" i="57"/>
  <c r="D38" i="57"/>
  <c r="D43" i="57"/>
  <c r="D31" i="57"/>
  <c r="H58" i="10"/>
  <c r="AF48" i="27"/>
  <c r="AG48" i="27" s="1"/>
  <c r="AH48" i="27" s="1"/>
  <c r="AI48" i="27" s="1"/>
  <c r="AJ48" i="27" s="1"/>
  <c r="AK48" i="27" s="1"/>
  <c r="AL48" i="27" s="1"/>
  <c r="AM48" i="27" s="1"/>
  <c r="AN48" i="27" s="1"/>
  <c r="AO48" i="27" s="1"/>
  <c r="AP48" i="27" s="1"/>
  <c r="AQ48" i="27" s="1"/>
  <c r="AR48" i="27" s="1"/>
  <c r="AS48" i="27" s="1"/>
  <c r="AT48" i="27" s="1"/>
  <c r="AU48" i="27" s="1"/>
  <c r="AV48" i="27" s="1"/>
  <c r="AW48" i="27" s="1"/>
  <c r="AX48" i="27" s="1"/>
  <c r="AF33" i="27"/>
  <c r="AF34" i="27" s="1"/>
  <c r="AF35" i="27" s="1"/>
  <c r="AF36" i="27" s="1"/>
  <c r="AF37" i="27" s="1"/>
  <c r="AF38" i="27" s="1"/>
  <c r="AF39" i="27" s="1"/>
  <c r="AF40" i="27" s="1"/>
  <c r="AF41" i="27" s="1"/>
  <c r="D34" i="57"/>
  <c r="D33" i="57"/>
  <c r="D36" i="57"/>
  <c r="D42" i="57"/>
  <c r="D39" i="57"/>
  <c r="D11" i="57"/>
  <c r="Y31" i="27"/>
  <c r="Y11" i="27"/>
  <c r="Y7" i="27"/>
  <c r="Y23" i="27"/>
  <c r="Y33" i="27"/>
  <c r="Y30" i="27"/>
  <c r="Y22" i="27"/>
  <c r="Y13" i="27"/>
  <c r="Y19" i="27"/>
  <c r="Y39" i="27"/>
  <c r="Y5" i="27"/>
  <c r="Y34" i="27"/>
  <c r="Y12" i="27"/>
  <c r="Y18" i="27"/>
  <c r="Y36" i="27"/>
  <c r="Y28" i="27"/>
  <c r="Y24" i="27"/>
  <c r="Y9" i="27"/>
  <c r="Y4" i="27"/>
  <c r="Y8" i="27"/>
  <c r="Y32" i="27"/>
  <c r="Y3" i="27"/>
  <c r="Y25" i="27"/>
  <c r="Y26" i="27"/>
  <c r="Y20" i="27"/>
  <c r="Y27" i="27"/>
  <c r="Y15" i="27"/>
  <c r="Y16" i="27"/>
  <c r="Y17" i="27"/>
  <c r="Y21" i="27"/>
  <c r="Y14" i="27"/>
  <c r="Y38" i="27"/>
  <c r="Y37" i="27"/>
  <c r="Y2" i="27"/>
  <c r="Y10" i="27"/>
  <c r="Y6" i="27"/>
  <c r="Y35" i="27"/>
  <c r="AD23" i="29" l="1"/>
  <c r="AD22" i="29"/>
  <c r="AD24" i="29"/>
  <c r="AC16" i="29"/>
  <c r="AD21" i="29"/>
  <c r="AD25" i="29"/>
  <c r="X10" i="27"/>
  <c r="X17" i="27"/>
  <c r="X13" i="27"/>
  <c r="X11" i="27"/>
  <c r="X37" i="27"/>
  <c r="X20" i="27"/>
  <c r="X22" i="27"/>
  <c r="X39" i="27"/>
  <c r="X36" i="27"/>
  <c r="X4" i="27"/>
  <c r="X2" i="27"/>
  <c r="X33" i="27"/>
  <c r="X5" i="27"/>
  <c r="X34" i="27"/>
  <c r="X27" i="27"/>
  <c r="X18" i="27"/>
  <c r="X31" i="27"/>
  <c r="X38" i="27"/>
  <c r="X35" i="27"/>
  <c r="X28" i="27"/>
  <c r="X6" i="27"/>
  <c r="X3" i="27"/>
  <c r="X23" i="27"/>
  <c r="X14" i="27"/>
  <c r="X32" i="27"/>
  <c r="X12" i="27"/>
  <c r="X26" i="27"/>
  <c r="X21" i="27"/>
  <c r="X19" i="27"/>
  <c r="X24" i="27"/>
  <c r="X9" i="27"/>
  <c r="X8" i="27"/>
  <c r="X25" i="27"/>
  <c r="X15" i="27"/>
  <c r="X16" i="27"/>
  <c r="X30" i="27"/>
  <c r="X7" i="27"/>
  <c r="X29" i="27"/>
  <c r="AT42" i="30"/>
  <c r="AT44" i="30"/>
  <c r="AF42" i="27"/>
  <c r="AF43" i="27" s="1"/>
  <c r="D29" i="57" s="1"/>
  <c r="AY48" i="27"/>
  <c r="AZ48" i="27" s="1"/>
  <c r="D59" i="57" s="1"/>
  <c r="AF24" i="29" l="1"/>
  <c r="AF23" i="29"/>
  <c r="AF21" i="29"/>
  <c r="AF22" i="29"/>
  <c r="AC21" i="29"/>
  <c r="AC20" i="29"/>
  <c r="AC22" i="29"/>
  <c r="AC23" i="29"/>
  <c r="AC24" i="29"/>
  <c r="AT45" i="30"/>
  <c r="AC25" i="29" l="1"/>
  <c r="AC27" i="29" s="1"/>
  <c r="AE27" i="29"/>
  <c r="AE26" i="29"/>
  <c r="I15" i="10"/>
  <c r="Y10" i="5"/>
  <c r="AC26" i="29" l="1"/>
  <c r="AD28" i="29" s="1"/>
  <c r="Q53" i="29" s="1"/>
  <c r="J15" i="10"/>
  <c r="Q21" i="29" l="1"/>
  <c r="Y12" i="5"/>
  <c r="X3" i="29"/>
  <c r="I13" i="10" s="1"/>
  <c r="X5" i="29"/>
  <c r="I14" i="10" s="1"/>
  <c r="J14" i="10" s="1"/>
  <c r="Y18" i="5"/>
  <c r="J13" i="10" l="1"/>
  <c r="I16" i="10"/>
  <c r="C5" i="5" l="1"/>
  <c r="O5" i="4"/>
  <c r="J16" i="10"/>
  <c r="B3" i="4" l="1"/>
  <c r="C6" i="5"/>
  <c r="P5" i="4"/>
  <c r="O6" i="4"/>
  <c r="O8" i="4" s="1"/>
  <c r="P4" i="4"/>
  <c r="P3" i="4"/>
  <c r="G1" i="71"/>
  <c r="G4" i="71" s="1"/>
  <c r="I4" i="71" s="1"/>
  <c r="J52" i="11"/>
  <c r="M52" i="11" s="1"/>
  <c r="P2" i="4"/>
  <c r="D4" i="5" l="1"/>
  <c r="D5" i="5"/>
  <c r="C8" i="5"/>
  <c r="D8" i="5" s="1"/>
  <c r="D3" i="5"/>
  <c r="D2" i="5"/>
  <c r="L8" i="4"/>
  <c r="B6" i="4"/>
  <c r="D6" i="5" l="1"/>
  <c r="D6" i="4"/>
  <c r="P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77" authorId="0" shapeId="0" xr:uid="{00000000-0006-0000-0100-000001000000}">
      <text>
        <r>
          <rPr>
            <b/>
            <sz val="8"/>
            <color indexed="81"/>
            <rFont val="Tahoma"/>
            <family val="2"/>
          </rPr>
          <t>Author:</t>
        </r>
        <r>
          <rPr>
            <sz val="8"/>
            <color indexed="81"/>
            <rFont val="Tahoma"/>
            <family val="2"/>
          </rPr>
          <t xml:space="preserve">
fixed
a small Mongoose bug</t>
        </r>
      </text>
    </comment>
    <comment ref="A578" authorId="0" shapeId="0" xr:uid="{00000000-0006-0000-0100-000002000000}">
      <text>
        <r>
          <rPr>
            <b/>
            <sz val="8"/>
            <color indexed="81"/>
            <rFont val="Tahoma"/>
            <family val="2"/>
          </rPr>
          <t>Author:</t>
        </r>
        <r>
          <rPr>
            <sz val="8"/>
            <color indexed="81"/>
            <rFont val="Tahoma"/>
            <family val="2"/>
          </rPr>
          <t xml:space="preserve">
fixed
A Bug with the dropdown List for Offhands.
Nextstat Swordspec Bug
Windfury only procs on non style Mainhand hits (Autoattack)
Ashtounge Talisman
changed
Drakefist form fix 40 haste to 212*10/(60/2.2)
Changed Import Macro, now you should import from old files
sorted Buffed DPS: Base DPS &lt;-&gt; Actual DPS
Tsunami Talisman proc
add
AEP without Macro (unfortunately not that exactly)
Insignia of the Mag'hari Hero 
Sanctity aura
Every Trinket and Ring now can only selected once. (Hope their all unique)
Option: Show only DPS Upgrades (will not work perfect, without Weapons)</t>
        </r>
      </text>
    </comment>
    <comment ref="A579" authorId="0" shapeId="0" xr:uid="{00000000-0006-0000-0100-000003000000}">
      <text>
        <r>
          <rPr>
            <b/>
            <sz val="8"/>
            <color indexed="81"/>
            <rFont val="Tahoma"/>
            <family val="2"/>
          </rPr>
          <t>Author:</t>
        </r>
        <r>
          <rPr>
            <sz val="8"/>
            <color indexed="81"/>
            <rFont val="Tahoma"/>
            <family val="2"/>
          </rPr>
          <t xml:space="preserve">
fixed
a small windfury bug for people with a non german PC
Ashtongue Talisman of Lethality now works correctly for non Mutilate Builds
changed
Feint can be choosen from 0 to 6 Feints per minute
Calculation for Hit/miss
add
Toggle for Metagem require</t>
        </r>
      </text>
    </comment>
    <comment ref="A580" authorId="0" shapeId="0" xr:uid="{00000000-0006-0000-0100-000004000000}">
      <text>
        <r>
          <rPr>
            <b/>
            <sz val="8"/>
            <color indexed="81"/>
            <rFont val="Tahoma"/>
            <family val="2"/>
          </rPr>
          <t>Author:</t>
        </r>
        <r>
          <rPr>
            <sz val="8"/>
            <color indexed="81"/>
            <rFont val="Tahoma"/>
            <family val="2"/>
          </rPr>
          <t xml:space="preserve">
changed
Ashtongue Talisman of Lethality, now based on the cycles &amp; now includes SnD (ups :) )
Changed Mongoose (Nextstat:O100) because of Windfury
Merciless Gladiator's Left Ripper speed to 1.5
Changed Evi static from 60 to (60+180)/2
Mutilate cycle, hope it's near on reality now
Chaged the Header
Boss-Base-Miss from 25.5% to 28% based on http://elitistjerks.com/469576-post500.html
Instant-Miss from 8.6% to 9%
Hit calculation for Boss-Mod based on http://elitistjerks.com/469576-post500.html
Changed Boss Dodge to 6.5%
added
Metagem now only works, when you got the required Gems. Metagem is turning red when the it's not working
fixed
a bug that the last Chest in the list was missing
a bug with the Nightblade buffed DPS
added the Gems for Blackout Truncheon</t>
        </r>
      </text>
    </comment>
    <comment ref="A581" authorId="0" shapeId="0" xr:uid="{00000000-0006-0000-0100-000005000000}">
      <text>
        <r>
          <rPr>
            <b/>
            <sz val="8"/>
            <color indexed="81"/>
            <rFont val="Tahoma"/>
            <family val="2"/>
          </rPr>
          <t>Author:</t>
        </r>
        <r>
          <rPr>
            <sz val="8"/>
            <color indexed="81"/>
            <rFont val="Tahoma"/>
            <family val="2"/>
          </rPr>
          <t xml:space="preserve">
removed
instant attacks in the formula for windfury
changed
Dragonspine Trophy internal cd -&gt; uptime: 15sek/min
Madness of the Betrayer (40% uptime)</t>
        </r>
      </text>
    </comment>
    <comment ref="A582" authorId="0" shapeId="0" xr:uid="{00000000-0006-0000-0100-000006000000}">
      <text>
        <r>
          <rPr>
            <b/>
            <sz val="8"/>
            <color indexed="81"/>
            <rFont val="Tahoma"/>
            <family val="2"/>
          </rPr>
          <t>Author:</t>
        </r>
        <r>
          <rPr>
            <sz val="8"/>
            <color indexed="81"/>
            <rFont val="Tahoma"/>
            <family val="2"/>
          </rPr>
          <t xml:space="preserve">
fixed
AEP buffed AP calculation
Ringlist
Warglaive of Azzinoth OH (hit -&gt; crit)
Unbuffed/Buffed Evi cycles
changed
Arcanite Steam-Pistol
Claw of the Phoenix
Fang of Vashj
Heartrazor
Rod of the Sun King
Serpent Spine Longbow
Serpentshrine Shuriken
Talon of Azshara
Talon of the Phoenix</t>
        </r>
      </text>
    </comment>
    <comment ref="A583" authorId="0" shapeId="0" xr:uid="{00000000-0006-0000-0100-000007000000}">
      <text>
        <r>
          <rPr>
            <b/>
            <sz val="8"/>
            <color indexed="81"/>
            <rFont val="Tahoma"/>
            <family val="2"/>
          </rPr>
          <t>Author:</t>
        </r>
        <r>
          <rPr>
            <sz val="8"/>
            <color indexed="81"/>
            <rFont val="Tahoma"/>
            <family val="2"/>
          </rPr>
          <t xml:space="preserve">
added
Band of the Eternal Champion (1ppm)
Zul Aman support
Executioner Weapon Enchant (15sec Mainhand, 10sec Offhand uptime)
Solarian's Sapphire
Dagger of Bad Mojo
fixed
Imp Windfury Totem
changed
hasterating 10,5 -&gt; 15,7 rating -&gt; 1%
</t>
        </r>
      </text>
    </comment>
    <comment ref="A584" authorId="0" shapeId="0" xr:uid="{00000000-0006-0000-0100-000008000000}">
      <text>
        <r>
          <rPr>
            <b/>
            <sz val="8"/>
            <color indexed="81"/>
            <rFont val="Tahoma"/>
            <family val="2"/>
          </rPr>
          <t>Author:</t>
        </r>
        <r>
          <rPr>
            <sz val="8"/>
            <color indexed="81"/>
            <rFont val="Tahoma"/>
            <family val="2"/>
          </rPr>
          <t xml:space="preserve">
fixed
a Problem with the Gem search
a Problem with some Enchants</t>
        </r>
      </text>
    </comment>
    <comment ref="A585" authorId="0" shapeId="0" xr:uid="{00000000-0006-0000-0100-000009000000}">
      <text>
        <r>
          <rPr>
            <b/>
            <sz val="8"/>
            <color indexed="81"/>
            <rFont val="Tahoma"/>
            <family val="2"/>
          </rPr>
          <t>Author:</t>
        </r>
        <r>
          <rPr>
            <sz val="8"/>
            <color indexed="81"/>
            <rFont val="Tahoma"/>
            <family val="2"/>
          </rPr>
          <t xml:space="preserve">
added
Include racial button (Racials Change, Troll Berserk 20% cost 10 Energy every 3 min; Blood Elf gives all 2 Mins 30 Energy)
unique Gems can only taken 1 per Equip now
Choose for Upgrade search which data you want. Buffed DPS, unbuffed DPS or Both
5 ranks of misery
Hemorrhage Boss debuff
deleted Items (Band of Anguish, Blackhand Breath, Blackout Trunchen)
AP Factor for all cycles
Import-Choose (Want to import Equip, Gear and/or Buffs)
Ring of the Recalcitrant
changed
Saveplace for import/export Macro, should now work on all OS and the added sheet will be deleted after import
</t>
        </r>
      </text>
    </comment>
    <comment ref="A586" authorId="0" shapeId="0" xr:uid="{00000000-0006-0000-0100-00000A000000}">
      <text>
        <r>
          <rPr>
            <b/>
            <sz val="8"/>
            <color indexed="81"/>
            <rFont val="Tahoma"/>
            <family val="2"/>
          </rPr>
          <t>Author:</t>
        </r>
        <r>
          <rPr>
            <sz val="8"/>
            <color indexed="81"/>
            <rFont val="Tahoma"/>
            <family val="2"/>
          </rPr>
          <t xml:space="preserve">
fixed
socketbonus
changed
Bloodfrenzy now got 2 ranks and is a debuff
Improved Hunter's Mark now got 5 ranks and is a debuff
Ferocious Inspiration now got 3 ranks and you can select how many Hunters are in your group
</t>
        </r>
      </text>
    </comment>
    <comment ref="A587" authorId="0" shapeId="0" xr:uid="{00000000-0006-0000-0100-00000B000000}">
      <text>
        <r>
          <rPr>
            <b/>
            <sz val="8"/>
            <color indexed="81"/>
            <rFont val="Tahoma"/>
            <family val="2"/>
          </rPr>
          <t>Author:</t>
        </r>
        <r>
          <rPr>
            <sz val="8"/>
            <color indexed="81"/>
            <rFont val="Tahoma"/>
            <family val="2"/>
          </rPr>
          <t xml:space="preserve">
added
Equip Options (Gemquality)
Equip Options (Enchanter)
</t>
        </r>
      </text>
    </comment>
    <comment ref="A588" authorId="0" shapeId="0" xr:uid="{00000000-0006-0000-0100-00000C000000}">
      <text>
        <r>
          <rPr>
            <b/>
            <sz val="8"/>
            <color indexed="81"/>
            <rFont val="Tahoma"/>
            <family val="2"/>
          </rPr>
          <t>Author:</t>
        </r>
        <r>
          <rPr>
            <sz val="8"/>
            <color indexed="81"/>
            <rFont val="Tahoma"/>
            <family val="2"/>
          </rPr>
          <t xml:space="preserve">
added
Gear Options (Itemchoose based on droplocation)
Feint every 10 seconds (only the Energy cost)
Metasocketcontrol for AEP
Changed
Dodge/rat and Haste/rat now use exact formulas
Export/Import subroutine. Hopefully the last change for a long time
Subroutine for Gearupgrade, now MinimumDPS and fxied buffedDPS
fixed
Socket 2 for Neck
</t>
        </r>
      </text>
    </comment>
    <comment ref="A589" authorId="0" shapeId="0" xr:uid="{00000000-0006-0000-0100-00000D000000}">
      <text>
        <r>
          <rPr>
            <b/>
            <sz val="8"/>
            <color indexed="81"/>
            <rFont val="Tahoma"/>
            <family val="2"/>
          </rPr>
          <t>Author:</t>
        </r>
        <r>
          <rPr>
            <sz val="8"/>
            <color indexed="81"/>
            <rFont val="Tahoma"/>
            <family val="2"/>
          </rPr>
          <t xml:space="preserve">
added
Band of Eternity 3rd
droplocation of all items
gem stats in gem names
fixed
Elixir of Major Agility
Thistle Tea
Flame Cap
removed
many low level items
some useless cells
</t>
        </r>
      </text>
    </comment>
    <comment ref="A590" authorId="0" shapeId="0" xr:uid="{00000000-0006-0000-0100-00000E000000}">
      <text>
        <r>
          <rPr>
            <b/>
            <sz val="8"/>
            <color indexed="81"/>
            <rFont val="Tahoma"/>
            <family val="2"/>
          </rPr>
          <t>Author:</t>
        </r>
        <r>
          <rPr>
            <sz val="8"/>
            <color indexed="81"/>
            <rFont val="Tahoma"/>
            <family val="2"/>
          </rPr>
          <t xml:space="preserve">
added
Weapon enchant Greater Agility (+20 Agility)
Shadowprowler's Chestguard
Cloak of Darkness
New gems: Rigit Bladestone, Delicate Fire Ruby, Crismon Sun, Stone of Blades, Fallen Star
DPS difference on talent page</t>
        </r>
      </text>
    </comment>
    <comment ref="A591" authorId="0" shapeId="0" xr:uid="{00000000-0006-0000-0100-00000F000000}">
      <text>
        <r>
          <rPr>
            <b/>
            <sz val="8"/>
            <color indexed="81"/>
            <rFont val="Tahoma"/>
            <family val="2"/>
          </rPr>
          <t>Author:</t>
        </r>
        <r>
          <rPr>
            <sz val="8"/>
            <color indexed="81"/>
            <rFont val="Tahoma"/>
            <family val="2"/>
          </rPr>
          <t xml:space="preserve">
fixed
Update Range had the wrong subroutine
Adamantite Dagger
Murder was calculated twice
AEP - Strength and Attack Power are not the same Value anymore
Cold Blood doesn't worked correct for Instants (BS, SS, Hemo)
changed
Set Hit per Weapon skill on 0,1% for Bossmode. 0,04% against nonBoss
Hit/rat, Crit/rat, Skill/rat now use exact formulas
Update for Upgrade subroutine
Some Macros will now work a little bit faster
2.2 Swordspec Changes
added
Gem &amp; Enchant Upgrade Search
Boundless Agony now also Offhand
Necklace of the Deep
second Gemslot for Neck
Thunderfury debuff
Socketcontrol for AEP, well the Itembonus is always calculated for now
</t>
        </r>
      </text>
    </comment>
    <comment ref="A592" authorId="0" shapeId="0" xr:uid="{00000000-0006-0000-0100-000010000000}">
      <text>
        <r>
          <rPr>
            <b/>
            <sz val="8"/>
            <color indexed="81"/>
            <rFont val="Tahoma"/>
            <family val="2"/>
          </rPr>
          <t>Author:</t>
        </r>
        <r>
          <rPr>
            <sz val="8"/>
            <color indexed="81"/>
            <rFont val="Tahoma"/>
            <family val="2"/>
          </rPr>
          <t xml:space="preserve">
changed
buffs/consumable view
added
buffs/consumable export/import
</t>
        </r>
      </text>
    </comment>
    <comment ref="A593" authorId="0" shapeId="0" xr:uid="{00000000-0006-0000-0100-000011000000}">
      <text>
        <r>
          <rPr>
            <b/>
            <sz val="8"/>
            <color indexed="81"/>
            <rFont val="Tahoma"/>
            <family val="2"/>
          </rPr>
          <t>Author:</t>
        </r>
        <r>
          <rPr>
            <sz val="8"/>
            <color indexed="81"/>
            <rFont val="Tahoma"/>
            <family val="2"/>
          </rPr>
          <t xml:space="preserve">
fixed
some Bugs in the Enveom Cycle
added
Cold Blood for Instants
Gear Upgrade Search. Thanks goes to Arioche for this
</t>
        </r>
      </text>
    </comment>
    <comment ref="A594" authorId="0" shapeId="0" xr:uid="{00000000-0006-0000-0100-000012000000}">
      <text>
        <r>
          <rPr>
            <b/>
            <sz val="8"/>
            <color indexed="81"/>
            <rFont val="Tahoma"/>
            <family val="2"/>
          </rPr>
          <t>Author:</t>
        </r>
        <r>
          <rPr>
            <sz val="8"/>
            <color indexed="81"/>
            <rFont val="Tahoma"/>
            <family val="2"/>
          </rPr>
          <t xml:space="preserve">
fixed
Gems again. Should work now
</t>
        </r>
      </text>
    </comment>
    <comment ref="A595" authorId="0" shapeId="0" xr:uid="{00000000-0006-0000-0100-000013000000}">
      <text>
        <r>
          <rPr>
            <b/>
            <sz val="8"/>
            <color indexed="81"/>
            <rFont val="Tahoma"/>
            <family val="2"/>
          </rPr>
          <t>Author:</t>
        </r>
        <r>
          <rPr>
            <sz val="8"/>
            <color indexed="81"/>
            <rFont val="Tahoma"/>
            <family val="2"/>
          </rPr>
          <t xml:space="preserve">
changed
Difference DPS coloring
Madness of the Betrayer 2,3ppm
added
Cursed Vision of Sargeras
Gear/Talent import/export macro</t>
        </r>
      </text>
    </comment>
    <comment ref="A596" authorId="0" shapeId="0" xr:uid="{00000000-0006-0000-0100-000014000000}">
      <text>
        <r>
          <rPr>
            <b/>
            <sz val="8"/>
            <color indexed="81"/>
            <rFont val="Tahoma"/>
            <family val="2"/>
          </rPr>
          <t>Author:</t>
        </r>
        <r>
          <rPr>
            <sz val="8"/>
            <color indexed="81"/>
            <rFont val="Tahoma"/>
            <family val="2"/>
          </rPr>
          <t xml:space="preserve">
changed
Procchance for Deathmantle 4p to 1.2 ppm
Hide unbuffed Cycles buffed Cycles
new Intro page
fixed
Buffed cycles (Evis / snd cut)</t>
        </r>
      </text>
    </comment>
    <comment ref="A597" authorId="0" shapeId="0" xr:uid="{00000000-0006-0000-0100-000015000000}">
      <text>
        <r>
          <rPr>
            <b/>
            <sz val="8"/>
            <color indexed="8"/>
            <rFont val="Times New Roman"/>
            <family val="1"/>
          </rPr>
          <t xml:space="preserve">mih:
</t>
        </r>
        <r>
          <rPr>
            <sz val="8"/>
            <color indexed="8"/>
            <rFont val="Times New Roman"/>
            <family val="1"/>
          </rPr>
          <t xml:space="preserve">fixed
Gems in Microsoft Office this time :)
</t>
        </r>
      </text>
    </comment>
    <comment ref="A598" authorId="0" shapeId="0" xr:uid="{00000000-0006-0000-0100-000016000000}">
      <text>
        <r>
          <rPr>
            <b/>
            <sz val="8"/>
            <color indexed="8"/>
            <rFont val="Times New Roman"/>
            <family val="1"/>
          </rPr>
          <t xml:space="preserve">mih:
</t>
        </r>
        <r>
          <rPr>
            <sz val="8"/>
            <color indexed="8"/>
            <rFont val="Times New Roman"/>
            <family val="1"/>
          </rPr>
          <t xml:space="preserve">added
Shard of Azzinoth
Save DPS Button now also on Talent page
fixed
Gems in Open Office
changed
small improvment for some Macros
</t>
        </r>
      </text>
    </comment>
    <comment ref="A599" authorId="0" shapeId="0" xr:uid="{00000000-0006-0000-0100-000017000000}">
      <text>
        <r>
          <rPr>
            <b/>
            <sz val="8"/>
            <color indexed="8"/>
            <rFont val="Times New Roman"/>
            <family val="1"/>
          </rPr>
          <t xml:space="preserve">mih:
</t>
        </r>
        <r>
          <rPr>
            <sz val="8"/>
            <color indexed="8"/>
            <rFont val="Times New Roman"/>
            <family val="1"/>
          </rPr>
          <t xml:space="preserve">added
Flametongue totem
Cold Blood (only Evis/Envenom)
Allow Envnom Button
fixed a bug Envenom taken as finisher despite DPS-loose
Curse of the Elements
Shadow weaving
Misery (hope I hadn't forget any Buff or Enchant)
changed
Blood Fenzy (should work better now)
fixed
AEP, AP and STR had been broken in the last version
Merciless Gladiator's Bonus
Slayer 4p Bonus for buffed DPS and Nextstat
Deathmantle 4p Bonus now affected by combat potency
removed
Thilste Tea on unbuffed DPS
Flamecap on unbuffed DPS
</t>
        </r>
      </text>
    </comment>
    <comment ref="A600" authorId="0" shapeId="0" xr:uid="{00000000-0006-0000-0100-000018000000}">
      <text>
        <r>
          <rPr>
            <b/>
            <sz val="8"/>
            <color indexed="8"/>
            <rFont val="Times New Roman"/>
            <family val="1"/>
          </rPr>
          <t xml:space="preserve">mih:
</t>
        </r>
        <r>
          <rPr>
            <sz val="8"/>
            <color indexed="8"/>
            <rFont val="Times New Roman"/>
            <family val="1"/>
          </rPr>
          <t xml:space="preserve">fixed
Slayer's Legguards now only have 1 blue socket
Kiss of the Spider
Emerald Ripper
Find Weakness
Buffed Cycle Evis/Snd cut
added
Anesthethic Poison
Wound Poison
Ferocious Inspiration (fix 3% more dmg, hunter sad it's nearly all the time up)
Bloodlust/Heroism (Build in the 10 min cooldown, don't wonder because of the low increase)
Sanctified Crusader
Deathmantle 4 Pieces Bonus (nearly) procchance 1,5%?
Ashtongue Talisman of Lethality (nearly, took 4CP for calc)
changed
Moved Mangle from Raid Buffs to Boss Debuffs
</t>
        </r>
      </text>
    </comment>
    <comment ref="A601" authorId="0" shapeId="0" xr:uid="{00000000-0006-0000-0100-000019000000}">
      <text>
        <r>
          <rPr>
            <b/>
            <sz val="8"/>
            <color indexed="8"/>
            <rFont val="Times New Roman"/>
            <family val="1"/>
          </rPr>
          <t xml:space="preserve">mih:
</t>
        </r>
        <r>
          <rPr>
            <sz val="8"/>
            <color indexed="8"/>
            <rFont val="Times New Roman"/>
            <family val="1"/>
          </rPr>
          <t xml:space="preserve">changed
Relentless Earthstorm Diamond formula- see http://elitistjerks.com/showthread.php?t=12595
fixed
The OO 'quick-fix' in 2.3.0d broke the nextstat and copy scripts, fixed them
</t>
        </r>
      </text>
    </comment>
    <comment ref="A602" authorId="0" shapeId="0" xr:uid="{00000000-0006-0000-0100-00001A000000}">
      <text>
        <r>
          <rPr>
            <b/>
            <sz val="8"/>
            <color indexed="8"/>
            <rFont val="Times New Roman"/>
            <family val="1"/>
          </rPr>
          <t xml:space="preserve">mih:
</t>
        </r>
        <r>
          <rPr>
            <sz val="8"/>
            <color indexed="8"/>
            <rFont val="Times New Roman"/>
            <family val="1"/>
          </rPr>
          <t xml:space="preserve">changed
Kiss of the Spider haste effect
fixed
Vambraces of Ending
added
Band of Vile Aggression
</t>
        </r>
        <r>
          <rPr>
            <b/>
            <sz val="8"/>
            <color indexed="8"/>
            <rFont val="Times New Roman"/>
            <family val="1"/>
          </rPr>
          <t xml:space="preserve">ellos
</t>
        </r>
        <r>
          <rPr>
            <sz val="8"/>
            <color indexed="8"/>
            <rFont val="Times New Roman"/>
            <family val="1"/>
          </rPr>
          <t xml:space="preserve">added
a new Column between the Equip and copy-Button on Gear_Buffs. Hope that quick fix the Problem with Open Office
changed
Shiv now calcs the AP Bonus dependently on the Offhand Type. (Swords 2,4, Daggers 1,7)
</t>
        </r>
      </text>
    </comment>
    <comment ref="A603" authorId="0" shapeId="0" xr:uid="{00000000-0006-0000-0100-00001B000000}">
      <text>
        <r>
          <rPr>
            <b/>
            <sz val="8"/>
            <color indexed="8"/>
            <rFont val="Times New Roman"/>
            <family val="1"/>
          </rPr>
          <t xml:space="preserve">mih:
</t>
        </r>
        <r>
          <rPr>
            <sz val="8"/>
            <color indexed="8"/>
            <rFont val="Times New Roman"/>
            <family val="1"/>
          </rPr>
          <t xml:space="preserve">changed
nextstat 2 window is now hidden
sort gems by color
removed
"white" gems (vendor gems)
added
Twins blades of Azzinoth
Warp Slicer (Kael'thas Bossfightonly)
Infinity Blade (Kael'thas Bossfight only)
</t>
        </r>
        <r>
          <rPr>
            <b/>
            <sz val="8"/>
            <color indexed="8"/>
            <rFont val="Times New Roman"/>
            <family val="1"/>
          </rPr>
          <t xml:space="preserve">Ellos
</t>
        </r>
        <r>
          <rPr>
            <sz val="8"/>
            <color indexed="8"/>
            <rFont val="Times New Roman"/>
            <family val="1"/>
          </rPr>
          <t xml:space="preserve">fixed
Mutilatecycle for Openoffice (I hope it works)
</t>
        </r>
      </text>
    </comment>
    <comment ref="A604" authorId="0" shapeId="0" xr:uid="{00000000-0006-0000-0100-00001C000000}">
      <text>
        <r>
          <rPr>
            <b/>
            <sz val="8"/>
            <color indexed="8"/>
            <rFont val="Times New Roman"/>
            <family val="1"/>
          </rPr>
          <t xml:space="preserve">mih:
</t>
        </r>
        <r>
          <rPr>
            <sz val="8"/>
            <color indexed="8"/>
            <rFont val="Times New Roman"/>
            <family val="1"/>
          </rPr>
          <t xml:space="preserve">added
Gear_Upgrades page, buttons in Gear_Buffs to save dps and copy item and dps changes
macros (copy_xxx, save_dps)
</t>
        </r>
      </text>
    </comment>
    <comment ref="A605" authorId="0" shapeId="0" xr:uid="{00000000-0006-0000-0100-00001D000000}">
      <text>
        <r>
          <rPr>
            <b/>
            <sz val="8"/>
            <color indexed="8"/>
            <rFont val="Times New Roman"/>
            <family val="1"/>
          </rPr>
          <t xml:space="preserve">mih:
</t>
        </r>
        <r>
          <rPr>
            <sz val="8"/>
            <color indexed="8"/>
            <rFont val="Times New Roman"/>
            <family val="1"/>
          </rPr>
          <t xml:space="preserve">fixed
T6 4p Bonus
changed
40% Armor-Absorb for Boss, 15% Armor-Absorb for non-Boss
added
Darkmoon Card: Wrath based on Efejal's Model
Better cycle-explanation for Mutilate. Read Intro (FAQ) for meaning.
</t>
        </r>
      </text>
    </comment>
    <comment ref="A606" authorId="0" shapeId="0" xr:uid="{00000000-0006-0000-0100-00001E000000}">
      <text>
        <r>
          <rPr>
            <b/>
            <sz val="8"/>
            <color indexed="8"/>
            <rFont val="Times New Roman"/>
            <family val="1"/>
          </rPr>
          <t xml:space="preserve">mih:
</t>
        </r>
        <r>
          <rPr>
            <sz val="8"/>
            <color indexed="8"/>
            <rFont val="Times New Roman"/>
            <family val="1"/>
          </rPr>
          <t xml:space="preserve">added
Item AEP compare sheet
</t>
        </r>
      </text>
    </comment>
    <comment ref="A607" authorId="0" shapeId="0" xr:uid="{00000000-0006-0000-0100-00001F000000}">
      <text>
        <r>
          <rPr>
            <b/>
            <sz val="8"/>
            <color indexed="8"/>
            <rFont val="Times New Roman"/>
            <family val="1"/>
          </rPr>
          <t xml:space="preserve">mih:
</t>
        </r>
        <r>
          <rPr>
            <sz val="8"/>
            <color indexed="8"/>
            <rFont val="Times New Roman"/>
            <family val="1"/>
          </rPr>
          <t xml:space="preserve">changed
Boss miss to 25,5%
added
SealFate for all cycle
Find Weakness for all cycle
deleted
the "new skill"
</t>
        </r>
      </text>
    </comment>
    <comment ref="A608" authorId="0" shapeId="0" xr:uid="{00000000-0006-0000-0100-000020000000}">
      <text>
        <r>
          <rPr>
            <b/>
            <sz val="8"/>
            <color indexed="8"/>
            <rFont val="Times New Roman"/>
            <family val="1"/>
          </rPr>
          <t xml:space="preserve">mih:
</t>
        </r>
        <r>
          <rPr>
            <sz val="8"/>
            <color indexed="8"/>
            <rFont val="Times New Roman"/>
            <family val="1"/>
          </rPr>
          <t xml:space="preserve">added
Shadowmaster's Boots
Darkmoon Card: Crusade (120ap)
Expose Weakness to Raidbuffs
Hit/Miss display @ Talents/Gear_Buffs
fixed
Fool's Bane 24 stamina -&gt; crit
Mace spec @ Talents
changed
Madness of the Betrayer 2ppm
Dragonspine Trophy 1,7ppm
</t>
        </r>
      </text>
    </comment>
    <comment ref="A609" authorId="0" shapeId="0" xr:uid="{00000000-0006-0000-0100-000021000000}">
      <text>
        <r>
          <rPr>
            <b/>
            <sz val="8"/>
            <color indexed="8"/>
            <rFont val="Times New Roman"/>
            <family val="1"/>
          </rPr>
          <t xml:space="preserve">mih:
</t>
        </r>
        <r>
          <rPr>
            <sz val="8"/>
            <color indexed="8"/>
            <rFont val="Times New Roman"/>
            <family val="1"/>
          </rPr>
          <t xml:space="preserve">changed
Build envenom cycle for Mutilate
Changed The Nightblade Procrate to 6,5%
</t>
        </r>
      </text>
    </comment>
    <comment ref="A610" authorId="0" shapeId="0" xr:uid="{00000000-0006-0000-0100-000022000000}">
      <text>
        <r>
          <rPr>
            <b/>
            <sz val="8"/>
            <color indexed="8"/>
            <rFont val="Times New Roman"/>
            <family val="1"/>
          </rPr>
          <t xml:space="preserve">mih:
</t>
        </r>
        <r>
          <rPr>
            <sz val="8"/>
            <color indexed="8"/>
            <rFont val="Times New Roman"/>
            <family val="1"/>
          </rPr>
          <t xml:space="preserve">changed
Build other Mutilate cycle
</t>
        </r>
      </text>
    </comment>
    <comment ref="A611" authorId="0" shapeId="0" xr:uid="{00000000-0006-0000-0100-000023000000}">
      <text>
        <r>
          <rPr>
            <b/>
            <sz val="8"/>
            <color indexed="8"/>
            <rFont val="Times New Roman"/>
            <family val="1"/>
          </rPr>
          <t xml:space="preserve">mih:
</t>
        </r>
        <r>
          <rPr>
            <sz val="8"/>
            <color indexed="8"/>
            <rFont val="Times New Roman"/>
            <family val="1"/>
          </rPr>
          <t xml:space="preserve">changed
nextstat macro -&gt; now faster, weapon skill rating fixed
added
FAQ section for snd cut cycles added
</t>
        </r>
      </text>
    </comment>
    <comment ref="A612" authorId="0" shapeId="0" xr:uid="{00000000-0006-0000-0100-000024000000}">
      <text>
        <r>
          <rPr>
            <b/>
            <sz val="8"/>
            <color indexed="8"/>
            <rFont val="Times New Roman"/>
            <family val="1"/>
          </rPr>
          <t xml:space="preserve">mih:
</t>
        </r>
        <r>
          <rPr>
            <sz val="8"/>
            <color indexed="8"/>
            <rFont val="Times New Roman"/>
            <family val="1"/>
          </rPr>
          <t>fixed
buffed dps (haste, -armor, ap)</t>
        </r>
      </text>
    </comment>
    <comment ref="A613" authorId="0" shapeId="0" xr:uid="{00000000-0006-0000-0100-000025000000}">
      <text>
        <r>
          <rPr>
            <b/>
            <sz val="8"/>
            <color indexed="8"/>
            <rFont val="Times New Roman"/>
            <family val="1"/>
          </rPr>
          <t xml:space="preserve">mih:
</t>
        </r>
        <r>
          <rPr>
            <sz val="8"/>
            <color indexed="8"/>
            <rFont val="Times New Roman"/>
            <family val="1"/>
          </rPr>
          <t>changed
AEP Section -&gt; Button for the nextstat macro
AEP Section -&gt; Checks wether mhtype=ohtype
some changes in the macro itself</t>
        </r>
      </text>
    </comment>
    <comment ref="A614" authorId="0" shapeId="0" xr:uid="{00000000-0006-0000-0100-000026000000}">
      <text>
        <r>
          <rPr>
            <b/>
            <sz val="8"/>
            <color indexed="8"/>
            <rFont val="Times New Roman"/>
            <family val="1"/>
          </rPr>
          <t xml:space="preserve">mih:
</t>
        </r>
        <r>
          <rPr>
            <sz val="8"/>
            <color indexed="8"/>
            <rFont val="Times New Roman"/>
            <family val="1"/>
          </rPr>
          <t>added
Veteran's Band of Triumph
Veteran's Leather Belt
Veteran's Leather Boots
Veteran's Leather Bracers
Veteran's Pendant of Triumph
Flamecap
changed
Rod of the Sun King 12ppm -&gt; 2,5ppm
Thundering Skyfire Diamond 1,5ppm -&gt; 1ppm
Tsunami Talisman 1,3ppm -&gt; 1ppm
Dragonspine Trophy 120 -&gt; 90 haste
fixed
Syphon of the Nathrezim formula</t>
        </r>
      </text>
    </comment>
    <comment ref="A615" authorId="0" shapeId="0" xr:uid="{00000000-0006-0000-0100-000027000000}">
      <text>
        <r>
          <rPr>
            <b/>
            <sz val="9"/>
            <color indexed="8"/>
            <rFont val="Times New Roman"/>
            <family val="1"/>
          </rPr>
          <t xml:space="preserve">mih:
</t>
        </r>
        <r>
          <rPr>
            <sz val="9"/>
            <color indexed="8"/>
            <rFont val="Times New Roman"/>
            <family val="1"/>
          </rPr>
          <t>added: 
Arena Season 2 Items (Set + Weapons)
Changed: 
Ring of Devastation -&gt; Band of Devastation
boss armor -&gt; ~7000</t>
        </r>
      </text>
    </comment>
    <comment ref="A616" authorId="0" shapeId="0" xr:uid="{00000000-0006-0000-0100-000028000000}">
      <text>
        <r>
          <rPr>
            <b/>
            <sz val="8"/>
            <color indexed="8"/>
            <rFont val="Times New Roman"/>
            <family val="1"/>
          </rPr>
          <t xml:space="preserve">Siq:
</t>
        </r>
        <r>
          <rPr>
            <sz val="8"/>
            <color indexed="8"/>
            <rFont val="Times New Roman"/>
            <family val="1"/>
          </rPr>
          <t xml:space="preserve">added
nextstat2 Macro (like pf suggested) </t>
        </r>
        <r>
          <rPr>
            <b/>
            <sz val="8"/>
            <color indexed="10"/>
            <rFont val="Times New Roman"/>
            <family val="1"/>
          </rPr>
          <t xml:space="preserve">MS Excel Only!!!
</t>
        </r>
        <r>
          <rPr>
            <sz val="8"/>
            <color indexed="8"/>
            <rFont val="Times New Roman"/>
            <family val="1"/>
          </rPr>
          <t>The AEP Section works now like this:
1. Put in your data (build+equip)
2. Run the nextstat macro (ALT+F8 in Excel)
3. Look at the AEP values in the "Talents" tab
Note: The values are NOT correct if you just change some items/talents without running the macro after the changes.</t>
        </r>
      </text>
    </comment>
    <comment ref="A617" authorId="0" shapeId="0" xr:uid="{00000000-0006-0000-0100-000029000000}">
      <text>
        <r>
          <rPr>
            <b/>
            <sz val="8"/>
            <color indexed="8"/>
            <rFont val="Times New Roman"/>
            <family val="1"/>
          </rPr>
          <t xml:space="preserve">mih:
</t>
        </r>
        <r>
          <rPr>
            <sz val="8"/>
            <color indexed="8"/>
            <rFont val="Times New Roman"/>
            <family val="1"/>
          </rPr>
          <t>added
Messenger of Fate
Stormrage Signet Ring
Haste Potion
Thistle Tea
boss debuffs (Sunder Armor, Faerie Fire, Curse of Recklessness)
Rod of the Sun King proc (12ppm)
changed
boss armor -&gt; ~8600
Warp-Spring Coil (1,5ppm)
Darkmoon Card: Vengeance formula
rename
Talon of the Phoenix (OH)  -&gt; Claw of the Phoenix</t>
        </r>
      </text>
    </comment>
    <comment ref="A618" authorId="0" shapeId="0" xr:uid="{00000000-0006-0000-0100-00002A000000}">
      <text>
        <r>
          <rPr>
            <b/>
            <sz val="8"/>
            <color indexed="8"/>
            <rFont val="Times New Roman"/>
            <family val="1"/>
          </rPr>
          <t xml:space="preserve">Siq:
</t>
        </r>
        <r>
          <rPr>
            <sz val="8"/>
            <color indexed="8"/>
            <rFont val="Times New Roman"/>
            <family val="1"/>
          </rPr>
          <t>changed
2.1.2 Sword Spec changes
Romulo's Poison Vial formula correction</t>
        </r>
      </text>
    </comment>
    <comment ref="A619" authorId="0" shapeId="0" xr:uid="{00000000-0006-0000-0100-00002B000000}">
      <text>
        <r>
          <rPr>
            <b/>
            <sz val="8"/>
            <color indexed="8"/>
            <rFont val="Times New Roman"/>
            <family val="1"/>
          </rPr>
          <t xml:space="preserve">mih:
</t>
        </r>
        <r>
          <rPr>
            <sz val="8"/>
            <color indexed="8"/>
            <rFont val="Times New Roman"/>
            <family val="1"/>
          </rPr>
          <t>added
Talon of the Phoenix (Offhand)
Band of Eternity 1st
Band of Eternity 2nd
Darkmoon Card: Vengeance
Deadly Cuffs
Insidious Bands
Leggings of Murderous Intent
Ring of the Overseer
Rod of the Sun King (currently without energy proc)
Shaffar's Band of Brutality
Swiftstrike Bracers
Terokk's Might
Twisted Blades of Zarak
Wicked Noble Topaz
changed
Warp-Spring Coil 250 -&gt; 200 armor reduce
Romulo's Poison Vial 2,5% chance
Thundering Skyfire Diamond 2ppm -&gt; 1,5ppm
updated
Choker of Serrated Blades</t>
        </r>
      </text>
    </comment>
    <comment ref="A620" authorId="0" shapeId="0" xr:uid="{00000000-0006-0000-0100-00002C000000}">
      <text>
        <r>
          <rPr>
            <b/>
            <sz val="8"/>
            <color indexed="8"/>
            <rFont val="Times New Roman"/>
            <family val="1"/>
          </rPr>
          <t xml:space="preserve">mih:
</t>
        </r>
        <r>
          <rPr>
            <sz val="8"/>
            <color indexed="8"/>
            <rFont val="Times New Roman"/>
            <family val="1"/>
          </rPr>
          <t>added
Scroll of Strength/Agility
Black Featherlight Boots
Don Alejandro's Money Belt
Razorfury Mantle
Shadowmoon Destroyer's Drape
Telonicu's Pendant of Maythem
removed
Juju Power/Juju Might
strength only gems
updated
Talon of the Phoenix (Offhand -&gt; Mainhand)
changed
glancing blow damage reduction 20%-&gt;25%
Warp-Spring Coil 125 -&gt; 250 armor reduce
fixed
Deathmantle Chestguard</t>
        </r>
      </text>
    </comment>
    <comment ref="A621" authorId="0" shapeId="0" xr:uid="{00000000-0006-0000-0100-00002D000000}">
      <text>
        <r>
          <rPr>
            <b/>
            <sz val="8"/>
            <color indexed="8"/>
            <rFont val="Times New Roman"/>
            <family val="1"/>
          </rPr>
          <t xml:space="preserve">mih:
</t>
        </r>
        <r>
          <rPr>
            <sz val="8"/>
            <color indexed="8"/>
            <rFont val="Times New Roman"/>
            <family val="1"/>
          </rPr>
          <t>added
consumable: Unstable Flask of the Bandit
Ancestral Ring of Conquest
Arcanite Steam-Pistol
Bristleblitz Striker
Eye of the Stalker
Gloves of the Searing Grip
Mantle of Shadowy Embrace
Razor-Scale Battlecloak
changed
glancing blow damage reduction 40%-&gt;20%</t>
        </r>
      </text>
    </comment>
    <comment ref="A622" authorId="0" shapeId="0" xr:uid="{00000000-0006-0000-0100-00002E000000}">
      <text>
        <r>
          <rPr>
            <b/>
            <sz val="8"/>
            <color indexed="8"/>
            <rFont val="Times New Roman"/>
            <family val="1"/>
          </rPr>
          <t xml:space="preserve">mih:
</t>
        </r>
        <r>
          <rPr>
            <sz val="8"/>
            <color indexed="8"/>
            <rFont val="Times New Roman"/>
            <family val="1"/>
          </rPr>
          <t>added
Belt of Deep Shadow
Blade of Infamy
Blade of Savagery
Boundless Agony
Choker of Endless Nightmares
Crystalweave Cape
Grips of Damnation
Madness of the Betrayer
Mantle of Darkness
Midnight Cestguard
Nether Shadow Tunic
Ring of Deceitful Intent
Ring of Devastation
Swiftstrike Shoulders
Syphon of the Nathrezim
changed
Swiftsteel Bludgeon</t>
        </r>
      </text>
    </comment>
    <comment ref="A623" authorId="0" shapeId="0" xr:uid="{00000000-0006-0000-0100-00002F000000}">
      <text>
        <r>
          <rPr>
            <b/>
            <sz val="8"/>
            <color indexed="8"/>
            <rFont val="Times New Roman"/>
            <family val="1"/>
          </rPr>
          <t xml:space="preserve">Zoro:
</t>
        </r>
        <r>
          <rPr>
            <sz val="8"/>
            <color indexed="8"/>
            <rFont val="Times New Roman"/>
            <family val="1"/>
          </rPr>
          <t>changed
fixed all the nubbish errors in Shiv I let slip in</t>
        </r>
      </text>
    </comment>
    <comment ref="A624" authorId="0" shapeId="0" xr:uid="{00000000-0006-0000-0100-000030000000}">
      <text>
        <r>
          <rPr>
            <b/>
            <sz val="8"/>
            <color indexed="8"/>
            <rFont val="Times New Roman"/>
            <family val="1"/>
          </rPr>
          <t xml:space="preserve">mih:
</t>
        </r>
        <r>
          <rPr>
            <sz val="8"/>
            <color indexed="8"/>
            <rFont val="Times New Roman"/>
            <family val="1"/>
          </rPr>
          <t>added
Shadow-walker's Cord
changed
Adamantine Chain of the Unbroken
Barrel-Blade Longrifle
Black-Iron Battlecloak
Feltooth Eviscerator
General's Leather Belt
General's Leather Boots
General's Leather Bracers
Gladiator's Bonecracker
Gladiator's Leather Gloves
Gladiator's Leather Helm
Gladiator's Leather Legguards
Gladiator's Leather Spaulders
Gladiator's Leather Tunic
Gladiator's Left Ripper
Gladiator's Pummeler
Gladiator's Quickblade
Gladiator's Right Ripper
Gladiator's Shanker
Gladiator's Shiv
Gladiator's Slicer
Gladiator's War Edge
Hope Ender
Marshal's Leather Belt
Marshal's Leather Boots
Marshal's Leather Bracers
Master Thief's Gloves
Pendant of Triumph
Ring of Reciprocity
Sergeant's Heavy Cloak
Shapeshifter's Signet
Terrorweave Tunic
The Bladefist
The Sun Eater
Vileblade of the Betrayer
fixed
Shoulderpads of the Stranger</t>
        </r>
      </text>
    </comment>
    <comment ref="A625" authorId="0" shapeId="0" xr:uid="{00000000-0006-0000-0100-000031000000}">
      <text>
        <r>
          <rPr>
            <b/>
            <sz val="8"/>
            <color indexed="8"/>
            <rFont val="Times New Roman"/>
            <family val="1"/>
          </rPr>
          <t xml:space="preserve">Zoro:
</t>
        </r>
        <r>
          <rPr>
            <sz val="8"/>
            <color indexed="8"/>
            <rFont val="Times New Roman"/>
            <family val="1"/>
          </rPr>
          <t>added
3% crit part of relentless earthstorm Diamond
Shiv added as potential combo point builder</t>
        </r>
      </text>
    </comment>
    <comment ref="A626" authorId="0" shapeId="0" xr:uid="{00000000-0006-0000-0100-000032000000}">
      <text>
        <r>
          <rPr>
            <b/>
            <sz val="8"/>
            <color indexed="8"/>
            <rFont val="Times New Roman"/>
            <family val="1"/>
          </rPr>
          <t xml:space="preserve">mih:
</t>
        </r>
        <r>
          <rPr>
            <sz val="8"/>
            <color indexed="8"/>
            <rFont val="Times New Roman"/>
            <family val="1"/>
          </rPr>
          <t>added
Legionkiller
Ring of the Recalcitrant
Shady Dealer's Pantaloons
Talon of the Phoenix (2.0.12)
The Unbreakable Will
Tracker's Blade
rename
Romeo's Poison Vial -&gt; Romulo's Poison Vial
changed
Romulo's Poison Vial 200-300 -&gt; 222-332
Heartrazor proc ~50ap</t>
        </r>
      </text>
    </comment>
    <comment ref="A627" authorId="0" shapeId="0" xr:uid="{00000000-0006-0000-0100-000033000000}">
      <text>
        <r>
          <rPr>
            <b/>
            <sz val="8"/>
            <color indexed="8"/>
            <rFont val="Times New Roman"/>
            <family val="1"/>
          </rPr>
          <t xml:space="preserve">mih:
</t>
        </r>
        <r>
          <rPr>
            <sz val="8"/>
            <color indexed="8"/>
            <rFont val="Times New Roman"/>
            <family val="1"/>
          </rPr>
          <t>added
-armor value. Now its easier to add items with -armor</t>
        </r>
      </text>
    </comment>
    <comment ref="A628" authorId="0" shapeId="0" xr:uid="{00000000-0006-0000-0100-000034000000}">
      <text>
        <r>
          <rPr>
            <b/>
            <sz val="8"/>
            <color indexed="8"/>
            <rFont val="Times New Roman"/>
            <family val="1"/>
          </rPr>
          <t xml:space="preserve">mih:
</t>
        </r>
        <r>
          <rPr>
            <sz val="8"/>
            <color indexed="8"/>
            <rFont val="Times New Roman"/>
            <family val="1"/>
          </rPr>
          <t>added
epic gems
Ogri'la reputation rewards
changed
Thundering Skyfire Diamond (240haste on procc) to 48 haste permanently (2ppm)</t>
        </r>
      </text>
    </comment>
    <comment ref="A629" authorId="0" shapeId="0" xr:uid="{00000000-0006-0000-0100-000035000000}">
      <text>
        <r>
          <rPr>
            <b/>
            <sz val="8"/>
            <color indexed="8"/>
            <rFont val="Times New Roman"/>
            <family val="1"/>
          </rPr>
          <t xml:space="preserve">Zoro:
</t>
        </r>
        <r>
          <rPr>
            <sz val="8"/>
            <color indexed="8"/>
            <rFont val="Times New Roman"/>
            <family val="1"/>
          </rPr>
          <t>added
Xs/5e cut cycles</t>
        </r>
      </text>
    </comment>
    <comment ref="A630" authorId="0" shapeId="0" xr:uid="{00000000-0006-0000-0100-000036000000}">
      <text>
        <r>
          <rPr>
            <b/>
            <sz val="8"/>
            <color indexed="8"/>
            <rFont val="Times New Roman"/>
            <family val="1"/>
          </rPr>
          <t xml:space="preserve">mih:
</t>
        </r>
        <r>
          <rPr>
            <sz val="8"/>
            <color indexed="8"/>
            <rFont val="Times New Roman"/>
            <family val="1"/>
          </rPr>
          <t>added
Thundering Skyfire Diamond (240haste on procc) ~80 haste permanently
Relentless Earthstorm Diamond (only 12agi, don't know how to add 3% crit dmg)
changed
2.1 items (Patch 6655)
consumables stats
replace
Winterfall Firewater -&gt; Elixir of Demonslaying
fixed
weapon skill on meta Gems
Primal Intent (stats + set bonus)</t>
        </r>
      </text>
    </comment>
    <comment ref="A631" authorId="0" shapeId="0" xr:uid="{00000000-0006-0000-0100-000037000000}">
      <text>
        <r>
          <rPr>
            <b/>
            <sz val="8"/>
            <color indexed="8"/>
            <rFont val="Times New Roman"/>
            <family val="1"/>
          </rPr>
          <t xml:space="preserve">mih:
</t>
        </r>
        <r>
          <rPr>
            <sz val="8"/>
            <color indexed="8"/>
            <rFont val="Times New Roman"/>
            <family val="1"/>
          </rPr>
          <t>added
2.1 items (Patch 6641)
Orc racial (level 70)</t>
        </r>
      </text>
    </comment>
    <comment ref="A632" authorId="0" shapeId="0" xr:uid="{00000000-0006-0000-0100-000038000000}">
      <text>
        <r>
          <rPr>
            <b/>
            <sz val="8"/>
            <color indexed="8"/>
            <rFont val="Times New Roman"/>
            <family val="1"/>
          </rPr>
          <t xml:space="preserve">mih:
</t>
        </r>
        <r>
          <rPr>
            <sz val="8"/>
            <color indexed="8"/>
            <rFont val="Times New Roman"/>
            <family val="1"/>
          </rPr>
          <t xml:space="preserve">Added and updated many items from the bug tracker.
Moved rating modifiers to a single cell on the "Gear _ Buffs" sheet, should help if it needs to  be changed in the future. (AJ2:AN2)
Fixed a small bug that made Lighting Reflexes 15.8 dodge rating instead of 18.9, formula should be a bit closer now.
</t>
        </r>
      </text>
    </comment>
    <comment ref="A633" authorId="0" shapeId="0" xr:uid="{00000000-0006-0000-0100-000039000000}">
      <text>
        <r>
          <rPr>
            <b/>
            <sz val="8"/>
            <color indexed="8"/>
            <rFont val="Times New Roman"/>
            <family val="1"/>
          </rPr>
          <t xml:space="preserve">mih:
</t>
        </r>
        <r>
          <rPr>
            <sz val="8"/>
            <color indexed="8"/>
            <rFont val="Times New Roman"/>
            <family val="1"/>
          </rPr>
          <t>Added socket support for the ranged slot.
There is now buffed as well as unbuffed PAWN strings, copy away!
Added and updated many items from the bug tracker.</t>
        </r>
      </text>
    </comment>
    <comment ref="A634" authorId="0" shapeId="0" xr:uid="{00000000-0006-0000-0100-00003A000000}">
      <text>
        <r>
          <rPr>
            <b/>
            <sz val="8"/>
            <color indexed="8"/>
            <rFont val="Times New Roman"/>
            <family val="1"/>
          </rPr>
          <t xml:space="preserve">mih:
</t>
        </r>
        <r>
          <rPr>
            <sz val="8"/>
            <color indexed="8"/>
            <rFont val="Times New Roman"/>
            <family val="1"/>
          </rPr>
          <t xml:space="preserve">Added a new option for the calculation of +skill based on http://blue.cardplace.com/newcache/en/166546791.htm , If this post is true, +skill is about twice as good as agility for DPS on boss-mobs.
Added an option for sockets on cloaks.
Added AEP values on the talents page with a link to sp00n aka Surprise's (Wrathbringer (EU)) gear comparison website.
Added a Pawn import string on the Talents page as well.
Added 3s/5s/5r to the list of cycles for Combat Daggers.
Fixed amount of +skill given from racials and talents.
Changed stats on Vengeance wrap.
Changed Deadly Poison VII to follow a Poisson distribution. This is not 100% accurate, but is 100 times better than what was used previously. It now correctly accounts for using it on both weapons as well.
Changed The Night Blade to follow a Poisson distribution as well. However, to prevent circular references, amount of special attacks used is estimated based upon the spec you choose.
</t>
        </r>
      </text>
    </comment>
  </commentList>
</comments>
</file>

<file path=xl/sharedStrings.xml><?xml version="1.0" encoding="utf-8"?>
<sst xmlns="http://schemas.openxmlformats.org/spreadsheetml/2006/main" count="8530" uniqueCount="3252">
  <si>
    <t>Vindicator's Brand</t>
  </si>
  <si>
    <t>Warglaive of Azzinoth</t>
  </si>
  <si>
    <t>Twinblade</t>
  </si>
  <si>
    <t>Warp-Storm Warblade</t>
  </si>
  <si>
    <t>Warp Slicer</t>
  </si>
  <si>
    <t>(Fist Weapons)</t>
  </si>
  <si>
    <t>Fist</t>
  </si>
  <si>
    <t>Darkmoon Card: Wrath to exact formulas for agil and crit</t>
  </si>
  <si>
    <t>Known Issues:</t>
  </si>
  <si>
    <t>Sometimes, the most optimal cycle is not chosen by the cycle sheet because it calculates proc damage after figuring out which cycle to use.</t>
  </si>
  <si>
    <t>Band of Determination</t>
  </si>
  <si>
    <t>Cloak of the Coming Night</t>
  </si>
  <si>
    <t>Leggings of the Betrayed</t>
  </si>
  <si>
    <t>hs 4</t>
  </si>
  <si>
    <t>Dagger (Main Hand)</t>
  </si>
  <si>
    <t>Dagger (Off Hand)</t>
  </si>
  <si>
    <t>Buffed cycle sheet reference to Unbuffed Dodge rate (did not affect calcs since there is currently no buffed Expertise).</t>
  </si>
  <si>
    <t>Wastewalker Gloves</t>
  </si>
  <si>
    <t>GLOVE ENCHANTS</t>
  </si>
  <si>
    <t>Greater Agility (+7 Agility)</t>
  </si>
  <si>
    <t>Minor Haste (+10 Haste)</t>
  </si>
  <si>
    <t>Assault (+26 ap)</t>
  </si>
  <si>
    <t>ag 3</t>
  </si>
  <si>
    <t>Belt of One-Hundred Deaths</t>
  </si>
  <si>
    <t>Don Alejandro's Money Belt</t>
  </si>
  <si>
    <t>Dunewind Sash</t>
  </si>
  <si>
    <t>Epoch's Whispering Cinch</t>
  </si>
  <si>
    <t>Eva's Strap</t>
  </si>
  <si>
    <t>Option button on the Talent page to turn off Buffs.</t>
  </si>
  <si>
    <t>Aldor Leggings of Puissance</t>
  </si>
  <si>
    <t>Deathmantle Legguards</t>
  </si>
  <si>
    <t>Fel Leather Leggings</t>
  </si>
  <si>
    <t>Gladiator's Leather Legguards</t>
  </si>
  <si>
    <t>Leggings of Assassination</t>
  </si>
  <si>
    <t>Leggings of Murderous Intent</t>
  </si>
  <si>
    <t>Leggings of the Unrepentant</t>
  </si>
  <si>
    <t>16.67% - 45 second cooldown</t>
  </si>
  <si>
    <t>All previously 15% procs now 16.67% (or 1/6th).</t>
  </si>
  <si>
    <t>Option button on Gear _ Buffs page to turn off defensive items from the lists (only works for gems right now)</t>
  </si>
  <si>
    <t>Proc Optimization routine added to AEP button.</t>
  </si>
  <si>
    <t>High Warlord's Left Ripper and Grand Marshal's Left Ripper had incorrect damage and speed.</t>
  </si>
  <si>
    <t>Offhand Talon of Azshara and offhand King's Defender had old stats.</t>
  </si>
  <si>
    <t>The Unbreakable Will, Honor's Call and Warp-Storm Warblade were missing Defense rating.</t>
  </si>
  <si>
    <t>Thunderfury and Wastewalker Shiv as the dps output is worse than some unmodeled green items.</t>
  </si>
  <si>
    <t>Bow</t>
  </si>
  <si>
    <t>Blackout Truncheon chosen as the bottom point due to the lack of fast Maces in early itemization.</t>
  </si>
  <si>
    <t>Gun</t>
  </si>
  <si>
    <t>Thrown</t>
  </si>
  <si>
    <t>Crossbow</t>
  </si>
  <si>
    <t>Adamantine Repeater</t>
  </si>
  <si>
    <t>Crystalline Crossbow</t>
  </si>
  <si>
    <t>Gyro-Balanced Khorium Destroyer; Hemet's Elekk Gun; Huhuran's Stinger; Larvae of the Great Worm; Legion Blunderbuss; Legionkiller</t>
  </si>
  <si>
    <t>Ranged weapon list has been reviewed.  Those items not close enough to quest accessible items removed.</t>
  </si>
  <si>
    <t>Parry</t>
  </si>
  <si>
    <t>red</t>
  </si>
  <si>
    <t>yellow</t>
  </si>
  <si>
    <t>blue</t>
  </si>
  <si>
    <t>MH</t>
  </si>
  <si>
    <t>OH</t>
  </si>
  <si>
    <t>Bracer</t>
  </si>
  <si>
    <t>Defense rating conversion.</t>
  </si>
  <si>
    <t>Dodge details.</t>
  </si>
  <si>
    <t>Integrated defense into miss rate and dodge chance.</t>
  </si>
  <si>
    <t>Attacking boss from…</t>
  </si>
  <si>
    <t>Mob option attacking from front/back.</t>
  </si>
  <si>
    <t>Integrated talents, defense and boss level into parry rate.</t>
  </si>
  <si>
    <t>Issue with DPS details difference (was reporting difference with opposite sign).</t>
  </si>
  <si>
    <t>Glyph of the Defender</t>
  </si>
  <si>
    <t>Greater Inscription of Warding</t>
  </si>
  <si>
    <t>Defense to Chest enchant</t>
  </si>
  <si>
    <t>Nimble-foot treads</t>
  </si>
  <si>
    <t>Cold Blood for Instants</t>
  </si>
  <si>
    <t>Use: Increases your haste rating by 200 for 15 sec.</t>
  </si>
  <si>
    <t>Major Defense to Bracers enchant</t>
  </si>
  <si>
    <t>Options</t>
  </si>
  <si>
    <t>Builds</t>
  </si>
  <si>
    <t>To do this, select the values in Column D and</t>
  </si>
  <si>
    <t>Flashing Crimson Spinel</t>
  </si>
  <si>
    <t>Flashing Living Ruby</t>
  </si>
  <si>
    <t>Defender's Tanzanite</t>
  </si>
  <si>
    <t>Sovereign Tanzanite (5str/6sta)</t>
  </si>
  <si>
    <t>Regal Nightseye (6sta/4dodge)</t>
  </si>
  <si>
    <t>Regal Nightseye</t>
  </si>
  <si>
    <t>Bright Crimson Spinel (Quest ID)</t>
  </si>
  <si>
    <t>Eye of the Sea (15sta)</t>
  </si>
  <si>
    <t>Eye of the Sea</t>
  </si>
  <si>
    <t>Flashing Crimson Spinel (10parry)</t>
  </si>
  <si>
    <t>Flashing Living Ruby (8parry)</t>
  </si>
  <si>
    <t>Defender's Tanzanite (6sta/5parry)</t>
  </si>
  <si>
    <t>Enduring Chrysoprase (6sta/5def)</t>
  </si>
  <si>
    <t>They contain calculations important to proper functionality.</t>
  </si>
  <si>
    <t>OH attacks</t>
  </si>
  <si>
    <t>instants</t>
  </si>
  <si>
    <t>finishers</t>
  </si>
  <si>
    <t>Mutilate now considered two instants for proc mechanics</t>
  </si>
  <si>
    <t>to be added</t>
  </si>
  <si>
    <t>Windfury now has a buff component (except finishers)</t>
  </si>
  <si>
    <t>Righteous Weapon Coating</t>
  </si>
  <si>
    <t>Consecrated Sharpening Stone</t>
  </si>
  <si>
    <t>Consecrated Sharpening Stone now spelled correctly on linked to mobtype.</t>
  </si>
  <si>
    <t>Righteous Weapon Coating (MH)</t>
  </si>
  <si>
    <t>Righteous Weapon Coating (OH)</t>
  </si>
  <si>
    <t>Righteous Weapon Coating (Both)</t>
  </si>
  <si>
    <t>Righteous Weapon Coating (as 15% proc rate, 45 sec hidden cooldown)</t>
  </si>
  <si>
    <t>Heroic Presence (Draenei Hun/Pal/War)</t>
  </si>
  <si>
    <t>Inspiring Presence (Draenei Sha)</t>
  </si>
  <si>
    <t>Inspiring Presence (Draenei buff)</t>
  </si>
  <si>
    <t>(Unmodeled 2)</t>
  </si>
  <si>
    <t>Hit Table - Finisher</t>
  </si>
  <si>
    <t>MH Slice and Dice</t>
  </si>
  <si>
    <t>OH Slice and Dice</t>
  </si>
  <si>
    <t>MHNorm</t>
  </si>
  <si>
    <t>OHNorm</t>
  </si>
  <si>
    <t>Vengeful Gladiator's Left Render</t>
  </si>
  <si>
    <t>Fury was missing socket.</t>
  </si>
  <si>
    <t>Ghostly Strike damage</t>
  </si>
  <si>
    <t>Data returned to DPS sheet</t>
  </si>
  <si>
    <t>3s/5r</t>
  </si>
  <si>
    <t>4s/5r</t>
  </si>
  <si>
    <t>5s/5r</t>
  </si>
  <si>
    <t>5r</t>
  </si>
  <si>
    <t>5s/5r/3e</t>
  </si>
  <si>
    <t>5s/5r/4e</t>
  </si>
  <si>
    <t>5s/5r/5e</t>
  </si>
  <si>
    <t>3s/5s/5r</t>
  </si>
  <si>
    <t>Time</t>
  </si>
  <si>
    <t>SnD</t>
  </si>
  <si>
    <t>Env</t>
  </si>
  <si>
    <t>Evis</t>
  </si>
  <si>
    <t>Sunrage Treads</t>
  </si>
  <si>
    <t>Band of Ruinous Delight</t>
  </si>
  <si>
    <t>Use: Your attacks ignore 600 of your enemies' armor for 20 sec.</t>
  </si>
  <si>
    <t>Kiss of the Spider</t>
  </si>
  <si>
    <t>Madness of the Betrayer</t>
  </si>
  <si>
    <t>Improved Eviscerate</t>
  </si>
  <si>
    <t>Malice</t>
  </si>
  <si>
    <t>A few issues with the Macro NextStat calculations with talents</t>
  </si>
  <si>
    <t>Equip:  Your melee and ranged attacks have a chance allow you to ignore 300 of your enemies' armor for 10 sec</t>
  </si>
  <si>
    <t>Romulo's Poison Vial</t>
  </si>
  <si>
    <t>Slayer's Crest</t>
  </si>
  <si>
    <t>Terokkar Tablet of Precision</t>
  </si>
  <si>
    <t>Use: Increases attack power by 140 for 15 sec.</t>
  </si>
  <si>
    <t>Tsunami Talisman</t>
  </si>
  <si>
    <t>Equip: Chance on critical hit to increase your attack power by 340 for 10 secs.</t>
  </si>
  <si>
    <t>Yes</t>
  </si>
  <si>
    <t>Undead</t>
  </si>
  <si>
    <t>Spd</t>
  </si>
  <si>
    <t>Bprocdps</t>
  </si>
  <si>
    <t>The main goal of this spreadsheet is to be a tool to help see how various talent/gear choices will affect your overall DPS.</t>
  </si>
  <si>
    <t>Fixed bug with Eviscerate cycles resulting in higher than correct finisher dps.</t>
  </si>
  <si>
    <t>Saving a build will now correctly set the combobox to the newly saved build</t>
  </si>
  <si>
    <t>JC gems now correctly tagged as Unique.</t>
  </si>
  <si>
    <t>Sunrage Shoulderpads (changed to boots during the patch)</t>
  </si>
  <si>
    <t>Brutallus to the Boss Armor list with 7685 armor.</t>
  </si>
  <si>
    <t>Fist of Molten Fury</t>
  </si>
  <si>
    <t>Angelista's Revenge</t>
  </si>
  <si>
    <t>Angelista's Revenge (renamed from Sunwell Badge Loot - Melee Ring and listed as Heroic)</t>
  </si>
  <si>
    <t>Fixed issued with Mutilate gaining undeserved eviscerate damage</t>
  </si>
  <si>
    <t>Vindicator's Pendant of Triumph</t>
  </si>
  <si>
    <t>Vindicator's Band of Triumph</t>
  </si>
  <si>
    <t>Hemo (110%) +42 damage (10 charges)</t>
  </si>
  <si>
    <t>Slayer 4 Bonus to Hemo</t>
  </si>
  <si>
    <t>Removed Libram of Constitution</t>
  </si>
  <si>
    <t>Relentless Strikes</t>
  </si>
  <si>
    <t>Name</t>
  </si>
  <si>
    <t>Added Heavy Knothide Armor Kit</t>
  </si>
  <si>
    <t>Made Surprise Attacks/Opportunity/Aggression additive</t>
  </si>
  <si>
    <t>lookID</t>
  </si>
  <si>
    <t>lookStr</t>
  </si>
  <si>
    <t>lookName</t>
  </si>
  <si>
    <t>lookAgi</t>
  </si>
  <si>
    <t>lookAP</t>
  </si>
  <si>
    <t>lookCrit</t>
  </si>
  <si>
    <t>lookHit</t>
  </si>
  <si>
    <t>lookHaste</t>
  </si>
  <si>
    <t>If the item column format changes, change these indexes as appropriate.</t>
  </si>
  <si>
    <t>lookArmor</t>
  </si>
  <si>
    <t>lookExp</t>
  </si>
  <si>
    <t>lookSta</t>
  </si>
  <si>
    <t>lookDod</t>
  </si>
  <si>
    <t>lookRes</t>
  </si>
  <si>
    <t>3s/5s/5e</t>
  </si>
  <si>
    <t>TALENTS</t>
  </si>
  <si>
    <t>Equip: 20% chance per combo point for your finishing moves to grant 145 critical strike rating for 10 sec.</t>
  </si>
  <si>
    <t>Bladefist's Breadth</t>
  </si>
  <si>
    <t>Bloodlust Brooch</t>
  </si>
  <si>
    <t>Use: Increases attack power by 278 for 20 sec.</t>
  </si>
  <si>
    <t>Core of Ar'kelos</t>
  </si>
  <si>
    <t>Attack Power Equivalences along side the Agility Equivalences on the Talents page.</t>
  </si>
  <si>
    <t>2.4.0.1</t>
  </si>
  <si>
    <t>Heroic gems no longer Unique-Equipped.</t>
  </si>
  <si>
    <t>Epic</t>
  </si>
  <si>
    <t>5s/4e</t>
  </si>
  <si>
    <t>4e</t>
  </si>
  <si>
    <t>4s/4r</t>
  </si>
  <si>
    <t>4s/3r</t>
  </si>
  <si>
    <t>5s/3r</t>
  </si>
  <si>
    <t>1s/4r/3e</t>
  </si>
  <si>
    <t>2s/4r/3e</t>
  </si>
  <si>
    <t>1s/4r</t>
  </si>
  <si>
    <t>2s/4r</t>
  </si>
  <si>
    <t>3s/4r</t>
  </si>
  <si>
    <t>4r</t>
  </si>
  <si>
    <t>4s/5r/3e</t>
  </si>
  <si>
    <t>4s/5r/4e</t>
  </si>
  <si>
    <t>4s/5r/5e</t>
  </si>
  <si>
    <t>5s/4r/3e</t>
  </si>
  <si>
    <t>5s/4r/4e</t>
  </si>
  <si>
    <t>5s/4r/5e</t>
  </si>
  <si>
    <t>4s/4r/3e</t>
  </si>
  <si>
    <t>4s/4r/4e</t>
  </si>
  <si>
    <t>4s/4r/5e</t>
  </si>
  <si>
    <t>2s/4s/4r</t>
  </si>
  <si>
    <t>2s/4s/5r</t>
  </si>
  <si>
    <t>2s/5s/4r</t>
  </si>
  <si>
    <t>3s/5s/4r</t>
  </si>
  <si>
    <t>2s/5s/5r</t>
  </si>
  <si>
    <t>1s/3r</t>
  </si>
  <si>
    <t>1s/3e</t>
  </si>
  <si>
    <t>Aggresion now works also for Backstab</t>
  </si>
  <si>
    <t>Hemo now got 36 dmg and 10 stacks</t>
  </si>
  <si>
    <t>Backstab Bonus changed from 150% to 165%</t>
  </si>
  <si>
    <t>Gladiator's Leather Gloves</t>
  </si>
  <si>
    <t>Gloves of Dexterous Manipulation</t>
  </si>
  <si>
    <t>Gloves of the Searing Grip</t>
  </si>
  <si>
    <t>Grips of Damnation</t>
  </si>
  <si>
    <t>Grips of the Deftness</t>
  </si>
  <si>
    <t>Gloves of the Unbound</t>
  </si>
  <si>
    <t>Sergeant's Heavy Cloak (H)</t>
  </si>
  <si>
    <t>Sergeant's Heavy Cloak (A)</t>
  </si>
  <si>
    <t>Removed debuff damage from Hemo attacks</t>
  </si>
  <si>
    <t>Fool's Bane</t>
  </si>
  <si>
    <t>Gladiator's Pummeler</t>
  </si>
  <si>
    <t>Merciless Gladiator's Pummeler</t>
  </si>
  <si>
    <t>Runic Hammer</t>
  </si>
  <si>
    <t>Terokk's Nightmace</t>
  </si>
  <si>
    <t>Truncheon of Five Hells</t>
  </si>
  <si>
    <t>Gladiator's Shiv</t>
  </si>
  <si>
    <t>Merciless Gladiator's Shiv</t>
  </si>
  <si>
    <t>Messenger of Fate</t>
  </si>
  <si>
    <t>Searing Sunblade</t>
  </si>
  <si>
    <t>Blade of Savagery</t>
  </si>
  <si>
    <t>Gladiator's Quickblade</t>
  </si>
  <si>
    <t>The Unbreakable Will</t>
  </si>
  <si>
    <t>Claw of the Frost Wyrm</t>
  </si>
  <si>
    <t>Claw of the Phoenix</t>
  </si>
  <si>
    <t>Gladiator's Left Ripper</t>
  </si>
  <si>
    <t>Merciless Gladiator's Left Ripper</t>
  </si>
  <si>
    <t>Subtlety</t>
  </si>
  <si>
    <t>Warp Spring Coil</t>
  </si>
  <si>
    <t>Mongoose (MH)</t>
  </si>
  <si>
    <t>Mongoose (OH)</t>
  </si>
  <si>
    <t>Drop locations for Deadly Cuffs and Insidious Bands</t>
  </si>
  <si>
    <t>Checkbox to disable Set Bonuses</t>
  </si>
  <si>
    <t>Ashtongue Talisman of Lethality formula</t>
  </si>
  <si>
    <t>Edgewalker Longboots</t>
  </si>
  <si>
    <t>Boot Enchant</t>
  </si>
  <si>
    <t>Dexterity (+12 Agility)</t>
  </si>
  <si>
    <t>Ring #1</t>
  </si>
  <si>
    <t>Ring of a Thousand Marks</t>
  </si>
  <si>
    <t>Ring Enchant</t>
  </si>
  <si>
    <t>Murder now applies to crit damage as well as overall damage (as shown in previous testing)</t>
  </si>
  <si>
    <t>Default option is no longer Ghostly Strike on for Hemo</t>
  </si>
  <si>
    <t>SetTB2p</t>
  </si>
  <si>
    <t>Dod</t>
  </si>
  <si>
    <t>buffed gain</t>
  </si>
  <si>
    <t>Most "other" buffs.  No longer affects characters above level 63.</t>
  </si>
  <si>
    <t>Hits / Second</t>
  </si>
  <si>
    <t>Crits / Second</t>
  </si>
  <si>
    <t>Attacks / Second</t>
  </si>
  <si>
    <t>SnD/second</t>
  </si>
  <si>
    <t>%</t>
  </si>
  <si>
    <t>Equip: Your melee and ranged attacks have a chance to increase your haste rating by 325 for 10 sec.</t>
  </si>
  <si>
    <t>2.2.0.12</t>
  </si>
  <si>
    <t>R B Y (M)</t>
  </si>
  <si>
    <t>R B Y</t>
  </si>
  <si>
    <t>2.2.0.13</t>
  </si>
  <si>
    <t>The Savage's Choker</t>
  </si>
  <si>
    <t>Ancient Sin'dorei Longbow</t>
  </si>
  <si>
    <t>Rage</t>
  </si>
  <si>
    <t>Fury</t>
  </si>
  <si>
    <t>Heartless</t>
  </si>
  <si>
    <t>Akil'zon's Talonblade</t>
  </si>
  <si>
    <t>Merciless Gladiator's Shanker resilience rating</t>
  </si>
  <si>
    <t>Retainer's Blade stats</t>
  </si>
  <si>
    <t>Terror Flame Dagger stats</t>
  </si>
  <si>
    <t>Umbral Shiv stats</t>
  </si>
  <si>
    <t>Boundless Agony offhand stats</t>
  </si>
  <si>
    <t>Dagger of Bad Mojo offhand stats</t>
  </si>
  <si>
    <t>Kingsfall offhand stats</t>
  </si>
  <si>
    <t>Spinesever</t>
  </si>
  <si>
    <t>Powerful Earthstorm Diamond (18sta/5%stun resi)</t>
  </si>
  <si>
    <t>Relentless Earthstorm Diamond (12agi/3%crit dam)</t>
  </si>
  <si>
    <t>Swift Skyfire Diamond (24ap/minor speed)</t>
  </si>
  <si>
    <t>Swift Windfire Diamond (20ap/minor speed)</t>
  </si>
  <si>
    <t>Thundering Skyfire Diamond (haste)</t>
  </si>
  <si>
    <t>Assassin's Fire Opal (6crit/5dodge)</t>
  </si>
  <si>
    <t>Deadly Fire Opal (5crit/8ap)</t>
  </si>
  <si>
    <t>Empowered Fire Opal (8ap/5resil)</t>
  </si>
  <si>
    <t>Enscribed Fire Opal (5str/4crit)</t>
  </si>
  <si>
    <t>Etched Fire Opal (5str/4hit)</t>
  </si>
  <si>
    <t>Glinting Fire Opal (5agi/4hit)</t>
  </si>
  <si>
    <t>Glinting Flame Spessarite (3agi/3hit)</t>
  </si>
  <si>
    <t>Glinting Noble Topaz (4agi/4hit)</t>
  </si>
  <si>
    <t>Glinting Pyrestone (5agi/5hit)</t>
  </si>
  <si>
    <t>Ghostly Strike option no longer increases damage done.</t>
  </si>
  <si>
    <t>Ravager's Wrist-wraps of the Bandit</t>
  </si>
  <si>
    <t>Ashtongue Estimated Crit now carries into cycle formula for improved Seal Fate calculation</t>
  </si>
  <si>
    <t>Skill Options</t>
  </si>
  <si>
    <t>Importation issue with +4 stats enchant to bracers.</t>
  </si>
  <si>
    <t>Importation issue with Heavy Knothide Armor on boots.</t>
  </si>
  <si>
    <t>2.4.2.2</t>
  </si>
  <si>
    <t>Hemo/Backstab formulas (broke in 2.4.0.4)</t>
  </si>
  <si>
    <t>Meta Require is now automatically turned off during Upgrade checks to more accurately compare items.</t>
  </si>
  <si>
    <t xml:space="preserve">(Although one will still need to adjust gems to meet the requirements for the suggested item to actually be such an upgrade) </t>
  </si>
  <si>
    <t>Slayer 4-pc bonus is now additive with Surprise Attacks, Aggression and Opportunity</t>
  </si>
  <si>
    <t>Env/sec</t>
  </si>
  <si>
    <t>Env damage</t>
  </si>
  <si>
    <t>Damage</t>
  </si>
  <si>
    <t>CP Target</t>
  </si>
  <si>
    <t>EPS</t>
  </si>
  <si>
    <t>FW Factor</t>
  </si>
  <si>
    <t>-</t>
  </si>
  <si>
    <t>Instants Needed</t>
  </si>
  <si>
    <t>SND EPS</t>
  </si>
  <si>
    <t>Combo Points Reached</t>
  </si>
  <si>
    <t>Target</t>
  </si>
  <si>
    <t>Target+1</t>
  </si>
  <si>
    <t>Target+2</t>
  </si>
  <si>
    <t>Probability Table, Non-Mutilate</t>
  </si>
  <si>
    <t>Probability Table, Mutilate</t>
  </si>
  <si>
    <t>State Probability</t>
  </si>
  <si>
    <t>EA</t>
  </si>
  <si>
    <t>Non-Mut</t>
  </si>
  <si>
    <t>Mut</t>
  </si>
  <si>
    <t xml:space="preserve">P(r) </t>
  </si>
  <si>
    <t>P(A)</t>
  </si>
  <si>
    <t>P(B)</t>
  </si>
  <si>
    <t>Cycle Analysis</t>
  </si>
  <si>
    <t># Finishers</t>
  </si>
  <si>
    <t># Instants</t>
  </si>
  <si>
    <t>Energy Used</t>
  </si>
  <si>
    <t>Time [sec]</t>
  </si>
  <si>
    <t>Uptime [%]</t>
  </si>
  <si>
    <t>Slack [sec]</t>
  </si>
  <si>
    <t>Cycle Name</t>
  </si>
  <si>
    <t>Rupt.</t>
  </si>
  <si>
    <t>Evis.</t>
  </si>
  <si>
    <t>Env.</t>
  </si>
  <si>
    <t>begin Rupture cycles</t>
  </si>
  <si>
    <t>1r</t>
  </si>
  <si>
    <t>2r</t>
  </si>
  <si>
    <t>3r</t>
  </si>
  <si>
    <t>2s/3r</t>
  </si>
  <si>
    <t>3s/3r</t>
  </si>
  <si>
    <t>1s/4s/3r</t>
  </si>
  <si>
    <t>2s/4s/3r</t>
  </si>
  <si>
    <t>1s/4s/4r</t>
  </si>
  <si>
    <t>1s/4s/5r</t>
  </si>
  <si>
    <t>1s/5s/3r</t>
  </si>
  <si>
    <t>2s/5s/3r</t>
  </si>
  <si>
    <t>3s/5s/3r</t>
  </si>
  <si>
    <t>1s/5s/4r</t>
  </si>
  <si>
    <t>1s/5s/5r</t>
  </si>
  <si>
    <t>1s/3r/3e</t>
  </si>
  <si>
    <t>2s/3r/3e</t>
  </si>
  <si>
    <t>3s/3r/3e</t>
  </si>
  <si>
    <t>4s/3r/3e</t>
  </si>
  <si>
    <t>5s/3r/3e</t>
  </si>
  <si>
    <t>3s/4r/3e</t>
  </si>
  <si>
    <t>3s/5r/3e</t>
  </si>
  <si>
    <t>1s/3r/4e</t>
  </si>
  <si>
    <t>2s/3r/4e</t>
  </si>
  <si>
    <t>3s/3r/4e</t>
  </si>
  <si>
    <t>4s/3r/4e</t>
  </si>
  <si>
    <t>5s/3r/4e</t>
  </si>
  <si>
    <t>1s/4r/4e</t>
  </si>
  <si>
    <t>2s/4r/4e</t>
  </si>
  <si>
    <t>3s/4r/4e</t>
  </si>
  <si>
    <t>1s/5r/4e</t>
  </si>
  <si>
    <t>2s/5r/4e</t>
  </si>
  <si>
    <t>3s/5r/4e</t>
  </si>
  <si>
    <t>1s/3r/5e</t>
  </si>
  <si>
    <t>2s/3r/5e</t>
  </si>
  <si>
    <t>3s/3r/5e</t>
  </si>
  <si>
    <t>4s/3r/5e</t>
  </si>
  <si>
    <t>5s/3r/5e</t>
  </si>
  <si>
    <t>1s/4r/5e</t>
  </si>
  <si>
    <t>2s/4r/5e</t>
  </si>
  <si>
    <t>3s/4r/5e</t>
  </si>
  <si>
    <t>1s/5r/5e</t>
  </si>
  <si>
    <t>2s/5r/5e</t>
  </si>
  <si>
    <t>3s/5r/5e</t>
  </si>
  <si>
    <t>Rogue Base</t>
  </si>
  <si>
    <t>Boss Mob</t>
  </si>
  <si>
    <t>Parry %</t>
  </si>
  <si>
    <t>Parry%</t>
  </si>
  <si>
    <t>Base Parry</t>
  </si>
  <si>
    <t>BaseParPerc</t>
  </si>
  <si>
    <t>1s/4s/5e</t>
  </si>
  <si>
    <t>1s/5s/3e</t>
  </si>
  <si>
    <t>2s/5s/3e</t>
  </si>
  <si>
    <t>3s/5s/3e</t>
  </si>
  <si>
    <t>1s/5s/4e</t>
  </si>
  <si>
    <t>1s/5s/5e</t>
  </si>
  <si>
    <t>5ea</t>
  </si>
  <si>
    <t>Corrected AR pro-rating model.</t>
  </si>
  <si>
    <t>rupture uptime</t>
  </si>
  <si>
    <t>SnD and Rupture uptimes to stat block</t>
  </si>
  <si>
    <t>Cheat Death</t>
  </si>
  <si>
    <t>Total Points:</t>
  </si>
  <si>
    <t>Murder</t>
  </si>
  <si>
    <t>Improved Poisons</t>
  </si>
  <si>
    <t>Improved Kick</t>
  </si>
  <si>
    <t>Dagger Specialization</t>
  </si>
  <si>
    <t>Dual Wield Specialization</t>
  </si>
  <si>
    <t>Mace Specialization</t>
  </si>
  <si>
    <t>Fist Specialization</t>
  </si>
  <si>
    <t>Sword Specialization</t>
  </si>
  <si>
    <t>Hit Table - Off Hand</t>
  </si>
  <si>
    <t>Finisher</t>
  </si>
  <si>
    <t>Tier 4 sample gear set</t>
  </si>
  <si>
    <t>Shoulder enchant works as none again</t>
  </si>
  <si>
    <t>New</t>
  </si>
  <si>
    <t>Interface to add unmodeled items</t>
  </si>
  <si>
    <t>Blade of Serration</t>
  </si>
  <si>
    <t>Crossbow of Relentless Strikes</t>
  </si>
  <si>
    <t>Swift Blade of Uncertainty</t>
  </si>
  <si>
    <t>The Mutilator</t>
  </si>
  <si>
    <t>Vanir's Left Fist of Brutality</t>
  </si>
  <si>
    <t>Hourglass of the Unraveller proc duration fixed to 10 secs and spelled correctly on the Optimize sheet</t>
  </si>
  <si>
    <t>Stat block font changed to Arial (Verdana unsupported on Macs)</t>
  </si>
  <si>
    <t>Expertise to cap</t>
  </si>
  <si>
    <t>Deathmantle 4p (chance for 0e finisher)</t>
  </si>
  <si>
    <t>Gladiator 2p (+35 rs)</t>
  </si>
  <si>
    <t>Netherblade 2p (+3s to snd)</t>
  </si>
  <si>
    <t>Netherblade 4p (15% chance on finisher to give 1cp)</t>
  </si>
  <si>
    <t>Neck</t>
  </si>
  <si>
    <t>Assassin's Alchemist Stone</t>
  </si>
  <si>
    <t>Alchemy</t>
  </si>
  <si>
    <t>Equip: Increases the effect that healing and mana potions have on the wearer by 40%. This effect does not stack.</t>
  </si>
  <si>
    <t>Incorrect references in Extra Attacks block</t>
  </si>
  <si>
    <t>type1</t>
  </si>
  <si>
    <t>type2</t>
  </si>
  <si>
    <t>Dirge</t>
  </si>
  <si>
    <t>type3</t>
  </si>
  <si>
    <t>Emerald Ripper</t>
  </si>
  <si>
    <t>Fang of Vashj</t>
  </si>
  <si>
    <t>type4</t>
  </si>
  <si>
    <t>Chance on hit: Increases magical damage taken by the target by 5%, and dispels Prince Kael'thas' Mind Control when a melee ability lands. Can be applied up to 5 times. Lasts 30 sec.</t>
  </si>
  <si>
    <t>Chance on hit: Calls forth an Ember of Azzinoth to protect you in battle for a short period of time.</t>
  </si>
  <si>
    <t>Workaround is to save them as an Option set, import the options and load your option set from the pull down box on the Talent page.</t>
  </si>
  <si>
    <t>improved</t>
  </si>
  <si>
    <t>Special thanks to Rerox for looking up innumerable Item IDs and finding a working Armory Import model.</t>
  </si>
  <si>
    <t>Subtle Crimson Spinel (10dodge)</t>
  </si>
  <si>
    <t>Subtle Living Ruby (8dodge)</t>
  </si>
  <si>
    <t>Fallen Star (18sta)</t>
  </si>
  <si>
    <t>Solid Azure Moonstone (9sta)</t>
  </si>
  <si>
    <t>2.4.0.2</t>
  </si>
  <si>
    <t>Above is used for conditional formatting for sockets</t>
  </si>
  <si>
    <t>Assassination 4-piece (-10e evis)</t>
  </si>
  <si>
    <t>Helm</t>
  </si>
  <si>
    <t>Netherblade Facemask</t>
  </si>
  <si>
    <t>Deathmantle 2p (+40dmg per cp to evis)</t>
  </si>
  <si>
    <t>Helm Enchant</t>
  </si>
  <si>
    <t>Glyph of Ferocity (+16 hit +34ap)</t>
  </si>
  <si>
    <t>Blacksmith</t>
  </si>
  <si>
    <t>Engineer</t>
  </si>
  <si>
    <t>Items from PVP</t>
  </si>
  <si>
    <t>Items from Instances</t>
  </si>
  <si>
    <t>The Eye</t>
  </si>
  <si>
    <t>BoP Items from Professions</t>
  </si>
  <si>
    <t>BoE Items</t>
  </si>
  <si>
    <t>BoE Crafted Items</t>
  </si>
  <si>
    <t>Improved Kidney Shot</t>
  </si>
  <si>
    <t>Blade Twisting</t>
  </si>
  <si>
    <t>Master of Subtlety</t>
  </si>
  <si>
    <t>Vigor</t>
  </si>
  <si>
    <t>Enveloping Shadows</t>
  </si>
  <si>
    <t>Deadened Nerves</t>
  </si>
  <si>
    <t>Premeditation</t>
  </si>
  <si>
    <t>Nerves of Steel</t>
  </si>
  <si>
    <t>Midnight Legguards</t>
  </si>
  <si>
    <t>Netherblade Breeches</t>
  </si>
  <si>
    <t>Oilcloth Breeches</t>
  </si>
  <si>
    <t>Retainer's Leggings</t>
  </si>
  <si>
    <t>Shady Dealer's Pantaloons</t>
  </si>
  <si>
    <t>Slayer's Legguards</t>
  </si>
  <si>
    <t>Warpscale Leggings</t>
  </si>
  <si>
    <t>Re-did the Conditional formating for gem cells to solve Open Office issues.</t>
  </si>
  <si>
    <t>Messenger of Fate dagger is now properly associated as being a Black Temple drop.</t>
  </si>
  <si>
    <t>Band of the Ranger-General</t>
  </si>
  <si>
    <t>Garona's Signet Ring</t>
  </si>
  <si>
    <t>Kaylaan's Signet</t>
  </si>
  <si>
    <t>Ravenclaw Band</t>
  </si>
  <si>
    <t>Ring of Arathi Warlords</t>
  </si>
  <si>
    <t>Ring of Lethality</t>
  </si>
  <si>
    <t>Ring of Reciprocity</t>
  </si>
  <si>
    <t>Tuskbreaker now correctly attributed to Zul Aman</t>
  </si>
  <si>
    <t>TK - Void Reaver</t>
  </si>
  <si>
    <t>Midnight Chestguard</t>
  </si>
  <si>
    <t>2.3.2.7</t>
  </si>
  <si>
    <t>Humanoid mobtype works for Murder</t>
  </si>
  <si>
    <t>Void Reaver is now attributed to TK.</t>
  </si>
  <si>
    <t>Midnight Chestguard spelled correctly.</t>
  </si>
  <si>
    <t>Hits/sec</t>
  </si>
  <si>
    <t>3s/5s/4e</t>
  </si>
  <si>
    <t>2s/5s/4e</t>
  </si>
  <si>
    <t>2s/4s/4e</t>
  </si>
  <si>
    <t>4s</t>
  </si>
  <si>
    <t>1s/5e</t>
  </si>
  <si>
    <t>2s/5e</t>
  </si>
  <si>
    <t>3s/5e</t>
  </si>
  <si>
    <t>4s/5e</t>
  </si>
  <si>
    <t>1s/4e</t>
  </si>
  <si>
    <t>2s/4e</t>
  </si>
  <si>
    <t>3s/4e</t>
  </si>
  <si>
    <t>4s/4e</t>
  </si>
  <si>
    <t>Use: Increases attack power by 260 for 20 sec.</t>
  </si>
  <si>
    <t>Seal of the Dawn</t>
  </si>
  <si>
    <t>MH Temp Enchant</t>
  </si>
  <si>
    <t>Windfury</t>
  </si>
  <si>
    <t>Merciless Gladiator's Quickblade</t>
  </si>
  <si>
    <t>OH Enchant</t>
  </si>
  <si>
    <t>Shattered Sun (Aldor Might)</t>
  </si>
  <si>
    <t>Shattered Sun (Scryer Resolve)</t>
  </si>
  <si>
    <t>Shattered Sun (Aldor Resolve)</t>
  </si>
  <si>
    <t>AC amount</t>
  </si>
  <si>
    <t>Vengeance</t>
  </si>
  <si>
    <t>Syphon of the Nathrezim</t>
  </si>
  <si>
    <t>Updated the Item Bonus sheet to reflect missing socket bonuses to fix problem with the item compare sheet</t>
  </si>
  <si>
    <t>Fixed backstab calculations</t>
  </si>
  <si>
    <t>Used</t>
  </si>
  <si>
    <t>Calculated</t>
  </si>
  <si>
    <t>DPS Adj.</t>
  </si>
  <si>
    <t>Gear and Talent set save functions (Thanks of Pulynerain!)</t>
  </si>
  <si>
    <t>Blessing of Kings</t>
  </si>
  <si>
    <t>Blessing of Might</t>
  </si>
  <si>
    <t>Grace of Air Totem</t>
  </si>
  <si>
    <t>Strength of Earth Totem</t>
  </si>
  <si>
    <t>Unleashed Rage</t>
  </si>
  <si>
    <t>Windfury/Flametongue (for imp talent)</t>
  </si>
  <si>
    <t>Expose Weakness</t>
  </si>
  <si>
    <t>Consumables</t>
  </si>
  <si>
    <t>Elixir of Major Strength</t>
  </si>
  <si>
    <t>Cloak of Fiends</t>
  </si>
  <si>
    <t>Shadowtooth Trollskin Cuirass</t>
  </si>
  <si>
    <t>Vengeful Gladiator's War Edge</t>
  </si>
  <si>
    <t>Grimgrin Faceguard</t>
  </si>
  <si>
    <t>Spicy Hot Talbuk</t>
  </si>
  <si>
    <t>Elixir of the Mongoose</t>
  </si>
  <si>
    <t>Skyfire Hawk-Bow</t>
  </si>
  <si>
    <t>Steelhawk Crossbow</t>
  </si>
  <si>
    <t>Sunfury Bow of the Phoenix</t>
  </si>
  <si>
    <t>Mark of the Wild</t>
  </si>
  <si>
    <t>Battle Shout</t>
  </si>
  <si>
    <t>True Shot Aura</t>
  </si>
  <si>
    <t>Leader of the Pack</t>
  </si>
  <si>
    <t>Blood Frenzy</t>
  </si>
  <si>
    <t>Smooth Dawnstone (8crit)</t>
  </si>
  <si>
    <t>Smooth Golden Draenite (6crit)</t>
  </si>
  <si>
    <t>Poisons are now disabled based on the Option on the Talent sheet.</t>
  </si>
  <si>
    <t>Chance on hit: Increases your movement speed by 50%, and your melee attack speed by 20% for 30 sec.</t>
  </si>
  <si>
    <t>OFF HAND TEMP. ENCHANTS</t>
  </si>
  <si>
    <t>Procdmg</t>
  </si>
  <si>
    <t>Ppm</t>
  </si>
  <si>
    <t>P-type</t>
  </si>
  <si>
    <t>Proc Description</t>
  </si>
  <si>
    <t>Rarity</t>
  </si>
  <si>
    <t>ilvl</t>
  </si>
  <si>
    <t>envcp</t>
  </si>
  <si>
    <t>effarmor</t>
  </si>
  <si>
    <t>tarmor</t>
  </si>
  <si>
    <t>evistatic</t>
  </si>
  <si>
    <t>Energy Expansion</t>
  </si>
  <si>
    <t>evicost</t>
  </si>
  <si>
    <t>evicp</t>
  </si>
  <si>
    <t>evimult</t>
  </si>
  <si>
    <t>shiv</t>
  </si>
  <si>
    <t>add base % haste into energy expansion</t>
  </si>
  <si>
    <t>mhatk</t>
  </si>
  <si>
    <t>whidps</t>
  </si>
  <si>
    <t>bsbase</t>
  </si>
  <si>
    <t>instbase</t>
  </si>
  <si>
    <t>DPE</t>
  </si>
  <si>
    <t>ssbase</t>
  </si>
  <si>
    <t>hemobase</t>
  </si>
  <si>
    <t>gsbase</t>
  </si>
  <si>
    <t>Vengeful Gladiator's Leather Gloves (crit rating)</t>
  </si>
  <si>
    <t>OH Crit Factor</t>
  </si>
  <si>
    <t>Difference</t>
  </si>
  <si>
    <t>DPS Stats</t>
  </si>
  <si>
    <t>Defensive Stats</t>
  </si>
  <si>
    <t>Misc. Information</t>
  </si>
  <si>
    <t xml:space="preserve">  AP</t>
  </si>
  <si>
    <t xml:space="preserve">  Hit</t>
  </si>
  <si>
    <t xml:space="preserve">  = Miss</t>
  </si>
  <si>
    <t xml:space="preserve">  Crit</t>
  </si>
  <si>
    <t xml:space="preserve">  Armor Pen</t>
  </si>
  <si>
    <t xml:space="preserve">  HP</t>
  </si>
  <si>
    <t xml:space="preserve">  Dodge</t>
  </si>
  <si>
    <t xml:space="preserve">  Resilience</t>
  </si>
  <si>
    <t xml:space="preserve">  Parry</t>
  </si>
  <si>
    <t>With the upcoming availability of gems from badges, default fill-in gem changed to Glinting Pyrestone</t>
  </si>
  <si>
    <t>Mighty Blood Garnet (14ap) (A)</t>
  </si>
  <si>
    <t>Barbed Deep Peridot (3sta/4crit) (H)</t>
  </si>
  <si>
    <t>Boggspine Knuckles</t>
  </si>
  <si>
    <t>Demonblood Eviscerator was missing Expertise rating.</t>
  </si>
  <si>
    <t>Procs to revisit</t>
  </si>
  <si>
    <t>Insidious Bands</t>
  </si>
  <si>
    <t>Ashtongue Talisman of Lethality formula (dps increase)</t>
  </si>
  <si>
    <t>Twinblade bonus (estimate accounts for 45 second cooldown)</t>
  </si>
  <si>
    <t>Band of the Eternal Champion (added 4 ap to proc based on better estimate)</t>
  </si>
  <si>
    <t>Shadowstep energy now correctly deducted from buffed cycles.</t>
  </si>
  <si>
    <t>Pawn string (hopefully).</t>
  </si>
  <si>
    <t>Chance on hit: Chance on melee attack to gain 10 Energy or 5 Rage.</t>
  </si>
  <si>
    <t>Chance on hit: Fills you with fel energy allowing all melee attacks to drain life from opponents.</t>
  </si>
  <si>
    <t>Chance on hit: Increases your haste rating by 132 for 10 sec.</t>
  </si>
  <si>
    <t>Mallet of the Tides</t>
  </si>
  <si>
    <t>dpsStr</t>
  </si>
  <si>
    <t>dpsAgi</t>
  </si>
  <si>
    <t>dpsAP</t>
  </si>
  <si>
    <t>Rod of the Sun King using proc mechanics (1 PPM)</t>
  </si>
  <si>
    <t>Expose Armor</t>
  </si>
  <si>
    <t>2.4.0.9</t>
  </si>
  <si>
    <t>Hit % in stat box fixed</t>
  </si>
  <si>
    <t>Slayer's Boots - new stats</t>
  </si>
  <si>
    <t>Slayer's Belt - new stats</t>
  </si>
  <si>
    <t>Slayer's Bracers - new stats</t>
  </si>
  <si>
    <t>Puncturing Wounds</t>
  </si>
  <si>
    <t>Golden Bow of Quel'Thalas</t>
  </si>
  <si>
    <t>Shard of Contempt - higher uptime due to 10% proc chance</t>
  </si>
  <si>
    <t>Rare</t>
  </si>
  <si>
    <t>Vile Poisons</t>
  </si>
  <si>
    <t xml:space="preserve">  Parried</t>
  </si>
  <si>
    <t xml:space="preserve">  Dodged</t>
  </si>
  <si>
    <t>Backstab, Sinister Strike, Mutilate, and Hemorrhage</t>
  </si>
  <si>
    <t>Hemo multiplier</t>
  </si>
  <si>
    <t>NormDag</t>
  </si>
  <si>
    <t>NormWeap</t>
  </si>
  <si>
    <t>Total Hemo multiplier</t>
  </si>
  <si>
    <t>skHmult</t>
  </si>
  <si>
    <t>1.1+Sinister Calling</t>
  </si>
  <si>
    <t>Slayer 4-pc</t>
  </si>
  <si>
    <t>Chance on hit: Increases attack power by 270 for 10 sec.</t>
  </si>
  <si>
    <t>Twinblade of Mastery</t>
  </si>
  <si>
    <t>Crystal-Infused Shiv</t>
  </si>
  <si>
    <t>Talon of Anzu</t>
  </si>
  <si>
    <t>Heartrazor</t>
  </si>
  <si>
    <t>Hungering Spineripper</t>
  </si>
  <si>
    <t>Illidari-Bane Dagger</t>
  </si>
  <si>
    <t>Infinity Blade</t>
  </si>
  <si>
    <t>Kingsfall</t>
  </si>
  <si>
    <t>Malchazeen</t>
  </si>
  <si>
    <t>Merciless Gladiator's Shanker</t>
  </si>
  <si>
    <t>Retainer's Blade</t>
  </si>
  <si>
    <t>Improved Backstab is now called Puncturing Wounds and gives a crit bonus to Mutilate</t>
  </si>
  <si>
    <t>Choker of Vile Intent</t>
  </si>
  <si>
    <t>Fel Skin 3p (+20 dodge)</t>
  </si>
  <si>
    <t>Primal Intent 3p (+40ap)</t>
  </si>
  <si>
    <t>Shoulder</t>
  </si>
  <si>
    <t>Swiftstrike Shoulders</t>
  </si>
  <si>
    <t>Shoulder Enchant</t>
  </si>
  <si>
    <t>Greater Inscription of Vengeance (10crit 30ap)</t>
  </si>
  <si>
    <t>Zul Aman</t>
  </si>
  <si>
    <t>Boots of Effortless Striking</t>
  </si>
  <si>
    <t>Source</t>
  </si>
  <si>
    <t>SSC</t>
  </si>
  <si>
    <t>Pre-BC</t>
  </si>
  <si>
    <t>Back</t>
  </si>
  <si>
    <t>Ring</t>
  </si>
  <si>
    <t>Trinket</t>
  </si>
  <si>
    <t>Karazhan</t>
  </si>
  <si>
    <t>5 Man</t>
  </si>
  <si>
    <t>BoE</t>
  </si>
  <si>
    <t>Quest</t>
  </si>
  <si>
    <t>Reputation</t>
  </si>
  <si>
    <t>PvP</t>
  </si>
  <si>
    <t>Gruul's Lair</t>
  </si>
  <si>
    <t>Magtheridon</t>
  </si>
  <si>
    <t>TK</t>
  </si>
  <si>
    <t>Doomwalker</t>
  </si>
  <si>
    <t>Kazzak</t>
  </si>
  <si>
    <t>Black Temple</t>
  </si>
  <si>
    <t>Mount Hyjal</t>
  </si>
  <si>
    <t>BoE Crafted</t>
  </si>
  <si>
    <t>Blacksmithing</t>
  </si>
  <si>
    <t>Leatherworking</t>
  </si>
  <si>
    <t>Jewelcrafting</t>
  </si>
  <si>
    <t>Engineering</t>
  </si>
  <si>
    <t>Telonicus's Pendant of Mayhem</t>
  </si>
  <si>
    <t>Heroic</t>
  </si>
  <si>
    <t>Serpent Spine Longbow</t>
  </si>
  <si>
    <t>Boots of the Shifting Sands</t>
  </si>
  <si>
    <t>Boots of the Unjust</t>
  </si>
  <si>
    <t>Boots of Utter Darkness</t>
  </si>
  <si>
    <t>Farahlite Studded Boots</t>
  </si>
  <si>
    <t>Unbuffed DPS is now correctly working without the Murder talent.</t>
  </si>
  <si>
    <t>Claw of Molten Fury</t>
  </si>
  <si>
    <t>KZ - Attuman/Midnight, Romulo, Strawman, Nightbane, Prince</t>
  </si>
  <si>
    <t>BT - Naj'entus, Supremus, Shade of Akama, Gurtogg</t>
  </si>
  <si>
    <t>Mounting Vengeance</t>
  </si>
  <si>
    <t>Opportunist's Leather Spaulders</t>
  </si>
  <si>
    <t>Opportunist's Leather Legguards</t>
  </si>
  <si>
    <t>Opportunist's Leather Gloves</t>
  </si>
  <si>
    <t>Opportunist's Leather Helm</t>
  </si>
  <si>
    <t>Opportunist's Leather Tunic</t>
  </si>
  <si>
    <t>Gloves of Immortal Dusk</t>
  </si>
  <si>
    <t>Carapace of Sun and Shadow</t>
  </si>
  <si>
    <t>Equip: Each time one of your direct damage attacks does not critically strike, you gain 17 critical strike rating and 17 spell critical strike rating for the next 10 sec.  This effect is consumed when you deal a critical strike.</t>
  </si>
  <si>
    <t>Buffed bonus</t>
  </si>
  <si>
    <t>Buffed gain #1</t>
  </si>
  <si>
    <t>Buffed gain #2</t>
  </si>
  <si>
    <t>Equip: Your melee and ranged attacks have a chance to inject poison into your target dealing 222 to 332 Nature damage.</t>
  </si>
  <si>
    <t>buffed gain #1</t>
  </si>
  <si>
    <t>Item names no longer shrink to fit to resolve visiblity issues on Macs.</t>
  </si>
  <si>
    <t>The Master's Treads</t>
  </si>
  <si>
    <t>Veteran's Leather Boots</t>
  </si>
  <si>
    <t>BOOT ENCHANTS</t>
  </si>
  <si>
    <t>Minor Speed (No Stat Boost)</t>
  </si>
  <si>
    <t>Cat's Swiftness (+6 Agi + Run Speed)</t>
  </si>
  <si>
    <t>Boar's Speed (+9 Sta + Run Speed)</t>
  </si>
  <si>
    <t>Surefooted (+10 Hit + 5% Snare Resist)</t>
  </si>
  <si>
    <t>Band of Devastation</t>
  </si>
  <si>
    <t>Band of the Exorcist</t>
  </si>
  <si>
    <t>Merciless Gladiator's Leather Spaulders (14crit -&gt; 24crit)</t>
  </si>
  <si>
    <t>2.3.0.1</t>
  </si>
  <si>
    <t>Ring of Ghoulish Delight</t>
  </si>
  <si>
    <t>unique</t>
  </si>
  <si>
    <t>2s/5s/5e</t>
  </si>
  <si>
    <t>2s/4s/5e</t>
  </si>
  <si>
    <t>Mace Spec crit multiplier no longer applies to offhand attacks when a Mace isn't equipped.</t>
  </si>
  <si>
    <t>APtoDPS</t>
  </si>
  <si>
    <t>&lt;---  base conversion for attack power as converted to DPS</t>
  </si>
  <si>
    <t>MHavg</t>
  </si>
  <si>
    <t>&lt;--- average base main-hand weapon damage</t>
  </si>
  <si>
    <t>MHspd</t>
  </si>
  <si>
    <t>&lt;--- base main-hand weapon speed</t>
  </si>
  <si>
    <t>&lt;--- average base off-hand weapon damage</t>
  </si>
  <si>
    <t>&lt;--- base off-hand weapon speed</t>
  </si>
  <si>
    <t>OHavg</t>
  </si>
  <si>
    <t>OHspd</t>
  </si>
  <si>
    <t>Average Glance</t>
  </si>
  <si>
    <t>Equip: Your special attacks have a chance to give you 1000 armor penetration for 15 sec.</t>
  </si>
  <si>
    <t>Zandalar Signet of Might (30ap)</t>
  </si>
  <si>
    <t>Quick Recovery</t>
  </si>
  <si>
    <t>Blade Flurry</t>
  </si>
  <si>
    <t>Master Poisoner</t>
  </si>
  <si>
    <t>Weapon Expertise</t>
  </si>
  <si>
    <t>Include Hemo Debuff DPS Estimate?</t>
  </si>
  <si>
    <t>Mutilate</t>
  </si>
  <si>
    <t>No</t>
  </si>
  <si>
    <t>Adrenaline Rush</t>
  </si>
  <si>
    <t>Seal Fate</t>
  </si>
  <si>
    <t>Vitality</t>
  </si>
  <si>
    <t>Use Ghostly Strike if Hemo?</t>
  </si>
  <si>
    <t>Find Weakness</t>
  </si>
  <si>
    <t>Chance on hit: Grants an extra attack on your next swing.</t>
  </si>
  <si>
    <t>Honor's Call stats</t>
  </si>
  <si>
    <t>King's Defender stats</t>
  </si>
  <si>
    <t>Exp</t>
  </si>
  <si>
    <t>Combat Potency</t>
  </si>
  <si>
    <t>Surprise Attacks</t>
  </si>
  <si>
    <t>AGILITY EQUIVALENCE POINTS (AEP) VALUES</t>
  </si>
  <si>
    <t>Average</t>
  </si>
  <si>
    <t>Agility</t>
  </si>
  <si>
    <t>AEP</t>
  </si>
  <si>
    <t>Strength</t>
  </si>
  <si>
    <t>AP</t>
  </si>
  <si>
    <t>Pawn Import String</t>
  </si>
  <si>
    <t>-Armor</t>
  </si>
  <si>
    <t>Haste</t>
  </si>
  <si>
    <t>User Inputted Data Below</t>
  </si>
  <si>
    <t>Stamina</t>
  </si>
  <si>
    <t>Meta Socket</t>
  </si>
  <si>
    <t>Dodge rating</t>
  </si>
  <si>
    <t>Red Socket</t>
  </si>
  <si>
    <t>Resilience rating</t>
  </si>
  <si>
    <t>Blue Socket</t>
  </si>
  <si>
    <t>Parry rating</t>
  </si>
  <si>
    <t>Yellow Socket</t>
  </si>
  <si>
    <t xml:space="preserve">Thunderfury Debuff </t>
  </si>
  <si>
    <t>Bracer Enchant</t>
  </si>
  <si>
    <t>Glove Enchant</t>
  </si>
  <si>
    <t>Equip: Chance on critical hit to increase your attack power by 300 for 10 secs.</t>
  </si>
  <si>
    <t>Icon of Unyielding Courage</t>
  </si>
  <si>
    <t>dodge</t>
  </si>
  <si>
    <t>instcost</t>
  </si>
  <si>
    <t>Buffed DPS no longer shows average Eviscerate damage if no Eviscerates are used.</t>
  </si>
  <si>
    <t>Gem upgrades are again affected by metagem requirements.</t>
  </si>
  <si>
    <t>Shard of Azzinoth proc effect (as 45 DPS)</t>
  </si>
  <si>
    <t>dmm</t>
  </si>
  <si>
    <t>Vindicator's Dragonhide Bracers</t>
  </si>
  <si>
    <t>Wastewalker Leggings</t>
  </si>
  <si>
    <t>LEG ENCHANTS</t>
  </si>
  <si>
    <t>Death's Embrace (+28ap 12 dodge)</t>
  </si>
  <si>
    <t>Agility to crit formula (Agil-11.8)/40 instead of (Agil-11.5)/40</t>
  </si>
  <si>
    <t>Quality</t>
  </si>
  <si>
    <t>epic</t>
  </si>
  <si>
    <t>rare</t>
  </si>
  <si>
    <t>common</t>
  </si>
  <si>
    <t>Gems</t>
  </si>
  <si>
    <t>include Common (green)</t>
  </si>
  <si>
    <t>include rare (blue)</t>
  </si>
  <si>
    <t>include epic (purple)</t>
  </si>
  <si>
    <t>2.2.0.4</t>
  </si>
  <si>
    <t>Enchanting</t>
  </si>
  <si>
    <t>2.2.0.5</t>
  </si>
  <si>
    <t>unique/used</t>
  </si>
  <si>
    <t>Bright Crimson Spinel (20ap) [Quest]</t>
  </si>
  <si>
    <t>2.4.0.7a</t>
  </si>
  <si>
    <t>Delicate Fire Ruby</t>
  </si>
  <si>
    <t>Mallet of the Tides; Terrok's Gavel; Andonisus, Reaper of Souls; Twinblade of Mastery; Crystal-Infused Shiv; and Talon of Anzu.</t>
  </si>
  <si>
    <t>Rod of the Sun King</t>
  </si>
  <si>
    <t>Energy</t>
  </si>
  <si>
    <t>Deathmantle Chestguard</t>
  </si>
  <si>
    <t>Gladiator's Leather Tunic</t>
  </si>
  <si>
    <t>cr 4</t>
  </si>
  <si>
    <t>Hauberk of Karabor</t>
  </si>
  <si>
    <t>Mag'hari Scout's Tunic</t>
  </si>
  <si>
    <t>2.3.7</t>
  </si>
  <si>
    <t>Merciless Gladiator's Leather Tunic</t>
  </si>
  <si>
    <t>Netherblade Chestpiece</t>
  </si>
  <si>
    <t>Nether Shadow Tunic</t>
  </si>
  <si>
    <t>2.3.2.1</t>
  </si>
  <si>
    <t>Primalstrike Vest</t>
  </si>
  <si>
    <t>Primal Intent</t>
  </si>
  <si>
    <t>Primalstorm Breastplate</t>
  </si>
  <si>
    <t>Protectorate Assassin's Tunic</t>
  </si>
  <si>
    <t>Slayer's Chestguard</t>
  </si>
  <si>
    <t>Terrorweave Tunic</t>
  </si>
  <si>
    <t>1 0 2</t>
  </si>
  <si>
    <t>Assassin's Alchemist Stone (new stats)</t>
  </si>
  <si>
    <t>NextStat calc work (in progress)</t>
  </si>
  <si>
    <t>Mob Level</t>
  </si>
  <si>
    <t>Support for all level mobs</t>
  </si>
  <si>
    <t>AP Normalization for Special Attacks</t>
  </si>
  <si>
    <t>Dagger AP Normalization</t>
  </si>
  <si>
    <t>Skills</t>
  </si>
  <si>
    <t>mutbase</t>
  </si>
  <si>
    <t>Do not touch these cells unless you know what you're doing.</t>
  </si>
  <si>
    <t>Handgrips of Assassination</t>
  </si>
  <si>
    <t>Liar's Tongue Gloves</t>
  </si>
  <si>
    <t>0 2 0</t>
  </si>
  <si>
    <t>Merciless Gladiator's Leather Gloves</t>
  </si>
  <si>
    <t>Predatory Gloves</t>
  </si>
  <si>
    <t>Rapscallion's Touch</t>
  </si>
  <si>
    <t>Slayer's Handguards</t>
  </si>
  <si>
    <t>New badge loot now attributed to Heroic.</t>
  </si>
  <si>
    <t>Unmodelled items now linked to the Heroic checkbox instead of Sunwell.</t>
  </si>
  <si>
    <t>MH Expertise</t>
  </si>
  <si>
    <t>OH Expertise</t>
  </si>
  <si>
    <t>Expertise is now correctly applying seperately for MH and OH weapons.</t>
  </si>
  <si>
    <t>Adjusted a couple formulas to use best available NextStat data (I.e. Macro if in use)</t>
  </si>
  <si>
    <t>Terror Flame Dagger</t>
  </si>
  <si>
    <t>High Warlord's Pummeler</t>
  </si>
  <si>
    <t>Readded</t>
  </si>
  <si>
    <t>Grand Marshal and High Warlord Weapons</t>
  </si>
  <si>
    <t>Gyro-Balanced Khorium Destroyer</t>
  </si>
  <si>
    <t>Legionkiller</t>
  </si>
  <si>
    <t>Brooch of Deftness</t>
  </si>
  <si>
    <t xml:space="preserve"> OPTIONS</t>
  </si>
  <si>
    <t xml:space="preserve">           DPS</t>
  </si>
  <si>
    <t xml:space="preserve">        Attack Power</t>
  </si>
  <si>
    <t xml:space="preserve">             Agility</t>
  </si>
  <si>
    <t>Proc mechanics now implemented and/or improved for many proc effects (see optimization page)</t>
  </si>
  <si>
    <t>Shattered Sun Pendant of Might (Scryer) now has increased damage with spell damage buffs</t>
  </si>
  <si>
    <t>DST - remove own haste effect from calcs</t>
  </si>
  <si>
    <t>User input for boss armor values (sheet default changed to 7685)</t>
  </si>
  <si>
    <t>Chest Enchant</t>
  </si>
  <si>
    <t>Harness of Carnal Instinct</t>
  </si>
  <si>
    <t>Sunwell</t>
  </si>
  <si>
    <t>Leggings of the Immortal Night</t>
  </si>
  <si>
    <t>Shoulderpads of Vehemence</t>
  </si>
  <si>
    <t>Various non-calculation formulas for special attacks on the DPS sheets</t>
  </si>
  <si>
    <t>Fists of Fury bonus modeled as 10% proc rate no cooldown.</t>
  </si>
  <si>
    <t>Shattered Sun Pendant of Might (Scryer) proc (rough estimate)</t>
  </si>
  <si>
    <t>2.4.0.7</t>
  </si>
  <si>
    <t>Default</t>
  </si>
  <si>
    <t>Hemo debuff no longer adds to Rupture damage</t>
  </si>
  <si>
    <t>Sunrage Shoulderpads</t>
  </si>
  <si>
    <t>Target Details</t>
  </si>
  <si>
    <t>Boss Armor Estimates</t>
  </si>
  <si>
    <t xml:space="preserve">    </t>
  </si>
  <si>
    <t>Cloak of the Craft</t>
  </si>
  <si>
    <t>Cloak of the Inciter</t>
  </si>
  <si>
    <t>Cloak of the Pit Stalker</t>
  </si>
  <si>
    <t>Consortium Cloak of the Quick</t>
  </si>
  <si>
    <t>Felboar Hide Shoes</t>
  </si>
  <si>
    <t>Fel Leather Boots</t>
  </si>
  <si>
    <t>Option and buff set save functions (basic code thanks to Pulynerain)</t>
  </si>
  <si>
    <t>Import from old spreadsheet functions for Options and set save functions</t>
  </si>
  <si>
    <t>General's Leather Boots</t>
  </si>
  <si>
    <t>Marshal's Leather Boots</t>
  </si>
  <si>
    <t>Rapscallion Boots</t>
  </si>
  <si>
    <t>Shadowmaster's Boots</t>
  </si>
  <si>
    <t>Shadowstep Striders</t>
  </si>
  <si>
    <t>Fixed extra attack damage (can be missed / dodged); same as Main Hand attacks</t>
  </si>
  <si>
    <t>Big Bad Wolf's Paw</t>
  </si>
  <si>
    <t>Claw of the Watcher</t>
  </si>
  <si>
    <t>Demonblood Eviscerator</t>
  </si>
  <si>
    <t>Gladiator's Right Ripper</t>
  </si>
  <si>
    <t>Merciless Gladiator's Right Ripper</t>
  </si>
  <si>
    <t>Reflex Blades</t>
  </si>
  <si>
    <t>Talon of the Phoenix</t>
  </si>
  <si>
    <t>The Bladefist</t>
  </si>
  <si>
    <t>Copying weapons now correctly gives the Source</t>
  </si>
  <si>
    <t>Typo Relentless Strikes</t>
  </si>
  <si>
    <t>Better Seal fate modeling thanks to Todemax (work in progress)</t>
  </si>
  <si>
    <t>Chance on hit: Increases your haste rating by 180 for 10 sec.</t>
  </si>
  <si>
    <t>(Maces)</t>
  </si>
  <si>
    <t>Mace</t>
  </si>
  <si>
    <t>Bloodskull Destroyer</t>
  </si>
  <si>
    <t>Dragonmaw</t>
  </si>
  <si>
    <t>Dragonstrike</t>
  </si>
  <si>
    <t>Drakefist Hammer</t>
  </si>
  <si>
    <t>Crit:</t>
  </si>
  <si>
    <t>Bonusrating</t>
  </si>
  <si>
    <t>Bonuscrit</t>
  </si>
  <si>
    <t>Disable Buffs</t>
  </si>
  <si>
    <t>Show non-DPS items</t>
  </si>
  <si>
    <t>Defensive</t>
  </si>
  <si>
    <t>TNB proc data</t>
  </si>
  <si>
    <t>CP</t>
  </si>
  <si>
    <t>hits in 10 seconds</t>
  </si>
  <si>
    <t>TNB downtime</t>
  </si>
  <si>
    <t>TNB 1-proc uptime</t>
  </si>
  <si>
    <t>TNB 2-proc uptime</t>
  </si>
  <si>
    <t>TNB 3-proc uptime</t>
  </si>
  <si>
    <t>cpot*snd</t>
  </si>
  <si>
    <t>2.3.5</t>
  </si>
  <si>
    <t>2.3.6</t>
  </si>
  <si>
    <t>Cold Blood/Finsher</t>
  </si>
  <si>
    <t>Cold Blood/Instant</t>
  </si>
  <si>
    <t>Macros will only work in Microsoft Excel</t>
  </si>
  <si>
    <t>Description</t>
  </si>
  <si>
    <t>This spreadsheet simulates the theoretical DPS output of rogues in a raid setting, based on the inputs of gear, enchant, talents, and buff choices.</t>
  </si>
  <si>
    <t>Twinblades 45sec inner cooldown</t>
  </si>
  <si>
    <t>Slayer 2-pc cycle fixes</t>
  </si>
  <si>
    <t>Grayed gems sockets now fill with Glinting Noble Topazes on Armory Import to somewhat improve upgrade determinations.</t>
  </si>
  <si>
    <t>Grand Marshal's Shanker</t>
  </si>
  <si>
    <t>Grand Marshal's Shiv</t>
  </si>
  <si>
    <t>High Warlord's Shanker</t>
  </si>
  <si>
    <t>High Warlord's Shiv</t>
  </si>
  <si>
    <t>Grand Marshal's Quickblade</t>
  </si>
  <si>
    <t>Grand Marshal's Slicer</t>
  </si>
  <si>
    <t>High Warlord's Slicer</t>
  </si>
  <si>
    <t>High Warlord's Quickblade</t>
  </si>
  <si>
    <t>Grand Marshal's Right Ripper</t>
  </si>
  <si>
    <t>High Warlord's Right Ripper</t>
  </si>
  <si>
    <t>Grand Marshal's Left Ripper</t>
  </si>
  <si>
    <t>High Warlord's Left Ripper</t>
  </si>
  <si>
    <t>Grand Marshal's Bonecracker</t>
  </si>
  <si>
    <t>Grand Marshal's Pummeler</t>
  </si>
  <si>
    <t>High Warlord's Bonecracker</t>
  </si>
  <si>
    <t>Chestguard of the Prowler</t>
  </si>
  <si>
    <t>Macro box margins reduced to 0 to hopefully reduce text issues.</t>
  </si>
  <si>
    <t>DirtyDeeds</t>
  </si>
  <si>
    <t>debuffon</t>
  </si>
  <si>
    <t>Remodeled Stat block</t>
  </si>
  <si>
    <t>Latro's Dancing Blade</t>
  </si>
  <si>
    <t>Latro's</t>
  </si>
  <si>
    <t>Latro's Flurry</t>
  </si>
  <si>
    <t>(ellos)</t>
  </si>
  <si>
    <t>Shadowed Gauntlets of Paroxysm</t>
  </si>
  <si>
    <t>Duplicitous Guise</t>
  </si>
  <si>
    <t>Demontooth Shoulderpads</t>
  </si>
  <si>
    <t>Bladed Chaos Tunic</t>
  </si>
  <si>
    <t>Mask of the Furry Hunter</t>
  </si>
  <si>
    <t>Gloves of the Forest Drifter</t>
  </si>
  <si>
    <t>Leggings of the Immortal Beast</t>
  </si>
  <si>
    <t>Bombardier's Blade</t>
  </si>
  <si>
    <t>Inuuro's Blade</t>
  </si>
  <si>
    <t>The Sunbreaker</t>
  </si>
  <si>
    <t>Truestrike Crossbow</t>
  </si>
  <si>
    <t>Shattered Sun Pendant of Might</t>
  </si>
  <si>
    <t>Shattered Sun Pendant of Resolve</t>
  </si>
  <si>
    <t>Special</t>
  </si>
  <si>
    <t>Hard Khorium Choker</t>
  </si>
  <si>
    <t>Hard Khorium Band</t>
  </si>
  <si>
    <t>Quad Deathblow X44 Goggles</t>
  </si>
  <si>
    <t>Slayer's Belt</t>
  </si>
  <si>
    <t>Slayer's Boots</t>
  </si>
  <si>
    <t>Slayer's Bracers</t>
  </si>
  <si>
    <t>Thori'dal, the Stars' Fury</t>
  </si>
  <si>
    <t>Muramasa</t>
  </si>
  <si>
    <t>Dragonscale-Encrusted Longblade</t>
  </si>
  <si>
    <t>Fang of Kalecgos</t>
  </si>
  <si>
    <t>Crux of the Apocalypse</t>
  </si>
  <si>
    <t>Shiv of Exsanguination</t>
  </si>
  <si>
    <t>Blackened Naaru Sliver</t>
  </si>
  <si>
    <t>Shard of Contempt</t>
  </si>
  <si>
    <t>Steely Naaru Sliver</t>
  </si>
  <si>
    <t>Muramosa</t>
  </si>
  <si>
    <t>Macro boxes larger to hopefully resolve text issues on a Mac.</t>
  </si>
  <si>
    <t>2nd Unmodeled ring now shows in the Ring List (instead of 2 Sunwell rings)</t>
  </si>
  <si>
    <t>Fixed issue where Buffed DPS on the Gear sheet always said Sinister Strike, now correctly allows other options.</t>
  </si>
  <si>
    <t>Q: I use envenom instead of eviscerate, is there an option for this?</t>
  </si>
  <si>
    <t>Slayer's Helm</t>
  </si>
  <si>
    <t>Slayer</t>
  </si>
  <si>
    <t>Stealther's Helmet of Second Sight</t>
  </si>
  <si>
    <t>1 1 1 0</t>
  </si>
  <si>
    <t>The Night Watchman</t>
  </si>
  <si>
    <t>Wastewalker Helm</t>
  </si>
  <si>
    <t>Wastewalker</t>
  </si>
  <si>
    <t>HELM ENCHANTS</t>
  </si>
  <si>
    <t>Death's Embrace (+28ap +12 dodge)</t>
  </si>
  <si>
    <t>Pulldown for Mob Type (Murder now applies to the correct mob types and can now be turned off)</t>
  </si>
  <si>
    <t>Revamped behind-the-scenes item tables (including Item IDs)</t>
  </si>
  <si>
    <t>Dirty Deeds Damage Increase</t>
  </si>
  <si>
    <t>Dirty Deeds Override</t>
  </si>
  <si>
    <t>Overall</t>
  </si>
  <si>
    <t>Use Shadowstep for…</t>
  </si>
  <si>
    <t>Finishers</t>
  </si>
  <si>
    <t>Use Cold Blood for…</t>
  </si>
  <si>
    <t>Wastewalker Shoulderpads</t>
  </si>
  <si>
    <t>SHOULDER ENCHANTS</t>
  </si>
  <si>
    <t>Skill</t>
  </si>
  <si>
    <t>Might of the Scourge (14crit 26ap)</t>
  </si>
  <si>
    <t>Choker of Serrated Blades</t>
  </si>
  <si>
    <t>Earthen Mark of Razing</t>
  </si>
  <si>
    <t>Natasha's Choker</t>
  </si>
  <si>
    <t>ht 2</t>
  </si>
  <si>
    <t>Prestor's Talisman of Connivery</t>
  </si>
  <si>
    <t>Merciless Gladiator's Shiv resilience rating</t>
  </si>
  <si>
    <t>Cycle</t>
  </si>
  <si>
    <t>time</t>
  </si>
  <si>
    <t>Lost DP</t>
  </si>
  <si>
    <t>Nightstrike</t>
  </si>
  <si>
    <t>buffed gain #2</t>
  </si>
  <si>
    <t>Only DPS Upgrades</t>
  </si>
  <si>
    <t>2.2.0.14</t>
  </si>
  <si>
    <t>Sockets – R B Y</t>
  </si>
  <si>
    <t>0 0 0</t>
  </si>
  <si>
    <t>(Red Gems)</t>
  </si>
  <si>
    <t>1 0 0</t>
  </si>
  <si>
    <t>(Purple Gems)</t>
  </si>
  <si>
    <t>1 1 0</t>
  </si>
  <si>
    <t>(Blue Gems)</t>
  </si>
  <si>
    <t>0 1 0</t>
  </si>
  <si>
    <t>(Green Gems)</t>
  </si>
  <si>
    <t>0 1 1</t>
  </si>
  <si>
    <t>(Yellow Gems)</t>
  </si>
  <si>
    <t>0 0 1</t>
  </si>
  <si>
    <t>(Orange Gems)</t>
  </si>
  <si>
    <t>1 0 1</t>
  </si>
  <si>
    <t>Setbonus</t>
  </si>
  <si>
    <t>Sockets – R B Y M</t>
  </si>
  <si>
    <t>0 0 0 0</t>
  </si>
  <si>
    <t>Cobrascale Hood</t>
  </si>
  <si>
    <t>Cowl of Defiance</t>
  </si>
  <si>
    <t>0 0 1 1</t>
  </si>
  <si>
    <t>st 6</t>
  </si>
  <si>
    <t>Darkguard Face Mask</t>
  </si>
  <si>
    <t>Deathblow X11 Goggles</t>
  </si>
  <si>
    <t>0 1 0 1</t>
  </si>
  <si>
    <t>ag 4</t>
  </si>
  <si>
    <t>Deathmantle Helm</t>
  </si>
  <si>
    <t>Instant attacks formula for Seal Fate modeling</t>
  </si>
  <si>
    <t>Hemo Debuff and Hemo Debuff estimate (These no longer stack and Hemo Debuff is no longer considered 100% uptime)</t>
  </si>
  <si>
    <t>Sinister Calling with new addition to Hemo and Backstab</t>
  </si>
  <si>
    <t>Hemo again benefits from it's own debuff.</t>
  </si>
  <si>
    <t>2.3.2.5</t>
  </si>
  <si>
    <t>Deathmantle</t>
  </si>
  <si>
    <t>1 0 0 1</t>
  </si>
  <si>
    <t>ap 8</t>
  </si>
  <si>
    <t>ap 4</t>
  </si>
  <si>
    <t>Gladiator's Leather Helm</t>
  </si>
  <si>
    <t>Gladiator's</t>
  </si>
  <si>
    <t>rs 4</t>
  </si>
  <si>
    <t>rs 2</t>
  </si>
  <si>
    <t>Helm of Assassination</t>
  </si>
  <si>
    <t>do 4</t>
  </si>
  <si>
    <t>Helm of the Claw</t>
  </si>
  <si>
    <t>Malefic Mask of the Shadows</t>
  </si>
  <si>
    <t>Mask of the Deceiver</t>
  </si>
  <si>
    <t>Mask of Veiled Death</t>
  </si>
  <si>
    <t>Merciless Gladiator's Leather Helm</t>
  </si>
  <si>
    <t>Netherblade</t>
  </si>
  <si>
    <t>Savage Mask of the Lynx Lord</t>
  </si>
  <si>
    <t>T5 4-piece 2 CP - SnD</t>
  </si>
  <si>
    <t>T5 4-piece 3 CP - SnD</t>
  </si>
  <si>
    <t>T5 4-piece 4 CP - SnD</t>
  </si>
  <si>
    <t>T5 4-piece 5 CP - SnD</t>
  </si>
  <si>
    <t>T5 4-piece 1 CP - Rupt/EA</t>
  </si>
  <si>
    <t>T5 4-piece 2 CP - Rupt/EA</t>
  </si>
  <si>
    <t>T5 4-piece 3 CP - Rupt/EA</t>
  </si>
  <si>
    <t>T5 4-piece 4 CP - Rupt/EA</t>
  </si>
  <si>
    <t>T5 4-piece 5 CP - Rupt/EA</t>
  </si>
  <si>
    <t>T5 4-piece 1 CP - SnD</t>
  </si>
  <si>
    <t>T5 4-piece 2 CP - Evis/Env</t>
  </si>
  <si>
    <t>T5 4-piece 3 CP - Evis/Env</t>
  </si>
  <si>
    <t>T5 4-piece 4 CP - Evis/Env</t>
  </si>
  <si>
    <t>T5 4-piece 5 CP - Evis/Env</t>
  </si>
  <si>
    <t>T5 4-piece 1 CP - Evis/Env</t>
  </si>
  <si>
    <t>Rupt/EA</t>
  </si>
  <si>
    <t>Evis/Env</t>
  </si>
  <si>
    <t>tlSwSOH</t>
  </si>
  <si>
    <t>&lt;--- Sword Spec active (MH)</t>
  </si>
  <si>
    <t>&lt;--- Sword Spec active (OH)</t>
  </si>
  <si>
    <t>MH SS</t>
  </si>
  <si>
    <t>MH BS</t>
  </si>
  <si>
    <t>WF</t>
  </si>
  <si>
    <t>Glance %</t>
  </si>
  <si>
    <t>Libram of Rapidity (+10 Haste)</t>
  </si>
  <si>
    <t>Libram of Voracity (+8 Agility)</t>
  </si>
  <si>
    <t>Bone Chain Necklace</t>
  </si>
  <si>
    <t>Braided Eternium Chain (w/ +28crit)</t>
  </si>
  <si>
    <t>Choker of Animalistic Fury</t>
  </si>
  <si>
    <t xml:space="preserve"> </t>
  </si>
  <si>
    <t>Choker of Endless Nightmares</t>
  </si>
  <si>
    <t>Weapon lists</t>
  </si>
  <si>
    <t>Formula for Agility (small overage when Sinister Calling or Vitality active)</t>
  </si>
  <si>
    <t>Merciless Gladiator's Leather Legguards</t>
  </si>
  <si>
    <t xml:space="preserve">0 0 0 </t>
  </si>
  <si>
    <t>Wastewalker 2p (+35 hit)</t>
  </si>
  <si>
    <t>Wastewalker 4p (+160ap proc), 2% chance</t>
  </si>
  <si>
    <t>Cloak</t>
  </si>
  <si>
    <t>Drape of the Dark Reavers</t>
  </si>
  <si>
    <t>Slayer 2p (+5% to S&amp;D speed)</t>
  </si>
  <si>
    <t>Cloak Enchant</t>
  </si>
  <si>
    <t>Greater Agility (+12 Agility)</t>
  </si>
  <si>
    <t>Slayer 4p (+6% to spam damage)</t>
  </si>
  <si>
    <t>Twinblades of Azzinoth</t>
  </si>
  <si>
    <t>Chest</t>
  </si>
  <si>
    <t>Chestguard of the Conniver</t>
  </si>
  <si>
    <t>2.3.2.4</t>
  </si>
  <si>
    <t>Ring enchants</t>
  </si>
  <si>
    <t>Possible issue with daggers not showing up on the list</t>
  </si>
  <si>
    <t>Override on Dirty Deeds for those who want to value the last 35% as more or less damage</t>
  </si>
  <si>
    <t>Many Macro buttons enlarged.</t>
  </si>
  <si>
    <t>Doubled Copy buttons removed.</t>
  </si>
  <si>
    <t>Proc Mechanics Module - Hit</t>
  </si>
  <si>
    <t>Proc Mechanics Module - Crit</t>
  </si>
  <si>
    <t>Crusader (MH)</t>
  </si>
  <si>
    <t>Crusader (OH)</t>
  </si>
  <si>
    <t>Improved Combobox functionality (Talents/Options)</t>
  </si>
  <si>
    <t>Saved DPS</t>
  </si>
  <si>
    <t>Melee White DPS</t>
  </si>
  <si>
    <t>Slice and Dice damage is now considered part of "white" damage (to match up better with WWS parses)</t>
  </si>
  <si>
    <t>Selection box for Sayge's Dark Fortune of Damage (1-10%)</t>
  </si>
  <si>
    <t>Distracting Blades</t>
  </si>
  <si>
    <t>Edge of Oppression</t>
  </si>
  <si>
    <t>Shoulderpads of the Silvermoon Retainer</t>
  </si>
  <si>
    <t>KZ - Shade of Aran, Kil'rek</t>
  </si>
  <si>
    <t>KZ - Maiden, Julianne, Curator, Illhoof, Netherspite</t>
  </si>
  <si>
    <t>Crystalweave Cape</t>
  </si>
  <si>
    <t>Merciless Gladiator's War Edge</t>
  </si>
  <si>
    <t>Ornate Khorium Rifle</t>
  </si>
  <si>
    <t>Serpentshrine Shuriken</t>
  </si>
  <si>
    <t>Sethekk Feather-Darts</t>
  </si>
  <si>
    <t>Shuriken of Negation</t>
  </si>
  <si>
    <t>Agility multiplier</t>
  </si>
  <si>
    <t>tlSCinst</t>
  </si>
  <si>
    <t>tlSCagi</t>
  </si>
  <si>
    <t>Backstab base</t>
  </si>
  <si>
    <t>Backstab multiplier</t>
  </si>
  <si>
    <t>Backstab bonus damage</t>
  </si>
  <si>
    <t>tlSA</t>
  </si>
  <si>
    <t>tlOPP</t>
  </si>
  <si>
    <t>Beasts, Dragonkin, Giants, Humans only</t>
  </si>
  <si>
    <t>Base damage multiplier</t>
  </si>
  <si>
    <t>Hemo, Backstab only</t>
  </si>
  <si>
    <t>Backstab, Mutilate, Garrote, Ambush</t>
  </si>
  <si>
    <t>tlSC</t>
  </si>
  <si>
    <t>tlAGG</t>
  </si>
  <si>
    <t>Sinister Strike, Backstab, Eviscerate</t>
  </si>
  <si>
    <t>stSL4P</t>
  </si>
  <si>
    <t>stSL4pbn</t>
  </si>
  <si>
    <t>tlAGGfac</t>
  </si>
  <si>
    <t>tlOPPfac</t>
  </si>
  <si>
    <t>tlSAfac</t>
  </si>
  <si>
    <t>Surprise Attacks+Opportunity+Aggression+Slayer 4-pc</t>
  </si>
  <si>
    <t>Total Backstab multiplier</t>
  </si>
  <si>
    <t>skBSmult</t>
  </si>
  <si>
    <t>Hemo base</t>
  </si>
  <si>
    <t>Total Avoidance</t>
  </si>
  <si>
    <t>TPS</t>
  </si>
  <si>
    <t xml:space="preserve">  TPS</t>
  </si>
  <si>
    <t>Auchenai Monk's Tunic</t>
  </si>
  <si>
    <t>Base Dodge %</t>
  </si>
  <si>
    <t>Glancing %</t>
  </si>
  <si>
    <t>Off-Hand Factor</t>
  </si>
  <si>
    <t>Gear Setup</t>
  </si>
  <si>
    <t>Boss Defense Skill</t>
  </si>
  <si>
    <t>Ghostly Strike</t>
  </si>
  <si>
    <t>Hit %</t>
  </si>
  <si>
    <t>Eviscerate</t>
  </si>
  <si>
    <t>Crit %</t>
  </si>
  <si>
    <t>Rupture</t>
  </si>
  <si>
    <t>Attack Power</t>
  </si>
  <si>
    <t>MH Glancing Factor</t>
  </si>
  <si>
    <t>Envenom</t>
  </si>
  <si>
    <t>MH Average</t>
  </si>
  <si>
    <t>OH Glancing Factor</t>
  </si>
  <si>
    <t>MH Temp. Enchant</t>
  </si>
  <si>
    <t>MH Speed</t>
  </si>
  <si>
    <t>MH Extra Attacks</t>
  </si>
  <si>
    <t>OH Temp. Enchant</t>
  </si>
  <si>
    <t>OH Average</t>
  </si>
  <si>
    <t>OH Extra Attacks</t>
  </si>
  <si>
    <t>Proc/Other DPS</t>
  </si>
  <si>
    <t>OH Speed</t>
  </si>
  <si>
    <t>MH hits per second</t>
  </si>
  <si>
    <t>Totals</t>
  </si>
  <si>
    <t>OH hits per second</t>
  </si>
  <si>
    <t>Hit Table - Main Hand</t>
  </si>
  <si>
    <t>Apexis Crystal Mace</t>
  </si>
  <si>
    <t>Mighty Blood Garnet (14ap) (H)</t>
  </si>
  <si>
    <t>Slice and Dice and Blade Flurry were double multiplying global damage multipliers like Murder.</t>
  </si>
  <si>
    <t>Slayer 2 piece bonus was not applying to Mutilate cycles.</t>
  </si>
  <si>
    <t>Mask of the Fury Hunter</t>
  </si>
  <si>
    <t>Rupturable?</t>
  </si>
  <si>
    <t>Armor, Weapons, and Enchants</t>
  </si>
  <si>
    <t>Str</t>
  </si>
  <si>
    <t>Agi</t>
  </si>
  <si>
    <t>Sta</t>
  </si>
  <si>
    <t>Res</t>
  </si>
  <si>
    <t>haste</t>
  </si>
  <si>
    <t>-armor</t>
  </si>
  <si>
    <t>Socket</t>
  </si>
  <si>
    <t>Set</t>
  </si>
  <si>
    <t>Min</t>
  </si>
  <si>
    <t>Max</t>
  </si>
  <si>
    <t>Speed</t>
  </si>
  <si>
    <t>Type</t>
  </si>
  <si>
    <t>Proc DPS</t>
  </si>
  <si>
    <t>Talon of Azshara</t>
  </si>
  <si>
    <t>MH Enchant</t>
  </si>
  <si>
    <t>Mongoose</t>
  </si>
  <si>
    <t>Naliko's Revenge</t>
  </si>
  <si>
    <t>Skyguard Silver Cross</t>
  </si>
  <si>
    <t>Use: Increases attack power by 360 for 20 sec.</t>
  </si>
  <si>
    <t>Terokk's Gavel of the Bandit</t>
  </si>
  <si>
    <t>Terokk's Gavel of the Beast</t>
  </si>
  <si>
    <t>Terokk's Gavel of the Champion</t>
  </si>
  <si>
    <t>Terokk's Gavel of the Soldier</t>
  </si>
  <si>
    <t>Bug with gems from Armory Import</t>
  </si>
  <si>
    <t>Boss Armor Estimates fonts changed back to 9 pt</t>
  </si>
  <si>
    <t>Sunder Armor/Expose Armor formulas</t>
  </si>
  <si>
    <t>Saved Builds issue overwriting first name in list</t>
  </si>
  <si>
    <t>Stat block % changes to be compatible with Open Office</t>
  </si>
  <si>
    <t>Execitioner (MH 50% uptime/OH 25% uptime)</t>
  </si>
  <si>
    <t>Total hit %</t>
  </si>
  <si>
    <t>tlSwS</t>
  </si>
  <si>
    <t>&lt;--- Sword Specialization</t>
  </si>
  <si>
    <t>&lt;--- Extra Attack Rate</t>
  </si>
  <si>
    <t>Extra Attack Rate</t>
  </si>
  <si>
    <t>tlSwSea</t>
  </si>
  <si>
    <t>tlSwSMH</t>
  </si>
  <si>
    <t>Selecting the German "Blutelf" now correctly applies the racial bonus</t>
  </si>
  <si>
    <t>Primalstrike Belt</t>
  </si>
  <si>
    <t>Sash of Silent Blades</t>
  </si>
  <si>
    <t>Shadow-walker's Cord</t>
  </si>
  <si>
    <t>Socrethar's Girdle</t>
  </si>
  <si>
    <t>Veteran's Leather Belt</t>
  </si>
  <si>
    <t>Upgrade Macro now does not skip some rings, trinkets or gems (error re-introduced in 2.4.0.3).</t>
  </si>
  <si>
    <t>Removed junk variable references.</t>
  </si>
  <si>
    <t>Set WordWrap to False to fix Mac Comment issues.</t>
  </si>
  <si>
    <t>Resplendent Fire Opal (5str/4res)</t>
  </si>
  <si>
    <t>Resplendent Fire Opal</t>
  </si>
  <si>
    <t>Champion's Fire Opal</t>
  </si>
  <si>
    <t>Glimmering Fire Opal</t>
  </si>
  <si>
    <t>Glistening Fire Opal</t>
  </si>
  <si>
    <t>Glance factor</t>
  </si>
  <si>
    <t>WF attacks</t>
  </si>
  <si>
    <t>Adrenaline Rush - out of the energy equation.  Now adds a prorated portion of a 5-pt Eviscerate every 5 minutes.</t>
  </si>
  <si>
    <t>Many more cycles.  (Thanks to Todemax!)</t>
  </si>
  <si>
    <t>Exceptional Stats (+6 All Stats)</t>
  </si>
  <si>
    <t>Bracers</t>
  </si>
  <si>
    <t>Shard-bound Bracers</t>
  </si>
  <si>
    <t>Assault (+24 ap)</t>
  </si>
  <si>
    <t>Average Non-crit</t>
  </si>
  <si>
    <t>mhtemp</t>
  </si>
  <si>
    <t>1-proc</t>
  </si>
  <si>
    <t>Fel Sharpening Stone</t>
  </si>
  <si>
    <t>ohperm</t>
  </si>
  <si>
    <t>2-proc</t>
  </si>
  <si>
    <t>Flametongue</t>
  </si>
  <si>
    <t>ohtemp</t>
  </si>
  <si>
    <t>3-proc</t>
  </si>
  <si>
    <t>Elemental Sharpening Stone</t>
  </si>
  <si>
    <t>4-proc</t>
  </si>
  <si>
    <t>Instant Poison VII</t>
  </si>
  <si>
    <t>5-proc</t>
  </si>
  <si>
    <t>Wound Poison</t>
  </si>
  <si>
    <t>Adamantite Sharpening Stone</t>
  </si>
  <si>
    <t>Def</t>
  </si>
  <si>
    <t>Hit Table - Main</t>
  </si>
  <si>
    <t>OFF HAND ENCHANTS</t>
  </si>
  <si>
    <t>Chance on hit: Increases your haste rating by 212 for 10 sec.</t>
  </si>
  <si>
    <t>All enchants modeled (like Heavy Knothide Armor Kit) are now properly identified for all slots they can be used in, resolving Armory Import issues.</t>
  </si>
  <si>
    <t>All modeled weapons that can be equipped in either hand are modeled for either hand, resolving Armory Import issues.</t>
  </si>
  <si>
    <t>Mob Armor can no longer be reduced below zero.</t>
  </si>
  <si>
    <t>AEP Macro now working again if certain items equipped or bonuses active.</t>
  </si>
  <si>
    <t>Equip: Each time you deal melee or ranged damage to an opponent, you gain 6 attack power for the next 10 sec., stacking up to 20 times.</t>
  </si>
  <si>
    <t>Boss Armor</t>
  </si>
  <si>
    <t>Mob Type</t>
  </si>
  <si>
    <t>Nightfall Wristguards</t>
  </si>
  <si>
    <t>Nightstalker's Wristguards</t>
  </si>
  <si>
    <t>Primalstrike Bracers</t>
  </si>
  <si>
    <t>Spymistress's Wristguards</t>
  </si>
  <si>
    <t>Shoulderpads of Dancing Blades</t>
  </si>
  <si>
    <t>do 2</t>
  </si>
  <si>
    <t>Swiftstrike Bracers</t>
  </si>
  <si>
    <t>Vambraces of Ending</t>
  </si>
  <si>
    <t>Veteran's Leather Bracers</t>
  </si>
  <si>
    <t>BRACER ENCHANTS</t>
  </si>
  <si>
    <t>Fortitude (+12 Stamina)</t>
  </si>
  <si>
    <t>Cobrascale Gloves</t>
  </si>
  <si>
    <t>Deathmantle Handguards</t>
  </si>
  <si>
    <t>Deft Handguards</t>
  </si>
  <si>
    <t>Fel Leather Gloves</t>
  </si>
  <si>
    <t>Fel Skin</t>
  </si>
  <si>
    <t>Bracers of Maliciousness</t>
  </si>
  <si>
    <t>Deadly Cuffs</t>
  </si>
  <si>
    <t>Master poisoner</t>
  </si>
  <si>
    <t>deadliness</t>
  </si>
  <si>
    <t>ImpSS</t>
  </si>
  <si>
    <t>Sealfate</t>
  </si>
  <si>
    <t>ImpBS</t>
  </si>
  <si>
    <t xml:space="preserve">  Crit Reduction</t>
  </si>
  <si>
    <t>Improved Unbuffed/Buffed DPS chart (work in progress)</t>
  </si>
  <si>
    <t>Expose Weakness is now considered to have a 90% uptime</t>
  </si>
  <si>
    <t>Elixir of Demonslaying</t>
  </si>
  <si>
    <t>Scroll of Agility V</t>
  </si>
  <si>
    <t>Scroll of Strength V</t>
  </si>
  <si>
    <t>Ground Scorpok Assay</t>
  </si>
  <si>
    <t>Flask of Relentless Assault</t>
  </si>
  <si>
    <t>Fel Strength Elixir</t>
  </si>
  <si>
    <t>Onslaught Elixir</t>
  </si>
  <si>
    <t>Drums of War</t>
  </si>
  <si>
    <t>Drums of Battle</t>
  </si>
  <si>
    <t>Unstable Flask of the Bandit</t>
  </si>
  <si>
    <t>Haste Potion</t>
  </si>
  <si>
    <t>Thistle Tea</t>
  </si>
  <si>
    <t>Flame Cap</t>
  </si>
  <si>
    <t>Weapon proc formulas (fixed moved reference)</t>
  </si>
  <si>
    <t>st 3</t>
  </si>
  <si>
    <t>Worgen Claw Necklace</t>
  </si>
  <si>
    <t>Expertise is now properly floored</t>
  </si>
  <si>
    <t>Clefthide Leg Armor (+10agi +30stam)</t>
  </si>
  <si>
    <t>Nethercobra Leg Armor (+12crit +50ap)</t>
  </si>
  <si>
    <t>2.2.0.11</t>
  </si>
  <si>
    <t>working</t>
  </si>
  <si>
    <t>Use: Summons the Khorium Boar to fight for you for 30 sec. (5 Min Cooldown)</t>
  </si>
  <si>
    <t>5 min</t>
  </si>
  <si>
    <t>Figurine - Shadowsong Panther</t>
  </si>
  <si>
    <t>Rupt</t>
  </si>
  <si>
    <t>Ravager's Wrist-Wraps of the Bandit</t>
  </si>
  <si>
    <t>Shifting Tanzanite (5agi/6sta)</t>
  </si>
  <si>
    <t>Shifting Tanzanite - new stats</t>
  </si>
  <si>
    <t>Riftmaker</t>
  </si>
  <si>
    <t>Shard of Azzinoth</t>
  </si>
  <si>
    <t>2.3.2.9</t>
  </si>
  <si>
    <t>The Frost Lord's War Cloak</t>
  </si>
  <si>
    <t>Uncommon</t>
  </si>
  <si>
    <t>Items</t>
  </si>
  <si>
    <t>Adamantine Repeater and Crystalline Crossbow</t>
  </si>
  <si>
    <t>Cold Blood</t>
  </si>
  <si>
    <t>crits per second</t>
  </si>
  <si>
    <t>crit</t>
  </si>
  <si>
    <t>hit</t>
  </si>
  <si>
    <t>Vindicator's Dragonhide Belt</t>
  </si>
  <si>
    <t>Poison Vial Proc Dmg</t>
  </si>
  <si>
    <t>Haste Factor</t>
  </si>
  <si>
    <t>SnD Base</t>
  </si>
  <si>
    <t>Perm. Haste</t>
  </si>
  <si>
    <t>avg haste</t>
  </si>
  <si>
    <t>Chance on hit: Your attacks ignore 435 of your enemies' armor for 10 sec. This effect stacks up to 3 times.</t>
  </si>
  <si>
    <t>The Night Blade</t>
  </si>
  <si>
    <t>Timeslicer</t>
  </si>
  <si>
    <t>Tracker's Blade</t>
  </si>
  <si>
    <t>Vileblade of the Betrayer</t>
  </si>
  <si>
    <t>Warp Splinter's Thorn</t>
  </si>
  <si>
    <t>Whispering Blade of Slaying</t>
  </si>
  <si>
    <t>(Swords)</t>
  </si>
  <si>
    <t>Sword</t>
  </si>
  <si>
    <t>Blade of Infamy</t>
  </si>
  <si>
    <t>Blazefury</t>
  </si>
  <si>
    <t>Blazeguard</t>
  </si>
  <si>
    <t>Blinkstrike</t>
  </si>
  <si>
    <t>Edge of the Cosmos</t>
  </si>
  <si>
    <t>Felsteel Longblade</t>
  </si>
  <si>
    <t>Fireguard</t>
  </si>
  <si>
    <t>Gladiator's Slicer</t>
  </si>
  <si>
    <t>Gressil, Dawn of Ruin</t>
  </si>
  <si>
    <t>Honor's Call</t>
  </si>
  <si>
    <t>Hope Ender</t>
  </si>
  <si>
    <t>Illidari-Bane Broadsword</t>
  </si>
  <si>
    <t>King's Defender</t>
  </si>
  <si>
    <t>Merciless Gladiator's Slicer</t>
  </si>
  <si>
    <t>Latro's Shifting Sword</t>
  </si>
  <si>
    <t>Phosphorescent Blade</t>
  </si>
  <si>
    <t>Revenger</t>
  </si>
  <si>
    <t>Chance on hit: Steals 105 to 125 life from target enemy.</t>
  </si>
  <si>
    <t>Spiteblade</t>
  </si>
  <si>
    <t>The Hungering Cold</t>
  </si>
  <si>
    <t>The Sun Eater</t>
  </si>
  <si>
    <t>Thunderfury</t>
  </si>
  <si>
    <t>High Armor Level 70 Trash</t>
  </si>
  <si>
    <t>Mid-Armor Level 70 Trash</t>
  </si>
  <si>
    <t>BT - Essence of Suffering</t>
  </si>
  <si>
    <t>dpsCrit</t>
  </si>
  <si>
    <t>dpsHit</t>
  </si>
  <si>
    <t>dpsHaste</t>
  </si>
  <si>
    <t>dpsArmor</t>
  </si>
  <si>
    <t>dpsExp</t>
  </si>
  <si>
    <t>Waistguard of the Great Beast</t>
  </si>
  <si>
    <t>Inscription of the Blade(13crit)</t>
  </si>
  <si>
    <t>Auchenai Death Shroud</t>
  </si>
  <si>
    <t>Black-Iron Battlecloak</t>
  </si>
  <si>
    <t>Blood Knight War Cloak</t>
  </si>
  <si>
    <t>Cloak of Malice</t>
  </si>
  <si>
    <t>Cobrahide Leg Armor (+10crit +40ap)</t>
  </si>
  <si>
    <t>Boots</t>
  </si>
  <si>
    <t>2.4.0.4a</t>
  </si>
  <si>
    <t>Golden Bow of Quel'Thalas (fixed a)</t>
  </si>
  <si>
    <t>Some Windfury improvements (reverted some a)</t>
  </si>
  <si>
    <t>Smooth Ornate Dawnstone (10crit)</t>
  </si>
  <si>
    <t>Sublime Mystic Dawnstone (10resil)</t>
  </si>
  <si>
    <t>Vengeful Gladiator's Mutilator</t>
  </si>
  <si>
    <t>Vindicator's Leather Belt</t>
  </si>
  <si>
    <t>Vindicator's Leather Boots</t>
  </si>
  <si>
    <t>Vindicator's Leather Bracers</t>
  </si>
  <si>
    <t>The -Armor and Haste AEP problems, Upgrade Macro issues, etc by reinserting 3 columns.</t>
  </si>
  <si>
    <t>Armory Import Macro fixed as well as all associated legacy issues of its use resolving helm upgrade issues.</t>
  </si>
  <si>
    <t>Mace now got 1% critdmg-increase for each talentpoint</t>
  </si>
  <si>
    <t>Dory's Embrace</t>
  </si>
  <si>
    <t>Determination</t>
  </si>
  <si>
    <t>Cruelty</t>
  </si>
  <si>
    <t>Nyn'jah's Tabi Boots</t>
  </si>
  <si>
    <t>Master Assassin Wristwraps</t>
  </si>
  <si>
    <t>Shallow-grave Trousers</t>
  </si>
  <si>
    <t>Trickster's Stickyfingers</t>
  </si>
  <si>
    <t>Tuskbreaker</t>
  </si>
  <si>
    <t>Umbral Shiv</t>
  </si>
  <si>
    <t>Signet of Primal Wrath</t>
  </si>
  <si>
    <t>New Items</t>
  </si>
  <si>
    <t>Off-hand</t>
  </si>
  <si>
    <t>Armor Reduction</t>
  </si>
  <si>
    <t>Unused:</t>
  </si>
  <si>
    <t>Unused talent point counter.</t>
  </si>
  <si>
    <t>Defense to the (Unmodeled) items section.</t>
  </si>
  <si>
    <t>Helm list to include Wastewalker Helm and (Unmodeled) when all items options checked.</t>
  </si>
  <si>
    <t>Bladed Shoulderpads of the Merciless</t>
  </si>
  <si>
    <t>0 0 2</t>
  </si>
  <si>
    <t>ht 3</t>
  </si>
  <si>
    <t>Deathmantle Shoulderpads</t>
  </si>
  <si>
    <t>cr 3</t>
  </si>
  <si>
    <t>Expedition Scout's Epaulets</t>
  </si>
  <si>
    <t>Gladiator's Leather Spaulders</t>
  </si>
  <si>
    <t>rs 3</t>
  </si>
  <si>
    <t>Mantle of Perenolde</t>
  </si>
  <si>
    <t>2 0 0</t>
  </si>
  <si>
    <t>do 3</t>
  </si>
  <si>
    <t>Mantle of Darkness</t>
  </si>
  <si>
    <t>Merciless Gladiator's Leather Spaulders</t>
  </si>
  <si>
    <t>Netherblade Shoulderpads</t>
  </si>
  <si>
    <t>st 4</t>
  </si>
  <si>
    <t>Razorfury Mantle</t>
  </si>
  <si>
    <t>Shoulderpads of Assassination</t>
  </si>
  <si>
    <t>Shoulderpads of the Stranger</t>
  </si>
  <si>
    <t>ag 2</t>
  </si>
  <si>
    <t>Slayer's Shoulderpads</t>
  </si>
  <si>
    <t>ap 6</t>
  </si>
  <si>
    <t>Sun-Gilded Shouldercaps</t>
  </si>
  <si>
    <t>Talbuk Hide Spaulders</t>
  </si>
  <si>
    <t>Trinket 2 and Backs now properly copy to the Gear_Upgrade page.</t>
  </si>
  <si>
    <t>Greater Agility (+20 Agility)</t>
  </si>
  <si>
    <t>2.3.8</t>
  </si>
  <si>
    <t>Shadowprowler's Chestguard</t>
  </si>
  <si>
    <t>Cloak of Darkness</t>
  </si>
  <si>
    <t>cr 2</t>
  </si>
  <si>
    <t>Armor</t>
  </si>
  <si>
    <t>Defense rating</t>
  </si>
  <si>
    <t>Inscription of Vengeance (26ap)</t>
  </si>
  <si>
    <t>Greater Inscription of the Blade (15crit 20ap)</t>
  </si>
  <si>
    <t>2.3.2.6</t>
  </si>
  <si>
    <t>2.3.2.5a</t>
  </si>
  <si>
    <t>dinesh</t>
  </si>
  <si>
    <t>Updated Gear Upgrade functionality</t>
  </si>
  <si>
    <t>Avg Haste calculations</t>
  </si>
  <si>
    <t>Bug for cycles with no finishers</t>
  </si>
  <si>
    <t>Brutal Gladiator's Leather Helm</t>
  </si>
  <si>
    <t>Guardian's Leather Bracers</t>
  </si>
  <si>
    <t>Guardian's Dragonhide Bracers</t>
  </si>
  <si>
    <t>Brutal Gladiator's Leather Spaulders</t>
  </si>
  <si>
    <t>Accurate Extra Attack modeling (takes into account procs off procs of different type)</t>
  </si>
  <si>
    <t>Blinkstrike increased to a 5% proc rate and treated as a same hand extra attack.</t>
  </si>
  <si>
    <t>Blade of Serration (new damage and speed)</t>
  </si>
  <si>
    <t>The Mutilator (new damage and speed)</t>
  </si>
  <si>
    <t>Default Mutilate now has Puncturing Wounds instead of Improved Poisons</t>
  </si>
  <si>
    <t>Barbed Deep Peridot (3sta/4crit) (A)</t>
  </si>
  <si>
    <t>Charmed Amani Jewel</t>
  </si>
  <si>
    <t>Charmed Amani Jewel (15sta)</t>
  </si>
  <si>
    <t>Balanced Shadow Draenite (4sta/6ap)</t>
  </si>
  <si>
    <t>Unstable Amethyst</t>
  </si>
  <si>
    <t>Unstable Amethyst (8ap/6sta)</t>
  </si>
  <si>
    <t>Steady Talasite (6sta/4resil)</t>
  </si>
  <si>
    <t>Mystic Dawnstone (8resil)</t>
  </si>
  <si>
    <t>Unstable Citrine (4crit/8ap)</t>
  </si>
  <si>
    <t>Wicked Flame Spessarite (3crit/6ap)</t>
  </si>
  <si>
    <t>Potent Unstable Diamond (24ap/5%stun resi)</t>
  </si>
  <si>
    <t>Balanced Shadow Draenite</t>
  </si>
  <si>
    <t>Steady Talasite</t>
  </si>
  <si>
    <t>Mystic Dawnstone</t>
  </si>
  <si>
    <t>Unstable Citrine</t>
  </si>
  <si>
    <t>Wicked Flame Spessarite</t>
  </si>
  <si>
    <t>Potent Unstable Diamond</t>
  </si>
  <si>
    <t>Rigid Bladestone</t>
  </si>
  <si>
    <t>Improved Gouge</t>
  </si>
  <si>
    <t>Remorseless Attacks</t>
  </si>
  <si>
    <t>Master of Deception</t>
  </si>
  <si>
    <t>Sleight of Hand</t>
  </si>
  <si>
    <t>Deflection</t>
  </si>
  <si>
    <t>Dirty Tricks</t>
  </si>
  <si>
    <t>Camouflage</t>
  </si>
  <si>
    <t>Endurance</t>
  </si>
  <si>
    <t>Initiative</t>
  </si>
  <si>
    <t>Improved Expose Armor</t>
  </si>
  <si>
    <t>Riposte</t>
  </si>
  <si>
    <t>General's Leather Belt</t>
  </si>
  <si>
    <t>Girdle of Treachery</t>
  </si>
  <si>
    <t>Shadowstep</t>
  </si>
  <si>
    <t>Vengeful Gladiator's Leather Helm</t>
  </si>
  <si>
    <t>Vengeful Gladiator's Leather Spaulders</t>
  </si>
  <si>
    <t>Vengeful Gladiator's Leather Tunic</t>
  </si>
  <si>
    <t>Vengeful Gladiator's Leather Gloves</t>
  </si>
  <si>
    <t>Vengeful Gladiator's Leather Legguards</t>
  </si>
  <si>
    <t>Bladeangel's Money Belt</t>
  </si>
  <si>
    <t>Prowler's Strikeblade</t>
  </si>
  <si>
    <t>Girdle of the Deathdealer</t>
  </si>
  <si>
    <t>Gronn-Stitched Girdle</t>
  </si>
  <si>
    <t>Liar's Cord</t>
  </si>
  <si>
    <t>Marshal's Leather Belt</t>
  </si>
  <si>
    <t>Naaru Belt of Precision</t>
  </si>
  <si>
    <t>damage</t>
  </si>
  <si>
    <t>DPS</t>
  </si>
  <si>
    <t>row</t>
  </si>
  <si>
    <t># of Finisher</t>
  </si>
  <si>
    <t>Evis/second</t>
  </si>
  <si>
    <t>cycletime</t>
  </si>
  <si>
    <t># of CP</t>
  </si>
  <si>
    <t>Rupt/sec</t>
  </si>
  <si>
    <t>Cycleused</t>
  </si>
  <si>
    <t>Inst/sec</t>
  </si>
  <si>
    <t>Evis damage</t>
  </si>
  <si>
    <t>snd uptime</t>
  </si>
  <si>
    <t>Rupt damage</t>
  </si>
  <si>
    <t>SnD damage</t>
  </si>
  <si>
    <t>Blade Flurry damage</t>
  </si>
  <si>
    <t>Splendid Fire Opal (5parry/4res)</t>
  </si>
  <si>
    <t>Stalwart Fire Opal (5def/4dodge)</t>
  </si>
  <si>
    <t>Splendid Fire Opal</t>
  </si>
  <si>
    <t>Stalwart Fire Opal</t>
  </si>
  <si>
    <t>JC</t>
  </si>
  <si>
    <t>Improved Windfury modeling (based off the Extra Attack improvements)</t>
  </si>
  <si>
    <t>Correct item ID for Figurine Shadowsong Panther</t>
  </si>
  <si>
    <t>Heroic Presence (Draenei buff)</t>
  </si>
  <si>
    <t>Ferocious Inspiration reduced to 94% uptime from 100%</t>
  </si>
  <si>
    <t>The -Armor boxes on the Talents page now points to the more accurate totals on the DPS sheets.</t>
  </si>
  <si>
    <t>Link's to Sp00n's page (no longer being updated)</t>
  </si>
  <si>
    <t>Ancient Amani Longbow</t>
  </si>
  <si>
    <t>Striking (+2dmg)</t>
  </si>
  <si>
    <t>2.2.0.10</t>
  </si>
  <si>
    <t>removed</t>
  </si>
  <si>
    <t>Ring #2</t>
  </si>
  <si>
    <t>German race name support for Armory Import</t>
  </si>
  <si>
    <t>Blackened Leather Spaulders</t>
  </si>
  <si>
    <t>Hemo personal DPS</t>
  </si>
  <si>
    <t>2.4.0.3</t>
  </si>
  <si>
    <t>Macro performance improved (Upgrades thanks to Arioche!)</t>
  </si>
  <si>
    <t>Average Crit</t>
  </si>
  <si>
    <t>Adjusted Damage</t>
  </si>
  <si>
    <t xml:space="preserve"> Base DPS</t>
  </si>
  <si>
    <t xml:space="preserve"> Actual DPS</t>
  </si>
  <si>
    <t>Other Variables and Mechanics</t>
  </si>
  <si>
    <t>Main-hand</t>
  </si>
  <si>
    <t>Base Miss %</t>
  </si>
  <si>
    <t>2.3.0.2</t>
  </si>
  <si>
    <t>ellos</t>
  </si>
  <si>
    <t>Expertise</t>
  </si>
  <si>
    <t>Racials -&gt; Human now got 1% crit instead of Weapon skill</t>
  </si>
  <si>
    <t>Changed</t>
  </si>
  <si>
    <t>Weapon Skill -&gt; Expertise</t>
  </si>
  <si>
    <t>lookDef</t>
  </si>
  <si>
    <t>lookSource</t>
  </si>
  <si>
    <t>lookSoc</t>
  </si>
  <si>
    <t>lookSocBon</t>
  </si>
  <si>
    <t>lookSet</t>
  </si>
  <si>
    <t>Index positions for Item VLOOKUP command.  Reference the item fields with =VLOOKUP([reference cell],[XXX]Stats,look[XXX],FALSE).</t>
  </si>
  <si>
    <t>Row 75 now labeled "Talents" to hopefully help avoid confusion.</t>
  </si>
  <si>
    <t>Dirty Deeds</t>
  </si>
  <si>
    <t xml:space="preserve">Buff color coding by class </t>
  </si>
  <si>
    <t>2.4.0.6</t>
  </si>
  <si>
    <t>(Unmodeled MH Dagger)</t>
  </si>
  <si>
    <t>(Unmodeled OH Dagger)</t>
  </si>
  <si>
    <t>(Unmodeled MH Fist)</t>
  </si>
  <si>
    <t>Armor and Weapons</t>
  </si>
  <si>
    <t>(Unmodeled OH Fist)</t>
  </si>
  <si>
    <t>(Unmodeled MH Mace)</t>
  </si>
  <si>
    <t>(Unmodeled OH Mace)</t>
  </si>
  <si>
    <t>(Unmodeled MH Sword)</t>
  </si>
  <si>
    <t>(Unmodeled OH Sword)</t>
  </si>
  <si>
    <t>Set Font size for comments in Upgrade Macro to resolve display issue on Macs.</t>
  </si>
  <si>
    <t>2.4.0.5</t>
  </si>
  <si>
    <t>Improved Sprint</t>
  </si>
  <si>
    <t>Improved Ambush</t>
  </si>
  <si>
    <t>Setup</t>
  </si>
  <si>
    <t>Elusiveness</t>
  </si>
  <si>
    <t>Fleet Footed</t>
  </si>
  <si>
    <t>Heightened Senses</t>
  </si>
  <si>
    <t>Preparation</t>
  </si>
  <si>
    <t>Dawnstrike's Cloak</t>
  </si>
  <si>
    <t>Delicate Green Poncho</t>
  </si>
  <si>
    <t>Netherfury Cape</t>
  </si>
  <si>
    <t>Razor-Scale Battlecloak</t>
  </si>
  <si>
    <t>Shadowmoon Destroyer's Drape</t>
  </si>
  <si>
    <t>Lohn'goron, Bow of the Torn-heart; Mark V's Throwing Star; Needle Shrike; Nerubian Slavemaker; Shuriken of Negation; Soulstring</t>
  </si>
  <si>
    <t>Striker's Mark; The Sharp Cookie; Valanos' Longbow; and Wrathfire Hand-Cannon</t>
  </si>
  <si>
    <t>Expertise now applies to Buffed finisher dodge rate when one does not have Surprise Attacks.</t>
  </si>
  <si>
    <t>Crimson Sun (24ap)</t>
  </si>
  <si>
    <t>Crimson Sun gem now spelled correctly</t>
  </si>
  <si>
    <t>Stormreaver Warblades</t>
  </si>
  <si>
    <t>Gladiator's Bonecracker</t>
  </si>
  <si>
    <t>Merciless Gladiator's Bonecracker</t>
  </si>
  <si>
    <t>Swiftsteel Bludgeon</t>
  </si>
  <si>
    <t>Arcanite Steam-Pistol</t>
  </si>
  <si>
    <t>Felsteel Whisper Knives</t>
  </si>
  <si>
    <t>Fitz's Throwing Axe</t>
  </si>
  <si>
    <t>Altered % uptime estimates for suspected ~1 ppm weapon procs based on 1/3 uptime for 10 second MH procs and 1/2 uptime for 15 seconds.</t>
  </si>
  <si>
    <t>Mongoose as an estimate so that it should compare better to Executioner at different build levels.</t>
  </si>
  <si>
    <t>All this as a temporary measure prior to implementation of new improved ppm modeling.</t>
  </si>
  <si>
    <t>Weapon list has been reviewed and adjusted to only include weapons with 69.67+ DPS.</t>
  </si>
  <si>
    <t>Blade of Life's Inevitability</t>
  </si>
  <si>
    <t>Quickening Blade of the Prince</t>
  </si>
  <si>
    <t xml:space="preserve">Offhand procs estimated at 1/6 for 10 seconds and 1/4 for 15 seconds.  Both done to provide consistency. </t>
  </si>
  <si>
    <t>Importing Options also imports the options on the Gear Buffs sheet.</t>
  </si>
  <si>
    <t>Lifestealing</t>
  </si>
  <si>
    <t>Major Striking (+7 Damage)</t>
  </si>
  <si>
    <t>hits in 12 seconds</t>
  </si>
  <si>
    <t>hps</t>
  </si>
  <si>
    <t>proc%</t>
  </si>
  <si>
    <t>lamda</t>
  </si>
  <si>
    <t>MAIN HAND TEMP. ENCHANTS</t>
  </si>
  <si>
    <t>Deadly Poison Tables</t>
  </si>
  <si>
    <t>chance</t>
  </si>
  <si>
    <t>time2</t>
  </si>
  <si>
    <t>chance2</t>
  </si>
  <si>
    <t>Anesthetic Poison</t>
  </si>
  <si>
    <t>mhperm</t>
  </si>
  <si>
    <t>DP Downtime</t>
  </si>
  <si>
    <t>Upgrade Macro should now correctly search the 2nd Ring or Trinket on the list.</t>
  </si>
  <si>
    <t>Use: Increases your melee and ranged attack power by 200. Effect lasts for 20 sec.</t>
  </si>
  <si>
    <t>Crystalforged Trinket</t>
  </si>
  <si>
    <t>1 min</t>
  </si>
  <si>
    <t>Darkmoon Card: Crusade</t>
  </si>
  <si>
    <t>Darkmoon Card: Wrath</t>
  </si>
  <si>
    <t>Revamped Talent UI (New talent format thanks to Graecus!)</t>
  </si>
  <si>
    <t>Slot</t>
  </si>
  <si>
    <t>Item</t>
  </si>
  <si>
    <t>Solarian's Sapphire (Warrior Trinket)</t>
  </si>
  <si>
    <t>Dagger of Bad Mojo</t>
  </si>
  <si>
    <t>2.2.0.8</t>
  </si>
  <si>
    <t>Executioner</t>
  </si>
  <si>
    <t>Item name</t>
  </si>
  <si>
    <t>Stone of Blades (12crit)</t>
  </si>
  <si>
    <t>Brutal Earthstorm Diamond (3dam/stun)</t>
  </si>
  <si>
    <t>Enigmatic Skyfire Diamond (12crit/5%root resi)</t>
  </si>
  <si>
    <t>Hemo 125% weapon dmg</t>
  </si>
  <si>
    <t>2.3.0.3</t>
  </si>
  <si>
    <t>mih</t>
  </si>
  <si>
    <t>Human racial 5 expertise (mace/sword)</t>
  </si>
  <si>
    <t>Twin Blades</t>
  </si>
  <si>
    <t>1 PPM - 45 second cooldown</t>
  </si>
  <si>
    <t>Twin Blades - remove own haste effect from calcs</t>
  </si>
  <si>
    <t>Twin Blades now based on proc mechanics (1 PPM - 45 second cooldown)</t>
  </si>
  <si>
    <t>Grip of Mannoroth</t>
  </si>
  <si>
    <t>Enter Unmodeled Items Here:</t>
  </si>
  <si>
    <t>Inscribed Flame Spessarite (3str/3crit)</t>
  </si>
  <si>
    <t>Inscribed Noble Topaz (4str/4crit)</t>
  </si>
  <si>
    <t>Inscribed Ornate Topaz (5crit/10ap)</t>
  </si>
  <si>
    <t>Inscribed Pyrestone (5str/5crit)</t>
  </si>
  <si>
    <t>Nimble Fire Opal (4hit/5dodge)</t>
  </si>
  <si>
    <t>Pristine Fire Opal (4hit/10ap)</t>
  </si>
  <si>
    <t>Gruul</t>
  </si>
  <si>
    <t>Equip Options</t>
  </si>
  <si>
    <t>Leatherwork</t>
  </si>
  <si>
    <t>none</t>
  </si>
  <si>
    <t>Weapon MH:</t>
  </si>
  <si>
    <t>Weapon OH:</t>
  </si>
  <si>
    <t>MH Weapon</t>
  </si>
  <si>
    <t>count</t>
  </si>
  <si>
    <t>Bold Ornate Ruby (20ap)</t>
  </si>
  <si>
    <t>Bright Blood Garnet (12ap)</t>
  </si>
  <si>
    <t>Bright Crimson Spinel (20ap)</t>
  </si>
  <si>
    <t>Bright Living Ruby (16ap)</t>
  </si>
  <si>
    <t>Delicate Blood Garnet (6agi)</t>
  </si>
  <si>
    <t>Shaffar's Band of Brutality</t>
  </si>
  <si>
    <t>Shapeshifter's Signet</t>
  </si>
  <si>
    <t>Slayer's Mark of the Redemption</t>
  </si>
  <si>
    <t>Stormrage Signet Ring</t>
  </si>
  <si>
    <t>Violet Signet of the Master Assassin</t>
  </si>
  <si>
    <t>RING ENCHANTS</t>
  </si>
  <si>
    <t>Avg</t>
  </si>
  <si>
    <t>Stats (+4all)</t>
  </si>
  <si>
    <t>Use Effect/Proc</t>
  </si>
  <si>
    <t>Cooldown</t>
  </si>
  <si>
    <t>Solid Empyrean Sapphire (15sta)</t>
  </si>
  <si>
    <t>Solid Star of Elune (12sta)</t>
  </si>
  <si>
    <t>Jagged Chrysoprase (6sta/5crit)</t>
  </si>
  <si>
    <t>Jagged Deep Peridot (4sta/3crit)</t>
  </si>
  <si>
    <t>Jagged Seaspray Emerald (7sta/5crit)</t>
  </si>
  <si>
    <t>Jagged Talasite (6sta/4crit)</t>
  </si>
  <si>
    <t>Steady Chrysoprase (6sta/5resil)</t>
  </si>
  <si>
    <t>Added Dirty Deeds</t>
  </si>
  <si>
    <t>Added Shadowstep</t>
  </si>
  <si>
    <t>Balanced Shadowsong Amethyst (7sta/10ap)</t>
  </si>
  <si>
    <t>3 min</t>
  </si>
  <si>
    <t>Hourglass of the Unraveller</t>
  </si>
  <si>
    <t>Fist (Mand Hand)</t>
  </si>
  <si>
    <t>Fist (Off Hand)</t>
  </si>
  <si>
    <t>Mace (Main Hand)</t>
  </si>
  <si>
    <t>Mace (Off Hand)</t>
  </si>
  <si>
    <t>Sword (Main Hand)</t>
  </si>
  <si>
    <t>Sword (Off Hand)</t>
  </si>
  <si>
    <t>(Unmodeled)</t>
  </si>
  <si>
    <t>Soc Bon</t>
  </si>
  <si>
    <t>Hand of the Deceiver</t>
  </si>
  <si>
    <t>Cloak of Unforgivable Sin</t>
  </si>
  <si>
    <t>Removal of more unbuffed references, hopefully resolving open Office issues.</t>
  </si>
  <si>
    <t>Boss Level is now correctly applying to crit rate; chance for you to dodge and be missed</t>
  </si>
  <si>
    <t>Some 5-man helms</t>
  </si>
  <si>
    <t>Any</t>
  </si>
  <si>
    <t>Feltooth Eviscerator</t>
  </si>
  <si>
    <t>type5</t>
  </si>
  <si>
    <t>Gladiator's Shanker</t>
  </si>
  <si>
    <t>Guile of Khoraazi</t>
  </si>
  <si>
    <t>-Arm</t>
  </si>
  <si>
    <t>Off-Hand Weapon</t>
  </si>
  <si>
    <t>Illdari-Bane Broadsword and Illdari-Bane Dagger now linked to mob type for Demon bonus.</t>
  </si>
  <si>
    <t>All ~1 ppm entered as 1.2 ppm based on the Mongoose/Executioner research.</t>
  </si>
  <si>
    <t>Instructions for Open Office "self" macro on Optimization page.</t>
  </si>
  <si>
    <t>2.4.0.8</t>
  </si>
  <si>
    <t>Miss %</t>
  </si>
  <si>
    <t>Dodge %</t>
  </si>
  <si>
    <t>Extra attacks per sec</t>
  </si>
  <si>
    <t>Total hits per second</t>
  </si>
  <si>
    <t>CP Builder Time</t>
  </si>
  <si>
    <t>Bonus energy/sec</t>
  </si>
  <si>
    <t>Crit Factor</t>
  </si>
  <si>
    <t>MH Norm</t>
  </si>
  <si>
    <t>dps</t>
  </si>
  <si>
    <t>ap</t>
  </si>
  <si>
    <t>OH Norm</t>
  </si>
  <si>
    <t>Q: How do I know if the gear I have selected has sockets? And how do I know if I am receiving a socket bonus.</t>
  </si>
  <si>
    <t>Elixir of Demonslaying now correctly only applies damage to Demons.</t>
  </si>
  <si>
    <t>FAQ</t>
  </si>
  <si>
    <t>Q: How do I add new items to the gear drop-down lists?</t>
  </si>
  <si>
    <t>Berserker's Call</t>
  </si>
  <si>
    <t>Vengeful Gladiator's Quickblade</t>
  </si>
  <si>
    <t>Vengeful Gladiator's Left Ripper</t>
  </si>
  <si>
    <t>Vengeful Gladiator's Bonecracker</t>
  </si>
  <si>
    <t>Vengeful Gladiator's Shiv</t>
  </si>
  <si>
    <t>Vengeful Gladiator's Shanker</t>
  </si>
  <si>
    <t>Vengeful Gladiator's Pummeler</t>
  </si>
  <si>
    <t>Vengeful Gladiator's Right Ripper</t>
  </si>
  <si>
    <t>Vengeful Gladiator's Slicer</t>
  </si>
  <si>
    <t>Armor values to 7700 for bosses and 6800 for 70's reflecting the discoveries in the Boss Armor Value thread</t>
  </si>
  <si>
    <t>Remove Libram of Voracity (Stamina)</t>
  </si>
  <si>
    <t>Gladiator's Leather Helm stats</t>
  </si>
  <si>
    <t>begin Envenom Cycles</t>
  </si>
  <si>
    <t>1s/3r/3env</t>
  </si>
  <si>
    <t>2s/3r/3env</t>
  </si>
  <si>
    <t>3s/3r/3env</t>
  </si>
  <si>
    <t>4s/3r/3env</t>
  </si>
  <si>
    <t>5s/3r/3env</t>
  </si>
  <si>
    <t>1s/4r/3env</t>
  </si>
  <si>
    <t>2s/4r/3env</t>
  </si>
  <si>
    <t>3s/4r/3env</t>
  </si>
  <si>
    <t>4s/4r/3env</t>
  </si>
  <si>
    <t>5s/4r/3env</t>
  </si>
  <si>
    <t>1s/5r/3env</t>
  </si>
  <si>
    <t>2s/5r/3env</t>
  </si>
  <si>
    <t>3s/5r/3env</t>
  </si>
  <si>
    <t>4s/5r/3env</t>
  </si>
  <si>
    <t>5s/5r/3env</t>
  </si>
  <si>
    <t>1s/3r/4env</t>
  </si>
  <si>
    <t>2s/3r/4env</t>
  </si>
  <si>
    <t>3s/3r/4env</t>
  </si>
  <si>
    <t>4s/3r/4env</t>
  </si>
  <si>
    <t>5s/3r/4env</t>
  </si>
  <si>
    <t>1s/4r/4env</t>
  </si>
  <si>
    <t>2s/4r/4env</t>
  </si>
  <si>
    <t>3s/4r/4env</t>
  </si>
  <si>
    <t>4s/4r/4env</t>
  </si>
  <si>
    <t>5s/4r/4env</t>
  </si>
  <si>
    <t>1s/5r/4env</t>
  </si>
  <si>
    <t>2s/5r/4env</t>
  </si>
  <si>
    <t>3s/5r/4env</t>
  </si>
  <si>
    <t>4s/5r/4env</t>
  </si>
  <si>
    <t>5s/5r/4env</t>
  </si>
  <si>
    <t>1s/3r/5env</t>
  </si>
  <si>
    <t>2s/3r/5env</t>
  </si>
  <si>
    <t>3s/3r/5env</t>
  </si>
  <si>
    <t>4s/3r/5env</t>
  </si>
  <si>
    <t>5s/3r/5env</t>
  </si>
  <si>
    <t>1s/4r/5env</t>
  </si>
  <si>
    <t>2s/4r/5env</t>
  </si>
  <si>
    <t>3s/4r/5env</t>
  </si>
  <si>
    <t>4s/4r/5env</t>
  </si>
  <si>
    <t>5s/4r/5env</t>
  </si>
  <si>
    <t>1s/5r/5env</t>
  </si>
  <si>
    <t>2s/5r/5env</t>
  </si>
  <si>
    <t>3s/5r/5env</t>
  </si>
  <si>
    <t>4s/5r/5env</t>
  </si>
  <si>
    <t>5s/5r/5env</t>
  </si>
  <si>
    <t>end Rupture cycles</t>
  </si>
  <si>
    <t>1env</t>
  </si>
  <si>
    <t>2env</t>
  </si>
  <si>
    <t>3env</t>
  </si>
  <si>
    <t>4env</t>
  </si>
  <si>
    <t>5env</t>
  </si>
  <si>
    <t>1s/3env</t>
  </si>
  <si>
    <t>2s/3env</t>
  </si>
  <si>
    <t>3s/3env</t>
  </si>
  <si>
    <t>4s/3env</t>
  </si>
  <si>
    <t>5s/3env</t>
  </si>
  <si>
    <t>1s/4env</t>
  </si>
  <si>
    <t>2s/4env</t>
  </si>
  <si>
    <t>3s/4env</t>
  </si>
  <si>
    <t>4s/4env</t>
  </si>
  <si>
    <t>5s/4env</t>
  </si>
  <si>
    <t>Some ZA and Sunwell boss armor estimates.</t>
  </si>
  <si>
    <t>2s/5s/5env</t>
  </si>
  <si>
    <t>3s/5s/5env</t>
  </si>
  <si>
    <t>end Envenom cycles</t>
  </si>
  <si>
    <t>1s</t>
  </si>
  <si>
    <t>2s</t>
  </si>
  <si>
    <t>3s</t>
  </si>
  <si>
    <t>1e</t>
  </si>
  <si>
    <t>2e</t>
  </si>
  <si>
    <t>3e</t>
  </si>
  <si>
    <t>2s/3e</t>
  </si>
  <si>
    <t>3s/3e</t>
  </si>
  <si>
    <t>4s/3e</t>
  </si>
  <si>
    <t>5s/3e</t>
  </si>
  <si>
    <t>1s/4s/3e</t>
  </si>
  <si>
    <t>2s/4s/3e</t>
  </si>
  <si>
    <t>1s/4s/4e</t>
  </si>
  <si>
    <t>Changed Version Number to 2.2.0.1. Migration with the WoW Patch (2.2.0 stands for the WoW Version. 1 for Spreadsheed Version in this Patch)</t>
  </si>
  <si>
    <t>2.2.0.1</t>
  </si>
  <si>
    <t>2.2.0.2</t>
  </si>
  <si>
    <t>Zul Aman mainhand daggers (Umbral Shiv and Dagger of Bad Mojo) are now showing up on the list</t>
  </si>
  <si>
    <t>Ancient Sin'dorei Longbow was renamed Ancient Amani Longbow in 2.3.2</t>
  </si>
  <si>
    <t>2.3.2.10</t>
  </si>
  <si>
    <t>Fixed</t>
  </si>
  <si>
    <t>Enduring Seaspray Emerald (7sta/5def)</t>
  </si>
  <si>
    <t>Steady Seaspray Emerald (7sta/5resil)</t>
  </si>
  <si>
    <t>Enduring Chrysoprase</t>
  </si>
  <si>
    <t>Enduring Seaspray Emerald</t>
  </si>
  <si>
    <t>Steady Seaspray Emerald</t>
  </si>
  <si>
    <t>Enduring Talasite (6sta/4def)</t>
  </si>
  <si>
    <t>Enduring Deep Peridot (4sta/3def)</t>
  </si>
  <si>
    <t>Enduring Deep Peridot</t>
  </si>
  <si>
    <t>Enduring Talasite</t>
  </si>
  <si>
    <t>Facet of Eternity (12def)</t>
  </si>
  <si>
    <t>Facet of Eternity</t>
  </si>
  <si>
    <t>Thick Lionseye (10def)</t>
  </si>
  <si>
    <t>Thick Lionseye</t>
  </si>
  <si>
    <t>Thick Dawnstone</t>
  </si>
  <si>
    <t>Thick Dawnstone (8def)</t>
  </si>
  <si>
    <t>Thick Golden Draenite (6def)</t>
  </si>
  <si>
    <t>Thick Golden Draenite</t>
  </si>
  <si>
    <t>Beaming Fire Opal</t>
  </si>
  <si>
    <t>Beaming Fire Opal (4resil/5dodge)</t>
  </si>
  <si>
    <t>Champion's Fire Opal (5str/4def)</t>
  </si>
  <si>
    <t>Glimmering Fire Opal (5parry/4def)</t>
  </si>
  <si>
    <t>Glistening Fire Opal (4agi/5def)</t>
  </si>
  <si>
    <t>Optimization formulas for procs with cooldowns.</t>
  </si>
  <si>
    <t>Crimson Sun with it's in-game effect (32 attack power instead of the tooltip's 24)</t>
  </si>
  <si>
    <t>Vanir's Left Fist of Savagery</t>
  </si>
  <si>
    <t>Vanir's Right Fist of Brutality</t>
  </si>
  <si>
    <t>Belt of the Silent Path</t>
  </si>
  <si>
    <t>Embrace of Everlasting Prowess</t>
  </si>
  <si>
    <t>Handwraps of the Aggressor</t>
  </si>
  <si>
    <t>Sunwell Badge Loot - Melee Ring</t>
  </si>
  <si>
    <t>Tameless Breeches</t>
  </si>
  <si>
    <t>Trousers of the Scryer's Retainer</t>
  </si>
  <si>
    <t>Trousers of the Scryers' Retainer</t>
  </si>
  <si>
    <t>Tunic of the Dark Hour</t>
  </si>
  <si>
    <t>The 2 Ring</t>
  </si>
  <si>
    <t>Figurine - Khorium Boar</t>
  </si>
  <si>
    <t>Global Damage Multipliers</t>
  </si>
  <si>
    <t>Total</t>
  </si>
  <si>
    <t>It must be noted that theoretical DPS output and actual DPS output will vary for many reasons, often dependant on the fight in question.</t>
  </si>
  <si>
    <t>Instructions</t>
  </si>
  <si>
    <t>Talents</t>
  </si>
  <si>
    <t>- At the top you can see your unbuffed and buffed DPS Value</t>
  </si>
  <si>
    <t>2.2.0.9</t>
  </si>
  <si>
    <t>Elixir of Major Agility</t>
  </si>
  <si>
    <t>Warp Burger/Grilled Mudfish</t>
  </si>
  <si>
    <t>Ravager Dog</t>
  </si>
  <si>
    <t>5s</t>
  </si>
  <si>
    <t>5e</t>
  </si>
  <si>
    <t>1s/5r/3e</t>
  </si>
  <si>
    <t>2s/5r/3e</t>
  </si>
  <si>
    <t>1s/5r</t>
  </si>
  <si>
    <t>2s/5r</t>
  </si>
  <si>
    <t>Offhand Executioner armor penetration</t>
  </si>
  <si>
    <t>Mutilate proc mechanics (procing off both hands)</t>
  </si>
  <si>
    <t>Shaman buffs now colored light blue for reability given the lack of Mage buffs that help Rogues.</t>
  </si>
  <si>
    <t>Band of Anguish</t>
  </si>
  <si>
    <t>Blackhand's Breadth</t>
  </si>
  <si>
    <t>Buffs</t>
  </si>
  <si>
    <t>Ring of the Recalcitrant</t>
  </si>
  <si>
    <t>Blackout Truncheon</t>
  </si>
  <si>
    <t>2.2.0.7</t>
  </si>
  <si>
    <t>Nethercleft Leg Armor (+12agi +40stam)</t>
  </si>
  <si>
    <t>Black Featherlight Boots</t>
  </si>
  <si>
    <t>Band of the Eternal Champion</t>
  </si>
  <si>
    <t>Delicate Crimson Spinel (10agi)</t>
  </si>
  <si>
    <t>Delicate Living Ruby (8agi)</t>
  </si>
  <si>
    <t>m</t>
  </si>
  <si>
    <t>Various Copy buttons not copying the correct stats</t>
  </si>
  <si>
    <t>Wow Armory Import</t>
  </si>
  <si>
    <t>Special thanks to Faelivrin @ EU_Proudmoore for the Armory Import code which was adapted to this sheet.</t>
  </si>
  <si>
    <t>Executioner (MH)</t>
  </si>
  <si>
    <t>Executioner (OH)</t>
  </si>
  <si>
    <t>Executioner (Both)</t>
  </si>
  <si>
    <t>Gladiator's War Edge</t>
  </si>
  <si>
    <t>Mama's Insurance</t>
  </si>
  <si>
    <t>Marksman's Bow</t>
  </si>
  <si>
    <t>Item ID</t>
  </si>
  <si>
    <t>OH Weapon</t>
  </si>
  <si>
    <t>Ring of Deceitful Intent</t>
  </si>
  <si>
    <t>Trinket #1</t>
  </si>
  <si>
    <t>Dragonspine Trophy</t>
  </si>
  <si>
    <t>Trinket #2</t>
  </si>
  <si>
    <t>Warp-Spring Coil</t>
  </si>
  <si>
    <t>Socket Bonus</t>
  </si>
  <si>
    <t>Unbuffed totals:</t>
  </si>
  <si>
    <t>Boss debuffs</t>
  </si>
  <si>
    <t>Improved</t>
  </si>
  <si>
    <t>Sunder Armor</t>
  </si>
  <si>
    <t>Faerie Fire</t>
  </si>
  <si>
    <t>Curse of Recklessness</t>
  </si>
  <si>
    <t>Mangle</t>
  </si>
  <si>
    <t>Curse of the Elements</t>
  </si>
  <si>
    <t>Shadow Weaving</t>
  </si>
  <si>
    <t>Misery</t>
  </si>
  <si>
    <t>Raid Buffs</t>
  </si>
  <si>
    <t>Bloodlust/Heroism</t>
  </si>
  <si>
    <t>Fortitude</t>
  </si>
  <si>
    <t>Drake Fang Talisman</t>
  </si>
  <si>
    <t>Figurine - Nightseye Panther</t>
  </si>
  <si>
    <t>Tuskbreaker set to Zul Aman</t>
  </si>
  <si>
    <t>Mama's Insurance stats</t>
  </si>
  <si>
    <t>Shuriken of Negation stats</t>
  </si>
  <si>
    <t>Hemo (125%) at least until I see it change on the PTR</t>
  </si>
  <si>
    <t>Human Expertise fix</t>
  </si>
  <si>
    <t>Tsunami Talisman set to 10 seconds</t>
  </si>
  <si>
    <t>Formerly named T5 set properly renamed T6.</t>
  </si>
  <si>
    <t>Choker of Animalistic Fury stats</t>
  </si>
  <si>
    <t>2.3.2.8</t>
  </si>
  <si>
    <t>Full resist rate</t>
  </si>
  <si>
    <t>DP Proc rate</t>
  </si>
  <si>
    <t>DP Dmg</t>
  </si>
  <si>
    <t>IP/AP Proc rate</t>
  </si>
  <si>
    <t>IP Dmg</t>
  </si>
  <si>
    <t>AP Dmg</t>
  </si>
  <si>
    <t>WP Proc</t>
  </si>
  <si>
    <t>WP Dmg</t>
  </si>
  <si>
    <t>Enchant</t>
  </si>
  <si>
    <t>Agility (+15 Agility)</t>
  </si>
  <si>
    <t>AvIPdam</t>
  </si>
  <si>
    <t>Crusader</t>
  </si>
  <si>
    <t>Fiery Weapon</t>
  </si>
  <si>
    <t>Shifting Nightseye (4agi/6sta)</t>
  </si>
  <si>
    <t>Shifting Shadow Draenite (3agi/4sta)</t>
  </si>
  <si>
    <t>Shifting Shadowsong Amethyst (5agi/7sta)</t>
  </si>
  <si>
    <t>Mystic Lionseye (10resil)</t>
  </si>
  <si>
    <t>Rigid Dawnstone (8hit)</t>
  </si>
  <si>
    <t>Rigid Golden Draenite (6hit)</t>
  </si>
  <si>
    <t>Rigid Lionseye (10hit)</t>
  </si>
  <si>
    <t>Brutal Gladiator's Leather Tunic</t>
  </si>
  <si>
    <t>Brutal Gladiator's Leather Legguards</t>
  </si>
  <si>
    <t>Season 4 PvP gear</t>
  </si>
  <si>
    <t>Brutal Gladiator's Leather Gloves</t>
  </si>
  <si>
    <t>Guardian's Leather Belt</t>
  </si>
  <si>
    <t>Guardian's Leather Boots</t>
  </si>
  <si>
    <t>Guardian's Pendant of Triumph</t>
  </si>
  <si>
    <t>Guardian's Band of Triumph</t>
  </si>
  <si>
    <t>Brutal Gladiator's Bonecracker</t>
  </si>
  <si>
    <t>Brutal Gladiator's Left Render</t>
  </si>
  <si>
    <t>Brutal Gladiator's Left Ripper</t>
  </si>
  <si>
    <t>Brutal Gladiator's Mutilator</t>
  </si>
  <si>
    <t>Brutal Gladiator's Shanker</t>
  </si>
  <si>
    <t>Brutal Gladiator's Shiv</t>
  </si>
  <si>
    <t>Brutal Gladiator's Pummeler</t>
  </si>
  <si>
    <t>Brutal Gladiator's Quickblade</t>
  </si>
  <si>
    <t>Brutal Gladiator's Slicer</t>
  </si>
  <si>
    <t>Brutal Gladiator's Right Ripper</t>
  </si>
  <si>
    <t>Brutal Gladiator's War Edge</t>
  </si>
  <si>
    <t>Blackened Naaru Sliver (Uptime)</t>
  </si>
  <si>
    <t>Blackened Naaru Sliver (Avg AP)</t>
  </si>
  <si>
    <t>Blackened Naaru Sliver estimated as 45 sec cooldown - 10% proc rate</t>
  </si>
  <si>
    <t>DM4P-1</t>
  </si>
  <si>
    <t>DM4P-2</t>
  </si>
  <si>
    <t>DM4P-3</t>
  </si>
  <si>
    <t>DM4P-4</t>
  </si>
  <si>
    <t>DM4P-5</t>
  </si>
  <si>
    <t>Energy expansion SnD formula (missing racials)</t>
  </si>
  <si>
    <t>DM snd eps</t>
  </si>
  <si>
    <t>Fixed bug in Leg socket fit formulas regarding 3 sockets where 3rd socket was checked twice instead of 1st.</t>
  </si>
  <si>
    <t>Fixed various mislabeled gems in terms of quality.</t>
  </si>
  <si>
    <t>General's Leather Bracers (no longer obtainable)</t>
  </si>
  <si>
    <t>Marshal's Leather Bracers (no longer obtainable)</t>
  </si>
  <si>
    <t>3 0 0</t>
  </si>
  <si>
    <t>ht 4</t>
  </si>
  <si>
    <t>Wastewalker Tunic</t>
  </si>
  <si>
    <t>0 0 3</t>
  </si>
  <si>
    <t>CHEST ENCHANTS</t>
  </si>
  <si>
    <t>Greater Stats (+4 All Stats)</t>
  </si>
  <si>
    <t>Exceptional Health (+150 HP)</t>
  </si>
  <si>
    <t>Major Resilience (+15 Resilience)</t>
  </si>
  <si>
    <t>Clutch of Demise</t>
  </si>
  <si>
    <t>Collar of the Pit Lord</t>
  </si>
  <si>
    <t>Shattered Sun Pendant of Might (Aldor)</t>
  </si>
  <si>
    <t>Shattered Sun Pendant of Might (Scryer)</t>
  </si>
  <si>
    <t>Shattered Sun Pendant of Resolve (Scryer)</t>
  </si>
  <si>
    <t>OH Sword Spec</t>
  </si>
  <si>
    <t>MH Sword Spec</t>
  </si>
  <si>
    <t>MH Blinkstrike</t>
  </si>
  <si>
    <t>tlMurder</t>
  </si>
  <si>
    <t>Damage Multiplier</t>
  </si>
  <si>
    <t>tlMURfac</t>
  </si>
  <si>
    <t>1.5+Sinister Calling</t>
  </si>
  <si>
    <t>Sword Spec can proc from specials</t>
  </si>
  <si>
    <t>Glancing rates fixed for 70-72; 73 is now a 25% reduction at a 24% rate (from 24%/25%)</t>
  </si>
  <si>
    <t>dmm/sp00n</t>
  </si>
  <si>
    <t>Poisonable?</t>
  </si>
  <si>
    <t>Smooth Lionseye (10crit)</t>
  </si>
  <si>
    <t>BaseMissPerc</t>
  </si>
  <si>
    <t>BaseDodPerc</t>
  </si>
  <si>
    <t>BossLevel</t>
  </si>
  <si>
    <t>CharLevel</t>
  </si>
  <si>
    <t>BaseGlanPerc</t>
  </si>
  <si>
    <t>BaseGlanFact</t>
  </si>
  <si>
    <t>OHDamFact</t>
  </si>
  <si>
    <t>talDWSpec</t>
  </si>
  <si>
    <t>talDWSpecRate</t>
  </si>
  <si>
    <t>Tunic of Assassination</t>
  </si>
  <si>
    <t>2 1 0</t>
  </si>
  <si>
    <t>Vest of Vengeance</t>
  </si>
  <si>
    <t>proctypes</t>
  </si>
  <si>
    <t>(Daggers)</t>
  </si>
  <si>
    <t>Misc</t>
  </si>
  <si>
    <t>Default gear sets</t>
  </si>
  <si>
    <t>Syphon of the Nathrezim (MH)</t>
  </si>
  <si>
    <t>Syphon of the Nathrezim (OH)</t>
  </si>
  <si>
    <t>Syphon of the Nathrezim (Both)</t>
  </si>
  <si>
    <t>Syphon of the Nathrezim using proc mechanics (1 PPM)</t>
  </si>
  <si>
    <t>Rod of the Sun King (MH)</t>
  </si>
  <si>
    <t>Rod of the Sun King (OH)</t>
  </si>
  <si>
    <t>Telescopic Sharprifle</t>
  </si>
  <si>
    <t>Twisted Blades of Zarak</t>
  </si>
  <si>
    <t>Veteran's Musket</t>
  </si>
  <si>
    <t>All Grand Marshal's and High Warlord items given the availability of S1 for Honor.</t>
  </si>
  <si>
    <t>Andonisus, Reaper of Souls</t>
  </si>
  <si>
    <t>Removed</t>
  </si>
  <si>
    <t>Wicked Noble Topaz (4crit/8ap)</t>
  </si>
  <si>
    <t>Wicked Pyrestone (5crit/10ap)</t>
  </si>
  <si>
    <t>2.2.0.3</t>
  </si>
  <si>
    <t>Gloves</t>
  </si>
  <si>
    <t>Netherblade Gloves</t>
  </si>
  <si>
    <t>Superior Agility (+15 Agility)</t>
  </si>
  <si>
    <t>Belt</t>
  </si>
  <si>
    <t>Belt of Deep Shadow</t>
  </si>
  <si>
    <t>Legs</t>
  </si>
  <si>
    <t>Skulker's Greaves</t>
  </si>
  <si>
    <t>Leg Enchant</t>
  </si>
  <si>
    <t>Terokk's Might</t>
  </si>
  <si>
    <t>Thalassian Wildercloak</t>
  </si>
  <si>
    <t>Vengeance Wrap</t>
  </si>
  <si>
    <t>BACK ENCHANTS</t>
  </si>
  <si>
    <t>Dodge (+12 Dodge)</t>
  </si>
  <si>
    <t>Stealth (No Stats)</t>
  </si>
  <si>
    <t>Subtlety (No Stats)</t>
  </si>
  <si>
    <t>2 0 1</t>
  </si>
  <si>
    <t>Bloodsea Brigand's Vest</t>
  </si>
  <si>
    <t>0 1 2</t>
  </si>
  <si>
    <t>1 1 1</t>
  </si>
  <si>
    <t>Band of Celerity</t>
  </si>
  <si>
    <t>2.3.2</t>
  </si>
  <si>
    <t>2.3.1</t>
  </si>
  <si>
    <t>2.3.0g</t>
  </si>
  <si>
    <t>2.3.0f</t>
  </si>
  <si>
    <t>2.3.0e</t>
  </si>
  <si>
    <t>(mo)</t>
  </si>
  <si>
    <t>2.3.0d</t>
  </si>
  <si>
    <t>2.3.0c</t>
  </si>
  <si>
    <t>2.3.0b</t>
  </si>
  <si>
    <t>(Animavilis)</t>
  </si>
  <si>
    <t>2.3.0a</t>
  </si>
  <si>
    <t>2.3.0</t>
  </si>
  <si>
    <t>2.2.7i</t>
  </si>
  <si>
    <t>2.2.7h</t>
  </si>
  <si>
    <t>2.2.7.g</t>
  </si>
  <si>
    <t>2.2.7.f</t>
  </si>
  <si>
    <t>2.2.7e</t>
  </si>
  <si>
    <t>(Siq)</t>
  </si>
  <si>
    <t>2.2.7d</t>
  </si>
  <si>
    <t>2.2.7c</t>
  </si>
  <si>
    <t>2.2.7b</t>
  </si>
  <si>
    <t>2.2.7a</t>
  </si>
  <si>
    <t>2.2.7</t>
  </si>
  <si>
    <t>2.2.6a</t>
  </si>
  <si>
    <t>2.2.5c</t>
  </si>
  <si>
    <t>2.2.5b</t>
  </si>
  <si>
    <t>2.2.5a</t>
  </si>
  <si>
    <t>2.2.5</t>
  </si>
  <si>
    <t>2.2.4n</t>
  </si>
  <si>
    <t>2.2.4m</t>
  </si>
  <si>
    <t>(Zoro)</t>
  </si>
  <si>
    <t>2.2.4l</t>
  </si>
  <si>
    <t>2.2.4k</t>
  </si>
  <si>
    <t>2.2.4j</t>
  </si>
  <si>
    <t>2.2.4i</t>
  </si>
  <si>
    <t>2.2.4h</t>
  </si>
  <si>
    <t>2.2.4g</t>
  </si>
  <si>
    <t>2.2.4f</t>
  </si>
  <si>
    <t>2.2.4e</t>
  </si>
  <si>
    <t>2.2.4</t>
  </si>
  <si>
    <t>2.2.3a</t>
  </si>
  <si>
    <t>2.2.3</t>
  </si>
  <si>
    <t>HP</t>
  </si>
  <si>
    <t>Optimum CP Usage</t>
  </si>
  <si>
    <t>Hit</t>
  </si>
  <si>
    <t>Crit</t>
  </si>
  <si>
    <t>Miss</t>
  </si>
  <si>
    <t>Finisher DPS</t>
  </si>
  <si>
    <t>Other DPS</t>
  </si>
  <si>
    <t>Dodge</t>
  </si>
  <si>
    <t>Total DPS</t>
  </si>
  <si>
    <t>Assassination</t>
  </si>
  <si>
    <t>Combat</t>
  </si>
  <si>
    <t>Talent</t>
  </si>
  <si>
    <t>Points</t>
  </si>
  <si>
    <t>Improved Sinister Strike</t>
  </si>
  <si>
    <t>Serrated Blades</t>
  </si>
  <si>
    <t>Lightning Reflexes</t>
  </si>
  <si>
    <t>Hemorrhage</t>
  </si>
  <si>
    <t>Opportunity</t>
  </si>
  <si>
    <t>Deadliness</t>
  </si>
  <si>
    <t>Ruthlessness</t>
  </si>
  <si>
    <t>Sinister Calling</t>
  </si>
  <si>
    <t>Glyph of the Defender (+16def +17dod)</t>
  </si>
  <si>
    <t>Greater Inscription of Warding (15dod 10def)</t>
  </si>
  <si>
    <t>Slikk's Cloak of Placation</t>
  </si>
  <si>
    <t>Defense (+15 Defense)</t>
  </si>
  <si>
    <t>Major Defense (+12 Defense)</t>
  </si>
  <si>
    <t>Delicate Eternium Ring</t>
  </si>
  <si>
    <t>Elementium Band of the Sentry</t>
  </si>
  <si>
    <t>Moroes' Lucky Pocket Watch</t>
  </si>
  <si>
    <t>Defense</t>
  </si>
  <si>
    <t xml:space="preserve">  Total Avoid</t>
  </si>
  <si>
    <t xml:space="preserve">  Missed</t>
  </si>
  <si>
    <t>itBsEa</t>
  </si>
  <si>
    <t>itBsMH</t>
  </si>
  <si>
    <t>itBsOH</t>
  </si>
  <si>
    <t>&lt;--- Blinkstrike equipped OH?</t>
  </si>
  <si>
    <t>&lt;--- Blinkstrike equipped MH?</t>
  </si>
  <si>
    <t>&lt;--- Blinkstrike Extra attack rate</t>
  </si>
  <si>
    <t>Rate</t>
  </si>
  <si>
    <t>Warp-Spring Coil (35% uptime)</t>
  </si>
  <si>
    <t>Band of the Eternal Champion (10% uptime)</t>
  </si>
  <si>
    <t>Spinesever (2.3 nerf)</t>
  </si>
  <si>
    <t>fixed</t>
  </si>
  <si>
    <t>The Savage's Choker (haste)</t>
  </si>
  <si>
    <t>Hemo (110% dmg)</t>
  </si>
  <si>
    <t>Warglaives of Azzeroth set bonus works again for Demons and now requires both blades</t>
  </si>
  <si>
    <t>Unique gems working again</t>
  </si>
  <si>
    <t>Fixes to 1-4s/5e cut cycles - incorrect Evis damage (Thanks to Todemax!)</t>
  </si>
  <si>
    <t>1s/5env</t>
  </si>
  <si>
    <t>2s/5env</t>
  </si>
  <si>
    <t>3s/5env</t>
  </si>
  <si>
    <t>4s/5env</t>
  </si>
  <si>
    <t>5s/5env</t>
  </si>
  <si>
    <t>1s/4s/3env</t>
  </si>
  <si>
    <t>2s/4s/3env</t>
  </si>
  <si>
    <t>1s/4s/4env</t>
  </si>
  <si>
    <t>2s/4s/4env</t>
  </si>
  <si>
    <t>1s/4s/5env</t>
  </si>
  <si>
    <t>2s/4s/5env</t>
  </si>
  <si>
    <t>1s/5s/3env</t>
  </si>
  <si>
    <t>2s/5s/3env</t>
  </si>
  <si>
    <t>3s/5s/3env</t>
  </si>
  <si>
    <t>1s/5s/4env</t>
  </si>
  <si>
    <t>2s/5s/4env</t>
  </si>
  <si>
    <t>3s/5s/4env</t>
  </si>
  <si>
    <t>1s/5s/5env</t>
  </si>
  <si>
    <t>2.4.2.1</t>
  </si>
  <si>
    <t>Brand new cycle model (Thanks Left and Todemax!)</t>
  </si>
  <si>
    <t>OH Temp Enchant</t>
  </si>
  <si>
    <t>Deadly Poison VII</t>
  </si>
  <si>
    <t>None</t>
  </si>
  <si>
    <t>Ranged</t>
  </si>
  <si>
    <t>Barrel-Blade Longrifle</t>
  </si>
  <si>
    <t>SET BONUSES</t>
  </si>
  <si>
    <t>Hemo normalize (2.4)</t>
  </si>
  <si>
    <t>Heavy Knothide Armor Kit (+10 Sta)</t>
  </si>
  <si>
    <t>Added Resilience to various Arena weapons</t>
  </si>
  <si>
    <t>Gladiator 4p (+10 Energy)</t>
  </si>
  <si>
    <t>Added</t>
  </si>
  <si>
    <t>Gladiator 4-piece bonus to Set bonus list</t>
  </si>
  <si>
    <t>All Macros now coded to work with Macs (except Armory Import which can't)</t>
  </si>
  <si>
    <t>Ranged, Mainhand and Offhand socket bonuses</t>
  </si>
  <si>
    <t>Ghostly Strike option now only applying to Hemo</t>
  </si>
  <si>
    <t>Set bonus Flags defined</t>
  </si>
  <si>
    <t>Improved Slice and Dice</t>
  </si>
  <si>
    <t>Precision</t>
  </si>
  <si>
    <t>Aggression</t>
  </si>
  <si>
    <t>Wolfslayer Sniper Rifle</t>
  </si>
  <si>
    <t>Wrathtide Longbow</t>
  </si>
  <si>
    <t>Xavian Stiletto</t>
  </si>
  <si>
    <t>Lethality</t>
  </si>
  <si>
    <t>Saved Options now pointing to correct cells</t>
  </si>
  <si>
    <t>Ferocious Inspiration (count Hunters)</t>
  </si>
  <si>
    <t>2.2.0.6</t>
  </si>
  <si>
    <t>Equip: Increases your effective stealth level by 1.  Use: Increases attack power by 320 for 15 sec.</t>
  </si>
  <si>
    <t>Instants MH</t>
  </si>
  <si>
    <t>Instants OH</t>
  </si>
  <si>
    <t>Twinblade of Mastery Item ID code</t>
  </si>
  <si>
    <t>Ashtongue Trinket of Lethality</t>
  </si>
  <si>
    <t>Ashtongue Trinket of Lethality proc moved to Optimize routine for increased accuracy</t>
  </si>
  <si>
    <t>Deathmantle 4-piece modeled as a 1 PPM effect, no cooldown</t>
  </si>
  <si>
    <t>Heartrazor (MH)</t>
  </si>
  <si>
    <t>Heartrazor (OH)</t>
  </si>
  <si>
    <t>Heartrazor now on proc mechanics (currently modeled as 1 PPM)</t>
  </si>
  <si>
    <t>Use: Increases attack power by 216 for 10 sec.</t>
  </si>
  <si>
    <t>Equip: Increases your effective stealth level by 1.  Use: Increases attack power by 320 for 12 sec.</t>
  </si>
  <si>
    <t>Mark of the Champion</t>
  </si>
  <si>
    <t>The sheet assumes that there are non-integer values for skill level obtained from skill rating. The game probably only use integer values.</t>
  </si>
  <si>
    <t>2.3.4</t>
  </si>
  <si>
    <t>(mih)</t>
  </si>
  <si>
    <t>changed</t>
  </si>
  <si>
    <t>added</t>
  </si>
  <si>
    <t>Cursed Vision of Sargeras</t>
  </si>
  <si>
    <t>2.3.3</t>
  </si>
  <si>
    <t>Instant hits per sec.</t>
  </si>
  <si>
    <t>Evi/Rupt per sec.</t>
  </si>
  <si>
    <t>Windfury DPS</t>
  </si>
  <si>
    <t>eec</t>
  </si>
  <si>
    <t>snd eec</t>
  </si>
  <si>
    <t>5s/5e</t>
  </si>
  <si>
    <t>5s/4r</t>
  </si>
  <si>
    <t>Shattered Sun Pendant of Might (Scryer) crit rating removed</t>
  </si>
  <si>
    <t>Expertise AEP now also considering Offhand</t>
  </si>
  <si>
    <t>Ring Stats list now includes Angelista's Revenge</t>
  </si>
  <si>
    <t>Fists of Fury proc now correctly applying resist mechanics</t>
  </si>
  <si>
    <t>Options unchecked from importing as they no longer import correctly from prior versions.</t>
  </si>
  <si>
    <t>2.3.2.2</t>
  </si>
  <si>
    <t>2.3.2.3</t>
  </si>
  <si>
    <t>Romulo's Poison Vial proc (referred to a deleted cell)</t>
  </si>
  <si>
    <t xml:space="preserve">  Difference</t>
  </si>
  <si>
    <t>Conditional coloring of DPS changes</t>
  </si>
  <si>
    <t>physical, can crit, affected by armor</t>
  </si>
  <si>
    <t>Dagger</t>
  </si>
  <si>
    <t>physical, cannot crit, no armor, ie bleed</t>
  </si>
  <si>
    <t>Blade of the Unrequited</t>
  </si>
  <si>
    <t>Proc modelling</t>
  </si>
  <si>
    <t>simple magic (no crit)</t>
  </si>
  <si>
    <t>on-equip: magic (misplaced servo arm)</t>
  </si>
  <si>
    <t>mainhand</t>
  </si>
  <si>
    <t>offhand</t>
  </si>
  <si>
    <t>main TF model</t>
  </si>
  <si>
    <t>procdmg</t>
  </si>
  <si>
    <t>Boundless Agony</t>
  </si>
  <si>
    <t>ppm</t>
  </si>
  <si>
    <t>Ced's Carver</t>
  </si>
  <si>
    <t>specialhitrate</t>
  </si>
  <si>
    <t>specialcritrate</t>
  </si>
  <si>
    <t>basedmg</t>
  </si>
  <si>
    <t>Ring of the Overseer</t>
  </si>
  <si>
    <t>Balanced Nightseye (6sta/8ap)</t>
  </si>
  <si>
    <t>Brutal Tanzanite (6sta/10ap)</t>
  </si>
  <si>
    <t>Pulsing Amethyst (6sta/10ap)</t>
  </si>
  <si>
    <t>Regal Tanzanite (6sta/5dodge)</t>
  </si>
  <si>
    <t>Abacus of Violent Odds</t>
  </si>
  <si>
    <t>Use: Increases haste rating by 260 for 10 sec</t>
  </si>
  <si>
    <t>2 min</t>
  </si>
  <si>
    <t>Use: Increases attack power by 200 for 15 sec.</t>
  </si>
  <si>
    <t>1.5 min</t>
  </si>
  <si>
    <t>Ashtongue Talisman of Lethality</t>
  </si>
  <si>
    <t>Remodeled Talent sheet</t>
  </si>
  <si>
    <t>Att/sec</t>
  </si>
  <si>
    <t>Time/attack</t>
  </si>
  <si>
    <t>Instants</t>
  </si>
  <si>
    <t>Specials</t>
  </si>
  <si>
    <t>All</t>
  </si>
  <si>
    <t>MH only</t>
  </si>
  <si>
    <t>OH only</t>
  </si>
  <si>
    <t>1 PPM</t>
  </si>
  <si>
    <t>Proc %</t>
  </si>
  <si>
    <t>sec/proc</t>
  </si>
  <si>
    <t>1 PPM - 20 second cooldown</t>
  </si>
  <si>
    <t>1 PPM - no cooldown</t>
  </si>
  <si>
    <t>10% - 45 second cooldown</t>
  </si>
  <si>
    <t>Crits/sec</t>
  </si>
  <si>
    <t>10% - 45 second cooldown (on crit)</t>
  </si>
  <si>
    <t>25% - 30 second cooldown (on crit)</t>
  </si>
  <si>
    <t>Shattered Sun (Scryer Might)</t>
  </si>
  <si>
    <t>Division by zero errors for cycles without finisher damage.</t>
  </si>
  <si>
    <t>Error in the Delete Options Build Macro</t>
  </si>
  <si>
    <t xml:space="preserve">  Hit rating to cap</t>
  </si>
  <si>
    <t xml:space="preserve">  Exp rating to cap</t>
  </si>
  <si>
    <t xml:space="preserve">  SnD Uptime</t>
  </si>
  <si>
    <t xml:space="preserve">  Rupture Uptime</t>
  </si>
  <si>
    <t xml:space="preserve">  Melee White DPS</t>
  </si>
  <si>
    <t xml:space="preserve">  Finisher DPS</t>
  </si>
  <si>
    <t xml:space="preserve">  Other DPS</t>
  </si>
  <si>
    <t xml:space="preserve">  Total DPS</t>
  </si>
  <si>
    <t xml:space="preserve">  Saved DPS</t>
  </si>
  <si>
    <t>DPS Details</t>
  </si>
  <si>
    <t>Gear &amp; Buffs</t>
  </si>
  <si>
    <t>Gear Upgrades</t>
  </si>
  <si>
    <t>Proc info</t>
  </si>
  <si>
    <t>Classic TBC changelog:</t>
  </si>
  <si>
    <t>Garcia</t>
  </si>
  <si>
    <t>Layout changes</t>
  </si>
  <si>
    <t>Retail TBC changelog:</t>
  </si>
  <si>
    <t>WoW armory import macro (temporarily?)</t>
  </si>
  <si>
    <t>Bonescythe Helmet</t>
  </si>
  <si>
    <t>Bonescythe</t>
  </si>
  <si>
    <t>Amulet of Bitter Hatred</t>
  </si>
  <si>
    <t>Sin'dorei Pendant of Triumph</t>
  </si>
  <si>
    <t>Bonescythe Pauldrons</t>
  </si>
  <si>
    <t>Mantle of Shadowy Embrace</t>
  </si>
  <si>
    <t>Mantle of the Unforgiven</t>
  </si>
  <si>
    <t>Bonescythe Breastplate</t>
  </si>
  <si>
    <t>Illidari Lord's Tunic</t>
  </si>
  <si>
    <t>1 2 0</t>
  </si>
  <si>
    <t>Vestments of Hibernation</t>
  </si>
  <si>
    <t>Belt of Natural Power</t>
  </si>
  <si>
    <t>Belt of Never-ending Agony</t>
  </si>
  <si>
    <t>Belt of the Raven Lord</t>
  </si>
  <si>
    <t>Bonescythe Waistguard</t>
  </si>
  <si>
    <t>Lurker's Grasp of the Bandit</t>
  </si>
  <si>
    <t>Pilgrim's Belt</t>
  </si>
  <si>
    <t>Shifting Sash of Midnight</t>
  </si>
  <si>
    <t>Tree Warden's Belt</t>
  </si>
  <si>
    <t>Bonescythe Legplates</t>
  </si>
  <si>
    <t>Clefthoof Hide Leggings</t>
  </si>
  <si>
    <t>Forestwalker Kilt</t>
  </si>
  <si>
    <t>Mennu's Scaled Leggings</t>
  </si>
  <si>
    <t>Shattrath Leggings</t>
  </si>
  <si>
    <t>Bonescythe Sabatons</t>
  </si>
  <si>
    <t>Footwraps of Wild Encroachment</t>
  </si>
  <si>
    <t>Glider's Boots of the Bandit</t>
  </si>
  <si>
    <t>Band of the Swift Paw</t>
  </si>
  <si>
    <t>Bonescythe Bracers</t>
  </si>
  <si>
    <t>st 2</t>
  </si>
  <si>
    <t>General's Leather Bracers</t>
  </si>
  <si>
    <t>Marshal's Leather Bracers</t>
  </si>
  <si>
    <t>Shackles of Quagmirran</t>
  </si>
  <si>
    <t>Bonescythe Gauntlets</t>
  </si>
  <si>
    <t>Drake Tamer's Gloves</t>
  </si>
  <si>
    <t>Gloves of the Nether-Stalker</t>
  </si>
  <si>
    <t>Precise Gloves of Alacrity</t>
  </si>
  <si>
    <t>Windslayer Wraps</t>
  </si>
  <si>
    <t>Averinn's Ring of Slaying</t>
  </si>
  <si>
    <t>Band of Accuria</t>
  </si>
  <si>
    <t>Band of Reanimation</t>
  </si>
  <si>
    <t>Band of Unnatural Forces</t>
  </si>
  <si>
    <t>Bonescythe Ring</t>
  </si>
  <si>
    <t>Leafbeard Ring</t>
  </si>
  <si>
    <t>Longstrider's Loop</t>
  </si>
  <si>
    <t>Overseer's Signet</t>
  </si>
  <si>
    <t>Pathfinder's Band</t>
  </si>
  <si>
    <t>Ring of the Shadow Deeps</t>
  </si>
  <si>
    <t>Signet Ring of the Bronze Dragonflight</t>
  </si>
  <si>
    <t>Sin'dorei Band of Triumph</t>
  </si>
  <si>
    <t>Truestrike Ring</t>
  </si>
  <si>
    <t>Unstoppable Aggressor's Ring</t>
  </si>
  <si>
    <t>Cloak of Grasping Talons</t>
  </si>
  <si>
    <t>Cloak of Impulsiveness</t>
  </si>
  <si>
    <t>Crimson Paragon's Cover</t>
  </si>
  <si>
    <t>Deathwing Brood Cloak</t>
  </si>
  <si>
    <t>Shroud of Dominion</t>
  </si>
  <si>
    <t>Band of Eternity (Friendly)</t>
  </si>
  <si>
    <t>Band of Eternity (Honored)</t>
  </si>
  <si>
    <t>Band of Eternity (Revered)</t>
  </si>
  <si>
    <t>Violet Signet (Friendly)</t>
  </si>
  <si>
    <t>Violet Signet (Honored)</t>
  </si>
  <si>
    <t>Violet Signet (Revered)</t>
  </si>
  <si>
    <t>Ancient Draenei War Talisman</t>
  </si>
  <si>
    <t>Use: Increases your melee and ranged attack power by 200. Effect lasts for 15 sec.</t>
  </si>
  <si>
    <t>Ogre Mauler's Badge</t>
  </si>
  <si>
    <t>Uniting Charm</t>
  </si>
  <si>
    <t>Use: Increases attack power by 185 for 15 sec.</t>
  </si>
  <si>
    <t>Cloak of Concentrated Hatred</t>
  </si>
  <si>
    <t>Striker's Mark</t>
  </si>
  <si>
    <t>Nerubian Slavemaker</t>
  </si>
  <si>
    <t>Death's Sting</t>
  </si>
  <si>
    <r>
      <t xml:space="preserve">Many different items from </t>
    </r>
    <r>
      <rPr>
        <u/>
        <sz val="8"/>
        <color theme="4"/>
        <rFont val="Arial"/>
        <family val="2"/>
      </rPr>
      <t>shadowpanther.net</t>
    </r>
  </si>
  <si>
    <t>Improved the speed of the upgrade macro</t>
  </si>
  <si>
    <t>Bonescythe 4pc (+5 energy)</t>
  </si>
  <si>
    <t>Bonescythe 8pc (reveal flaws)</t>
  </si>
  <si>
    <t>Bonescythe 4p</t>
  </si>
  <si>
    <t>Bonescythe 8p</t>
  </si>
  <si>
    <t>Bonescythe 4pc</t>
  </si>
  <si>
    <t>Bonescythe set bonuses</t>
  </si>
  <si>
    <t>Harbinger of Doom</t>
  </si>
  <si>
    <t>Adamantite Rifle</t>
  </si>
  <si>
    <t>Bloodwarder's Rifle</t>
  </si>
  <si>
    <t>Bristleblitz Striker</t>
  </si>
  <si>
    <t>Coilfang Needler</t>
  </si>
  <si>
    <t>Emberhawk Crossbow</t>
  </si>
  <si>
    <t>Lohn'goron, Bow of the Torn-heart</t>
  </si>
  <si>
    <t>Needle Shrike</t>
  </si>
  <si>
    <t>Wrathfire Hand-Cannon</t>
  </si>
  <si>
    <t>Hemet's Elekk Gun</t>
  </si>
  <si>
    <t>Items considerably worse than Pre-BC items</t>
  </si>
  <si>
    <t>Sinister Calling base damage increase changed to 1% (from 2%)</t>
  </si>
  <si>
    <t>expertise</t>
  </si>
  <si>
    <t>str 4</t>
  </si>
  <si>
    <t>str 2</t>
  </si>
  <si>
    <t>+fist</t>
  </si>
  <si>
    <t>+mace</t>
  </si>
  <si>
    <t>+sword</t>
  </si>
  <si>
    <t>+dagger</t>
  </si>
  <si>
    <t>Sockbonus</t>
  </si>
  <si>
    <t>stat</t>
  </si>
  <si>
    <t>value</t>
  </si>
  <si>
    <t>Resilience</t>
  </si>
  <si>
    <t xml:space="preserve"> +haste</t>
  </si>
  <si>
    <t>sockets</t>
  </si>
  <si>
    <t>meta</t>
  </si>
  <si>
    <t>Waist</t>
  </si>
  <si>
    <t>Feet</t>
  </si>
  <si>
    <t>socket bonus values</t>
  </si>
  <si>
    <t>ht</t>
  </si>
  <si>
    <t>cr</t>
  </si>
  <si>
    <t>attack power</t>
  </si>
  <si>
    <t>sr</t>
  </si>
  <si>
    <t>strenght</t>
  </si>
  <si>
    <t>st</t>
  </si>
  <si>
    <t>stam</t>
  </si>
  <si>
    <t>ag</t>
  </si>
  <si>
    <t>agility</t>
  </si>
  <si>
    <t>rs</t>
  </si>
  <si>
    <t>resillience</t>
  </si>
  <si>
    <t>do</t>
  </si>
  <si>
    <t>dg</t>
  </si>
  <si>
    <t>dagger</t>
  </si>
  <si>
    <t>ma</t>
  </si>
  <si>
    <t>mace</t>
  </si>
  <si>
    <t>fi</t>
  </si>
  <si>
    <t>fist</t>
  </si>
  <si>
    <t>sw</t>
  </si>
  <si>
    <t>sword</t>
  </si>
  <si>
    <t>hs</t>
  </si>
  <si>
    <t>Dwarf</t>
  </si>
  <si>
    <t>Gnome</t>
  </si>
  <si>
    <t>Human</t>
  </si>
  <si>
    <t>Night Elf</t>
  </si>
  <si>
    <t>Orc</t>
  </si>
  <si>
    <t>Troll</t>
  </si>
  <si>
    <t>Blood Elf</t>
  </si>
  <si>
    <t>Veteran's Band of Triumph</t>
  </si>
  <si>
    <t>0053201050400000000003203050020050150023211510000000000000000000000</t>
  </si>
  <si>
    <t>Cowl of Beastly Rage</t>
  </si>
  <si>
    <t>Cowl of the Guiltless</t>
  </si>
  <si>
    <t>Exorcist's Leather Helm</t>
  </si>
  <si>
    <t>Grand Marshal's Leather Helm</t>
  </si>
  <si>
    <t>High Warlord's Leather Helm</t>
  </si>
  <si>
    <t>Hyper-Vision Goggles</t>
  </si>
  <si>
    <t>Stylin' Purple Hat</t>
  </si>
  <si>
    <t>Terokk's Mask</t>
  </si>
  <si>
    <t>Braided Eternium Chain (w/o +28crit)</t>
  </si>
  <si>
    <t xml:space="preserve">Insignia of the Mag'hari Hero </t>
  </si>
  <si>
    <t>Necklace of the Deep</t>
  </si>
  <si>
    <t>Pendant of Triumph</t>
  </si>
  <si>
    <t>Saberclaw Talisman</t>
  </si>
  <si>
    <t>Shattered Sun Pendant of Resolve (Aldor)</t>
  </si>
  <si>
    <t>Talon Lord's Collar</t>
  </si>
  <si>
    <t>Traitor's Noose</t>
  </si>
  <si>
    <t>Veteran's Pendant of Triumph</t>
  </si>
  <si>
    <t>Farstrider Wildercloak</t>
  </si>
  <si>
    <t>Royal Cloak of Arathi Kings</t>
  </si>
  <si>
    <t>Chestguard of No Remorse</t>
  </si>
  <si>
    <t>Chestguard of the Dark Stalker</t>
  </si>
  <si>
    <t>Grand Marshal's Leather Tunic</t>
  </si>
  <si>
    <t>High Warlord's Leather Tunic</t>
  </si>
  <si>
    <t>Warden's Hauberk</t>
  </si>
  <si>
    <t>Windrager's Coils</t>
  </si>
  <si>
    <t>Earthmender's Fists of Undoing</t>
  </si>
  <si>
    <t>Master Thief's Gloves</t>
  </si>
  <si>
    <t>Opportunist's Leather Gloves (A)</t>
  </si>
  <si>
    <t>Opportunist's Leather Gloves (H)</t>
  </si>
  <si>
    <t>Eco-Dome Leggings</t>
  </si>
  <si>
    <t>Nimble-foot Treads</t>
  </si>
  <si>
    <t>Band of Eternity 1st</t>
  </si>
  <si>
    <t>Band of Eternity 2nd</t>
  </si>
  <si>
    <t>Band of Eternity 3rd</t>
  </si>
  <si>
    <t>Band of Triumph</t>
  </si>
  <si>
    <t>Violet Signet (blue)</t>
  </si>
  <si>
    <t>Violet Signet (epic1)</t>
  </si>
  <si>
    <t>Violet Signet (epic2)</t>
  </si>
  <si>
    <t>Battlemaster's Cruelty (Heroic)</t>
  </si>
  <si>
    <t>Battlemaster's Cruelty (PvP)</t>
  </si>
  <si>
    <t>Battlemaster's Determination (Heroic)</t>
  </si>
  <si>
    <t>Battlemaster's Determination (PvP)</t>
  </si>
  <si>
    <t>UI Locations</t>
  </si>
  <si>
    <t>C14</t>
  </si>
  <si>
    <t>C15</t>
  </si>
  <si>
    <t>C16</t>
  </si>
  <si>
    <t>C17</t>
  </si>
  <si>
    <t>C18</t>
  </si>
  <si>
    <t>C19</t>
  </si>
  <si>
    <t>C20</t>
  </si>
  <si>
    <t>C21</t>
  </si>
  <si>
    <t>C22</t>
  </si>
  <si>
    <t>C23</t>
  </si>
  <si>
    <t>C24</t>
  </si>
  <si>
    <t>C26</t>
  </si>
  <si>
    <t>C27</t>
  </si>
  <si>
    <t>C28</t>
  </si>
  <si>
    <t>C29</t>
  </si>
  <si>
    <t>C30</t>
  </si>
  <si>
    <t>C31</t>
  </si>
  <si>
    <t>C33</t>
  </si>
  <si>
    <t>C34</t>
  </si>
  <si>
    <t>C36</t>
  </si>
  <si>
    <t>C37</t>
  </si>
  <si>
    <t>F14</t>
  </si>
  <si>
    <t>F15</t>
  </si>
  <si>
    <t>F16</t>
  </si>
  <si>
    <t>F17</t>
  </si>
  <si>
    <t>F18</t>
  </si>
  <si>
    <t>F19</t>
  </si>
  <si>
    <t>F20</t>
  </si>
  <si>
    <t>F21</t>
  </si>
  <si>
    <t>F22</t>
  </si>
  <si>
    <t>F23</t>
  </si>
  <si>
    <t>F24</t>
  </si>
  <si>
    <t>F25</t>
  </si>
  <si>
    <t>F26</t>
  </si>
  <si>
    <t>F27</t>
  </si>
  <si>
    <t>F28</t>
  </si>
  <si>
    <t>F29</t>
  </si>
  <si>
    <t>F30</t>
  </si>
  <si>
    <t>F31</t>
  </si>
  <si>
    <t>F32</t>
  </si>
  <si>
    <t>F33</t>
  </si>
  <si>
    <t>F34</t>
  </si>
  <si>
    <t>F35</t>
  </si>
  <si>
    <t>F36</t>
  </si>
  <si>
    <t>F37</t>
  </si>
  <si>
    <t>I14</t>
  </si>
  <si>
    <t>I15</t>
  </si>
  <si>
    <t>I17</t>
  </si>
  <si>
    <t>I18</t>
  </si>
  <si>
    <t>I19</t>
  </si>
  <si>
    <t>I20</t>
  </si>
  <si>
    <t>I21</t>
  </si>
  <si>
    <t>I22</t>
  </si>
  <si>
    <t>I23</t>
  </si>
  <si>
    <t>I24</t>
  </si>
  <si>
    <t>I25</t>
  </si>
  <si>
    <t>I26</t>
  </si>
  <si>
    <t>I27</t>
  </si>
  <si>
    <t>I28</t>
  </si>
  <si>
    <t>I29</t>
  </si>
  <si>
    <t>I30</t>
  </si>
  <si>
    <t>I31</t>
  </si>
  <si>
    <t>I33</t>
  </si>
  <si>
    <t>I34</t>
  </si>
  <si>
    <t>I35</t>
  </si>
  <si>
    <t>I36</t>
  </si>
  <si>
    <t>I37</t>
  </si>
  <si>
    <t>Build Name</t>
  </si>
  <si>
    <t>Combat Sword</t>
  </si>
  <si>
    <t>Combat Fist+Sword</t>
  </si>
  <si>
    <t>Combat Daggers</t>
  </si>
  <si>
    <t>Hemo Swords</t>
  </si>
  <si>
    <t>Hemo/Deadliness</t>
  </si>
  <si>
    <t>Hemo/Combat Potency</t>
  </si>
  <si>
    <t>Hemo/Cheat Death</t>
  </si>
  <si>
    <t>Shadowstep/Assassination</t>
  </si>
  <si>
    <t>Shadowstep/Combat</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</si>
  <si>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</si>
  <si>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</si>
  <si>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</si>
  <si>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</si>
  <si>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</si>
  <si>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</si>
  <si>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</si>
  <si>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</si>
  <si>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</si>
  <si>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</si>
  <si>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</si>
  <si>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</si>
  <si>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</si>
  <si>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</si>
  <si>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</si>
  <si>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</si>
  <si>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</si>
  <si>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</si>
  <si>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</si>
  <si>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</si>
  <si>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</si>
  <si>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</si>
  <si>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</si>
  <si>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</si>
  <si>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</si>
  <si>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</si>
  <si>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</si>
  <si>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</si>
  <si>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</si>
  <si>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</si>
  <si>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</si>
  <si>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</si>
  <si>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</si>
  <si>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</si>
  <si>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</si>
  <si>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</si>
  <si>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</si>
  <si>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</si>
  <si>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</si>
  <si>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B49</t>
  </si>
  <si>
    <t>B50</t>
  </si>
  <si>
    <t>B51</t>
  </si>
  <si>
    <t>B52</t>
  </si>
  <si>
    <t>B53</t>
  </si>
  <si>
    <t>B54</t>
  </si>
  <si>
    <t>B55</t>
  </si>
  <si>
    <t>B56</t>
  </si>
  <si>
    <t>B57</t>
  </si>
  <si>
    <t>B58</t>
  </si>
  <si>
    <t>B59</t>
  </si>
  <si>
    <t>B60</t>
  </si>
  <si>
    <t>B61</t>
  </si>
  <si>
    <t>B62</t>
  </si>
  <si>
    <t>B63</t>
  </si>
  <si>
    <t>B64</t>
  </si>
  <si>
    <t>B65</t>
  </si>
  <si>
    <t>B66</t>
  </si>
  <si>
    <t>B67</t>
  </si>
  <si>
    <t>B68</t>
  </si>
  <si>
    <t>B69</t>
  </si>
  <si>
    <t>B70</t>
  </si>
  <si>
    <t>B71</t>
  </si>
  <si>
    <t>O14</t>
  </si>
  <si>
    <t>O15</t>
  </si>
  <si>
    <t>O16</t>
  </si>
  <si>
    <t>O17</t>
  </si>
  <si>
    <t>O18</t>
  </si>
  <si>
    <t>O23</t>
  </si>
  <si>
    <t>O24</t>
  </si>
  <si>
    <t>O25</t>
  </si>
  <si>
    <t>O26</t>
  </si>
  <si>
    <t>O27</t>
  </si>
  <si>
    <t>O28</t>
  </si>
  <si>
    <t>O29</t>
  </si>
  <si>
    <t>O30</t>
  </si>
  <si>
    <t>O19</t>
  </si>
  <si>
    <t>Melee Boss</t>
  </si>
  <si>
    <t>Caster Boss</t>
  </si>
  <si>
    <t>B80</t>
  </si>
  <si>
    <t>C80</t>
  </si>
  <si>
    <t>B81</t>
  </si>
  <si>
    <t>C81</t>
  </si>
  <si>
    <t>B82</t>
  </si>
  <si>
    <t>C82</t>
  </si>
  <si>
    <t>B83</t>
  </si>
  <si>
    <t>C83</t>
  </si>
  <si>
    <t>B84</t>
  </si>
  <si>
    <t>C84</t>
  </si>
  <si>
    <t>B85</t>
  </si>
  <si>
    <t>C85</t>
  </si>
  <si>
    <t>B86</t>
  </si>
  <si>
    <t>C86</t>
  </si>
  <si>
    <t>B87</t>
  </si>
  <si>
    <t>C87</t>
  </si>
  <si>
    <t>B88</t>
  </si>
  <si>
    <t>C88</t>
  </si>
  <si>
    <t>B89</t>
  </si>
  <si>
    <t>C89</t>
  </si>
  <si>
    <t>B90</t>
  </si>
  <si>
    <t>C90</t>
  </si>
  <si>
    <t>B91</t>
  </si>
  <si>
    <t>C91</t>
  </si>
  <si>
    <t>B92</t>
  </si>
  <si>
    <t>C92</t>
  </si>
  <si>
    <t>B93</t>
  </si>
  <si>
    <t>C93</t>
  </si>
  <si>
    <t>B94</t>
  </si>
  <si>
    <t>C94</t>
  </si>
  <si>
    <t>B95</t>
  </si>
  <si>
    <t>C95</t>
  </si>
  <si>
    <t>B96</t>
  </si>
  <si>
    <t>C96</t>
  </si>
  <si>
    <t>B97</t>
  </si>
  <si>
    <t>C97</t>
  </si>
  <si>
    <t>B98</t>
  </si>
  <si>
    <t>C98</t>
  </si>
  <si>
    <t>B99</t>
  </si>
  <si>
    <t>C99</t>
  </si>
  <si>
    <t>B100</t>
  </si>
  <si>
    <t>C100</t>
  </si>
  <si>
    <t>B101</t>
  </si>
  <si>
    <t>C101</t>
  </si>
  <si>
    <t>B102</t>
  </si>
  <si>
    <t>C102</t>
  </si>
  <si>
    <t>B103</t>
  </si>
  <si>
    <t>C103</t>
  </si>
  <si>
    <t>B104</t>
  </si>
  <si>
    <t>C104</t>
  </si>
  <si>
    <t>B105</t>
  </si>
  <si>
    <t>C105</t>
  </si>
  <si>
    <t>B106</t>
  </si>
  <si>
    <t>C106</t>
  </si>
  <si>
    <t>B107</t>
  </si>
  <si>
    <t>C107</t>
  </si>
  <si>
    <t>B108</t>
  </si>
  <si>
    <t>C108</t>
  </si>
  <si>
    <t>B109</t>
  </si>
  <si>
    <t>C109</t>
  </si>
  <si>
    <t>B110</t>
  </si>
  <si>
    <t>C110</t>
  </si>
  <si>
    <t>B111</t>
  </si>
  <si>
    <t>C111</t>
  </si>
  <si>
    <t>B112</t>
  </si>
  <si>
    <t>C112</t>
  </si>
  <si>
    <t>B113</t>
  </si>
  <si>
    <t>C113</t>
  </si>
  <si>
    <t>B114</t>
  </si>
  <si>
    <t>C114</t>
  </si>
  <si>
    <t>B115</t>
  </si>
  <si>
    <t>C115</t>
  </si>
  <si>
    <t>B116</t>
  </si>
  <si>
    <t>C116</t>
  </si>
  <si>
    <t>B117</t>
  </si>
  <si>
    <t>C117</t>
  </si>
  <si>
    <t>B118</t>
  </si>
  <si>
    <t>C118</t>
  </si>
  <si>
    <t>B119</t>
  </si>
  <si>
    <t>C119</t>
  </si>
  <si>
    <t>B120</t>
  </si>
  <si>
    <t>C120</t>
  </si>
  <si>
    <t>B121</t>
  </si>
  <si>
    <t>C121</t>
  </si>
  <si>
    <t>B122</t>
  </si>
  <si>
    <t>C122</t>
  </si>
  <si>
    <t>B123</t>
  </si>
  <si>
    <t>C123</t>
  </si>
  <si>
    <t>B124</t>
  </si>
  <si>
    <t>C124</t>
  </si>
  <si>
    <t>B125</t>
  </si>
  <si>
    <t>C125</t>
  </si>
  <si>
    <t>B126</t>
  </si>
  <si>
    <t>C126</t>
  </si>
  <si>
    <t>B127</t>
  </si>
  <si>
    <t>C127</t>
  </si>
  <si>
    <t>B128</t>
  </si>
  <si>
    <t>C128</t>
  </si>
  <si>
    <t>B129</t>
  </si>
  <si>
    <t>C129</t>
  </si>
  <si>
    <t>B130</t>
  </si>
  <si>
    <t>C130</t>
  </si>
  <si>
    <t>B131</t>
  </si>
  <si>
    <t>C131</t>
  </si>
  <si>
    <t>B132</t>
  </si>
  <si>
    <t>C132</t>
  </si>
  <si>
    <t>B133</t>
  </si>
  <si>
    <t>C133</t>
  </si>
  <si>
    <t>B134</t>
  </si>
  <si>
    <t>C134</t>
  </si>
  <si>
    <t>B135</t>
  </si>
  <si>
    <t>C135</t>
  </si>
  <si>
    <t>B136</t>
  </si>
  <si>
    <t>C136</t>
  </si>
  <si>
    <t>B137</t>
  </si>
  <si>
    <t>C137</t>
  </si>
  <si>
    <t>B138</t>
  </si>
  <si>
    <t>C138</t>
  </si>
  <si>
    <t>B139</t>
  </si>
  <si>
    <t>C139</t>
  </si>
  <si>
    <t>lookPhase</t>
  </si>
  <si>
    <t>lookMinDmg</t>
  </si>
  <si>
    <t>lookMaxDmg</t>
  </si>
  <si>
    <t>lookAvgDmg</t>
  </si>
  <si>
    <t>lookType</t>
  </si>
  <si>
    <t>lookSpeed</t>
  </si>
  <si>
    <t>Pre-TBC</t>
  </si>
  <si>
    <t>P</t>
  </si>
  <si>
    <t>Falling Star (18sta)</t>
  </si>
  <si>
    <t>Phase 1</t>
  </si>
  <si>
    <t>Phases</t>
  </si>
  <si>
    <t>Phase 2</t>
  </si>
  <si>
    <t>Phase 3</t>
  </si>
  <si>
    <t>Phase 4</t>
  </si>
  <si>
    <t>Phase 5</t>
  </si>
  <si>
    <t>Adamantine Chain of the Unbroken</t>
  </si>
  <si>
    <t>Blood Guard's Necklace of Ferocity</t>
  </si>
  <si>
    <t>Haramad's Bargain</t>
  </si>
  <si>
    <t>Insignia of the Mag'hari Hero</t>
  </si>
  <si>
    <t>Jagged Bark Pendant</t>
  </si>
  <si>
    <t>Necklace of Trophies</t>
  </si>
  <si>
    <t>Azurestrike Shoulders</t>
  </si>
  <si>
    <t>Lesser Agility (+3 Agility)</t>
  </si>
  <si>
    <t>Stats (+3 All Stats)</t>
  </si>
  <si>
    <t>Superior Strength (+9 Strength)</t>
  </si>
  <si>
    <t>Armwraps of Disdain</t>
  </si>
  <si>
    <t>Bracers of Finesse</t>
  </si>
  <si>
    <t>Flesh Handler's Gauntlets</t>
  </si>
  <si>
    <t>Guardian's Dragonhide Belt</t>
  </si>
  <si>
    <t>Kirin'Var Scout's Belt</t>
  </si>
  <si>
    <t>Leggings of Unending Assault</t>
  </si>
  <si>
    <t>Nomad's Leggings</t>
  </si>
  <si>
    <t>X-52 Pilot's Leggings</t>
  </si>
  <si>
    <t>Guardian's Dragonhide Boots</t>
  </si>
  <si>
    <t>Silent-Strider Kneeboots</t>
  </si>
  <si>
    <t>Spymistress's Boots</t>
  </si>
  <si>
    <t>Vindicator's Dragonhide Boots</t>
  </si>
  <si>
    <t>Wrangler's Boots</t>
  </si>
  <si>
    <t>A'dal's Command</t>
  </si>
  <si>
    <t>Aggressor's Mark of the Sha'tar</t>
  </si>
  <si>
    <t>Eye of the Stalker</t>
  </si>
  <si>
    <t>Mithril Band of the Unscarred</t>
  </si>
  <si>
    <t>Ring of Umbral Doom</t>
  </si>
  <si>
    <t>Badge of Tenacity</t>
  </si>
  <si>
    <t>Use: Increases agility by 150 for 20 sec.</t>
  </si>
  <si>
    <t>Consortium Blaster</t>
  </si>
  <si>
    <t>Mark V's Throwing Star</t>
  </si>
  <si>
    <t>Stormy Empyrean Sapphire (13sp pen)</t>
  </si>
  <si>
    <t>Stormy Star of Elune (10sp pen)</t>
  </si>
  <si>
    <t xml:space="preserve"> Name</t>
  </si>
  <si>
    <t>Dense Sharpening Stone</t>
  </si>
  <si>
    <t>Superior Striking</t>
  </si>
  <si>
    <t>Demonslaying</t>
  </si>
  <si>
    <t>Ashtongue Blade</t>
  </si>
  <si>
    <t>Borak's Reminder</t>
  </si>
  <si>
    <t>Claw of the Netherwing Flight</t>
  </si>
  <si>
    <t>Ceremonial Warmaul Blood-blade</t>
  </si>
  <si>
    <t>Badge of the Swarmguard</t>
  </si>
  <si>
    <t>Use: Gives a chance on melee attack to apply an armor penetration effect</t>
  </si>
  <si>
    <t>Hits in 30s</t>
  </si>
  <si>
    <t>BotS</t>
  </si>
  <si>
    <t>Time1</t>
  </si>
  <si>
    <t>Chance1</t>
  </si>
  <si>
    <t>Time2</t>
  </si>
  <si>
    <t>Chance2</t>
  </si>
  <si>
    <t>Stacks</t>
  </si>
  <si>
    <t>BotS downtime</t>
  </si>
  <si>
    <t>6-proc</t>
  </si>
  <si>
    <t>Armor pre-BotS</t>
  </si>
  <si>
    <t>Badge of the Swarmguard (hits)</t>
  </si>
  <si>
    <t>Opportunist's</t>
  </si>
  <si>
    <t>Phase availability for each item and a phase filter</t>
  </si>
  <si>
    <t>Replaced volatile functions like INDIRECT() with other functions</t>
  </si>
  <si>
    <t>Player Level</t>
  </si>
  <si>
    <t>O31</t>
  </si>
  <si>
    <t>O20</t>
  </si>
  <si>
    <t>Attack table corrected to reflect 4.8% crit suppresion vs lvl 73 mobs</t>
  </si>
  <si>
    <t>O32</t>
  </si>
  <si>
    <t>Option to always use Sinister Strike as the main combo builder</t>
  </si>
  <si>
    <t>weapontypes</t>
  </si>
  <si>
    <t>Fight length (in seconds, 0 for infinite)</t>
  </si>
  <si>
    <t>O33</t>
  </si>
  <si>
    <t>Thundering Skyfire Diamond (Uptime)</t>
  </si>
  <si>
    <t>15% - 45 second cooldown</t>
  </si>
  <si>
    <t>1 PPM - 40 second cooldown</t>
  </si>
  <si>
    <t>Thundering Skyfire Diamond - remove own haste</t>
  </si>
  <si>
    <t>Badge of the Swarmguard (chance)</t>
  </si>
  <si>
    <t>10% - 50 second cooldown (on crit)</t>
  </si>
  <si>
    <t>Thundering Skyfire Diamond is now properly modelled</t>
  </si>
  <si>
    <t>Band of the Eternal Champion (Uptime)</t>
  </si>
  <si>
    <t>1 PPM - 60 second cooldown</t>
  </si>
  <si>
    <t>Band of the Eternal Champion is now properly modelled</t>
  </si>
  <si>
    <t>Hunter's Agility Here</t>
  </si>
  <si>
    <t>Seal of the Crusader</t>
  </si>
  <si>
    <t>Hunter's Mark</t>
  </si>
  <si>
    <t>Elixir of Mastery</t>
  </si>
  <si>
    <t>Seasonal hit food (bun, chocolates…)</t>
  </si>
  <si>
    <t>Seasonal hit food buff (Fire-toasted bun and Dark Desire)</t>
  </si>
  <si>
    <t>Sanctity Aura</t>
  </si>
  <si>
    <t>Commanding Shout</t>
  </si>
  <si>
    <t>Blood Pact</t>
  </si>
  <si>
    <t>B140</t>
  </si>
  <si>
    <t>C140</t>
  </si>
  <si>
    <t>B141</t>
  </si>
  <si>
    <t>C141</t>
  </si>
  <si>
    <t>Averages &gt;</t>
  </si>
  <si>
    <t>Active</t>
  </si>
  <si>
    <t>ArP</t>
  </si>
  <si>
    <t>Haste %</t>
  </si>
  <si>
    <t>Duration</t>
  </si>
  <si>
    <t>60s Iter</t>
  </si>
  <si>
    <t>60s Timing</t>
  </si>
  <si>
    <t>60s Active</t>
  </si>
  <si>
    <t>90s Iter</t>
  </si>
  <si>
    <t>90s Timing</t>
  </si>
  <si>
    <t>90s Active</t>
  </si>
  <si>
    <t>120s Iter</t>
  </si>
  <si>
    <t>120s Timing</t>
  </si>
  <si>
    <t>120s Active</t>
  </si>
  <si>
    <t>180s Iter</t>
  </si>
  <si>
    <t>180s Timing</t>
  </si>
  <si>
    <t>180s Active</t>
  </si>
  <si>
    <t>Lust Iter</t>
  </si>
  <si>
    <t>Lust Timing</t>
  </si>
  <si>
    <t>Lust Active</t>
  </si>
  <si>
    <t>DR</t>
  </si>
  <si>
    <t>60-Second Cooldowns</t>
  </si>
  <si>
    <t>90-Second Cooldowns</t>
  </si>
  <si>
    <t>120-Second Cooldowns</t>
  </si>
  <si>
    <t>Blood Fury</t>
  </si>
  <si>
    <t>180-Second Cooldowns</t>
  </si>
  <si>
    <t>Berserking</t>
  </si>
  <si>
    <t>Haste Rating</t>
  </si>
  <si>
    <t>First Bloodlust/Heroism use</t>
  </si>
  <si>
    <t>Second Bloodlust/Heroism use</t>
  </si>
  <si>
    <t>Third Bloodlust/Heroism use</t>
  </si>
  <si>
    <t>Fourth Bloodlust/Heroism use</t>
  </si>
  <si>
    <t>Fifth Bloodlust/Heroism use</t>
  </si>
  <si>
    <t>First use of 60-second cooldowns</t>
  </si>
  <si>
    <t>Second use of 60-second cooldowns</t>
  </si>
  <si>
    <t>Third use of 60-second cooldowns</t>
  </si>
  <si>
    <t>Fourth use of 60-second cooldowns</t>
  </si>
  <si>
    <t>Fifth use of 60-second cooldowns</t>
  </si>
  <si>
    <t>Sixth use of 60-second cooldowns</t>
  </si>
  <si>
    <t>Seventh use of 60-second cooldowns</t>
  </si>
  <si>
    <t>Eighth use of 60-second cooldowns</t>
  </si>
  <si>
    <t>Ninth use of 60-second cooldowns</t>
  </si>
  <si>
    <t>Tenth use of 60-second cooldowns</t>
  </si>
  <si>
    <t>First use of 90-second cooldowns</t>
  </si>
  <si>
    <t>Second use of 90-second cooldowns</t>
  </si>
  <si>
    <t>Third use of 90-second cooldowns</t>
  </si>
  <si>
    <t>Fourth use of 90-second cooldowns</t>
  </si>
  <si>
    <t>Fifth use of 90-second cooldowns</t>
  </si>
  <si>
    <t>Sixth use of 90-second cooldowns</t>
  </si>
  <si>
    <t>First use of 120-second cooldowns</t>
  </si>
  <si>
    <t>Second use of 120-second cooldowns</t>
  </si>
  <si>
    <t>Third use of 120-second cooldowns</t>
  </si>
  <si>
    <t>Fourth use of 120-second cooldowns</t>
  </si>
  <si>
    <t>Fifth use of 120-second cooldowns</t>
  </si>
  <si>
    <t>First use of 180-second cooldowns</t>
  </si>
  <si>
    <t>Second use of 180-second cooldowns</t>
  </si>
  <si>
    <t>Third use of 180-second cooldowns</t>
  </si>
  <si>
    <t>Fourth use of 180-second cooldowns</t>
  </si>
  <si>
    <t>Seventh use of 90-second cooldowns</t>
  </si>
  <si>
    <t>Bloodlust</t>
  </si>
  <si>
    <t>Stats (+4 All Stats)</t>
  </si>
  <si>
    <t>Sixth Bloodlust/Heroism use</t>
  </si>
  <si>
    <t>Seventh Bloodlust/Heroism use</t>
  </si>
  <si>
    <t>Eighth Bloodlust/Heroism use</t>
  </si>
  <si>
    <t>Ninth Bloodlust/Heroism use</t>
  </si>
  <si>
    <t>Tenth Bloodlust/Heroism use</t>
  </si>
  <si>
    <t>Eleventh Bloodlust/Heroism use</t>
  </si>
  <si>
    <t>Twelfth Bloodlust/Heroism use</t>
  </si>
  <si>
    <t>Thirteenth Bloodlust/Heroism use</t>
  </si>
  <si>
    <t>Fourteenth Bloodlust/Heroism use</t>
  </si>
  <si>
    <t>Fifteenth Bloodlust/Heroism use</t>
  </si>
  <si>
    <t>Shared CD</t>
  </si>
  <si>
    <t>Shared CD - 2nd trinket used</t>
  </si>
  <si>
    <t>Shared Active</t>
  </si>
  <si>
    <t>Shared Timing</t>
  </si>
  <si>
    <t>First Adrenaline Rush use</t>
  </si>
  <si>
    <t>Second Adrenaline Rush use</t>
  </si>
  <si>
    <t>First Thistle Tea use</t>
  </si>
  <si>
    <t>Second Thistle Tea use</t>
  </si>
  <si>
    <t>Jom Gabbar</t>
  </si>
  <si>
    <t>Use: Increases attack power by 65 and an additional 65 every 2 sec.</t>
  </si>
  <si>
    <t>High Warlord's Blade (60)</t>
  </si>
  <si>
    <t>High Warlord's Quickblade (60)</t>
  </si>
  <si>
    <t>10 PPM - no cooldown</t>
  </si>
  <si>
    <t>Hand of Justice</t>
  </si>
  <si>
    <t>itHoJ</t>
  </si>
  <si>
    <t>Hand of Justice MH</t>
  </si>
  <si>
    <t>Hand of Justice OH</t>
  </si>
  <si>
    <t>MH HoJ</t>
  </si>
  <si>
    <t>Proc Mechanics - Hit, haste modifies PPM (unused)</t>
  </si>
  <si>
    <t>Main Hand Extra Attack Table</t>
  </si>
  <si>
    <t>Mongoose ppm to 1 from 1.2 based on beta testing</t>
  </si>
  <si>
    <t>Executioner ppm to 1 from 1.2</t>
  </si>
  <si>
    <t>Implemented 2min cd to drums</t>
  </si>
  <si>
    <t>PPM effects are no longer affected by haste</t>
  </si>
  <si>
    <t>Hand of Justice, Jom Gabbar &amp; Badge of the Swarmguard</t>
  </si>
  <si>
    <t>AR Iter</t>
  </si>
  <si>
    <t>AR Timing</t>
  </si>
  <si>
    <t>AR Active</t>
  </si>
  <si>
    <t>Tea Iter</t>
  </si>
  <si>
    <t>Tea Active</t>
  </si>
  <si>
    <t>Tea Timing</t>
  </si>
  <si>
    <t>Instant Damage</t>
  </si>
  <si>
    <t>Instant DPS</t>
  </si>
  <si>
    <t>Use Troll racial at X% HP</t>
  </si>
  <si>
    <t>cost of bf</t>
  </si>
  <si>
    <t>Arcane Torrent</t>
  </si>
  <si>
    <t>Has Mana?</t>
  </si>
  <si>
    <t>O34</t>
  </si>
  <si>
    <t>O21</t>
  </si>
  <si>
    <t>O35</t>
  </si>
  <si>
    <t>AR Adjusted</t>
  </si>
  <si>
    <t>Option to set a limited fight length</t>
  </si>
  <si>
    <t>Cooldown stacking system</t>
  </si>
  <si>
    <t>1 PPM - no cooldown (untested)</t>
  </si>
  <si>
    <t>The Night Blade (OH, hits)</t>
  </si>
  <si>
    <t>The Night Blade (MH, hits)</t>
  </si>
  <si>
    <t>proc rate</t>
  </si>
  <si>
    <t>The Bladefist (MH)</t>
  </si>
  <si>
    <t>The Bladefist - remove own haste</t>
  </si>
  <si>
    <t>Generic buff proc, lasts 10s (OH)</t>
  </si>
  <si>
    <t>Generic buff proc, lasts 10s (MH)</t>
  </si>
  <si>
    <t>Blinkstrike proc rate to 4.33% (1 ppm)</t>
  </si>
  <si>
    <t>The Night Blade proc rate to 6% (1 ppm, untested)</t>
  </si>
  <si>
    <t>Drakefist Hammer proc rate to 1 ppm</t>
  </si>
  <si>
    <t>Total inst/sec</t>
  </si>
  <si>
    <t>EA/sec</t>
  </si>
  <si>
    <t>GCD limit to the number of instant attacks per second</t>
  </si>
  <si>
    <t>rupt/ea cost</t>
  </si>
  <si>
    <t>First Rupt</t>
  </si>
  <si>
    <t>First EA</t>
  </si>
  <si>
    <t>First SnD</t>
  </si>
  <si>
    <t>Energy Initial Finisher</t>
  </si>
  <si>
    <t>ea uptime</t>
  </si>
  <si>
    <t>snduptime</t>
  </si>
  <si>
    <t>SnD EPS Adjustment</t>
  </si>
  <si>
    <t>Classic TBC Rogue DPS Spreadsheet</t>
  </si>
  <si>
    <t>The DPS output is most accurate when compared to the DPS done on a long fight where you can consistently attack from behind (like Patchwerk).</t>
  </si>
  <si>
    <t>Enabled</t>
  </si>
  <si>
    <t>Number of CPs for first SnD</t>
  </si>
  <si>
    <t>O36</t>
  </si>
  <si>
    <t>Δ DPS</t>
  </si>
  <si>
    <t>Option to set the number of CPs for the first SnD (0 will assume you carry your SnD from a previous fight)</t>
  </si>
  <si>
    <t>Option to use Troll's racial at a variable HP%</t>
  </si>
  <si>
    <t>2% chance</t>
  </si>
  <si>
    <t>Next stat multipliers for item gain as DPS</t>
  </si>
  <si>
    <t>Wastewalker 4p (Uptime)</t>
  </si>
  <si>
    <t>For accurate AEP values, you have to run the macro after any changes!</t>
  </si>
  <si>
    <t>Damage Calc</t>
  </si>
  <si>
    <t>Import</t>
  </si>
  <si>
    <t>Buffed totals:</t>
  </si>
  <si>
    <t>Main Hand</t>
  </si>
  <si>
    <t>Off Hand</t>
  </si>
  <si>
    <t>Cooldown Settings</t>
  </si>
  <si>
    <t>Specify timing for Adrenaline Rush use?</t>
  </si>
  <si>
    <t>Specify timing for first cooldown use?</t>
  </si>
  <si>
    <t>Specify timing for subsequent cooldown use?</t>
  </si>
  <si>
    <t>Treat 90-second cooldowns as 120-second?</t>
  </si>
  <si>
    <t>Treat 180-second cooldowns as 240-second?</t>
  </si>
  <si>
    <t>Specify timing for Thistle Tea use?</t>
  </si>
  <si>
    <t>Specify timing for Bloodlust/Heroism use?</t>
  </si>
  <si>
    <t>c-potency</t>
  </si>
  <si>
    <t>stuff</t>
  </si>
  <si>
    <t>C9</t>
  </si>
  <si>
    <t>C10</t>
  </si>
  <si>
    <t>C11</t>
  </si>
  <si>
    <t>C12</t>
  </si>
  <si>
    <t>C13</t>
  </si>
  <si>
    <t>C25</t>
  </si>
  <si>
    <t>C32</t>
  </si>
  <si>
    <t>F10</t>
  </si>
  <si>
    <t>F11</t>
  </si>
  <si>
    <t>F12</t>
  </si>
  <si>
    <t>F13</t>
  </si>
  <si>
    <t>I8</t>
  </si>
  <si>
    <t>I9</t>
  </si>
  <si>
    <t>I10</t>
  </si>
  <si>
    <t>I13</t>
  </si>
  <si>
    <t>I32</t>
  </si>
  <si>
    <t>Gear</t>
  </si>
  <si>
    <t>ZA - Nalorakk, Azil'zon, Jan'alai, Halazzi, Zul'jin</t>
  </si>
  <si>
    <t>SSC - Hydross, Lurker, Leotheras, Tidewalker;  TK - Al'ar</t>
  </si>
  <si>
    <t xml:space="preserve">        Essence of Desire/Anger, Illidan;  Doomwalker</t>
  </si>
  <si>
    <t>Sunwell - Brutallus;  Gruul's Lair - High King, Gruul</t>
  </si>
  <si>
    <t>SSC - Fathom-Lord, Vashj;  TK - Solarian, Kael'thas</t>
  </si>
  <si>
    <t>Hyjal - All Bosses;  BT - Teron, Shahraz, Gathios</t>
  </si>
  <si>
    <t>Sunwell - Felmyst, Kalecgos, Eredar Twins;  ZA - Hex Lord</t>
  </si>
  <si>
    <t>DPS difference:</t>
  </si>
  <si>
    <t>SEARCH FOR UPGRADES (EXCEL)</t>
  </si>
  <si>
    <t>Upgrade Search Options</t>
  </si>
  <si>
    <t>(works over AEP, might not be exact</t>
  </si>
  <si>
    <t xml:space="preserve"> weapons won't be filtered)</t>
  </si>
  <si>
    <t>Quest Rewards</t>
  </si>
  <si>
    <t>Bonus</t>
  </si>
  <si>
    <t>Thanks to Vulajin from EJ</t>
  </si>
  <si>
    <t>Hit Rating factor</t>
  </si>
  <si>
    <t>Crit Rating factor</t>
  </si>
  <si>
    <t>Haste Rating factor</t>
  </si>
  <si>
    <t>Dodge Rating factor</t>
  </si>
  <si>
    <t>Defense Rating factor</t>
  </si>
  <si>
    <t>Expertise Rating factor</t>
  </si>
  <si>
    <t>Crit Penalty factor</t>
  </si>
  <si>
    <t>Conversion factor</t>
  </si>
  <si>
    <t>Agility to Crit factor</t>
  </si>
  <si>
    <t>Spell Resist</t>
  </si>
  <si>
    <t>Raid Average Crit%</t>
  </si>
  <si>
    <t>Hemorrhage (count physical dps)</t>
  </si>
  <si>
    <t>Talent Point</t>
  </si>
  <si>
    <t>RACES (lvl 70)</t>
  </si>
  <si>
    <t>Current DPS</t>
  </si>
  <si>
    <t>DPS diff</t>
  </si>
  <si>
    <t>Windfury Calc</t>
  </si>
  <si>
    <t>Total Hit%</t>
  </si>
  <si>
    <t>&lt;--- only the AP bonus damage</t>
  </si>
  <si>
    <t>Flametongue DPS</t>
  </si>
  <si>
    <t>Avg Hit</t>
  </si>
  <si>
    <t>proc dps calculation</t>
  </si>
  <si>
    <t>Hemo Debuff (approx.)</t>
  </si>
  <si>
    <t>Minimum DPS upgrade</t>
  </si>
  <si>
    <t>Include Racials DPS</t>
  </si>
  <si>
    <t>Include Set Bonus DPS</t>
  </si>
  <si>
    <t>+1 AP</t>
  </si>
  <si>
    <t>+1 Agi</t>
  </si>
  <si>
    <t>+1 Crit</t>
  </si>
  <si>
    <t>+1 Hit</t>
  </si>
  <si>
    <t>+1 Haste</t>
  </si>
  <si>
    <t>+1 Armor</t>
  </si>
  <si>
    <t>+1 Expertise</t>
  </si>
  <si>
    <t>+1 Str</t>
  </si>
  <si>
    <t>Notes:</t>
  </si>
  <si>
    <t>Bolded items may need a revisit for one reason or another.</t>
  </si>
  <si>
    <t>Darkmoon Crusade (Avg AP)</t>
  </si>
  <si>
    <t>Equip: Chance on melee hit to gain 1 extra attack.</t>
  </si>
  <si>
    <t>HoJ proc rate adjusted</t>
  </si>
  <si>
    <t>Daggers - Heartrazor; Infinity Blade; Shard of Azzinoth; The Night Blade…</t>
  </si>
  <si>
    <t>Fist - The Bladefist…</t>
  </si>
  <si>
    <t>Maces - Blackout Truncheon; Dragonmaw; Dragonstrike; Rod of the Sun King; Syphon of the Nathrezim…</t>
  </si>
  <si>
    <t>Swords - Revenger; Warp Slicer…</t>
  </si>
  <si>
    <t>Set Bonus - The Twin Blades of Azzinoth…</t>
  </si>
  <si>
    <t>poison</t>
  </si>
  <si>
    <t>allowrupt</t>
  </si>
  <si>
    <t>allowenv</t>
  </si>
  <si>
    <t>berserkinghp</t>
  </si>
  <si>
    <t>hasmana</t>
  </si>
  <si>
    <t>firstsndCP</t>
  </si>
  <si>
    <t>basearmor</t>
  </si>
  <si>
    <t>sec first snd</t>
  </si>
  <si>
    <t>sec first rupt</t>
  </si>
  <si>
    <t>sec first ea</t>
  </si>
  <si>
    <t>fshiv</t>
  </si>
  <si>
    <t>Vile Poisons factor</t>
  </si>
  <si>
    <t>*Doesn't account for lost DP uptime</t>
  </si>
  <si>
    <t>You may have to repeat this operation multiple times.</t>
  </si>
  <si>
    <t>the accuracy like the Excel Macro does.</t>
  </si>
  <si>
    <t>Non-Excel users:</t>
  </si>
  <si>
    <t>You can self optimize your procs to improve</t>
  </si>
  <si>
    <t>values in Column C and paste only the numbers</t>
  </si>
  <si>
    <t>or values.</t>
  </si>
  <si>
    <t xml:space="preserve">copy them.  Select the corresponding </t>
  </si>
  <si>
    <t>EXCEL ONLY</t>
  </si>
  <si>
    <t>Force Sinister Strike?</t>
  </si>
  <si>
    <t>Force Shiv? (only if instant poison in OH)</t>
  </si>
  <si>
    <t>N24</t>
  </si>
  <si>
    <t>Vitality, Sinister Calling, and Deadliness do not always round off to exactly match in-game values.</t>
  </si>
  <si>
    <t>AEP values won't be exact with proc and on use effects since those effects are averaged out.</t>
  </si>
  <si>
    <t>Need Testing:</t>
  </si>
  <si>
    <t>Windfury buff uptime interactions.</t>
  </si>
  <si>
    <t>enablebuffs</t>
  </si>
  <si>
    <t>Proc rates of items without a flat proc rate (ppm based).</t>
  </si>
  <si>
    <t>To-do:</t>
  </si>
  <si>
    <t>Implement Envenom cycles. (secondary)</t>
  </si>
  <si>
    <t>5ea/1s/3r</t>
  </si>
  <si>
    <t>5ea/2s/3r</t>
  </si>
  <si>
    <t>5ea/3s/3r</t>
  </si>
  <si>
    <t>5ea/4s/3r</t>
  </si>
  <si>
    <t>5ea/5s/3r</t>
  </si>
  <si>
    <t>5ea/1s/4r</t>
  </si>
  <si>
    <t>5ea/2s/4r</t>
  </si>
  <si>
    <t>5ea/3s/4r</t>
  </si>
  <si>
    <t>5ea/4s/4r</t>
  </si>
  <si>
    <t>5ea/5s/4r</t>
  </si>
  <si>
    <t>5ea/1s/5r</t>
  </si>
  <si>
    <t>5ea/2s/5r</t>
  </si>
  <si>
    <t>5ea/3s/5r</t>
  </si>
  <si>
    <t>5ea/4s/5r</t>
  </si>
  <si>
    <t>5ea/5s/5r</t>
  </si>
  <si>
    <t>5ea/1s</t>
  </si>
  <si>
    <t>5ea/2s</t>
  </si>
  <si>
    <t>5ea/3s</t>
  </si>
  <si>
    <t>5ea/4s</t>
  </si>
  <si>
    <t>5ea/5s</t>
  </si>
  <si>
    <t>5ea/1s/4s</t>
  </si>
  <si>
    <t>5ea/2s/4s</t>
  </si>
  <si>
    <t>5ea/1s/5s</t>
  </si>
  <si>
    <t>5ea/2s/5s</t>
  </si>
  <si>
    <t>5ea/3s/5s</t>
  </si>
  <si>
    <t>Force Expose Armor?</t>
  </si>
  <si>
    <t>forceea</t>
  </si>
  <si>
    <t>N32</t>
  </si>
  <si>
    <t>EA DPS? (input raid's phys dps)</t>
  </si>
  <si>
    <t>physicaldps</t>
  </si>
  <si>
    <t>Armor only debuffs</t>
  </si>
  <si>
    <t>Armor with EA</t>
  </si>
  <si>
    <t>EA DPS</t>
  </si>
  <si>
    <t>Sunder downtime</t>
  </si>
  <si>
    <t>Review Expose Armor cycles.</t>
  </si>
  <si>
    <t>Review Mutilate cycles.</t>
  </si>
  <si>
    <t>Most procs use a static value for hits/s that is updated through a macro, this is done to avoid circular references and there is no other solution for now.</t>
  </si>
  <si>
    <t>Sometimes activating the 2p Netherblade set bonus or extra points in imp. SnD doesn't increase the dps because the cycle sheet assumes you are wasting the extra SnD time, this mostly only happens with mutilate and could be resolved adding more cycles.</t>
  </si>
  <si>
    <t>2.5.1.rc1</t>
  </si>
  <si>
    <t>A: If you are using an item that is not modelled in the spreadsheet you can choose the (Unmodeled item) option and enter the stats at the bottom of the "Gear" sheet.</t>
  </si>
  <si>
    <t>Q: I am using mutilate and the sheet is telling me the optimal cycle is 3-5s/4-5r. What does that mean?</t>
  </si>
  <si>
    <t>A: This cycle means that you should use between 3 and 5 combo points on Slice and Dice and then between 4 and 5 combo points on Rupture.</t>
  </si>
  <si>
    <t>A: If the gear you have selected has socket slots, below that item/enchant, 1-3 rows will turn green to notify you that you can now put in sockets</t>
  </si>
  <si>
    <t xml:space="preserve">    To the left of the item there is a cell that lists how many of each colors you need to get the socket bonus.</t>
  </si>
  <si>
    <t xml:space="preserve">    If all of your sockets match in the selected gear, the previously mentioned cell will change its color and list the socket bonus in that cell, and it will be added to your total stats.</t>
  </si>
  <si>
    <t>Q: I am still using X item from Vanilla raids, can you add it?</t>
  </si>
  <si>
    <t>A: No, I only included the Vanilla gear that is on-par or slightly worse than quest or pre-raid gear, anything not included is (most likely) a big downgrade</t>
  </si>
  <si>
    <t xml:space="preserve">    Having said that, you can still add most items using the (Unmodeled) feature.</t>
  </si>
  <si>
    <t>Q: Why does it still say Sinister Strike when I force Shiv? Why do I need Instant Poison in my off hand?</t>
  </si>
  <si>
    <t>A: Shiv has been added purely on the assumption you use IP in your offhand. Attempting to model DP with Shiv is not yet implemented and anything else is an inferior choice.</t>
  </si>
  <si>
    <t>Implement Shiv with DP in OH. (secondary)</t>
  </si>
  <si>
    <t>A: Not yet, but Envenom is really only useful in PVE when your target is about to die.</t>
  </si>
  <si>
    <t>Q: What does "SnD Slack" after the cycle mean?</t>
  </si>
  <si>
    <t>A: SnD or EA slack are the number of seconds that SnD/EA have left when you are supposed to refresh them if you follow that cycle.</t>
  </si>
  <si>
    <t xml:space="preserve">     If the number is negative it means the uptime is less than 100%, ideally the slack number should be slightly above zero.</t>
  </si>
  <si>
    <t>Q: Should I use the recommended cycle in a real world scenario?</t>
  </si>
  <si>
    <t xml:space="preserve">    That being said you should aim towards using the cycle with the highest sustained DPS possible if you can.</t>
  </si>
  <si>
    <t>A: The cycle recommended here is ideal for long Patchwerk-style fights, not so much for short fights where you should be focusing more on just maximizing SnD/EA uptime and not overcapping energy.</t>
  </si>
  <si>
    <t>Q: Can I copy my setup from a previous version of the sheet?</t>
  </si>
  <si>
    <t>A: If you are using Excel you can, just use the import macro in the Gear sheet.</t>
  </si>
  <si>
    <r>
      <rPr>
        <sz val="8"/>
        <rFont val="Arial"/>
        <family val="2"/>
      </rPr>
      <t xml:space="preserve">For more general gameplay questions about rogues in TBC you can check out this guide by Vulajin: </t>
    </r>
    <r>
      <rPr>
        <u/>
        <sz val="8"/>
        <color indexed="12"/>
        <rFont val="Arial"/>
        <family val="2"/>
      </rPr>
      <t>https://web.archive.org/web/20081010043012/http://elitistjerks.com:80/f47/t24301-rogue_pve_dps/</t>
    </r>
  </si>
  <si>
    <t>- Here you can select your gear, enchants, gems and race</t>
  </si>
  <si>
    <t>- On the right side you can filter the gear that is shown in the dropdowns by location, phase, weapon type…</t>
  </si>
  <si>
    <t>- You can import your gear, buffs, talents and settings from another spreadsheet using the import macro.</t>
  </si>
  <si>
    <t>- Below the gear you can choose the buffs you want to use.</t>
  </si>
  <si>
    <t>- The "Optimum CP Usage" is the cycle that the sheet assumes you are using. "s" means Slice 'n' Dice, "r" Rupture, "e" Eviscerate, "ea" Expose Armor and the number before each finisher is the number of combo points that you use on them.</t>
  </si>
  <si>
    <t>- The button "Save DPS" will save your current DPS value, so you can change the settings and make comparisons.</t>
  </si>
  <si>
    <t>- Pressing the upgrade button will search for all DPS Upgrades for this slot. You can see the upgrades by hovering your mouse over the cell with the item. If there is no comment then there are no upgrades. Keep in mind that the upgrade macro takes some time since it has to iterate through every gear option, if you use the gear filter the time will be reduced proportionally.</t>
  </si>
  <si>
    <t>- On the right side there are some options that you can change to better represent the DPS on different fights.</t>
  </si>
  <si>
    <t>- On the bottom you can calculate the AEP (Agility Equivalence Points) for your current setup. You have to run the macro to update the AEP values, every change in gear or settings will change the final AEP values slightly.</t>
  </si>
  <si>
    <t>- Searching for upgrades copies the items here, so you can view all in one place and sort them.</t>
  </si>
  <si>
    <t>- Most in-depth calculations for your gear setup are shown here. You might have to unhide some sheets if you wanna take a deeper look to certain stuff.</t>
  </si>
  <si>
    <t>Cooldowns</t>
  </si>
  <si>
    <t>Cycles</t>
  </si>
  <si>
    <t>- This is where your cycle is chosen, if you want to use a different cycle you can disable or enable any cycles using the checkboxes to the left of each cycle.</t>
  </si>
  <si>
    <t>- You can set the talents that you want to use here.</t>
  </si>
  <si>
    <t>- If you have set a fight length in Talents different than 0 you can manually set the cooldown timings here.</t>
  </si>
  <si>
    <t>Sheet</t>
  </si>
  <si>
    <t>Metagem gem requirement</t>
  </si>
  <si>
    <t>Implement set upgrade macro/improve current upgrade macro.</t>
  </si>
  <si>
    <t>Compatibility issues with older versions of Excel</t>
  </si>
  <si>
    <t>2.5.1.rc2</t>
  </si>
  <si>
    <t>Iblis to the list of offhand weapons</t>
  </si>
  <si>
    <t>Iblis, Blade of the Fallen Seraph</t>
  </si>
  <si>
    <t>Bonescythe set bonus tag added to Bonescythe Waistguard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</si>
</sst>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0.000000"/>
    <numFmt numFmtId="165" formatCode="0.0000"/>
    <numFmt numFmtId="166" formatCode="0.000"/>
    <numFmt numFmtId="167" formatCode="&quot;TRUE&quot;;&quot;TRUE&quot;;&quot;FALSE&quot;"/>
    <numFmt numFmtId="168" formatCode="0.0"/>
    <numFmt numFmtId="169" formatCode="_(* #,##0.00_);_(* \(#,##0.00\);_(* \-??_);_(@_)"/>
    <numFmt numFmtId="170" formatCode="m/d/yy"/>
    <numFmt numFmtId="171" formatCode="0.0%"/>
    <numFmt numFmtId="172" formatCode="0.00000"/>
    <numFmt numFmtId="173" formatCode="h:mm:ss;@"/>
    <numFmt numFmtId="174" formatCode="0.000%"/>
    <numFmt numFmtId="175" formatCode=";;;"/>
    <numFmt numFmtId="176" formatCode="0.000000000000000%"/>
    <numFmt numFmtId="177" formatCode="0.0000%"/>
    <numFmt numFmtId="178" formatCode="0.0000000000000000%"/>
  </numFmts>
  <fonts count="71">
    <font>
      <sz val="10"/>
      <name val="Arial"/>
      <family val="2"/>
    </font>
    <font>
      <sz val="11"/>
      <color indexed="60"/>
      <name val="Calibri"/>
      <family val="2"/>
    </font>
    <font>
      <sz val="8"/>
      <name val="Arial"/>
      <family val="2"/>
    </font>
    <font>
      <b/>
      <u/>
      <sz val="8"/>
      <name val="Arial"/>
      <family val="2"/>
    </font>
    <font>
      <b/>
      <sz val="14"/>
      <name val="Arial"/>
      <family val="2"/>
    </font>
    <font>
      <b/>
      <sz val="8"/>
      <name val="Arial"/>
      <family val="2"/>
    </font>
    <font>
      <b/>
      <sz val="12"/>
      <name val="Arial"/>
      <family val="2"/>
    </font>
    <font>
      <b/>
      <i/>
      <sz val="8"/>
      <name val="Arial"/>
      <family val="2"/>
    </font>
    <font>
      <b/>
      <sz val="8"/>
      <color indexed="8"/>
      <name val="Times New Roman"/>
      <family val="1"/>
    </font>
    <font>
      <sz val="8"/>
      <color indexed="8"/>
      <name val="Times New Roman"/>
      <family val="1"/>
    </font>
    <font>
      <b/>
      <sz val="9"/>
      <color indexed="8"/>
      <name val="Times New Roman"/>
      <family val="1"/>
    </font>
    <font>
      <sz val="9"/>
      <color indexed="8"/>
      <name val="Times New Roman"/>
      <family val="1"/>
    </font>
    <font>
      <b/>
      <sz val="8"/>
      <color indexed="10"/>
      <name val="Times New Roman"/>
      <family val="1"/>
    </font>
    <font>
      <sz val="8"/>
      <color indexed="8"/>
      <name val="Arial"/>
      <family val="2"/>
    </font>
    <font>
      <sz val="8"/>
      <color indexed="8"/>
      <name val="Verdana"/>
      <family val="2"/>
    </font>
    <font>
      <u/>
      <sz val="10"/>
      <color indexed="12"/>
      <name val="Arial"/>
      <family val="2"/>
    </font>
    <font>
      <b/>
      <sz val="10"/>
      <name val="Arial"/>
      <family val="2"/>
    </font>
    <font>
      <b/>
      <i/>
      <sz val="10"/>
      <name val="Arial"/>
      <family val="2"/>
    </font>
    <font>
      <i/>
      <sz val="10"/>
      <name val="Arial"/>
      <family val="2"/>
    </font>
    <font>
      <b/>
      <u/>
      <sz val="10"/>
      <name val="Arial"/>
      <family val="2"/>
    </font>
    <font>
      <i/>
      <sz val="10"/>
      <color indexed="22"/>
      <name val="Arial"/>
      <family val="2"/>
    </font>
    <font>
      <sz val="10"/>
      <color indexed="9"/>
      <name val="Arial"/>
      <family val="2"/>
    </font>
    <font>
      <sz val="10"/>
      <color indexed="8"/>
      <name val="Arial"/>
      <family val="2"/>
    </font>
    <font>
      <sz val="10"/>
      <color indexed="23"/>
      <name val="Arial"/>
      <family val="2"/>
    </font>
    <font>
      <sz val="10"/>
      <color indexed="22"/>
      <name val="Arial"/>
      <family val="2"/>
    </font>
    <font>
      <b/>
      <sz val="24"/>
      <name val="Arial"/>
      <family val="2"/>
    </font>
    <font>
      <u/>
      <sz val="8"/>
      <name val="Arial"/>
      <family val="2"/>
    </font>
    <font>
      <i/>
      <sz val="8"/>
      <name val="Arial"/>
      <family val="2"/>
    </font>
    <font>
      <sz val="8"/>
      <color indexed="22"/>
      <name val="Arial"/>
      <family val="2"/>
    </font>
    <font>
      <sz val="8"/>
      <color indexed="23"/>
      <name val="Arial"/>
      <family val="2"/>
    </font>
    <font>
      <sz val="10"/>
      <color indexed="10"/>
      <name val="Arial"/>
      <family val="2"/>
    </font>
    <font>
      <sz val="10"/>
      <name val="Arial"/>
      <family val="2"/>
    </font>
    <font>
      <sz val="10"/>
      <color indexed="8"/>
      <name val="Arial"/>
      <family val="2"/>
    </font>
    <font>
      <sz val="6.5"/>
      <name val="Arial"/>
      <family val="2"/>
    </font>
    <font>
      <sz val="8"/>
      <color indexed="10"/>
      <name val="Arial"/>
      <family val="2"/>
    </font>
    <font>
      <sz val="6.5"/>
      <color indexed="10"/>
      <name val="Arial"/>
      <family val="2"/>
    </font>
    <font>
      <b/>
      <sz val="8"/>
      <color indexed="10"/>
      <name val="Arial"/>
      <family val="2"/>
    </font>
    <font>
      <b/>
      <u/>
      <sz val="8"/>
      <color indexed="10"/>
      <name val="Arial"/>
      <family val="2"/>
    </font>
    <font>
      <sz val="8"/>
      <name val="Verdana"/>
      <family val="2"/>
    </font>
    <font>
      <sz val="8"/>
      <color indexed="81"/>
      <name val="Tahoma"/>
      <family val="2"/>
    </font>
    <font>
      <b/>
      <sz val="8"/>
      <color indexed="81"/>
      <name val="Tahoma"/>
      <family val="2"/>
    </font>
    <font>
      <sz val="10"/>
      <color indexed="9"/>
      <name val="Arial"/>
      <family val="2"/>
    </font>
    <font>
      <sz val="10"/>
      <color indexed="22"/>
      <name val="Arial"/>
      <family val="2"/>
    </font>
    <font>
      <sz val="8"/>
      <color indexed="8"/>
      <name val="Verdana"/>
      <family val="2"/>
    </font>
    <font>
      <b/>
      <sz val="10"/>
      <color indexed="8"/>
      <name val="Arial"/>
      <family val="2"/>
    </font>
    <font>
      <u/>
      <sz val="8"/>
      <color indexed="12"/>
      <name val="Arial"/>
      <family val="2"/>
    </font>
    <font>
      <b/>
      <sz val="8"/>
      <color indexed="8"/>
      <name val="Verdana"/>
      <family val="2"/>
    </font>
    <font>
      <b/>
      <sz val="20"/>
      <name val="Arial"/>
      <family val="2"/>
    </font>
    <font>
      <sz val="12"/>
      <name val="Arial"/>
      <family val="2"/>
    </font>
    <font>
      <b/>
      <sz val="8"/>
      <name val="Verdana"/>
      <family val="2"/>
    </font>
    <font>
      <b/>
      <sz val="9"/>
      <name val="Arial"/>
      <family val="2"/>
    </font>
    <font>
      <sz val="9"/>
      <name val="Arial"/>
      <family val="2"/>
    </font>
    <font>
      <b/>
      <sz val="9"/>
      <color indexed="43"/>
      <name val="Arial"/>
      <family val="2"/>
    </font>
    <font>
      <sz val="14"/>
      <name val="Arial"/>
      <family val="2"/>
    </font>
    <font>
      <sz val="10"/>
      <color indexed="46"/>
      <name val="Arial"/>
      <family val="2"/>
    </font>
    <font>
      <b/>
      <sz val="10"/>
      <color indexed="46"/>
      <name val="Arial"/>
      <family val="2"/>
    </font>
    <font>
      <sz val="10"/>
      <color indexed="55"/>
      <name val="Arial"/>
      <family val="2"/>
    </font>
    <font>
      <u/>
      <sz val="10"/>
      <name val="Arial"/>
      <family val="2"/>
    </font>
    <font>
      <sz val="10"/>
      <color indexed="45"/>
      <name val="Arial"/>
      <family val="2"/>
    </font>
    <font>
      <sz val="10"/>
      <color indexed="42"/>
      <name val="Arial"/>
      <family val="2"/>
    </font>
    <font>
      <b/>
      <sz val="10"/>
      <color rgb="FF000000"/>
      <name val="Arial"/>
      <family val="2"/>
    </font>
    <font>
      <sz val="10"/>
      <name val="Robot"/>
    </font>
    <font>
      <b/>
      <sz val="16"/>
      <name val="Arial"/>
      <family val="2"/>
    </font>
    <font>
      <i/>
      <sz val="10"/>
      <color rgb="FFECEFF1"/>
      <name val="Arial"/>
      <family val="2"/>
    </font>
    <font>
      <sz val="10"/>
      <name val="Arial"/>
      <family val="2"/>
      <scheme val="minor"/>
    </font>
    <font>
      <u/>
      <sz val="8"/>
      <color theme="4"/>
      <name val="Arial"/>
      <family val="2"/>
    </font>
    <font>
      <sz val="8"/>
      <color theme="1"/>
      <name val="Arial"/>
      <family val="2"/>
      <scheme val="minor"/>
    </font>
    <font>
      <b/>
      <sz val="8"/>
      <color theme="1"/>
      <name val="Arial"/>
      <family val="2"/>
      <scheme val="minor"/>
    </font>
    <font>
      <sz val="10"/>
      <color theme="0"/>
      <name val="Arial"/>
      <family val="2"/>
    </font>
    <font>
      <sz val="8"/>
      <color theme="0"/>
      <name val="Arial"/>
      <family val="2"/>
    </font>
    <font>
      <i/>
      <sz val="10"/>
      <color theme="2" tint="-0.499984740745262"/>
      <name val="Arial"/>
      <family val="2"/>
    </font>
  </fonts>
  <fills count="55">
    <fill>
      <patternFill patternType="none"/>
    </fill>
    <fill>
      <patternFill patternType="gray125"/>
    </fill>
    <fill>
      <patternFill patternType="solid">
        <fgColor indexed="43"/>
        <bgColor indexed="26"/>
      </patternFill>
    </fill>
    <fill>
      <patternFill patternType="solid">
        <fgColor indexed="55"/>
        <bgColor indexed="24"/>
      </patternFill>
    </fill>
    <fill>
      <patternFill patternType="solid">
        <fgColor indexed="44"/>
        <bgColor indexed="64"/>
      </patternFill>
    </fill>
    <fill>
      <patternFill patternType="solid">
        <fgColor indexed="43"/>
        <bgColor indexed="64"/>
      </patternFill>
    </fill>
    <fill>
      <patternFill patternType="solid">
        <fgColor indexed="13"/>
        <bgColor indexed="64"/>
      </patternFill>
    </fill>
    <fill>
      <patternFill patternType="solid">
        <fgColor indexed="26"/>
        <bgColor indexed="64"/>
      </patternFill>
    </fill>
    <fill>
      <patternFill patternType="solid">
        <fgColor indexed="47"/>
        <bgColor indexed="64"/>
      </patternFill>
    </fill>
    <fill>
      <patternFill patternType="solid">
        <fgColor indexed="46"/>
        <bgColor indexed="64"/>
      </patternFill>
    </fill>
    <fill>
      <patternFill patternType="solid">
        <fgColor indexed="40"/>
        <bgColor indexed="64"/>
      </patternFill>
    </fill>
    <fill>
      <patternFill patternType="solid">
        <fgColor indexed="11"/>
        <bgColor indexed="64"/>
      </patternFill>
    </fill>
    <fill>
      <patternFill patternType="solid">
        <fgColor indexed="9"/>
        <bgColor indexed="64"/>
      </patternFill>
    </fill>
    <fill>
      <patternFill patternType="solid">
        <fgColor indexed="29"/>
        <bgColor indexed="64"/>
      </patternFill>
    </fill>
    <fill>
      <patternFill patternType="solid">
        <fgColor indexed="52"/>
        <bgColor indexed="64"/>
      </patternFill>
    </fill>
    <fill>
      <patternFill patternType="solid">
        <fgColor indexed="42"/>
        <bgColor indexed="64"/>
      </patternFill>
    </fill>
    <fill>
      <patternFill patternType="solid">
        <fgColor indexed="51"/>
        <bgColor indexed="64"/>
      </patternFill>
    </fill>
    <fill>
      <patternFill patternType="solid">
        <fgColor indexed="22"/>
        <bgColor indexed="64"/>
      </patternFill>
    </fill>
    <fill>
      <patternFill patternType="solid">
        <fgColor indexed="23"/>
        <bgColor indexed="64"/>
      </patternFill>
    </fill>
    <fill>
      <patternFill patternType="solid">
        <fgColor indexed="54"/>
        <bgColor indexed="64"/>
      </patternFill>
    </fill>
    <fill>
      <patternFill patternType="solid">
        <fgColor rgb="FFFFF9C4"/>
        <bgColor indexed="64"/>
      </patternFill>
    </fill>
    <fill>
      <patternFill patternType="solid">
        <fgColor rgb="FFFFF9C4"/>
        <bgColor indexed="34"/>
      </patternFill>
    </fill>
    <fill>
      <patternFill patternType="solid">
        <fgColor rgb="FFB0FF57"/>
        <bgColor indexed="64"/>
      </patternFill>
    </fill>
    <fill>
      <patternFill patternType="solid">
        <fgColor rgb="FFFF616F"/>
        <bgColor indexed="64"/>
      </patternFill>
    </fill>
    <fill>
      <patternFill patternType="solid">
        <fgColor rgb="FFFF616F"/>
        <bgColor indexed="60"/>
      </patternFill>
    </fill>
    <fill>
      <patternFill patternType="solid">
        <fgColor rgb="FFCBC693"/>
        <bgColor indexed="64"/>
      </patternFill>
    </fill>
    <fill>
      <patternFill patternType="solid">
        <fgColor rgb="FFFFECB3"/>
        <bgColor indexed="34"/>
      </patternFill>
    </fill>
    <fill>
      <patternFill patternType="solid">
        <fgColor rgb="FFFFCCCB"/>
        <bgColor indexed="64"/>
      </patternFill>
    </fill>
    <fill>
      <patternFill patternType="solid">
        <fgColor rgb="FFFFECB3"/>
        <bgColor indexed="64"/>
      </patternFill>
    </fill>
    <fill>
      <patternFill patternType="solid">
        <fgColor rgb="FFECEFF1"/>
        <bgColor indexed="31"/>
      </patternFill>
    </fill>
    <fill>
      <patternFill patternType="solid">
        <fgColor rgb="FFECEFF1"/>
        <bgColor indexed="64"/>
      </patternFill>
    </fill>
    <fill>
      <patternFill patternType="solid">
        <fgColor rgb="FFF2F7FC"/>
        <bgColor indexed="64"/>
      </patternFill>
    </fill>
    <fill>
      <patternFill patternType="solid">
        <fgColor rgb="FFF2F7FC"/>
        <bgColor indexed="31"/>
      </patternFill>
    </fill>
    <fill>
      <patternFill patternType="solid">
        <fgColor rgb="FFFBE1D1"/>
        <bgColor indexed="64"/>
      </patternFill>
    </fill>
    <fill>
      <patternFill patternType="solid">
        <fgColor rgb="FFFFF2C9"/>
        <bgColor indexed="64"/>
      </patternFill>
    </fill>
    <fill>
      <patternFill patternType="solid">
        <fgColor rgb="FFE7E7FF"/>
        <bgColor indexed="64"/>
      </patternFill>
    </fill>
    <fill>
      <patternFill patternType="solid">
        <fgColor rgb="FFFFE5FF"/>
        <bgColor indexed="64"/>
      </patternFill>
    </fill>
    <fill>
      <patternFill patternType="solid">
        <fgColor rgb="FFFFFFDD"/>
        <bgColor indexed="64"/>
      </patternFill>
    </fill>
    <fill>
      <patternFill patternType="solid">
        <fgColor rgb="FFE8F3E1"/>
        <bgColor indexed="64"/>
      </patternFill>
    </fill>
    <fill>
      <patternFill patternType="solid">
        <fgColor rgb="FFDDEEFF"/>
        <bgColor indexed="64"/>
      </patternFill>
    </fill>
    <fill>
      <patternFill patternType="solid">
        <fgColor theme="2" tint="-9.9978637043366805E-2"/>
        <bgColor indexed="64"/>
      </patternFill>
    </fill>
    <fill>
      <patternFill patternType="solid">
        <fgColor theme="0"/>
        <bgColor indexed="64"/>
      </patternFill>
    </fill>
    <fill>
      <patternFill patternType="solid">
        <fgColor theme="0"/>
        <bgColor indexed="34"/>
      </patternFill>
    </fill>
    <fill>
      <patternFill patternType="solid">
        <fgColor rgb="FFE1F5FE"/>
        <bgColor indexed="34"/>
      </patternFill>
    </fill>
    <fill>
      <patternFill patternType="solid">
        <fgColor rgb="FFE1F5FE"/>
        <bgColor indexed="64"/>
      </patternFill>
    </fill>
    <fill>
      <patternFill patternType="solid">
        <fgColor rgb="FFECEFF1"/>
        <bgColor indexed="34"/>
      </patternFill>
    </fill>
    <fill>
      <patternFill patternType="solid">
        <fgColor rgb="FFF1F3F5"/>
        <bgColor indexed="64"/>
      </patternFill>
    </fill>
    <fill>
      <patternFill patternType="solid">
        <fgColor rgb="FFFFFFFF"/>
        <bgColor indexed="64"/>
      </patternFill>
    </fill>
    <fill>
      <patternFill patternType="solid">
        <fgColor rgb="FFFFFFFF"/>
        <bgColor indexed="34"/>
      </patternFill>
    </fill>
    <fill>
      <patternFill patternType="solid">
        <fgColor rgb="FFE1F5FE"/>
        <bgColor indexed="31"/>
      </patternFill>
    </fill>
    <fill>
      <patternFill patternType="solid">
        <fgColor rgb="FFF1F3F5"/>
        <bgColor indexed="26"/>
      </patternFill>
    </fill>
    <fill>
      <patternFill patternType="solid">
        <fgColor rgb="FFE1F5FE"/>
        <bgColor indexed="26"/>
      </patternFill>
    </fill>
    <fill>
      <patternFill patternType="solid">
        <fgColor rgb="FFFFCCCB"/>
        <bgColor indexed="60"/>
      </patternFill>
    </fill>
    <fill>
      <patternFill patternType="solid">
        <fgColor rgb="FFCCFFCC"/>
        <bgColor indexed="64"/>
      </patternFill>
    </fill>
    <fill>
      <patternFill patternType="solid">
        <fgColor rgb="FFE1F5FE"/>
        <bgColor indexed="35"/>
      </patternFill>
    </fill>
  </fills>
  <borders count="167">
    <border>
      <left/>
      <right/>
      <top/>
      <bottom/>
      <diagonal/>
    </border>
    <border>
      <left style="thin">
        <color indexed="22"/>
      </left>
      <right style="thin">
        <color indexed="22"/>
      </right>
      <top style="thin">
        <color indexed="22"/>
      </top>
      <bottom style="thin">
        <color indexed="22"/>
      </bottom>
      <diagonal/>
    </border>
    <border>
      <left style="medium">
        <color indexed="8"/>
      </left>
      <right/>
      <top style="medium">
        <color indexed="8"/>
      </top>
      <bottom style="medium">
        <color indexed="8"/>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bottom/>
      <diagonal/>
    </border>
    <border>
      <left style="medium">
        <color indexed="8"/>
      </left>
      <right style="medium">
        <color indexed="8"/>
      </right>
      <top/>
      <bottom style="medium">
        <color indexed="8"/>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top style="thin">
        <color indexed="8"/>
      </top>
      <bottom/>
      <diagonal/>
    </border>
    <border>
      <left/>
      <right style="thin">
        <color indexed="8"/>
      </right>
      <top/>
      <bottom/>
      <diagonal/>
    </border>
    <border>
      <left style="thin">
        <color indexed="8"/>
      </left>
      <right/>
      <top/>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right style="thick">
        <color indexed="8"/>
      </right>
      <top/>
      <bottom/>
      <diagonal/>
    </border>
    <border>
      <left style="thick">
        <color indexed="8"/>
      </left>
      <right/>
      <top/>
      <bottom/>
      <diagonal/>
    </border>
    <border>
      <left style="medium">
        <color indexed="8"/>
      </left>
      <right/>
      <top/>
      <bottom/>
      <diagonal/>
    </border>
    <border>
      <left style="medium">
        <color indexed="8"/>
      </left>
      <right/>
      <top/>
      <bottom style="medium">
        <color indexed="8"/>
      </bottom>
      <diagonal/>
    </border>
    <border>
      <left style="thin">
        <color indexed="8"/>
      </left>
      <right/>
      <top style="thin">
        <color indexed="8"/>
      </top>
      <bottom/>
      <diagonal/>
    </border>
    <border>
      <left style="thin">
        <color indexed="8"/>
      </left>
      <right/>
      <top/>
      <bottom style="thin">
        <color indexed="8"/>
      </bottom>
      <diagonal/>
    </border>
    <border>
      <left/>
      <right style="thin">
        <color indexed="8"/>
      </right>
      <top/>
      <bottom style="thin">
        <color indexed="8"/>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ck">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22"/>
      </right>
      <top style="thin">
        <color indexed="22"/>
      </top>
      <bottom style="thin">
        <color indexed="22"/>
      </bottom>
      <diagonal/>
    </border>
    <border>
      <left style="thin">
        <color indexed="22"/>
      </left>
      <right style="thick">
        <color indexed="64"/>
      </right>
      <top style="thin">
        <color indexed="22"/>
      </top>
      <bottom style="thin">
        <color indexed="22"/>
      </bottom>
      <diagonal/>
    </border>
    <border>
      <left/>
      <right style="thin">
        <color indexed="22"/>
      </right>
      <top style="thin">
        <color indexed="22"/>
      </top>
      <bottom/>
      <diagonal/>
    </border>
    <border>
      <left/>
      <right style="thin">
        <color indexed="22"/>
      </right>
      <top/>
      <bottom style="thin">
        <color indexed="22"/>
      </bottom>
      <diagonal/>
    </border>
    <border>
      <left/>
      <right/>
      <top style="thin">
        <color indexed="64"/>
      </top>
      <bottom/>
      <diagonal/>
    </border>
    <border>
      <left/>
      <right style="medium">
        <color indexed="64"/>
      </right>
      <top style="medium">
        <color indexed="64"/>
      </top>
      <bottom/>
      <diagonal/>
    </border>
    <border>
      <left style="thin">
        <color indexed="22"/>
      </left>
      <right style="thin">
        <color indexed="22"/>
      </right>
      <top style="thin">
        <color indexed="22"/>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right style="medium">
        <color indexed="8"/>
      </right>
      <top style="medium">
        <color indexed="8"/>
      </top>
      <bottom style="medium">
        <color indexed="8"/>
      </bottom>
      <diagonal/>
    </border>
    <border>
      <left style="medium">
        <color indexed="8"/>
      </left>
      <right/>
      <top style="medium">
        <color indexed="8"/>
      </top>
      <bottom/>
      <diagonal/>
    </border>
    <border>
      <left/>
      <right style="medium">
        <color indexed="8"/>
      </right>
      <top style="medium">
        <color indexed="8"/>
      </top>
      <bottom/>
      <diagonal/>
    </border>
    <border>
      <left/>
      <right style="medium">
        <color indexed="8"/>
      </right>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ck">
        <color indexed="8"/>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22"/>
      </bottom>
      <diagonal/>
    </border>
    <border>
      <left/>
      <right/>
      <top/>
      <bottom style="thin">
        <color indexed="64"/>
      </bottom>
      <diagonal/>
    </border>
    <border>
      <left style="thin">
        <color indexed="22"/>
      </left>
      <right style="thin">
        <color indexed="22"/>
      </right>
      <top/>
      <bottom style="thin">
        <color indexed="22"/>
      </bottom>
      <diagonal/>
    </border>
    <border>
      <left style="thin">
        <color indexed="22"/>
      </left>
      <right style="medium">
        <color indexed="64"/>
      </right>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diagonal/>
    </border>
    <border>
      <left/>
      <right/>
      <top style="medium">
        <color indexed="8"/>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8"/>
      </right>
      <top style="medium">
        <color indexed="64"/>
      </top>
      <bottom style="medium">
        <color indexed="64"/>
      </bottom>
      <diagonal/>
    </border>
    <border>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8"/>
      </right>
      <top style="medium">
        <color indexed="8"/>
      </top>
      <bottom/>
      <diagonal/>
    </border>
    <border>
      <left/>
      <right/>
      <top style="thin">
        <color indexed="8"/>
      </top>
      <bottom style="medium">
        <color indexed="8"/>
      </bottom>
      <diagonal/>
    </border>
    <border>
      <left/>
      <right/>
      <top style="thin">
        <color indexed="64"/>
      </top>
      <bottom style="medium">
        <color indexed="8"/>
      </bottom>
      <diagonal/>
    </border>
    <border>
      <left/>
      <right style="medium">
        <color indexed="8"/>
      </right>
      <top style="thin">
        <color indexed="8"/>
      </top>
      <bottom style="medium">
        <color indexed="8"/>
      </bottom>
      <diagonal/>
    </border>
    <border>
      <left style="thin">
        <color indexed="8"/>
      </left>
      <right/>
      <top style="thin">
        <color indexed="8"/>
      </top>
      <bottom style="medium">
        <color indexed="8"/>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top style="thin">
        <color indexed="22"/>
      </top>
      <bottom style="thin">
        <color indexed="22"/>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55"/>
      </bottom>
      <diagonal/>
    </border>
    <border>
      <left/>
      <right style="thin">
        <color indexed="64"/>
      </right>
      <top/>
      <bottom style="thin">
        <color indexed="55"/>
      </bottom>
      <diagonal/>
    </border>
    <border>
      <left/>
      <right/>
      <top/>
      <bottom style="thin">
        <color indexed="55"/>
      </bottom>
      <diagonal/>
    </border>
    <border>
      <left style="thin">
        <color indexed="64"/>
      </left>
      <right/>
      <top style="thin">
        <color indexed="55"/>
      </top>
      <bottom/>
      <diagonal/>
    </border>
    <border>
      <left/>
      <right style="thin">
        <color indexed="64"/>
      </right>
      <top style="thin">
        <color indexed="55"/>
      </top>
      <bottom/>
      <diagonal/>
    </border>
    <border>
      <left/>
      <right/>
      <top style="thin">
        <color indexed="55"/>
      </top>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55"/>
      </top>
      <bottom style="thin">
        <color indexed="64"/>
      </bottom>
      <diagonal/>
    </border>
    <border>
      <left/>
      <right style="thin">
        <color indexed="64"/>
      </right>
      <top style="thin">
        <color indexed="55"/>
      </top>
      <bottom style="thin">
        <color indexed="64"/>
      </bottom>
      <diagonal/>
    </border>
    <border>
      <left/>
      <right/>
      <top style="thin">
        <color indexed="55"/>
      </top>
      <bottom style="thin">
        <color indexed="64"/>
      </bottom>
      <diagonal/>
    </border>
    <border>
      <left style="medium">
        <color indexed="64"/>
      </left>
      <right/>
      <top/>
      <bottom style="medium">
        <color indexed="8"/>
      </bottom>
      <diagonal/>
    </border>
    <border>
      <left style="medium">
        <color indexed="64"/>
      </left>
      <right/>
      <top style="medium">
        <color indexed="64"/>
      </top>
      <bottom style="thin">
        <color indexed="64"/>
      </bottom>
      <diagonal/>
    </border>
    <border>
      <left/>
      <right style="medium">
        <color indexed="8"/>
      </right>
      <top style="thin">
        <color indexed="8"/>
      </top>
      <bottom style="thin">
        <color indexed="8"/>
      </bottom>
      <diagonal/>
    </border>
    <border>
      <left style="medium">
        <color indexed="8"/>
      </left>
      <right/>
      <top style="thin">
        <color indexed="8"/>
      </top>
      <bottom style="thin">
        <color indexed="8"/>
      </bottom>
      <diagonal/>
    </border>
    <border>
      <left/>
      <right/>
      <top style="medium">
        <color indexed="8"/>
      </top>
      <bottom style="medium">
        <color indexed="8"/>
      </bottom>
      <diagonal/>
    </border>
    <border>
      <left/>
      <right style="thin">
        <color indexed="22"/>
      </right>
      <top/>
      <bottom/>
      <diagonal/>
    </border>
    <border>
      <left/>
      <right style="thin">
        <color indexed="22"/>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8"/>
      </top>
      <bottom/>
      <diagonal/>
    </border>
    <border>
      <left/>
      <right/>
      <top style="medium">
        <color indexed="8"/>
      </top>
      <bottom style="medium">
        <color indexed="64"/>
      </bottom>
      <diagonal/>
    </border>
    <border>
      <left/>
      <right style="medium">
        <color indexed="64"/>
      </right>
      <top/>
      <bottom style="medium">
        <color indexed="8"/>
      </bottom>
      <diagonal/>
    </border>
    <border>
      <left/>
      <right style="medium">
        <color indexed="64"/>
      </right>
      <top style="medium">
        <color indexed="8"/>
      </top>
      <bottom/>
      <diagonal/>
    </border>
    <border>
      <left style="thin">
        <color indexed="64"/>
      </left>
      <right/>
      <top style="medium">
        <color indexed="64"/>
      </top>
      <bottom style="medium">
        <color indexed="64"/>
      </bottom>
      <diagonal/>
    </border>
    <border>
      <left style="medium">
        <color indexed="64"/>
      </left>
      <right/>
      <top style="medium">
        <color indexed="8"/>
      </top>
      <bottom style="medium">
        <color indexed="64"/>
      </bottom>
      <diagonal/>
    </border>
    <border>
      <left/>
      <right style="medium">
        <color indexed="64"/>
      </right>
      <top style="medium">
        <color indexed="8"/>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diagonal/>
    </border>
    <border>
      <left style="thin">
        <color indexed="8"/>
      </left>
      <right style="medium">
        <color indexed="64"/>
      </right>
      <top/>
      <bottom/>
      <diagonal/>
    </border>
    <border>
      <left/>
      <right/>
      <top style="thin">
        <color indexed="64"/>
      </top>
      <bottom style="medium">
        <color indexed="64"/>
      </bottom>
      <diagonal/>
    </border>
    <border>
      <left style="medium">
        <color indexed="64"/>
      </left>
      <right style="medium">
        <color indexed="8"/>
      </right>
      <top/>
      <bottom style="thin">
        <color indexed="22"/>
      </bottom>
      <diagonal/>
    </border>
    <border>
      <left style="medium">
        <color indexed="64"/>
      </left>
      <right style="medium">
        <color indexed="8"/>
      </right>
      <top style="thin">
        <color indexed="22"/>
      </top>
      <bottom style="thin">
        <color indexed="22"/>
      </bottom>
      <diagonal/>
    </border>
    <border>
      <left style="medium">
        <color indexed="64"/>
      </left>
      <right style="medium">
        <color indexed="8"/>
      </right>
      <top style="thin">
        <color indexed="22"/>
      </top>
      <bottom/>
      <diagonal/>
    </border>
    <border>
      <left style="medium">
        <color indexed="64"/>
      </left>
      <right style="medium">
        <color indexed="8"/>
      </right>
      <top style="medium">
        <color indexed="8"/>
      </top>
      <bottom style="medium">
        <color indexed="64"/>
      </bottom>
      <diagonal/>
    </border>
    <border>
      <left/>
      <right style="thin">
        <color indexed="22"/>
      </right>
      <top style="medium">
        <color indexed="8"/>
      </top>
      <bottom style="medium">
        <color indexed="64"/>
      </bottom>
      <diagonal/>
    </border>
    <border>
      <left style="thin">
        <color indexed="22"/>
      </left>
      <right style="thin">
        <color indexed="22"/>
      </right>
      <top style="medium">
        <color indexed="8"/>
      </top>
      <bottom style="medium">
        <color indexed="64"/>
      </bottom>
      <diagonal/>
    </border>
    <border>
      <left style="thin">
        <color indexed="22"/>
      </left>
      <right style="medium">
        <color indexed="64"/>
      </right>
      <top style="medium">
        <color indexed="8"/>
      </top>
      <bottom style="medium">
        <color indexed="64"/>
      </bottom>
      <diagonal/>
    </border>
    <border>
      <left style="medium">
        <color indexed="64"/>
      </left>
      <right style="medium">
        <color indexed="8"/>
      </right>
      <top style="medium">
        <color indexed="64"/>
      </top>
      <bottom/>
      <diagonal/>
    </border>
    <border>
      <left/>
      <right style="thin">
        <color indexed="22"/>
      </right>
      <top style="medium">
        <color indexed="64"/>
      </top>
      <bottom/>
      <diagonal/>
    </border>
    <border>
      <left style="thin">
        <color indexed="22"/>
      </left>
      <right style="thin">
        <color indexed="22"/>
      </right>
      <top style="medium">
        <color indexed="64"/>
      </top>
      <bottom/>
      <diagonal/>
    </border>
    <border>
      <left style="thin">
        <color indexed="22"/>
      </left>
      <right style="medium">
        <color indexed="64"/>
      </right>
      <top style="medium">
        <color indexed="64"/>
      </top>
      <bottom/>
      <diagonal/>
    </border>
    <border>
      <left style="medium">
        <color indexed="64"/>
      </left>
      <right style="medium">
        <color indexed="8"/>
      </right>
      <top style="medium">
        <color indexed="64"/>
      </top>
      <bottom style="thin">
        <color indexed="22"/>
      </bottom>
      <diagonal/>
    </border>
    <border>
      <left/>
      <right style="thin">
        <color indexed="22"/>
      </right>
      <top style="medium">
        <color indexed="64"/>
      </top>
      <bottom style="thin">
        <color indexed="22"/>
      </bottom>
      <diagonal/>
    </border>
    <border>
      <left style="thin">
        <color indexed="22"/>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medium">
        <color indexed="64"/>
      </left>
      <right style="medium">
        <color indexed="8"/>
      </right>
      <top style="thin">
        <color indexed="22"/>
      </top>
      <bottom style="medium">
        <color indexed="64"/>
      </bottom>
      <diagonal/>
    </border>
    <border>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medium">
        <color indexed="64"/>
      </right>
      <top style="thin">
        <color indexed="22"/>
      </top>
      <bottom style="medium">
        <color indexed="64"/>
      </bottom>
      <diagonal/>
    </border>
    <border>
      <left style="medium">
        <color indexed="8"/>
      </left>
      <right style="medium">
        <color indexed="8"/>
      </right>
      <top style="medium">
        <color indexed="64"/>
      </top>
      <bottom style="medium">
        <color indexed="64"/>
      </bottom>
      <diagonal/>
    </border>
    <border>
      <left style="thin">
        <color indexed="22"/>
      </left>
      <right style="thick">
        <color indexed="64"/>
      </right>
      <top/>
      <bottom style="thin">
        <color indexed="22"/>
      </bottom>
      <diagonal/>
    </border>
    <border>
      <left/>
      <right style="thick">
        <color indexed="64"/>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style="thin">
        <color indexed="64"/>
      </top>
      <bottom style="medium">
        <color indexed="64"/>
      </bottom>
      <diagonal/>
    </border>
    <border>
      <left style="thin">
        <color indexed="22"/>
      </left>
      <right style="thin">
        <color indexed="22"/>
      </right>
      <top style="thin">
        <color indexed="64"/>
      </top>
      <bottom style="medium">
        <color indexed="64"/>
      </bottom>
      <diagonal/>
    </border>
    <border>
      <left style="thin">
        <color indexed="22"/>
      </left>
      <right/>
      <top style="thin">
        <color indexed="64"/>
      </top>
      <bottom style="medium">
        <color indexed="64"/>
      </bottom>
      <diagonal/>
    </border>
    <border>
      <left style="thin">
        <color indexed="22"/>
      </left>
      <right style="thick">
        <color indexed="64"/>
      </right>
      <top style="medium">
        <color indexed="64"/>
      </top>
      <bottom style="thin">
        <color indexed="22"/>
      </bottom>
      <diagonal/>
    </border>
    <border>
      <left/>
      <right style="thick">
        <color indexed="64"/>
      </right>
      <top style="medium">
        <color indexed="64"/>
      </top>
      <bottom/>
      <diagonal/>
    </border>
    <border>
      <left style="thin">
        <color indexed="22"/>
      </left>
      <right/>
      <top/>
      <bottom style="thin">
        <color indexed="22"/>
      </bottom>
      <diagonal/>
    </border>
    <border>
      <left style="thin">
        <color indexed="22"/>
      </left>
      <right style="thin">
        <color indexed="22"/>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medium">
        <color indexed="8"/>
      </left>
      <right/>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8"/>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22"/>
      </left>
      <right/>
      <top style="medium">
        <color indexed="64"/>
      </top>
      <bottom/>
      <diagonal/>
    </border>
    <border>
      <left style="thin">
        <color indexed="22"/>
      </left>
      <right/>
      <top style="medium">
        <color indexed="64"/>
      </top>
      <bottom style="thin">
        <color indexed="22"/>
      </bottom>
      <diagonal/>
    </border>
    <border>
      <left/>
      <right style="thick">
        <color indexed="64"/>
      </right>
      <top/>
      <bottom style="thin">
        <color indexed="22"/>
      </bottom>
      <diagonal/>
    </border>
  </borders>
  <cellStyleXfs count="7">
    <xf numFmtId="0" fontId="0" fillId="0" borderId="0"/>
    <xf numFmtId="169" fontId="31" fillId="0" borderId="0" applyFill="0" applyBorder="0" applyAlignment="0" applyProtection="0"/>
    <xf numFmtId="0" fontId="15" fillId="0" borderId="0" applyNumberFormat="0" applyFill="0" applyBorder="0" applyAlignment="0" applyProtection="0"/>
    <xf numFmtId="0" fontId="1" fillId="2" borderId="0" applyNumberFormat="0" applyBorder="0" applyAlignment="0" applyProtection="0"/>
    <xf numFmtId="0" fontId="31" fillId="0" borderId="0"/>
    <xf numFmtId="9" fontId="31" fillId="0" borderId="0" applyFill="0" applyBorder="0" applyAlignment="0" applyProtection="0"/>
    <xf numFmtId="0" fontId="31" fillId="0" borderId="0"/>
  </cellStyleXfs>
  <cellXfs count="1577">
    <xf numFmtId="0" fontId="0" fillId="0" borderId="0" xfId="0"/>
    <xf numFmtId="49" fontId="0" fillId="0" borderId="0" xfId="0" applyNumberFormat="1"/>
    <xf numFmtId="49" fontId="2" fillId="0" borderId="0" xfId="0" applyNumberFormat="1" applyFont="1"/>
    <xf numFmtId="49" fontId="0" fillId="0" borderId="0" xfId="0" applyNumberFormat="1" applyAlignment="1">
      <alignment horizontal="center" vertical="center"/>
    </xf>
    <xf numFmtId="49" fontId="3" fillId="0" borderId="0" xfId="0" applyNumberFormat="1" applyFont="1"/>
    <xf numFmtId="0" fontId="3" fillId="0" borderId="0" xfId="0" applyFont="1"/>
    <xf numFmtId="0" fontId="2" fillId="0" borderId="0" xfId="0" applyFont="1"/>
    <xf numFmtId="0" fontId="7" fillId="0" borderId="0" xfId="0" applyFont="1"/>
    <xf numFmtId="49" fontId="2" fillId="0" borderId="0" xfId="0" applyNumberFormat="1" applyFont="1" applyFill="1" applyBorder="1" applyAlignment="1">
      <alignment horizontal="left"/>
    </xf>
    <xf numFmtId="49" fontId="2" fillId="0" borderId="0" xfId="0" applyNumberFormat="1" applyFont="1" applyFill="1" applyBorder="1" applyAlignment="1"/>
    <xf numFmtId="0" fontId="2" fillId="0" borderId="0" xfId="0" applyFont="1" applyFill="1" applyBorder="1" applyAlignment="1">
      <alignment horizontal="left"/>
    </xf>
    <xf numFmtId="49" fontId="13" fillId="0" borderId="0" xfId="0" applyNumberFormat="1" applyFont="1"/>
    <xf numFmtId="49" fontId="14" fillId="0" borderId="0" xfId="0" applyNumberFormat="1" applyFont="1"/>
    <xf numFmtId="49" fontId="2" fillId="0" borderId="0" xfId="0" applyNumberFormat="1" applyFont="1" applyFill="1" applyAlignment="1"/>
    <xf numFmtId="49" fontId="2" fillId="0" borderId="0" xfId="0" applyNumberFormat="1" applyFont="1" applyFill="1"/>
    <xf numFmtId="0" fontId="0" fillId="0" borderId="0" xfId="0" applyFont="1"/>
    <xf numFmtId="0" fontId="0" fillId="0" borderId="0" xfId="0" applyFont="1" applyFill="1" applyBorder="1" applyAlignment="1">
      <alignment horizontal="left"/>
    </xf>
    <xf numFmtId="0" fontId="16" fillId="0" borderId="0" xfId="0" applyFont="1"/>
    <xf numFmtId="0" fontId="16"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NumberFormat="1" applyFont="1" applyAlignment="1">
      <alignment horizontal="center"/>
    </xf>
    <xf numFmtId="0" fontId="0" fillId="0" borderId="0" xfId="0" applyFont="1" applyBorder="1" applyAlignment="1">
      <alignment horizontal="center"/>
    </xf>
    <xf numFmtId="1" fontId="0" fillId="0" borderId="0" xfId="0" applyNumberFormat="1" applyFont="1" applyBorder="1" applyAlignment="1">
      <alignment horizontal="center"/>
    </xf>
    <xf numFmtId="0" fontId="0" fillId="0" borderId="0" xfId="0" applyFont="1" applyAlignment="1">
      <alignment horizontal="center"/>
    </xf>
    <xf numFmtId="9" fontId="0" fillId="0" borderId="0" xfId="0" applyNumberFormat="1" applyFont="1" applyAlignment="1">
      <alignment horizontal="center"/>
    </xf>
    <xf numFmtId="2" fontId="0" fillId="0" borderId="0" xfId="0" applyNumberFormat="1"/>
    <xf numFmtId="2" fontId="0" fillId="0" borderId="0" xfId="0" applyNumberFormat="1" applyFont="1"/>
    <xf numFmtId="0" fontId="0" fillId="0" borderId="0" xfId="0" applyFont="1" applyFill="1" applyBorder="1"/>
    <xf numFmtId="0" fontId="0" fillId="0" borderId="0" xfId="0" applyFill="1"/>
    <xf numFmtId="10" fontId="0" fillId="0" borderId="0" xfId="0" applyNumberFormat="1"/>
    <xf numFmtId="0" fontId="0" fillId="0" borderId="0" xfId="0" applyFont="1" applyAlignment="1"/>
    <xf numFmtId="0" fontId="0" fillId="0" borderId="0" xfId="0" applyFont="1" applyFill="1"/>
    <xf numFmtId="0" fontId="0" fillId="3" borderId="11" xfId="0" applyFont="1" applyFill="1" applyBorder="1"/>
    <xf numFmtId="0" fontId="0" fillId="3" borderId="0" xfId="0" applyFill="1" applyBorder="1"/>
    <xf numFmtId="0" fontId="0" fillId="0" borderId="0" xfId="0" applyFont="1" applyFill="1" applyBorder="1" applyAlignment="1">
      <alignment horizontal="right"/>
    </xf>
    <xf numFmtId="0" fontId="0" fillId="0" borderId="0" xfId="0" applyNumberFormat="1" applyFont="1" applyAlignment="1">
      <alignment horizontal="right"/>
    </xf>
    <xf numFmtId="0" fontId="0" fillId="0" borderId="0" xfId="0" applyFont="1" applyAlignment="1">
      <alignment horizontal="right"/>
    </xf>
    <xf numFmtId="166" fontId="0" fillId="0" borderId="0" xfId="0" applyNumberFormat="1" applyFont="1" applyFill="1"/>
    <xf numFmtId="166" fontId="0" fillId="0" borderId="0" xfId="0" applyNumberFormat="1" applyFont="1"/>
    <xf numFmtId="0" fontId="18" fillId="0" borderId="0" xfId="0" applyNumberFormat="1" applyFont="1" applyFill="1" applyBorder="1" applyAlignment="1">
      <alignment horizontal="center"/>
    </xf>
    <xf numFmtId="0" fontId="18" fillId="0" borderId="0" xfId="0" applyFont="1" applyFill="1" applyBorder="1" applyAlignment="1">
      <alignment horizontal="center"/>
    </xf>
    <xf numFmtId="1" fontId="18" fillId="0" borderId="0" xfId="0" applyNumberFormat="1" applyFont="1" applyFill="1" applyBorder="1" applyAlignment="1">
      <alignment horizontal="center"/>
    </xf>
    <xf numFmtId="2" fontId="18" fillId="0" borderId="0" xfId="0" applyNumberFormat="1" applyFont="1" applyFill="1" applyBorder="1" applyAlignment="1">
      <alignment horizontal="center"/>
    </xf>
    <xf numFmtId="0" fontId="16" fillId="0" borderId="0" xfId="0" applyFont="1" applyAlignment="1">
      <alignment horizontal="left"/>
    </xf>
    <xf numFmtId="0" fontId="0" fillId="0" borderId="0" xfId="0" applyAlignment="1">
      <alignment horizontal="center"/>
    </xf>
    <xf numFmtId="1"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2" fillId="0" borderId="0" xfId="0" applyFont="1" applyFill="1" applyBorder="1"/>
    <xf numFmtId="0" fontId="2" fillId="0" borderId="0" xfId="0" applyFont="1" applyFill="1"/>
    <xf numFmtId="1" fontId="0" fillId="0" borderId="0" xfId="0" applyNumberFormat="1" applyFont="1" applyAlignment="1">
      <alignment horizontal="center"/>
    </xf>
    <xf numFmtId="0" fontId="0" fillId="0" borderId="0" xfId="0" applyNumberFormat="1" applyFont="1" applyBorder="1" applyAlignment="1">
      <alignment horizontal="center"/>
    </xf>
    <xf numFmtId="0" fontId="16" fillId="0" borderId="0" xfId="0" applyFont="1" applyFill="1"/>
    <xf numFmtId="0" fontId="0" fillId="0" borderId="15" xfId="0" applyFont="1" applyBorder="1"/>
    <xf numFmtId="0" fontId="0" fillId="0" borderId="15" xfId="0" applyFont="1" applyFill="1" applyBorder="1" applyProtection="1">
      <protection locked="0"/>
    </xf>
    <xf numFmtId="0" fontId="21" fillId="0" borderId="0" xfId="0" applyFont="1" applyFill="1"/>
    <xf numFmtId="0" fontId="16" fillId="0" borderId="15" xfId="0" applyFont="1" applyFill="1" applyBorder="1"/>
    <xf numFmtId="165" fontId="0" fillId="0" borderId="0" xfId="0" applyNumberFormat="1" applyFont="1"/>
    <xf numFmtId="0" fontId="0" fillId="0" borderId="15" xfId="0" applyFont="1" applyFill="1" applyBorder="1"/>
    <xf numFmtId="1" fontId="0" fillId="0" borderId="16" xfId="0" applyNumberFormat="1" applyFont="1" applyBorder="1" applyAlignment="1">
      <alignment horizontal="center"/>
    </xf>
    <xf numFmtId="1" fontId="0" fillId="0" borderId="0" xfId="0" applyNumberFormat="1" applyFont="1" applyFill="1" applyAlignment="1">
      <alignment horizontal="center"/>
    </xf>
    <xf numFmtId="0" fontId="0" fillId="0" borderId="0" xfId="0" applyFont="1" applyFill="1" applyAlignment="1"/>
    <xf numFmtId="1" fontId="0" fillId="0" borderId="16" xfId="0" applyNumberFormat="1" applyFont="1" applyFill="1" applyBorder="1" applyAlignment="1">
      <alignment horizontal="center"/>
    </xf>
    <xf numFmtId="0" fontId="0" fillId="0" borderId="0" xfId="0" applyFont="1" applyFill="1" applyAlignment="1">
      <alignment horizontal="center"/>
    </xf>
    <xf numFmtId="167" fontId="0" fillId="0" borderId="0" xfId="0" applyNumberFormat="1" applyFont="1" applyFill="1" applyBorder="1" applyAlignment="1">
      <alignment horizontal="center"/>
    </xf>
    <xf numFmtId="0" fontId="0" fillId="0" borderId="0" xfId="0" applyBorder="1"/>
    <xf numFmtId="0" fontId="0" fillId="0" borderId="0" xfId="4" applyFont="1" applyAlignment="1"/>
    <xf numFmtId="0" fontId="0" fillId="0" borderId="0" xfId="4" applyFont="1"/>
    <xf numFmtId="0" fontId="16" fillId="0" borderId="0" xfId="4" applyFont="1"/>
    <xf numFmtId="10" fontId="0" fillId="0" borderId="0" xfId="4" applyNumberFormat="1" applyFont="1"/>
    <xf numFmtId="9" fontId="0" fillId="0" borderId="0" xfId="4" applyNumberFormat="1" applyFont="1"/>
    <xf numFmtId="0" fontId="0" fillId="0" borderId="0" xfId="4" applyNumberFormat="1" applyFont="1"/>
    <xf numFmtId="0" fontId="0" fillId="0" borderId="0" xfId="4" applyFont="1" applyAlignment="1">
      <alignment horizontal="right"/>
    </xf>
    <xf numFmtId="10" fontId="31" fillId="0" borderId="0" xfId="4" applyNumberFormat="1"/>
    <xf numFmtId="2" fontId="0" fillId="0" borderId="0" xfId="4" applyNumberFormat="1" applyFont="1"/>
    <xf numFmtId="1" fontId="31" fillId="0" borderId="0" xfId="4" applyNumberFormat="1"/>
    <xf numFmtId="1" fontId="0" fillId="0" borderId="0" xfId="4" applyNumberFormat="1" applyFont="1"/>
    <xf numFmtId="0" fontId="0" fillId="0" borderId="0" xfId="4" applyFont="1" applyAlignment="1">
      <alignment horizontal="left"/>
    </xf>
    <xf numFmtId="166" fontId="0" fillId="0" borderId="0" xfId="4" applyNumberFormat="1" applyFont="1" applyFill="1" applyAlignment="1">
      <alignment horizontal="right"/>
    </xf>
    <xf numFmtId="166" fontId="0" fillId="0" borderId="0" xfId="4" applyNumberFormat="1" applyFont="1"/>
    <xf numFmtId="0" fontId="16" fillId="0" borderId="0" xfId="4" applyFont="1" applyAlignment="1"/>
    <xf numFmtId="166" fontId="0" fillId="0" borderId="0" xfId="4" applyNumberFormat="1" applyFont="1" applyAlignment="1">
      <alignment horizontal="right"/>
    </xf>
    <xf numFmtId="10" fontId="0" fillId="0" borderId="0" xfId="4" applyNumberFormat="1" applyFont="1" applyBorder="1" applyAlignment="1">
      <alignment horizontal="left"/>
    </xf>
    <xf numFmtId="166" fontId="0" fillId="0" borderId="0" xfId="4" applyNumberFormat="1" applyFont="1" applyBorder="1" applyAlignment="1">
      <alignment horizontal="right"/>
    </xf>
    <xf numFmtId="10" fontId="0" fillId="0" borderId="0" xfId="4" applyNumberFormat="1" applyFont="1" applyAlignment="1">
      <alignment horizontal="right"/>
    </xf>
    <xf numFmtId="0" fontId="31" fillId="0" borderId="0" xfId="1" applyNumberFormat="1" applyFill="1" applyBorder="1" applyAlignment="1" applyProtection="1"/>
    <xf numFmtId="0" fontId="23" fillId="0" borderId="0" xfId="4" applyFont="1" applyFill="1" applyBorder="1" applyAlignment="1">
      <alignment horizontal="left"/>
    </xf>
    <xf numFmtId="0" fontId="0" fillId="0" borderId="0" xfId="0" applyNumberFormat="1"/>
    <xf numFmtId="0" fontId="0" fillId="3" borderId="19" xfId="0" applyFont="1" applyFill="1" applyBorder="1"/>
    <xf numFmtId="10" fontId="0" fillId="3" borderId="9" xfId="0" applyNumberFormat="1" applyFill="1" applyBorder="1"/>
    <xf numFmtId="0" fontId="0" fillId="3" borderId="14" xfId="0" applyFill="1" applyBorder="1"/>
    <xf numFmtId="2" fontId="0" fillId="3" borderId="0" xfId="0" applyNumberFormat="1" applyFill="1" applyBorder="1"/>
    <xf numFmtId="0" fontId="0" fillId="3" borderId="10" xfId="0" applyFill="1" applyBorder="1"/>
    <xf numFmtId="10" fontId="0" fillId="3" borderId="0" xfId="0" applyNumberFormat="1" applyFill="1" applyBorder="1"/>
    <xf numFmtId="10" fontId="0" fillId="3" borderId="10" xfId="0" applyNumberFormat="1" applyFill="1" applyBorder="1"/>
    <xf numFmtId="166" fontId="0" fillId="0" borderId="0" xfId="0" applyNumberFormat="1"/>
    <xf numFmtId="166" fontId="0" fillId="0" borderId="0" xfId="0" applyNumberFormat="1" applyFill="1"/>
    <xf numFmtId="0" fontId="0" fillId="0" borderId="0" xfId="0" applyNumberFormat="1" applyFont="1" applyFill="1" applyBorder="1"/>
    <xf numFmtId="0" fontId="0" fillId="0" borderId="0" xfId="0" applyNumberFormat="1" applyFill="1"/>
    <xf numFmtId="0" fontId="0" fillId="3" borderId="0" xfId="0" applyFont="1" applyFill="1" applyBorder="1" applyAlignment="1">
      <alignment horizontal="right"/>
    </xf>
    <xf numFmtId="0" fontId="0" fillId="3" borderId="0" xfId="0" applyNumberFormat="1" applyFill="1" applyBorder="1"/>
    <xf numFmtId="0" fontId="16" fillId="3" borderId="11" xfId="0" applyFont="1" applyFill="1" applyBorder="1"/>
    <xf numFmtId="0" fontId="16" fillId="3" borderId="20" xfId="0" applyFont="1" applyFill="1" applyBorder="1"/>
    <xf numFmtId="0" fontId="0" fillId="3" borderId="12" xfId="0" applyFill="1" applyBorder="1"/>
    <xf numFmtId="0" fontId="0" fillId="3" borderId="21" xfId="0" applyFill="1" applyBorder="1"/>
    <xf numFmtId="2" fontId="0" fillId="0" borderId="0" xfId="0" applyNumberFormat="1" applyBorder="1"/>
    <xf numFmtId="2" fontId="0" fillId="0" borderId="0" xfId="0" applyNumberFormat="1" applyFill="1" applyBorder="1"/>
    <xf numFmtId="166" fontId="0" fillId="0" borderId="0" xfId="0" applyNumberFormat="1" applyFill="1" applyBorder="1"/>
    <xf numFmtId="2" fontId="0" fillId="0" borderId="0" xfId="0" applyNumberFormat="1" applyFont="1" applyFill="1" applyBorder="1"/>
    <xf numFmtId="0" fontId="16" fillId="0" borderId="0" xfId="0" applyFont="1" applyFill="1" applyBorder="1"/>
    <xf numFmtId="2" fontId="0" fillId="0" borderId="0" xfId="4" applyNumberFormat="1" applyFont="1" applyAlignment="1">
      <alignment horizontal="center"/>
    </xf>
    <xf numFmtId="0" fontId="16" fillId="0" borderId="0" xfId="0" applyFont="1" applyFill="1" applyBorder="1" applyAlignment="1">
      <alignment horizontal="left"/>
    </xf>
    <xf numFmtId="166" fontId="0" fillId="0" borderId="0" xfId="0" applyNumberFormat="1" applyAlignment="1">
      <alignment horizontal="right"/>
    </xf>
    <xf numFmtId="0" fontId="26" fillId="0" borderId="0" xfId="0" applyFont="1" applyFill="1" applyBorder="1" applyAlignment="1">
      <alignment horizontal="center"/>
    </xf>
    <xf numFmtId="0" fontId="26" fillId="0" borderId="0" xfId="0" applyNumberFormat="1" applyFont="1" applyFill="1" applyBorder="1" applyAlignment="1">
      <alignment horizontal="center"/>
    </xf>
    <xf numFmtId="0" fontId="2" fillId="0" borderId="0" xfId="0" applyFont="1" applyFill="1" applyBorder="1" applyAlignment="1">
      <alignment horizontal="center"/>
    </xf>
    <xf numFmtId="1" fontId="2" fillId="0" borderId="0" xfId="0" applyNumberFormat="1" applyFont="1" applyFill="1" applyBorder="1" applyAlignment="1">
      <alignment horizontal="center"/>
    </xf>
    <xf numFmtId="0" fontId="2" fillId="0" borderId="0" xfId="0" applyNumberFormat="1" applyFont="1" applyFill="1" applyBorder="1" applyAlignment="1">
      <alignment horizontal="center"/>
    </xf>
    <xf numFmtId="0" fontId="5" fillId="0" borderId="13" xfId="0" applyFont="1" applyBorder="1"/>
    <xf numFmtId="0" fontId="3" fillId="0" borderId="0" xfId="0" applyFont="1" applyFill="1" applyBorder="1" applyAlignment="1">
      <alignment horizontal="center"/>
    </xf>
    <xf numFmtId="0" fontId="3" fillId="0" borderId="0" xfId="0" applyNumberFormat="1" applyFont="1" applyFill="1" applyBorder="1" applyAlignment="1">
      <alignment horizontal="center"/>
    </xf>
    <xf numFmtId="0" fontId="2" fillId="0" borderId="0" xfId="0" applyFont="1" applyAlignment="1">
      <alignment horizontal="center"/>
    </xf>
    <xf numFmtId="0" fontId="2" fillId="0" borderId="0" xfId="0" applyNumberFormat="1" applyFont="1" applyAlignment="1">
      <alignment horizontal="center"/>
    </xf>
    <xf numFmtId="0" fontId="2" fillId="0" borderId="0" xfId="0" applyNumberFormat="1" applyFont="1" applyFill="1"/>
    <xf numFmtId="49" fontId="2" fillId="0" borderId="0" xfId="0" applyNumberFormat="1" applyFont="1" applyFill="1" applyAlignment="1">
      <alignment horizontal="center"/>
    </xf>
    <xf numFmtId="2" fontId="2" fillId="0" borderId="0" xfId="0" applyNumberFormat="1" applyFont="1" applyFill="1" applyBorder="1" applyAlignment="1">
      <alignment horizontal="center"/>
    </xf>
    <xf numFmtId="0" fontId="2" fillId="0" borderId="0" xfId="0" applyNumberFormat="1" applyFont="1" applyFill="1" applyAlignment="1">
      <alignment horizontal="center"/>
    </xf>
    <xf numFmtId="0" fontId="2" fillId="0" borderId="0" xfId="0" applyFont="1" applyFill="1" applyBorder="1" applyAlignment="1"/>
    <xf numFmtId="9" fontId="2" fillId="0" borderId="0" xfId="0" applyNumberFormat="1" applyFont="1" applyFill="1" applyBorder="1" applyAlignment="1">
      <alignment horizontal="center"/>
    </xf>
    <xf numFmtId="2" fontId="2" fillId="0" borderId="0" xfId="0" applyNumberFormat="1" applyFont="1" applyFill="1"/>
    <xf numFmtId="0" fontId="2" fillId="0" borderId="0" xfId="0" applyFont="1" applyFill="1" applyAlignment="1">
      <alignment horizontal="center"/>
    </xf>
    <xf numFmtId="0" fontId="5" fillId="0" borderId="0" xfId="0" applyFont="1" applyFill="1" applyBorder="1" applyAlignment="1">
      <alignment horizontal="left"/>
    </xf>
    <xf numFmtId="0" fontId="2" fillId="0" borderId="0" xfId="0" applyFont="1" applyFill="1" applyAlignment="1">
      <alignment horizontal="right"/>
    </xf>
    <xf numFmtId="0" fontId="3" fillId="0" borderId="0" xfId="0" applyFont="1" applyFill="1" applyBorder="1" applyAlignment="1">
      <alignment horizontal="left"/>
    </xf>
    <xf numFmtId="0" fontId="5" fillId="0" borderId="0" xfId="0" applyFont="1" applyFill="1" applyBorder="1" applyAlignment="1">
      <alignment horizontal="center"/>
    </xf>
    <xf numFmtId="0" fontId="5" fillId="0" borderId="0" xfId="0" applyNumberFormat="1" applyFont="1" applyFill="1" applyBorder="1" applyAlignment="1">
      <alignment horizontal="center"/>
    </xf>
    <xf numFmtId="170" fontId="2" fillId="0" borderId="0" xfId="0" applyNumberFormat="1" applyFont="1" applyFill="1" applyBorder="1" applyAlignment="1">
      <alignment horizontal="center"/>
    </xf>
    <xf numFmtId="0" fontId="2" fillId="0" borderId="0" xfId="0" applyFont="1" applyFill="1" applyBorder="1" applyAlignment="1">
      <alignment wrapText="1"/>
    </xf>
    <xf numFmtId="0" fontId="5" fillId="0" borderId="0" xfId="0" applyFont="1" applyFill="1" applyAlignment="1">
      <alignment horizontal="center"/>
    </xf>
    <xf numFmtId="0" fontId="2" fillId="0" borderId="0" xfId="0" applyNumberFormat="1" applyFont="1" applyFill="1" applyBorder="1" applyAlignment="1"/>
    <xf numFmtId="0" fontId="26" fillId="0" borderId="0" xfId="0" applyFont="1" applyFill="1" applyBorder="1" applyAlignment="1">
      <alignment horizontal="left"/>
    </xf>
    <xf numFmtId="171" fontId="2" fillId="0" borderId="0" xfId="0" applyNumberFormat="1" applyFont="1" applyFill="1"/>
    <xf numFmtId="0" fontId="29" fillId="0" borderId="0" xfId="0" applyFont="1" applyFill="1"/>
    <xf numFmtId="0" fontId="2" fillId="0" borderId="0" xfId="0" applyFont="1" applyAlignment="1">
      <alignment horizontal="left"/>
    </xf>
    <xf numFmtId="164" fontId="2" fillId="0" borderId="0" xfId="0" applyNumberFormat="1" applyFont="1" applyAlignment="1">
      <alignment horizontal="right"/>
    </xf>
    <xf numFmtId="2" fontId="29" fillId="0" borderId="0" xfId="0" applyNumberFormat="1" applyFont="1" applyFill="1"/>
    <xf numFmtId="10" fontId="2" fillId="0" borderId="0" xfId="0" applyNumberFormat="1" applyFont="1" applyFill="1"/>
    <xf numFmtId="172" fontId="2" fillId="0" borderId="0" xfId="0" applyNumberFormat="1" applyFont="1"/>
    <xf numFmtId="0" fontId="29" fillId="0" borderId="0" xfId="0" applyFont="1"/>
    <xf numFmtId="0" fontId="2" fillId="0" borderId="0" xfId="0" applyFont="1" applyAlignment="1">
      <alignment horizontal="right"/>
    </xf>
    <xf numFmtId="1" fontId="2" fillId="0" borderId="0" xfId="0" applyNumberFormat="1" applyFont="1" applyFill="1"/>
    <xf numFmtId="2" fontId="28" fillId="0" borderId="0" xfId="0" applyNumberFormat="1" applyFont="1" applyFill="1" applyAlignment="1">
      <alignment horizontal="center"/>
    </xf>
    <xf numFmtId="0" fontId="2" fillId="0" borderId="0" xfId="0" applyFont="1" applyFill="1" applyAlignment="1">
      <alignment horizontal="left"/>
    </xf>
    <xf numFmtId="2" fontId="2" fillId="0" borderId="0" xfId="0" applyNumberFormat="1" applyFont="1" applyFill="1" applyAlignment="1">
      <alignment horizontal="center"/>
    </xf>
    <xf numFmtId="172" fontId="2" fillId="0" borderId="0" xfId="0" applyNumberFormat="1" applyFont="1" applyFill="1" applyAlignment="1">
      <alignment horizontal="center"/>
    </xf>
    <xf numFmtId="10" fontId="2" fillId="0" borderId="0" xfId="0" applyNumberFormat="1" applyFont="1" applyFill="1" applyAlignment="1">
      <alignment horizontal="center"/>
    </xf>
    <xf numFmtId="168" fontId="2" fillId="0" borderId="0" xfId="0" applyNumberFormat="1" applyFont="1" applyFill="1" applyBorder="1" applyAlignment="1">
      <alignment horizontal="center"/>
    </xf>
    <xf numFmtId="10" fontId="2" fillId="0" borderId="0" xfId="0" applyNumberFormat="1" applyFont="1" applyFill="1" applyBorder="1" applyAlignment="1">
      <alignment horizontal="center"/>
    </xf>
    <xf numFmtId="172" fontId="2" fillId="0" borderId="0" xfId="0" applyNumberFormat="1" applyFont="1" applyFill="1" applyBorder="1" applyAlignment="1">
      <alignment horizontal="center"/>
    </xf>
    <xf numFmtId="10" fontId="0" fillId="0" borderId="0" xfId="0" applyNumberFormat="1" applyFont="1" applyFill="1" applyBorder="1" applyAlignment="1">
      <alignment horizontal="center"/>
    </xf>
    <xf numFmtId="171" fontId="0" fillId="0" borderId="0" xfId="0" applyNumberFormat="1" applyFill="1" applyBorder="1"/>
    <xf numFmtId="0" fontId="0" fillId="0" borderId="0" xfId="4" applyFont="1" applyBorder="1"/>
    <xf numFmtId="166" fontId="0" fillId="0" borderId="0" xfId="4" applyNumberFormat="1" applyFont="1" applyBorder="1"/>
    <xf numFmtId="10" fontId="0" fillId="0" borderId="0" xfId="4" applyNumberFormat="1" applyFont="1" applyBorder="1"/>
    <xf numFmtId="0" fontId="0" fillId="0" borderId="22" xfId="0" applyFont="1" applyBorder="1"/>
    <xf numFmtId="0" fontId="32" fillId="0" borderId="0" xfId="0" applyNumberFormat="1" applyFont="1" applyAlignment="1">
      <alignment horizontal="center"/>
    </xf>
    <xf numFmtId="0" fontId="0" fillId="0" borderId="0" xfId="0" applyFill="1" applyBorder="1" applyAlignment="1">
      <alignment horizontal="center"/>
    </xf>
    <xf numFmtId="0" fontId="0" fillId="0" borderId="26" xfId="0" applyFont="1" applyBorder="1"/>
    <xf numFmtId="0" fontId="0" fillId="0" borderId="0" xfId="0" applyAlignment="1"/>
    <xf numFmtId="0" fontId="3" fillId="0" borderId="0" xfId="0" applyFont="1" applyFill="1" applyAlignment="1">
      <alignment horizontal="center"/>
    </xf>
    <xf numFmtId="0" fontId="34" fillId="0" borderId="0" xfId="0" applyFont="1" applyFill="1" applyBorder="1" applyAlignment="1">
      <alignment horizontal="left"/>
    </xf>
    <xf numFmtId="0" fontId="34" fillId="0" borderId="0" xfId="0" applyFont="1" applyFill="1" applyBorder="1" applyAlignment="1">
      <alignment horizontal="center"/>
    </xf>
    <xf numFmtId="0" fontId="34" fillId="0" borderId="0" xfId="0" applyNumberFormat="1" applyFont="1" applyFill="1" applyBorder="1" applyAlignment="1">
      <alignment horizontal="center"/>
    </xf>
    <xf numFmtId="0" fontId="34" fillId="0" borderId="0" xfId="0" applyFont="1" applyFill="1" applyAlignment="1">
      <alignment horizontal="center"/>
    </xf>
    <xf numFmtId="0" fontId="34" fillId="0" borderId="0" xfId="0" applyNumberFormat="1" applyFont="1" applyFill="1" applyAlignment="1">
      <alignment horizontal="center"/>
    </xf>
    <xf numFmtId="2" fontId="34" fillId="0" borderId="0" xfId="0" applyNumberFormat="1" applyFont="1" applyFill="1" applyAlignment="1">
      <alignment horizontal="center"/>
    </xf>
    <xf numFmtId="0" fontId="34" fillId="0" borderId="0" xfId="0" applyFont="1" applyFill="1"/>
    <xf numFmtId="0" fontId="34" fillId="0" borderId="0" xfId="0" applyFont="1" applyFill="1" applyBorder="1" applyAlignment="1"/>
    <xf numFmtId="9" fontId="34" fillId="0" borderId="0" xfId="0" applyNumberFormat="1" applyFont="1" applyFill="1" applyBorder="1" applyAlignment="1">
      <alignment horizontal="center"/>
    </xf>
    <xf numFmtId="0" fontId="36" fillId="0" borderId="0" xfId="0" applyNumberFormat="1" applyFont="1" applyFill="1" applyBorder="1" applyAlignment="1">
      <alignment horizontal="center"/>
    </xf>
    <xf numFmtId="0" fontId="34" fillId="0" borderId="0" xfId="0" applyNumberFormat="1" applyFont="1" applyFill="1"/>
    <xf numFmtId="0" fontId="37" fillId="0" borderId="0" xfId="0" applyNumberFormat="1" applyFont="1" applyFill="1" applyBorder="1" applyAlignment="1">
      <alignment horizontal="center"/>
    </xf>
    <xf numFmtId="0" fontId="36" fillId="0" borderId="0" xfId="0" applyFont="1" applyFill="1" applyBorder="1" applyAlignment="1">
      <alignment horizontal="center"/>
    </xf>
    <xf numFmtId="0" fontId="34" fillId="0" borderId="0" xfId="0" applyFont="1" applyFill="1" applyBorder="1"/>
    <xf numFmtId="0" fontId="37" fillId="0" borderId="0" xfId="0" applyFont="1" applyFill="1" applyBorder="1" applyAlignment="1">
      <alignment horizontal="center"/>
    </xf>
    <xf numFmtId="0" fontId="34" fillId="0" borderId="0" xfId="0" applyFont="1" applyFill="1" applyAlignment="1">
      <alignment horizontal="right"/>
    </xf>
    <xf numFmtId="0" fontId="34" fillId="0" borderId="0" xfId="0" applyNumberFormat="1" applyFont="1" applyFill="1" applyBorder="1" applyAlignment="1"/>
    <xf numFmtId="0" fontId="0" fillId="0" borderId="27" xfId="0" applyFont="1" applyBorder="1"/>
    <xf numFmtId="0" fontId="0" fillId="0" borderId="28" xfId="0" applyFont="1" applyBorder="1"/>
    <xf numFmtId="0" fontId="0" fillId="0" borderId="29" xfId="0" applyFont="1" applyBorder="1"/>
    <xf numFmtId="0" fontId="0" fillId="0" borderId="0" xfId="0" applyFont="1" applyBorder="1"/>
    <xf numFmtId="0" fontId="0" fillId="0" borderId="30" xfId="0" applyFont="1" applyBorder="1"/>
    <xf numFmtId="0" fontId="16" fillId="0" borderId="0" xfId="0" applyFont="1" applyBorder="1"/>
    <xf numFmtId="0" fontId="0" fillId="0" borderId="31" xfId="0" applyFont="1" applyBorder="1"/>
    <xf numFmtId="0" fontId="0" fillId="0" borderId="32" xfId="0" applyFont="1" applyBorder="1"/>
    <xf numFmtId="168" fontId="0" fillId="0" borderId="29" xfId="0" applyNumberFormat="1" applyBorder="1" applyAlignment="1">
      <alignment horizontal="center"/>
    </xf>
    <xf numFmtId="0" fontId="17" fillId="0" borderId="0" xfId="0" applyFont="1" applyBorder="1" applyAlignment="1">
      <alignment horizontal="center"/>
    </xf>
    <xf numFmtId="0" fontId="17" fillId="0" borderId="28" xfId="0" applyFont="1" applyBorder="1" applyAlignment="1">
      <alignment horizontal="center"/>
    </xf>
    <xf numFmtId="0" fontId="0" fillId="0" borderId="0" xfId="0" applyFill="1" applyBorder="1"/>
    <xf numFmtId="0" fontId="38" fillId="0" borderId="0" xfId="0" applyFont="1"/>
    <xf numFmtId="0" fontId="41" fillId="0" borderId="0" xfId="0" applyFont="1" applyFill="1" applyAlignment="1">
      <alignment horizontal="center"/>
    </xf>
    <xf numFmtId="0" fontId="3" fillId="0" borderId="0" xfId="0" applyFont="1" applyAlignment="1">
      <alignment horizontal="center"/>
    </xf>
    <xf numFmtId="0" fontId="41" fillId="0" borderId="0" xfId="0" applyFont="1"/>
    <xf numFmtId="10" fontId="31" fillId="0" borderId="0" xfId="5" applyNumberFormat="1"/>
    <xf numFmtId="9" fontId="31" fillId="0" borderId="0" xfId="5"/>
    <xf numFmtId="0" fontId="43" fillId="0" borderId="0" xfId="0" applyFont="1"/>
    <xf numFmtId="0" fontId="16" fillId="0" borderId="0" xfId="0" applyNumberFormat="1" applyFont="1" applyAlignment="1">
      <alignment horizontal="center"/>
    </xf>
    <xf numFmtId="173" fontId="0" fillId="0" borderId="0" xfId="4" applyNumberFormat="1" applyFont="1"/>
    <xf numFmtId="0" fontId="31" fillId="0" borderId="0" xfId="0" applyFont="1"/>
    <xf numFmtId="0" fontId="5" fillId="0" borderId="0" xfId="0" applyFont="1" applyFill="1"/>
    <xf numFmtId="0" fontId="2" fillId="0" borderId="0" xfId="0" applyFont="1" applyFill="1" applyBorder="1" applyAlignment="1">
      <alignment horizontal="right"/>
    </xf>
    <xf numFmtId="0" fontId="2" fillId="0" borderId="0" xfId="0" applyFont="1" applyFill="1" applyAlignment="1">
      <alignment horizontal="center" wrapText="1"/>
    </xf>
    <xf numFmtId="0" fontId="2" fillId="0" borderId="0" xfId="0" applyFont="1" applyFill="1" applyAlignment="1">
      <alignment wrapText="1"/>
    </xf>
    <xf numFmtId="0" fontId="3" fillId="7" borderId="1" xfId="0" applyFont="1" applyFill="1" applyBorder="1" applyAlignment="1">
      <alignment horizontal="left" wrapText="1"/>
    </xf>
    <xf numFmtId="0" fontId="3" fillId="7" borderId="1" xfId="0" applyFont="1" applyFill="1" applyBorder="1" applyAlignment="1">
      <alignment horizontal="center" wrapText="1"/>
    </xf>
    <xf numFmtId="0" fontId="2" fillId="7" borderId="1" xfId="0" applyFont="1" applyFill="1" applyBorder="1" applyAlignment="1">
      <alignment horizontal="left"/>
    </xf>
    <xf numFmtId="0" fontId="2" fillId="7" borderId="1" xfId="0" applyFont="1" applyFill="1" applyBorder="1" applyAlignment="1">
      <alignment horizontal="center"/>
    </xf>
    <xf numFmtId="0" fontId="2" fillId="7" borderId="1" xfId="0" applyFont="1" applyFill="1" applyBorder="1"/>
    <xf numFmtId="0" fontId="3" fillId="7" borderId="1" xfId="0" applyFont="1" applyFill="1" applyBorder="1" applyAlignment="1">
      <alignment horizontal="left"/>
    </xf>
    <xf numFmtId="2" fontId="2" fillId="0" borderId="0" xfId="0" applyNumberFormat="1" applyFont="1" applyAlignment="1">
      <alignment horizontal="center"/>
    </xf>
    <xf numFmtId="0" fontId="2" fillId="8" borderId="0" xfId="0" applyFont="1" applyFill="1"/>
    <xf numFmtId="0" fontId="2" fillId="0" borderId="45" xfId="0" applyFont="1" applyFill="1" applyBorder="1" applyAlignment="1">
      <alignment horizontal="center"/>
    </xf>
    <xf numFmtId="0" fontId="2" fillId="0" borderId="46" xfId="0" applyFont="1" applyFill="1" applyBorder="1" applyAlignment="1">
      <alignment horizontal="center"/>
    </xf>
    <xf numFmtId="0" fontId="2" fillId="0" borderId="47" xfId="0" applyFont="1" applyBorder="1"/>
    <xf numFmtId="0" fontId="5" fillId="7" borderId="1" xfId="0" applyFont="1" applyFill="1" applyBorder="1" applyAlignment="1">
      <alignment horizontal="left"/>
    </xf>
    <xf numFmtId="0" fontId="22" fillId="0" borderId="0" xfId="0" applyFont="1" applyFill="1"/>
    <xf numFmtId="0" fontId="22" fillId="0" borderId="0" xfId="0" applyFont="1"/>
    <xf numFmtId="0" fontId="22" fillId="0" borderId="28" xfId="0" applyFont="1" applyBorder="1"/>
    <xf numFmtId="0" fontId="22" fillId="0" borderId="48" xfId="0" applyFont="1" applyBorder="1"/>
    <xf numFmtId="0" fontId="22" fillId="0" borderId="0" xfId="0" applyFont="1" applyBorder="1"/>
    <xf numFmtId="0" fontId="22" fillId="0" borderId="30" xfId="0" applyFont="1" applyBorder="1"/>
    <xf numFmtId="0" fontId="13" fillId="0" borderId="30" xfId="0" applyFont="1" applyBorder="1"/>
    <xf numFmtId="0" fontId="5" fillId="9" borderId="1" xfId="0" applyFont="1" applyFill="1" applyBorder="1" applyAlignment="1">
      <alignment horizontal="left"/>
    </xf>
    <xf numFmtId="0" fontId="2" fillId="9" borderId="1" xfId="0" applyFont="1" applyFill="1" applyBorder="1" applyAlignment="1">
      <alignment horizontal="center"/>
    </xf>
    <xf numFmtId="0" fontId="2" fillId="9" borderId="1" xfId="0" applyFont="1" applyFill="1" applyBorder="1"/>
    <xf numFmtId="0" fontId="2" fillId="9" borderId="1" xfId="0" applyFont="1" applyFill="1" applyBorder="1" applyAlignment="1">
      <alignment horizontal="left"/>
    </xf>
    <xf numFmtId="2" fontId="2" fillId="8" borderId="0" xfId="0" applyNumberFormat="1" applyFont="1" applyFill="1" applyBorder="1" applyAlignment="1">
      <alignment horizontal="center"/>
    </xf>
    <xf numFmtId="0" fontId="2" fillId="8" borderId="0" xfId="0" applyFont="1" applyFill="1" applyBorder="1" applyAlignment="1">
      <alignment horizontal="center"/>
    </xf>
    <xf numFmtId="0" fontId="2" fillId="8" borderId="0" xfId="0" applyFont="1" applyFill="1" applyAlignment="1">
      <alignment horizontal="center"/>
    </xf>
    <xf numFmtId="0" fontId="5" fillId="8" borderId="0" xfId="0" applyFont="1" applyFill="1" applyBorder="1" applyAlignment="1">
      <alignment horizontal="left"/>
    </xf>
    <xf numFmtId="0" fontId="5" fillId="9" borderId="1" xfId="0" applyFont="1" applyFill="1" applyBorder="1" applyAlignment="1">
      <alignment horizontal="center"/>
    </xf>
    <xf numFmtId="0" fontId="5" fillId="9" borderId="1" xfId="0" applyFont="1" applyFill="1" applyBorder="1"/>
    <xf numFmtId="0" fontId="2" fillId="10" borderId="1" xfId="0" applyFont="1" applyFill="1" applyBorder="1" applyAlignment="1">
      <alignment horizontal="left"/>
    </xf>
    <xf numFmtId="0" fontId="2" fillId="10" borderId="1" xfId="0" applyFont="1" applyFill="1" applyBorder="1" applyAlignment="1">
      <alignment horizontal="center"/>
    </xf>
    <xf numFmtId="0" fontId="5" fillId="10" borderId="1" xfId="0" applyFont="1" applyFill="1" applyBorder="1" applyAlignment="1">
      <alignment horizontal="left"/>
    </xf>
    <xf numFmtId="0" fontId="2" fillId="11" borderId="1" xfId="0" applyFont="1" applyFill="1" applyBorder="1" applyAlignment="1">
      <alignment horizontal="left"/>
    </xf>
    <xf numFmtId="0" fontId="2" fillId="11" borderId="1" xfId="0" applyFont="1" applyFill="1" applyBorder="1" applyAlignment="1">
      <alignment horizontal="center"/>
    </xf>
    <xf numFmtId="0" fontId="5" fillId="8" borderId="0" xfId="0" applyFont="1" applyFill="1" applyBorder="1" applyAlignment="1">
      <alignment horizontal="center"/>
    </xf>
    <xf numFmtId="0" fontId="3" fillId="8" borderId="0" xfId="0" applyFont="1" applyFill="1" applyBorder="1" applyAlignment="1">
      <alignment horizontal="center"/>
    </xf>
    <xf numFmtId="170" fontId="3" fillId="8" borderId="0" xfId="0" applyNumberFormat="1" applyFont="1" applyFill="1" applyBorder="1" applyAlignment="1">
      <alignment horizontal="left"/>
    </xf>
    <xf numFmtId="2" fontId="5" fillId="0" borderId="0" xfId="0" applyNumberFormat="1" applyFont="1" applyFill="1" applyBorder="1" applyAlignment="1">
      <alignment horizontal="center"/>
    </xf>
    <xf numFmtId="166" fontId="2" fillId="0" borderId="0" xfId="0" applyNumberFormat="1" applyFont="1" applyFill="1"/>
    <xf numFmtId="166" fontId="2" fillId="0" borderId="0" xfId="0" applyNumberFormat="1" applyFont="1" applyFill="1" applyAlignment="1">
      <alignment horizontal="center"/>
    </xf>
    <xf numFmtId="0" fontId="2" fillId="13" borderId="0" xfId="0" applyFont="1" applyFill="1" applyBorder="1" applyAlignment="1">
      <alignment horizontal="left"/>
    </xf>
    <xf numFmtId="0" fontId="2" fillId="13" borderId="0" xfId="0" applyFont="1" applyFill="1" applyBorder="1" applyAlignment="1">
      <alignment horizontal="center"/>
    </xf>
    <xf numFmtId="0" fontId="2" fillId="13" borderId="0" xfId="0" applyFont="1" applyFill="1" applyAlignment="1">
      <alignment horizontal="center"/>
    </xf>
    <xf numFmtId="166" fontId="2" fillId="13" borderId="0" xfId="0" applyNumberFormat="1" applyFont="1" applyFill="1" applyAlignment="1">
      <alignment horizontal="center"/>
    </xf>
    <xf numFmtId="0" fontId="2" fillId="13" borderId="0" xfId="0" applyFont="1" applyFill="1"/>
    <xf numFmtId="0" fontId="2" fillId="9" borderId="0" xfId="0" applyFont="1" applyFill="1" applyBorder="1" applyAlignment="1">
      <alignment horizontal="left"/>
    </xf>
    <xf numFmtId="0" fontId="2" fillId="9" borderId="0" xfId="0" applyFont="1" applyFill="1" applyBorder="1" applyAlignment="1">
      <alignment horizontal="center"/>
    </xf>
    <xf numFmtId="0" fontId="2" fillId="9" borderId="0" xfId="0" applyFont="1" applyFill="1" applyAlignment="1">
      <alignment horizontal="center"/>
    </xf>
    <xf numFmtId="166" fontId="2" fillId="9" borderId="0" xfId="0" applyNumberFormat="1" applyFont="1" applyFill="1" applyAlignment="1">
      <alignment horizontal="center"/>
    </xf>
    <xf numFmtId="0" fontId="2" fillId="9" borderId="0" xfId="0" applyFont="1" applyFill="1"/>
    <xf numFmtId="0" fontId="2" fillId="10" borderId="0" xfId="0" applyFont="1" applyFill="1" applyBorder="1" applyAlignment="1">
      <alignment horizontal="left"/>
    </xf>
    <xf numFmtId="0" fontId="2" fillId="10" borderId="0" xfId="0" applyFont="1" applyFill="1" applyBorder="1" applyAlignment="1">
      <alignment horizontal="center"/>
    </xf>
    <xf numFmtId="0" fontId="2" fillId="10" borderId="0" xfId="0" applyFont="1" applyFill="1" applyAlignment="1">
      <alignment horizontal="center"/>
    </xf>
    <xf numFmtId="166" fontId="2" fillId="10" borderId="0" xfId="0" applyNumberFormat="1" applyFont="1" applyFill="1" applyAlignment="1">
      <alignment horizontal="center"/>
    </xf>
    <xf numFmtId="0" fontId="2" fillId="10" borderId="0" xfId="0" applyFont="1" applyFill="1"/>
    <xf numFmtId="0" fontId="2" fillId="11" borderId="0" xfId="0" applyFont="1" applyFill="1" applyBorder="1" applyAlignment="1">
      <alignment horizontal="left"/>
    </xf>
    <xf numFmtId="0" fontId="2" fillId="11" borderId="0" xfId="0" applyFont="1" applyFill="1" applyBorder="1" applyAlignment="1">
      <alignment horizontal="center"/>
    </xf>
    <xf numFmtId="0" fontId="2" fillId="11" borderId="0" xfId="0" applyFont="1" applyFill="1" applyAlignment="1">
      <alignment horizontal="center"/>
    </xf>
    <xf numFmtId="166" fontId="2" fillId="11" borderId="0" xfId="0" applyNumberFormat="1" applyFont="1" applyFill="1" applyAlignment="1">
      <alignment horizontal="center"/>
    </xf>
    <xf numFmtId="0" fontId="2" fillId="11" borderId="0" xfId="0" applyFont="1" applyFill="1"/>
    <xf numFmtId="0" fontId="2" fillId="6" borderId="0" xfId="0" applyFont="1" applyFill="1" applyBorder="1" applyAlignment="1">
      <alignment horizontal="left"/>
    </xf>
    <xf numFmtId="0" fontId="2" fillId="6" borderId="0" xfId="0" applyFont="1" applyFill="1" applyBorder="1" applyAlignment="1">
      <alignment horizontal="center"/>
    </xf>
    <xf numFmtId="0" fontId="2" fillId="6" borderId="0" xfId="0" applyFont="1" applyFill="1" applyAlignment="1">
      <alignment horizontal="center"/>
    </xf>
    <xf numFmtId="166" fontId="2" fillId="6" borderId="0" xfId="0" applyNumberFormat="1" applyFont="1" applyFill="1" applyAlignment="1">
      <alignment horizontal="center"/>
    </xf>
    <xf numFmtId="0" fontId="2" fillId="6" borderId="0" xfId="0" applyFont="1" applyFill="1"/>
    <xf numFmtId="0" fontId="2" fillId="14" borderId="0" xfId="0" applyFont="1" applyFill="1" applyBorder="1" applyAlignment="1">
      <alignment horizontal="left"/>
    </xf>
    <xf numFmtId="0" fontId="2" fillId="14" borderId="0" xfId="0" applyFont="1" applyFill="1" applyBorder="1" applyAlignment="1">
      <alignment horizontal="center"/>
    </xf>
    <xf numFmtId="0" fontId="2" fillId="14" borderId="0" xfId="0" applyFont="1" applyFill="1" applyAlignment="1">
      <alignment horizontal="center"/>
    </xf>
    <xf numFmtId="166" fontId="2" fillId="14" borderId="0" xfId="0" applyNumberFormat="1" applyFont="1" applyFill="1" applyAlignment="1">
      <alignment horizontal="center"/>
    </xf>
    <xf numFmtId="0" fontId="2" fillId="14" borderId="0" xfId="0" applyFont="1" applyFill="1"/>
    <xf numFmtId="0" fontId="21" fillId="0" borderId="0" xfId="0" applyFont="1"/>
    <xf numFmtId="1" fontId="2" fillId="0" borderId="13" xfId="0" applyNumberFormat="1" applyFont="1" applyBorder="1" applyAlignment="1">
      <alignment horizontal="center"/>
    </xf>
    <xf numFmtId="0" fontId="5" fillId="7" borderId="1" xfId="0" applyFont="1" applyFill="1" applyBorder="1"/>
    <xf numFmtId="0" fontId="21" fillId="0" borderId="0" xfId="0" applyFont="1" applyBorder="1" applyAlignment="1">
      <alignment horizontal="right"/>
    </xf>
    <xf numFmtId="49" fontId="5" fillId="0" borderId="0" xfId="0" applyNumberFormat="1" applyFont="1"/>
    <xf numFmtId="0" fontId="2" fillId="0" borderId="0" xfId="0" applyFont="1" applyAlignment="1"/>
    <xf numFmtId="49" fontId="45" fillId="0" borderId="0" xfId="2" applyNumberFormat="1" applyFont="1" applyFill="1" applyBorder="1" applyAlignment="1" applyProtection="1"/>
    <xf numFmtId="0" fontId="33" fillId="0" borderId="0" xfId="0" applyFont="1" applyFill="1" applyBorder="1" applyAlignment="1">
      <alignment horizontal="left"/>
    </xf>
    <xf numFmtId="0" fontId="33" fillId="0" borderId="0" xfId="0" applyFont="1" applyFill="1" applyAlignment="1">
      <alignment horizontal="left"/>
    </xf>
    <xf numFmtId="0" fontId="35" fillId="0" borderId="0" xfId="0" applyFont="1" applyFill="1" applyAlignment="1">
      <alignment horizontal="left"/>
    </xf>
    <xf numFmtId="0" fontId="34" fillId="8" borderId="0" xfId="0" applyFont="1" applyFill="1" applyAlignment="1">
      <alignment horizontal="center"/>
    </xf>
    <xf numFmtId="0" fontId="2" fillId="8" borderId="0" xfId="0" applyNumberFormat="1" applyFont="1" applyFill="1" applyBorder="1" applyAlignment="1">
      <alignment horizontal="center"/>
    </xf>
    <xf numFmtId="1" fontId="2" fillId="8" borderId="0" xfId="0" applyNumberFormat="1" applyFont="1" applyFill="1" applyBorder="1" applyAlignment="1">
      <alignment horizontal="center"/>
    </xf>
    <xf numFmtId="0" fontId="5" fillId="8" borderId="0" xfId="0" applyFont="1" applyFill="1" applyAlignment="1">
      <alignment horizontal="left"/>
    </xf>
    <xf numFmtId="0" fontId="5" fillId="4" borderId="35" xfId="0" applyFont="1" applyFill="1" applyBorder="1" applyAlignment="1">
      <alignment horizontal="left"/>
    </xf>
    <xf numFmtId="0" fontId="2" fillId="4" borderId="35" xfId="0" applyFont="1" applyFill="1" applyBorder="1" applyAlignment="1">
      <alignment horizontal="center"/>
    </xf>
    <xf numFmtId="0" fontId="5" fillId="9" borderId="35" xfId="0" applyFont="1" applyFill="1" applyBorder="1" applyAlignment="1">
      <alignment horizontal="left"/>
    </xf>
    <xf numFmtId="0" fontId="2" fillId="9" borderId="35" xfId="0" applyFont="1" applyFill="1" applyBorder="1" applyAlignment="1">
      <alignment horizontal="center"/>
    </xf>
    <xf numFmtId="0" fontId="3" fillId="8" borderId="0" xfId="0" applyFont="1" applyFill="1" applyAlignment="1">
      <alignment horizontal="center"/>
    </xf>
    <xf numFmtId="0" fontId="3" fillId="7" borderId="35" xfId="0" applyFont="1" applyFill="1" applyBorder="1" applyAlignment="1">
      <alignment horizontal="center"/>
    </xf>
    <xf numFmtId="0" fontId="5" fillId="16" borderId="35" xfId="0" applyFont="1" applyFill="1" applyBorder="1" applyAlignment="1">
      <alignment horizontal="left"/>
    </xf>
    <xf numFmtId="0" fontId="2" fillId="16" borderId="35" xfId="0" applyFont="1" applyFill="1" applyBorder="1" applyAlignment="1">
      <alignment horizontal="center"/>
    </xf>
    <xf numFmtId="1" fontId="2" fillId="0" borderId="0" xfId="0" applyNumberFormat="1" applyFont="1" applyFill="1" applyAlignment="1">
      <alignment horizontal="center"/>
    </xf>
    <xf numFmtId="1" fontId="2" fillId="8" borderId="0" xfId="0" applyNumberFormat="1" applyFont="1" applyFill="1" applyAlignment="1">
      <alignment horizontal="center"/>
    </xf>
    <xf numFmtId="1" fontId="28" fillId="8" borderId="0" xfId="0" applyNumberFormat="1" applyFont="1" applyFill="1" applyBorder="1" applyAlignment="1">
      <alignment horizontal="center"/>
    </xf>
    <xf numFmtId="1" fontId="34" fillId="0" borderId="0" xfId="0" applyNumberFormat="1" applyFont="1" applyFill="1" applyAlignment="1">
      <alignment horizontal="center"/>
    </xf>
    <xf numFmtId="1" fontId="28" fillId="0" borderId="0" xfId="0" applyNumberFormat="1" applyFont="1" applyFill="1" applyAlignment="1">
      <alignment horizontal="center"/>
    </xf>
    <xf numFmtId="0" fontId="2" fillId="4" borderId="0" xfId="0" applyFont="1" applyFill="1" applyAlignment="1">
      <alignment horizontal="center"/>
    </xf>
    <xf numFmtId="0" fontId="2" fillId="15" borderId="0" xfId="0" applyFont="1" applyFill="1" applyAlignment="1">
      <alignment horizontal="center"/>
    </xf>
    <xf numFmtId="0" fontId="2" fillId="4" borderId="1" xfId="0" applyFont="1" applyFill="1" applyBorder="1" applyAlignment="1">
      <alignment horizontal="left"/>
    </xf>
    <xf numFmtId="0" fontId="2" fillId="4" borderId="1" xfId="0" applyFont="1" applyFill="1" applyBorder="1" applyAlignment="1">
      <alignment horizontal="center"/>
    </xf>
    <xf numFmtId="0" fontId="16" fillId="0" borderId="0" xfId="0" applyFont="1" applyAlignment="1">
      <alignment horizontal="right"/>
    </xf>
    <xf numFmtId="0" fontId="0" fillId="0" borderId="0" xfId="0" applyNumberFormat="1" applyAlignment="1">
      <alignment horizontal="center"/>
    </xf>
    <xf numFmtId="49" fontId="0" fillId="0" borderId="0" xfId="0" applyNumberFormat="1" applyAlignment="1">
      <alignment horizontal="center"/>
    </xf>
    <xf numFmtId="1" fontId="0" fillId="0" borderId="0" xfId="0" applyNumberFormat="1" applyAlignment="1">
      <alignment horizontal="center"/>
    </xf>
    <xf numFmtId="0" fontId="5" fillId="0" borderId="0" xfId="0" applyFont="1" applyAlignment="1">
      <alignment horizontal="center"/>
    </xf>
    <xf numFmtId="0" fontId="5" fillId="4" borderId="1" xfId="0" applyFont="1" applyFill="1" applyBorder="1" applyAlignment="1">
      <alignment horizontal="left"/>
    </xf>
    <xf numFmtId="0" fontId="5" fillId="4" borderId="1" xfId="0" applyFont="1" applyFill="1" applyBorder="1" applyAlignment="1">
      <alignment horizontal="center"/>
    </xf>
    <xf numFmtId="0" fontId="5" fillId="4" borderId="1" xfId="0" applyFont="1" applyFill="1" applyBorder="1"/>
    <xf numFmtId="0" fontId="5" fillId="15" borderId="1" xfId="0" applyFont="1" applyFill="1" applyBorder="1" applyAlignment="1">
      <alignment horizontal="left"/>
    </xf>
    <xf numFmtId="0" fontId="5" fillId="15" borderId="1" xfId="0" applyFont="1" applyFill="1" applyBorder="1" applyAlignment="1">
      <alignment horizontal="center"/>
    </xf>
    <xf numFmtId="0" fontId="2" fillId="4" borderId="0" xfId="0" applyFont="1" applyFill="1"/>
    <xf numFmtId="0" fontId="2" fillId="15" borderId="0" xfId="0" applyFont="1" applyFill="1"/>
    <xf numFmtId="10" fontId="2" fillId="0" borderId="0" xfId="0" applyNumberFormat="1" applyFont="1"/>
    <xf numFmtId="9" fontId="2" fillId="0" borderId="0" xfId="0" applyNumberFormat="1" applyFont="1"/>
    <xf numFmtId="2" fontId="2" fillId="0" borderId="0" xfId="0" applyNumberFormat="1" applyFont="1"/>
    <xf numFmtId="0" fontId="46" fillId="0" borderId="0" xfId="0" applyFont="1"/>
    <xf numFmtId="0" fontId="2" fillId="0" borderId="61" xfId="0" applyFont="1" applyBorder="1"/>
    <xf numFmtId="1" fontId="0" fillId="0" borderId="43" xfId="4" applyNumberFormat="1" applyFont="1" applyBorder="1" applyAlignment="1">
      <alignment horizontal="center"/>
    </xf>
    <xf numFmtId="168" fontId="31" fillId="0" borderId="43" xfId="4" applyNumberFormat="1" applyFill="1" applyBorder="1" applyAlignment="1">
      <alignment horizontal="center" wrapText="1"/>
    </xf>
    <xf numFmtId="168" fontId="31" fillId="0" borderId="1" xfId="4" applyNumberFormat="1" applyFill="1" applyBorder="1" applyAlignment="1">
      <alignment horizontal="center" wrapText="1"/>
    </xf>
    <xf numFmtId="168" fontId="31" fillId="0" borderId="45" xfId="4" applyNumberFormat="1" applyFill="1" applyBorder="1" applyAlignment="1">
      <alignment horizontal="center" wrapText="1"/>
    </xf>
    <xf numFmtId="168" fontId="31" fillId="0" borderId="49" xfId="4" applyNumberFormat="1" applyFill="1" applyBorder="1" applyAlignment="1">
      <alignment horizontal="center" wrapText="1"/>
    </xf>
    <xf numFmtId="166" fontId="31" fillId="0" borderId="62" xfId="4" applyNumberFormat="1" applyFill="1" applyBorder="1" applyAlignment="1">
      <alignment horizontal="center" wrapText="1"/>
    </xf>
    <xf numFmtId="166" fontId="31" fillId="0" borderId="1" xfId="4" applyNumberFormat="1" applyFill="1" applyBorder="1" applyAlignment="1">
      <alignment horizontal="center" wrapText="1"/>
    </xf>
    <xf numFmtId="0" fontId="5" fillId="0" borderId="0" xfId="0" applyFont="1"/>
    <xf numFmtId="9" fontId="2" fillId="0" borderId="0" xfId="0" applyNumberFormat="1" applyFont="1" applyAlignment="1">
      <alignment horizontal="center"/>
    </xf>
    <xf numFmtId="166" fontId="31" fillId="0" borderId="49" xfId="4" applyNumberFormat="1" applyFill="1" applyBorder="1" applyAlignment="1">
      <alignment horizontal="center" wrapText="1"/>
    </xf>
    <xf numFmtId="2" fontId="16" fillId="0" borderId="0" xfId="4" applyNumberFormat="1" applyFont="1"/>
    <xf numFmtId="1" fontId="31" fillId="0" borderId="1" xfId="4" applyNumberFormat="1" applyFill="1" applyBorder="1" applyAlignment="1">
      <alignment horizontal="center" wrapText="1"/>
    </xf>
    <xf numFmtId="1" fontId="31" fillId="0" borderId="43" xfId="4" applyNumberFormat="1" applyFill="1" applyBorder="1" applyAlignment="1">
      <alignment horizontal="center"/>
    </xf>
    <xf numFmtId="166" fontId="31" fillId="0" borderId="46" xfId="4" applyNumberFormat="1" applyFill="1" applyBorder="1" applyAlignment="1">
      <alignment horizontal="center" wrapText="1"/>
    </xf>
    <xf numFmtId="166" fontId="31" fillId="0" borderId="43" xfId="4" applyNumberFormat="1" applyFill="1" applyBorder="1" applyAlignment="1">
      <alignment horizontal="center" wrapText="1"/>
    </xf>
    <xf numFmtId="1" fontId="31" fillId="0" borderId="64" xfId="4" applyNumberFormat="1" applyFill="1" applyBorder="1" applyAlignment="1">
      <alignment horizontal="center" wrapText="1"/>
    </xf>
    <xf numFmtId="1" fontId="31" fillId="0" borderId="64" xfId="4" applyNumberFormat="1" applyFill="1" applyBorder="1" applyAlignment="1">
      <alignment horizontal="center"/>
    </xf>
    <xf numFmtId="168" fontId="31" fillId="0" borderId="64" xfId="4" applyNumberFormat="1" applyFill="1" applyBorder="1" applyAlignment="1">
      <alignment horizontal="center" wrapText="1"/>
    </xf>
    <xf numFmtId="2" fontId="31" fillId="0" borderId="43" xfId="4" applyNumberFormat="1" applyFill="1" applyBorder="1" applyAlignment="1">
      <alignment horizontal="center" wrapText="1"/>
    </xf>
    <xf numFmtId="2" fontId="0" fillId="0" borderId="43" xfId="4" applyNumberFormat="1" applyFont="1" applyBorder="1" applyAlignment="1">
      <alignment horizontal="center"/>
    </xf>
    <xf numFmtId="166" fontId="31" fillId="0" borderId="63" xfId="4" applyNumberFormat="1" applyFill="1" applyBorder="1" applyAlignment="1">
      <alignment horizontal="center" wrapText="1"/>
    </xf>
    <xf numFmtId="166" fontId="31" fillId="0" borderId="64" xfId="4" applyNumberFormat="1" applyFill="1" applyBorder="1" applyAlignment="1">
      <alignment horizontal="center" wrapText="1"/>
    </xf>
    <xf numFmtId="168" fontId="31" fillId="0" borderId="65" xfId="4" applyNumberFormat="1" applyFill="1" applyBorder="1" applyAlignment="1">
      <alignment horizontal="center" wrapText="1"/>
    </xf>
    <xf numFmtId="166" fontId="31" fillId="0" borderId="45" xfId="4" applyNumberFormat="1" applyFill="1" applyBorder="1" applyAlignment="1">
      <alignment horizontal="center" wrapText="1"/>
    </xf>
    <xf numFmtId="166" fontId="31" fillId="0" borderId="65" xfId="4" applyNumberFormat="1" applyFill="1" applyBorder="1" applyAlignment="1">
      <alignment horizontal="center" wrapText="1"/>
    </xf>
    <xf numFmtId="2" fontId="31" fillId="0" borderId="45" xfId="4" applyNumberFormat="1" applyFill="1" applyBorder="1" applyAlignment="1">
      <alignment horizontal="center" wrapText="1"/>
    </xf>
    <xf numFmtId="166" fontId="0" fillId="0" borderId="0" xfId="4" applyNumberFormat="1" applyFont="1" applyAlignment="1"/>
    <xf numFmtId="0" fontId="0" fillId="0" borderId="0" xfId="4" quotePrefix="1" applyFont="1"/>
    <xf numFmtId="0" fontId="2" fillId="12" borderId="0" xfId="0" applyFont="1" applyFill="1"/>
    <xf numFmtId="10" fontId="16" fillId="0" borderId="0" xfId="4" applyNumberFormat="1" applyFont="1" applyBorder="1"/>
    <xf numFmtId="0" fontId="16" fillId="0" borderId="27" xfId="4" applyFont="1" applyBorder="1"/>
    <xf numFmtId="0" fontId="0" fillId="0" borderId="28" xfId="4" applyFont="1" applyBorder="1"/>
    <xf numFmtId="0" fontId="0" fillId="0" borderId="48" xfId="4" applyFont="1" applyBorder="1"/>
    <xf numFmtId="0" fontId="0" fillId="0" borderId="29" xfId="4" applyFont="1" applyBorder="1"/>
    <xf numFmtId="0" fontId="0" fillId="0" borderId="30" xfId="4" applyFont="1" applyBorder="1"/>
    <xf numFmtId="166" fontId="0" fillId="0" borderId="30" xfId="4" applyNumberFormat="1" applyFont="1" applyBorder="1"/>
    <xf numFmtId="0" fontId="16" fillId="0" borderId="29" xfId="4" applyFont="1" applyBorder="1"/>
    <xf numFmtId="0" fontId="16" fillId="0" borderId="31" xfId="4" applyFont="1" applyBorder="1"/>
    <xf numFmtId="10" fontId="16" fillId="0" borderId="22" xfId="4" applyNumberFormat="1" applyFont="1" applyBorder="1"/>
    <xf numFmtId="166" fontId="0" fillId="0" borderId="22" xfId="4" applyNumberFormat="1" applyFont="1" applyBorder="1"/>
    <xf numFmtId="10" fontId="0" fillId="0" borderId="22" xfId="4" applyNumberFormat="1" applyFont="1" applyBorder="1"/>
    <xf numFmtId="0" fontId="0" fillId="0" borderId="32" xfId="4" applyFont="1" applyBorder="1"/>
    <xf numFmtId="10" fontId="2" fillId="0" borderId="0" xfId="0" applyNumberFormat="1" applyFont="1" applyAlignment="1">
      <alignment horizontal="center"/>
    </xf>
    <xf numFmtId="0" fontId="38" fillId="0" borderId="0" xfId="0" applyFont="1" applyBorder="1" applyAlignment="1">
      <alignment horizontal="right"/>
    </xf>
    <xf numFmtId="0" fontId="22" fillId="0" borderId="30" xfId="0" applyFont="1" applyBorder="1" applyAlignment="1"/>
    <xf numFmtId="0" fontId="0" fillId="0" borderId="0" xfId="0" applyAlignment="1">
      <alignment horizontal="right"/>
    </xf>
    <xf numFmtId="0" fontId="16" fillId="0" borderId="27" xfId="4" applyFont="1" applyBorder="1" applyAlignment="1"/>
    <xf numFmtId="0" fontId="0" fillId="0" borderId="29" xfId="4" applyFont="1" applyBorder="1" applyAlignment="1"/>
    <xf numFmtId="0" fontId="16" fillId="0" borderId="0" xfId="4" applyFont="1" applyBorder="1" applyAlignment="1">
      <alignment horizontal="center"/>
    </xf>
    <xf numFmtId="0" fontId="16" fillId="0" borderId="30" xfId="4" applyFont="1" applyBorder="1" applyAlignment="1">
      <alignment horizontal="center"/>
    </xf>
    <xf numFmtId="9" fontId="0" fillId="0" borderId="0" xfId="4" applyNumberFormat="1" applyFont="1" applyBorder="1" applyAlignment="1">
      <alignment horizontal="center"/>
    </xf>
    <xf numFmtId="166" fontId="0" fillId="0" borderId="0" xfId="4" applyNumberFormat="1" applyFont="1" applyBorder="1" applyAlignment="1">
      <alignment horizontal="center"/>
    </xf>
    <xf numFmtId="166" fontId="0" fillId="0" borderId="30" xfId="4" applyNumberFormat="1" applyFont="1" applyBorder="1" applyAlignment="1">
      <alignment horizontal="center"/>
    </xf>
    <xf numFmtId="0" fontId="16" fillId="0" borderId="29" xfId="4" applyFont="1" applyBorder="1" applyAlignment="1"/>
    <xf numFmtId="166" fontId="16" fillId="0" borderId="30" xfId="4" applyNumberFormat="1" applyFont="1" applyBorder="1" applyAlignment="1">
      <alignment horizontal="center"/>
    </xf>
    <xf numFmtId="0" fontId="16" fillId="0" borderId="29" xfId="4" applyFont="1" applyBorder="1" applyAlignment="1">
      <alignment horizontal="center"/>
    </xf>
    <xf numFmtId="166" fontId="31" fillId="0" borderId="29" xfId="4" applyNumberFormat="1" applyFont="1" applyBorder="1" applyAlignment="1">
      <alignment horizontal="center"/>
    </xf>
    <xf numFmtId="166" fontId="31" fillId="0" borderId="0" xfId="4" applyNumberFormat="1" applyFont="1" applyBorder="1" applyAlignment="1">
      <alignment horizontal="center"/>
    </xf>
    <xf numFmtId="166" fontId="16" fillId="0" borderId="31" xfId="4" applyNumberFormat="1" applyFont="1" applyBorder="1" applyAlignment="1">
      <alignment horizontal="center"/>
    </xf>
    <xf numFmtId="166" fontId="16" fillId="0" borderId="22" xfId="4" applyNumberFormat="1" applyFont="1" applyBorder="1" applyAlignment="1">
      <alignment horizontal="center"/>
    </xf>
    <xf numFmtId="0" fontId="54" fillId="0" borderId="0" xfId="0" applyFont="1"/>
    <xf numFmtId="0" fontId="19" fillId="0" borderId="0" xfId="0" applyFont="1" applyAlignment="1">
      <alignment horizontal="left"/>
    </xf>
    <xf numFmtId="0" fontId="0" fillId="0" borderId="0" xfId="0" applyAlignment="1">
      <alignment horizontal="left"/>
    </xf>
    <xf numFmtId="0" fontId="55" fillId="0" borderId="0" xfId="0" applyFont="1"/>
    <xf numFmtId="2" fontId="54" fillId="0" borderId="0" xfId="0" applyNumberFormat="1" applyFont="1"/>
    <xf numFmtId="0" fontId="54" fillId="0" borderId="0" xfId="0" applyNumberFormat="1" applyFont="1" applyFill="1"/>
    <xf numFmtId="0" fontId="54" fillId="0" borderId="0" xfId="0" applyNumberFormat="1" applyFont="1" applyFill="1" applyAlignment="1">
      <alignment horizontal="right"/>
    </xf>
    <xf numFmtId="0" fontId="30" fillId="0" borderId="0" xfId="0" applyFont="1" applyFill="1" applyBorder="1"/>
    <xf numFmtId="168" fontId="0" fillId="0" borderId="0" xfId="0" applyNumberFormat="1"/>
    <xf numFmtId="0" fontId="31" fillId="0" borderId="0" xfId="0" applyFont="1" applyAlignment="1">
      <alignment horizontal="right"/>
    </xf>
    <xf numFmtId="0" fontId="31" fillId="17" borderId="0" xfId="0" applyFont="1" applyFill="1"/>
    <xf numFmtId="0" fontId="0" fillId="17" borderId="0" xfId="0" applyFill="1"/>
    <xf numFmtId="2" fontId="0" fillId="17" borderId="0" xfId="0" applyNumberFormat="1" applyFill="1"/>
    <xf numFmtId="2" fontId="0" fillId="0" borderId="0" xfId="0" applyNumberFormat="1" applyAlignment="1">
      <alignment horizontal="right"/>
    </xf>
    <xf numFmtId="0" fontId="24" fillId="0" borderId="0" xfId="0" applyFont="1" applyFill="1" applyBorder="1"/>
    <xf numFmtId="0" fontId="31" fillId="0" borderId="0" xfId="0" applyFont="1" applyFill="1" applyBorder="1"/>
    <xf numFmtId="0" fontId="24" fillId="0" borderId="0" xfId="0" applyNumberFormat="1" applyFont="1" applyFill="1" applyBorder="1" applyAlignment="1">
      <alignment horizontal="center"/>
    </xf>
    <xf numFmtId="166" fontId="20" fillId="0" borderId="0" xfId="0" applyNumberFormat="1" applyFont="1" applyFill="1" applyBorder="1"/>
    <xf numFmtId="166" fontId="0" fillId="15" borderId="93" xfId="0" applyNumberFormat="1" applyFill="1" applyBorder="1"/>
    <xf numFmtId="166" fontId="0" fillId="15" borderId="41" xfId="0" applyNumberFormat="1" applyFill="1" applyBorder="1"/>
    <xf numFmtId="166" fontId="0" fillId="15" borderId="94" xfId="0" applyNumberFormat="1" applyFill="1" applyBorder="1"/>
    <xf numFmtId="0" fontId="0" fillId="0" borderId="0" xfId="0" applyNumberFormat="1" applyFill="1" applyBorder="1" applyAlignment="1">
      <alignment horizontal="center"/>
    </xf>
    <xf numFmtId="0" fontId="18" fillId="17" borderId="0" xfId="0" applyFont="1" applyFill="1"/>
    <xf numFmtId="0" fontId="0" fillId="0" borderId="0" xfId="0" applyNumberFormat="1" applyFill="1" applyBorder="1" applyAlignment="1">
      <alignment horizontal="left"/>
    </xf>
    <xf numFmtId="0" fontId="18" fillId="0" borderId="0" xfId="0" applyFont="1" applyFill="1" applyBorder="1"/>
    <xf numFmtId="0" fontId="56" fillId="0" borderId="0" xfId="0" applyFont="1"/>
    <xf numFmtId="2" fontId="56" fillId="0" borderId="0" xfId="0" applyNumberFormat="1" applyFont="1" applyAlignment="1">
      <alignment horizontal="right"/>
    </xf>
    <xf numFmtId="168" fontId="56" fillId="0" borderId="0" xfId="0" applyNumberFormat="1" applyFont="1"/>
    <xf numFmtId="0" fontId="57" fillId="0" borderId="0" xfId="0" applyFont="1" applyAlignment="1">
      <alignment horizontal="right"/>
    </xf>
    <xf numFmtId="0" fontId="0" fillId="0" borderId="0" xfId="0" applyNumberFormat="1" applyBorder="1" applyAlignment="1">
      <alignment horizontal="center"/>
    </xf>
    <xf numFmtId="0" fontId="19" fillId="0" borderId="0" xfId="0" applyFont="1" applyFill="1" applyAlignment="1">
      <alignment horizontal="center"/>
    </xf>
    <xf numFmtId="0" fontId="19" fillId="0" borderId="0" xfId="0" applyFont="1" applyFill="1" applyAlignment="1">
      <alignment horizontal="center" vertical="top" wrapText="1"/>
    </xf>
    <xf numFmtId="0" fontId="19" fillId="0" borderId="0" xfId="0" applyFont="1" applyAlignment="1">
      <alignment horizontal="center"/>
    </xf>
    <xf numFmtId="0" fontId="0" fillId="0" borderId="0" xfId="0" applyFill="1" applyAlignment="1">
      <alignment horizontal="right"/>
    </xf>
    <xf numFmtId="0" fontId="56" fillId="0" borderId="0" xfId="0" applyFont="1" applyFill="1" applyAlignment="1">
      <alignment horizontal="right"/>
    </xf>
    <xf numFmtId="0" fontId="18" fillId="0" borderId="0" xfId="0" applyFont="1" applyFill="1" applyAlignment="1">
      <alignment horizontal="right"/>
    </xf>
    <xf numFmtId="0" fontId="18" fillId="0" borderId="0" xfId="0" applyFont="1" applyFill="1" applyAlignment="1">
      <alignment horizontal="right" vertical="top" wrapText="1"/>
    </xf>
    <xf numFmtId="0" fontId="18" fillId="0" borderId="0" xfId="0" applyFont="1" applyAlignment="1">
      <alignment horizontal="right"/>
    </xf>
    <xf numFmtId="1" fontId="18" fillId="0" borderId="0" xfId="0" applyNumberFormat="1" applyFont="1" applyFill="1" applyAlignment="1">
      <alignment horizontal="right"/>
    </xf>
    <xf numFmtId="0" fontId="31" fillId="0" borderId="0" xfId="0" applyFont="1" applyFill="1" applyAlignment="1">
      <alignment horizontal="right"/>
    </xf>
    <xf numFmtId="0" fontId="58" fillId="18" borderId="0" xfId="0" applyFont="1" applyFill="1"/>
    <xf numFmtId="0" fontId="0" fillId="18" borderId="84" xfId="0" applyFill="1" applyBorder="1"/>
    <xf numFmtId="0" fontId="0" fillId="18" borderId="47" xfId="0" applyFill="1" applyBorder="1"/>
    <xf numFmtId="0" fontId="18" fillId="18" borderId="47" xfId="0" applyFont="1" applyFill="1" applyBorder="1"/>
    <xf numFmtId="166" fontId="0" fillId="18" borderId="47" xfId="0" applyNumberFormat="1" applyFill="1" applyBorder="1"/>
    <xf numFmtId="166" fontId="18" fillId="18" borderId="47" xfId="0" applyNumberFormat="1" applyFont="1" applyFill="1" applyBorder="1"/>
    <xf numFmtId="168" fontId="18" fillId="18" borderId="47" xfId="0" applyNumberFormat="1" applyFont="1" applyFill="1" applyBorder="1"/>
    <xf numFmtId="2" fontId="0" fillId="18" borderId="47" xfId="0" applyNumberFormat="1" applyFill="1" applyBorder="1"/>
    <xf numFmtId="2" fontId="18" fillId="18" borderId="47" xfId="0" applyNumberFormat="1" applyFont="1" applyFill="1" applyBorder="1"/>
    <xf numFmtId="171" fontId="0" fillId="18" borderId="47" xfId="0" applyNumberFormat="1" applyFill="1" applyBorder="1"/>
    <xf numFmtId="166" fontId="31" fillId="18" borderId="47" xfId="0" applyNumberFormat="1" applyFont="1" applyFill="1" applyBorder="1"/>
    <xf numFmtId="2" fontId="16" fillId="19" borderId="47" xfId="0" applyNumberFormat="1" applyFont="1" applyFill="1" applyBorder="1"/>
    <xf numFmtId="2" fontId="0" fillId="18" borderId="84" xfId="0" applyNumberFormat="1" applyFill="1" applyBorder="1"/>
    <xf numFmtId="2" fontId="0" fillId="18" borderId="85" xfId="0" applyNumberFormat="1" applyFill="1" applyBorder="1"/>
    <xf numFmtId="0" fontId="0" fillId="18" borderId="0" xfId="0" applyFill="1" applyBorder="1" applyAlignment="1">
      <alignment horizontal="center"/>
    </xf>
    <xf numFmtId="0" fontId="0" fillId="0" borderId="40" xfId="0" applyBorder="1"/>
    <xf numFmtId="0" fontId="18" fillId="0" borderId="0" xfId="0" applyFont="1" applyBorder="1"/>
    <xf numFmtId="166" fontId="0" fillId="0" borderId="0" xfId="0" applyNumberFormat="1" applyBorder="1"/>
    <xf numFmtId="166" fontId="18" fillId="0" borderId="0" xfId="0" applyNumberFormat="1" applyFont="1" applyBorder="1"/>
    <xf numFmtId="168" fontId="18" fillId="0" borderId="0" xfId="0" applyNumberFormat="1" applyFont="1" applyBorder="1"/>
    <xf numFmtId="2" fontId="18" fillId="0" borderId="0" xfId="0" applyNumberFormat="1" applyFont="1" applyBorder="1"/>
    <xf numFmtId="171" fontId="0" fillId="0" borderId="0" xfId="0" applyNumberFormat="1" applyBorder="1"/>
    <xf numFmtId="166" fontId="31" fillId="0" borderId="0" xfId="0" applyNumberFormat="1" applyFont="1" applyBorder="1"/>
    <xf numFmtId="2" fontId="16" fillId="4" borderId="0" xfId="0" applyNumberFormat="1" applyFont="1" applyFill="1" applyBorder="1"/>
    <xf numFmtId="2" fontId="0" fillId="0" borderId="40" xfId="0" applyNumberFormat="1" applyBorder="1"/>
    <xf numFmtId="2" fontId="0" fillId="0" borderId="69" xfId="0" applyNumberFormat="1" applyBorder="1"/>
    <xf numFmtId="0" fontId="0" fillId="0" borderId="0" xfId="0" applyBorder="1" applyAlignment="1">
      <alignment horizontal="center"/>
    </xf>
    <xf numFmtId="168" fontId="18" fillId="0" borderId="0" xfId="0" applyNumberFormat="1" applyFont="1"/>
    <xf numFmtId="0" fontId="0" fillId="0" borderId="40" xfId="0" applyFill="1" applyBorder="1"/>
    <xf numFmtId="166" fontId="18" fillId="0" borderId="0" xfId="0" applyNumberFormat="1" applyFont="1" applyFill="1" applyBorder="1"/>
    <xf numFmtId="168" fontId="18" fillId="0" borderId="0" xfId="0" applyNumberFormat="1" applyFont="1" applyFill="1"/>
    <xf numFmtId="2" fontId="18" fillId="0" borderId="0" xfId="0" applyNumberFormat="1" applyFont="1" applyFill="1" applyBorder="1"/>
    <xf numFmtId="166" fontId="31" fillId="0" borderId="0" xfId="0" applyNumberFormat="1" applyFont="1" applyFill="1" applyBorder="1"/>
    <xf numFmtId="2" fontId="0" fillId="0" borderId="40" xfId="0" applyNumberFormat="1" applyFill="1" applyBorder="1"/>
    <xf numFmtId="0" fontId="24" fillId="0" borderId="0" xfId="0" applyFont="1"/>
    <xf numFmtId="0" fontId="59" fillId="18" borderId="0" xfId="0" applyFont="1" applyFill="1"/>
    <xf numFmtId="0" fontId="0" fillId="18" borderId="40" xfId="0" applyFill="1" applyBorder="1"/>
    <xf numFmtId="0" fontId="0" fillId="18" borderId="0" xfId="0" applyFill="1" applyBorder="1"/>
    <xf numFmtId="0" fontId="18" fillId="18" borderId="0" xfId="0" applyFont="1" applyFill="1" applyBorder="1"/>
    <xf numFmtId="166" fontId="0" fillId="18" borderId="0" xfId="0" applyNumberFormat="1" applyFill="1" applyBorder="1"/>
    <xf numFmtId="166" fontId="18" fillId="18" borderId="0" xfId="0" applyNumberFormat="1" applyFont="1" applyFill="1" applyBorder="1"/>
    <xf numFmtId="168" fontId="18" fillId="18" borderId="0" xfId="0" applyNumberFormat="1" applyFont="1" applyFill="1" applyBorder="1"/>
    <xf numFmtId="2" fontId="0" fillId="18" borderId="0" xfId="0" applyNumberFormat="1" applyFill="1" applyBorder="1"/>
    <xf numFmtId="2" fontId="18" fillId="18" borderId="0" xfId="0" applyNumberFormat="1" applyFont="1" applyFill="1" applyBorder="1"/>
    <xf numFmtId="171" fontId="0" fillId="18" borderId="0" xfId="0" applyNumberFormat="1" applyFill="1" applyBorder="1"/>
    <xf numFmtId="166" fontId="31" fillId="18" borderId="0" xfId="0" applyNumberFormat="1" applyFont="1" applyFill="1" applyBorder="1"/>
    <xf numFmtId="2" fontId="16" fillId="19" borderId="0" xfId="0" applyNumberFormat="1" applyFont="1" applyFill="1" applyBorder="1"/>
    <xf numFmtId="2" fontId="0" fillId="18" borderId="40" xfId="0" applyNumberFormat="1" applyFill="1" applyBorder="1"/>
    <xf numFmtId="2" fontId="0" fillId="18" borderId="69" xfId="0" applyNumberFormat="1" applyFill="1" applyBorder="1"/>
    <xf numFmtId="0" fontId="2" fillId="8" borderId="47" xfId="0" applyFont="1" applyFill="1" applyBorder="1"/>
    <xf numFmtId="0" fontId="7" fillId="4" borderId="35" xfId="0" applyFont="1" applyFill="1" applyBorder="1" applyAlignment="1">
      <alignment horizontal="left"/>
    </xf>
    <xf numFmtId="0" fontId="7" fillId="9" borderId="35" xfId="0" applyFont="1" applyFill="1" applyBorder="1" applyAlignment="1">
      <alignment horizontal="left"/>
    </xf>
    <xf numFmtId="0" fontId="7" fillId="16" borderId="35" xfId="0" applyFont="1" applyFill="1" applyBorder="1" applyAlignment="1">
      <alignment horizontal="left"/>
    </xf>
    <xf numFmtId="0" fontId="0" fillId="0" borderId="0" xfId="0" applyNumberFormat="1" applyFill="1" applyAlignment="1">
      <alignment horizontal="left"/>
    </xf>
    <xf numFmtId="9" fontId="31" fillId="0" borderId="0" xfId="5" applyFill="1" applyBorder="1" applyAlignment="1">
      <alignment horizontal="center"/>
    </xf>
    <xf numFmtId="0" fontId="16" fillId="0" borderId="0" xfId="0" applyNumberFormat="1" applyFont="1" applyFill="1" applyBorder="1" applyAlignment="1">
      <alignment horizontal="center"/>
    </xf>
    <xf numFmtId="49" fontId="16" fillId="0" borderId="0" xfId="0" applyNumberFormat="1" applyFont="1" applyFill="1" applyBorder="1" applyAlignment="1">
      <alignment horizontal="center"/>
    </xf>
    <xf numFmtId="9" fontId="16" fillId="0" borderId="0" xfId="0" applyNumberFormat="1" applyFont="1" applyFill="1" applyBorder="1" applyAlignment="1">
      <alignment horizontal="center"/>
    </xf>
    <xf numFmtId="9" fontId="0" fillId="0" borderId="0" xfId="0" applyNumberFormat="1" applyFont="1" applyFill="1" applyBorder="1" applyAlignment="1">
      <alignment horizontal="center"/>
    </xf>
    <xf numFmtId="0" fontId="0" fillId="0" borderId="0" xfId="0" applyNumberFormat="1" applyFont="1" applyFill="1" applyAlignment="1">
      <alignment horizontal="center"/>
    </xf>
    <xf numFmtId="9" fontId="31" fillId="0" borderId="0" xfId="5" applyFont="1"/>
    <xf numFmtId="0" fontId="16" fillId="0" borderId="0" xfId="0" applyFont="1" applyFill="1" applyBorder="1" applyAlignment="1"/>
    <xf numFmtId="0" fontId="16" fillId="0" borderId="30" xfId="0" applyFont="1" applyFill="1" applyBorder="1" applyAlignment="1"/>
    <xf numFmtId="2" fontId="0" fillId="0" borderId="0" xfId="0" applyNumberFormat="1" applyFont="1" applyAlignment="1">
      <alignment horizontal="center"/>
    </xf>
    <xf numFmtId="0" fontId="61" fillId="0" borderId="0" xfId="0" applyFont="1"/>
    <xf numFmtId="1" fontId="6" fillId="23" borderId="67" xfId="0" applyNumberFormat="1" applyFont="1" applyFill="1" applyBorder="1" applyAlignment="1">
      <alignment horizontal="center"/>
    </xf>
    <xf numFmtId="1" fontId="6" fillId="22" borderId="67" xfId="5" applyNumberFormat="1" applyFont="1" applyFill="1" applyBorder="1" applyAlignment="1">
      <alignment horizontal="center"/>
    </xf>
    <xf numFmtId="0" fontId="47" fillId="25" borderId="53" xfId="0" applyFont="1" applyFill="1" applyBorder="1" applyAlignment="1">
      <alignment horizontal="center"/>
    </xf>
    <xf numFmtId="0" fontId="47" fillId="25" borderId="66" xfId="0" applyFont="1" applyFill="1" applyBorder="1" applyAlignment="1">
      <alignment horizontal="center"/>
    </xf>
    <xf numFmtId="0" fontId="47" fillId="25" borderId="54" xfId="0" applyFont="1" applyFill="1" applyBorder="1" applyAlignment="1">
      <alignment horizontal="center"/>
    </xf>
    <xf numFmtId="0" fontId="16" fillId="21" borderId="12" xfId="0" applyFont="1" applyFill="1" applyBorder="1" applyAlignment="1">
      <alignment horizontal="center"/>
    </xf>
    <xf numFmtId="0" fontId="16" fillId="21" borderId="55" xfId="0" applyFont="1" applyFill="1" applyBorder="1" applyAlignment="1">
      <alignment horizontal="center"/>
    </xf>
    <xf numFmtId="0" fontId="16" fillId="21" borderId="66" xfId="0" applyFont="1" applyFill="1" applyBorder="1" applyAlignment="1">
      <alignment horizontal="center"/>
    </xf>
    <xf numFmtId="0" fontId="16" fillId="21" borderId="54" xfId="0" applyFont="1" applyFill="1" applyBorder="1" applyAlignment="1">
      <alignment horizontal="center"/>
    </xf>
    <xf numFmtId="0" fontId="0" fillId="0" borderId="30" xfId="0" applyBorder="1"/>
    <xf numFmtId="0" fontId="2" fillId="20" borderId="24" xfId="0" applyFont="1" applyFill="1" applyBorder="1"/>
    <xf numFmtId="0" fontId="2" fillId="20" borderId="25" xfId="0" applyFont="1" applyFill="1" applyBorder="1"/>
    <xf numFmtId="168" fontId="0" fillId="0" borderId="121" xfId="4" applyNumberFormat="1" applyFont="1" applyFill="1" applyBorder="1" applyAlignment="1">
      <alignment horizontal="left"/>
    </xf>
    <xf numFmtId="168" fontId="0" fillId="0" borderId="122" xfId="4" applyNumberFormat="1" applyFont="1" applyFill="1" applyBorder="1" applyAlignment="1">
      <alignment horizontal="left"/>
    </xf>
    <xf numFmtId="2" fontId="31" fillId="0" borderId="64" xfId="4" applyNumberFormat="1" applyFill="1" applyBorder="1" applyAlignment="1">
      <alignment horizontal="center" wrapText="1"/>
    </xf>
    <xf numFmtId="2" fontId="0" fillId="0" borderId="65" xfId="4" applyNumberFormat="1" applyFont="1" applyBorder="1" applyAlignment="1">
      <alignment horizontal="center"/>
    </xf>
    <xf numFmtId="2" fontId="0" fillId="0" borderId="64" xfId="4" applyNumberFormat="1" applyFont="1" applyBorder="1" applyAlignment="1">
      <alignment horizontal="center"/>
    </xf>
    <xf numFmtId="168" fontId="0" fillId="0" borderId="123" xfId="4" applyNumberFormat="1" applyFont="1" applyBorder="1" applyAlignment="1">
      <alignment horizontal="left"/>
    </xf>
    <xf numFmtId="168" fontId="16" fillId="0" borderId="124" xfId="4" applyNumberFormat="1" applyFont="1" applyFill="1" applyBorder="1" applyAlignment="1">
      <alignment horizontal="left"/>
    </xf>
    <xf numFmtId="168" fontId="31" fillId="0" borderId="125" xfId="4" applyNumberFormat="1" applyFill="1" applyBorder="1" applyAlignment="1">
      <alignment wrapText="1"/>
    </xf>
    <xf numFmtId="168" fontId="31" fillId="0" borderId="126" xfId="4" applyNumberFormat="1" applyFill="1" applyBorder="1" applyAlignment="1">
      <alignment wrapText="1"/>
    </xf>
    <xf numFmtId="168" fontId="31" fillId="0" borderId="127" xfId="4" applyNumberFormat="1" applyFill="1" applyBorder="1" applyAlignment="1">
      <alignment wrapText="1"/>
    </xf>
    <xf numFmtId="166" fontId="31" fillId="0" borderId="125" xfId="4" applyNumberFormat="1" applyFill="1" applyBorder="1" applyAlignment="1">
      <alignment wrapText="1"/>
    </xf>
    <xf numFmtId="166" fontId="31" fillId="0" borderId="126" xfId="4" applyNumberFormat="1" applyFill="1" applyBorder="1" applyAlignment="1">
      <alignment wrapText="1"/>
    </xf>
    <xf numFmtId="166" fontId="31" fillId="0" borderId="127" xfId="4" applyNumberFormat="1" applyFill="1" applyBorder="1" applyAlignment="1">
      <alignment wrapText="1"/>
    </xf>
    <xf numFmtId="168" fontId="31" fillId="0" borderId="128" xfId="4" applyNumberFormat="1" applyFill="1" applyBorder="1" applyAlignment="1">
      <alignment vertical="center"/>
    </xf>
    <xf numFmtId="168" fontId="16" fillId="0" borderId="129" xfId="4" applyNumberFormat="1" applyFont="1" applyFill="1" applyBorder="1" applyAlignment="1">
      <alignment horizontal="center" vertical="center" wrapText="1"/>
    </xf>
    <xf numFmtId="168" fontId="16" fillId="0" borderId="130" xfId="4" applyNumberFormat="1" applyFont="1" applyFill="1" applyBorder="1" applyAlignment="1">
      <alignment horizontal="center" vertical="center" wrapText="1"/>
    </xf>
    <xf numFmtId="168" fontId="16" fillId="0" borderId="131" xfId="4" applyNumberFormat="1" applyFont="1" applyFill="1" applyBorder="1" applyAlignment="1">
      <alignment horizontal="center" vertical="center" wrapText="1"/>
    </xf>
    <xf numFmtId="168" fontId="0" fillId="0" borderId="132" xfId="4" applyNumberFormat="1" applyFont="1" applyFill="1" applyBorder="1" applyAlignment="1">
      <alignment horizontal="left"/>
    </xf>
    <xf numFmtId="1" fontId="31" fillId="0" borderId="133" xfId="4" applyNumberFormat="1" applyFill="1" applyBorder="1" applyAlignment="1">
      <alignment horizontal="center"/>
    </xf>
    <xf numFmtId="1" fontId="31" fillId="0" borderId="134" xfId="4" applyNumberFormat="1" applyFill="1" applyBorder="1" applyAlignment="1">
      <alignment horizontal="center" wrapText="1"/>
    </xf>
    <xf numFmtId="1" fontId="31" fillId="0" borderId="135" xfId="4" applyNumberFormat="1" applyFill="1" applyBorder="1" applyAlignment="1">
      <alignment horizontal="center"/>
    </xf>
    <xf numFmtId="166" fontId="31" fillId="0" borderId="133" xfId="4" applyNumberFormat="1" applyFill="1" applyBorder="1" applyAlignment="1">
      <alignment horizontal="center" wrapText="1"/>
    </xf>
    <xf numFmtId="166" fontId="31" fillId="0" borderId="134" xfId="4" applyNumberFormat="1" applyFill="1" applyBorder="1" applyAlignment="1">
      <alignment horizontal="center" wrapText="1"/>
    </xf>
    <xf numFmtId="166" fontId="31" fillId="0" borderId="135" xfId="4" applyNumberFormat="1" applyFill="1" applyBorder="1" applyAlignment="1">
      <alignment horizontal="center" wrapText="1"/>
    </xf>
    <xf numFmtId="2" fontId="0" fillId="0" borderId="133" xfId="4" applyNumberFormat="1" applyFont="1" applyBorder="1" applyAlignment="1">
      <alignment horizontal="center"/>
    </xf>
    <xf numFmtId="2" fontId="0" fillId="0" borderId="135" xfId="4" applyNumberFormat="1" applyFont="1" applyBorder="1" applyAlignment="1">
      <alignment horizontal="center"/>
    </xf>
    <xf numFmtId="168" fontId="0" fillId="0" borderId="136" xfId="4" applyNumberFormat="1" applyFont="1" applyFill="1" applyBorder="1" applyAlignment="1">
      <alignment horizontal="left"/>
    </xf>
    <xf numFmtId="1" fontId="0" fillId="0" borderId="137" xfId="4" applyNumberFormat="1" applyFont="1" applyBorder="1" applyAlignment="1">
      <alignment horizontal="center"/>
    </xf>
    <xf numFmtId="1" fontId="0" fillId="0" borderId="138" xfId="4" applyNumberFormat="1" applyFont="1" applyBorder="1" applyAlignment="1">
      <alignment horizontal="center"/>
    </xf>
    <xf numFmtId="1" fontId="0" fillId="0" borderId="139" xfId="4" applyNumberFormat="1" applyFont="1" applyBorder="1" applyAlignment="1">
      <alignment horizontal="center"/>
    </xf>
    <xf numFmtId="166" fontId="0" fillId="0" borderId="137" xfId="4" applyNumberFormat="1" applyFont="1" applyBorder="1" applyAlignment="1">
      <alignment horizontal="center"/>
    </xf>
    <xf numFmtId="166" fontId="0" fillId="0" borderId="138" xfId="4" applyNumberFormat="1" applyFont="1" applyBorder="1" applyAlignment="1">
      <alignment horizontal="center"/>
    </xf>
    <xf numFmtId="166" fontId="0" fillId="0" borderId="139" xfId="4" applyNumberFormat="1" applyFont="1" applyBorder="1" applyAlignment="1">
      <alignment horizontal="center"/>
    </xf>
    <xf numFmtId="2" fontId="0" fillId="0" borderId="137" xfId="4" applyNumberFormat="1" applyFont="1" applyBorder="1" applyAlignment="1">
      <alignment horizontal="center"/>
    </xf>
    <xf numFmtId="2" fontId="0" fillId="0" borderId="139" xfId="4" applyNumberFormat="1" applyFont="1" applyBorder="1" applyAlignment="1">
      <alignment horizontal="center"/>
    </xf>
    <xf numFmtId="0" fontId="0" fillId="0" borderId="136" xfId="4" applyFont="1" applyBorder="1" applyAlignment="1"/>
    <xf numFmtId="1" fontId="31" fillId="0" borderId="138" xfId="4" applyNumberFormat="1" applyFill="1" applyBorder="1" applyAlignment="1">
      <alignment horizontal="center" wrapText="1"/>
    </xf>
    <xf numFmtId="1" fontId="31" fillId="0" borderId="139" xfId="4" applyNumberFormat="1" applyFill="1" applyBorder="1" applyAlignment="1">
      <alignment horizontal="center" wrapText="1"/>
    </xf>
    <xf numFmtId="166" fontId="31" fillId="0" borderId="137" xfId="4" applyNumberFormat="1" applyFill="1" applyBorder="1" applyAlignment="1">
      <alignment horizontal="center" wrapText="1"/>
    </xf>
    <xf numFmtId="166" fontId="31" fillId="0" borderId="138" xfId="4" applyNumberFormat="1" applyFill="1" applyBorder="1" applyAlignment="1">
      <alignment horizontal="center" wrapText="1"/>
    </xf>
    <xf numFmtId="166" fontId="31" fillId="0" borderId="139" xfId="4" applyNumberFormat="1" applyFill="1" applyBorder="1" applyAlignment="1">
      <alignment horizontal="center" wrapText="1"/>
    </xf>
    <xf numFmtId="0" fontId="0" fillId="20" borderId="122" xfId="4" applyFont="1" applyFill="1" applyBorder="1" applyAlignment="1">
      <alignment horizontal="left"/>
    </xf>
    <xf numFmtId="168" fontId="31" fillId="20" borderId="43" xfId="4" applyNumberFormat="1" applyFill="1" applyBorder="1" applyAlignment="1">
      <alignment horizontal="center" wrapText="1"/>
    </xf>
    <xf numFmtId="168" fontId="31" fillId="20" borderId="1" xfId="4" applyNumberFormat="1" applyFill="1" applyBorder="1" applyAlignment="1">
      <alignment horizontal="center" wrapText="1"/>
    </xf>
    <xf numFmtId="168" fontId="31" fillId="20" borderId="64" xfId="4" applyNumberFormat="1" applyFill="1" applyBorder="1" applyAlignment="1">
      <alignment horizontal="center" wrapText="1"/>
    </xf>
    <xf numFmtId="0" fontId="0" fillId="20" borderId="64" xfId="4" applyFont="1" applyFill="1" applyBorder="1"/>
    <xf numFmtId="166" fontId="31" fillId="20" borderId="43" xfId="4" applyNumberFormat="1" applyFill="1" applyBorder="1" applyAlignment="1">
      <alignment horizontal="center" wrapText="1"/>
    </xf>
    <xf numFmtId="166" fontId="31" fillId="20" borderId="1" xfId="4" applyNumberFormat="1" applyFill="1" applyBorder="1" applyAlignment="1">
      <alignment horizontal="center" wrapText="1"/>
    </xf>
    <xf numFmtId="166" fontId="31" fillId="20" borderId="64" xfId="4" applyNumberFormat="1" applyFill="1" applyBorder="1" applyAlignment="1">
      <alignment horizontal="center" wrapText="1"/>
    </xf>
    <xf numFmtId="2" fontId="0" fillId="20" borderId="43" xfId="4" applyNumberFormat="1" applyFont="1" applyFill="1" applyBorder="1" applyAlignment="1">
      <alignment horizontal="center"/>
    </xf>
    <xf numFmtId="2" fontId="0" fillId="20" borderId="64" xfId="4" applyNumberFormat="1" applyFont="1" applyFill="1" applyBorder="1" applyAlignment="1">
      <alignment horizontal="center"/>
    </xf>
    <xf numFmtId="1" fontId="0" fillId="20" borderId="43" xfId="4" applyNumberFormat="1" applyFont="1" applyFill="1" applyBorder="1" applyAlignment="1">
      <alignment horizontal="center"/>
    </xf>
    <xf numFmtId="1" fontId="0" fillId="20" borderId="1" xfId="4" applyNumberFormat="1" applyFont="1" applyFill="1" applyBorder="1" applyAlignment="1">
      <alignment horizontal="center"/>
    </xf>
    <xf numFmtId="1" fontId="0" fillId="20" borderId="64" xfId="4" applyNumberFormat="1" applyFont="1" applyFill="1" applyBorder="1" applyAlignment="1">
      <alignment horizontal="center"/>
    </xf>
    <xf numFmtId="166" fontId="0" fillId="20" borderId="43" xfId="4" applyNumberFormat="1" applyFont="1" applyFill="1" applyBorder="1" applyAlignment="1">
      <alignment horizontal="center"/>
    </xf>
    <xf numFmtId="166" fontId="0" fillId="20" borderId="1" xfId="4" applyNumberFormat="1" applyFont="1" applyFill="1" applyBorder="1" applyAlignment="1">
      <alignment horizontal="center"/>
    </xf>
    <xf numFmtId="166" fontId="0" fillId="20" borderId="64" xfId="4" applyNumberFormat="1" applyFont="1" applyFill="1" applyBorder="1" applyAlignment="1">
      <alignment horizontal="center"/>
    </xf>
    <xf numFmtId="168" fontId="31" fillId="0" borderId="46" xfId="4" applyNumberFormat="1" applyFill="1" applyBorder="1" applyAlignment="1">
      <alignment horizontal="center" wrapText="1"/>
    </xf>
    <xf numFmtId="168" fontId="31" fillId="0" borderId="62" xfId="4" applyNumberFormat="1" applyFill="1" applyBorder="1" applyAlignment="1">
      <alignment horizontal="center" wrapText="1"/>
    </xf>
    <xf numFmtId="168" fontId="31" fillId="0" borderId="63" xfId="4" applyNumberFormat="1" applyFill="1" applyBorder="1" applyAlignment="1">
      <alignment horizontal="center" wrapText="1"/>
    </xf>
    <xf numFmtId="2" fontId="31" fillId="0" borderId="46" xfId="4" applyNumberFormat="1" applyFill="1" applyBorder="1" applyAlignment="1">
      <alignment horizontal="center" wrapText="1"/>
    </xf>
    <xf numFmtId="2" fontId="31" fillId="0" borderId="63" xfId="4" applyNumberFormat="1" applyFill="1" applyBorder="1" applyAlignment="1">
      <alignment horizontal="center" wrapText="1"/>
    </xf>
    <xf numFmtId="168" fontId="0" fillId="20" borderId="132" xfId="4" applyNumberFormat="1" applyFont="1" applyFill="1" applyBorder="1" applyAlignment="1">
      <alignment horizontal="left"/>
    </xf>
    <xf numFmtId="1" fontId="31" fillId="20" borderId="133" xfId="4" applyNumberFormat="1" applyFill="1" applyBorder="1" applyAlignment="1">
      <alignment horizontal="center"/>
    </xf>
    <xf numFmtId="1" fontId="31" fillId="20" borderId="134" xfId="4" applyNumberFormat="1" applyFill="1" applyBorder="1" applyAlignment="1">
      <alignment horizontal="center" vertical="center" wrapText="1"/>
    </xf>
    <xf numFmtId="1" fontId="31" fillId="20" borderId="135" xfId="4" applyNumberFormat="1" applyFill="1" applyBorder="1" applyAlignment="1">
      <alignment horizontal="center"/>
    </xf>
    <xf numFmtId="166" fontId="31" fillId="20" borderId="133" xfId="4" applyNumberFormat="1" applyFill="1" applyBorder="1" applyAlignment="1">
      <alignment horizontal="center" vertical="center" wrapText="1"/>
    </xf>
    <xf numFmtId="166" fontId="31" fillId="20" borderId="134" xfId="4" applyNumberFormat="1" applyFill="1" applyBorder="1" applyAlignment="1">
      <alignment horizontal="center"/>
    </xf>
    <xf numFmtId="166" fontId="31" fillId="20" borderId="135" xfId="4" applyNumberFormat="1" applyFill="1" applyBorder="1" applyAlignment="1">
      <alignment horizontal="center"/>
    </xf>
    <xf numFmtId="2" fontId="31" fillId="20" borderId="133" xfId="4" applyNumberFormat="1" applyFill="1" applyBorder="1" applyAlignment="1">
      <alignment horizontal="center"/>
    </xf>
    <xf numFmtId="2" fontId="31" fillId="20" borderId="135" xfId="4" applyNumberFormat="1" applyFill="1" applyBorder="1" applyAlignment="1">
      <alignment horizontal="center"/>
    </xf>
    <xf numFmtId="0" fontId="0" fillId="20" borderId="136" xfId="4" applyFont="1" applyFill="1" applyBorder="1" applyAlignment="1">
      <alignment horizontal="left"/>
    </xf>
    <xf numFmtId="1" fontId="0" fillId="20" borderId="137" xfId="4" applyNumberFormat="1" applyFont="1" applyFill="1" applyBorder="1" applyAlignment="1">
      <alignment horizontal="center"/>
    </xf>
    <xf numFmtId="1" fontId="0" fillId="20" borderId="138" xfId="4" applyNumberFormat="1" applyFont="1" applyFill="1" applyBorder="1" applyAlignment="1">
      <alignment horizontal="center"/>
    </xf>
    <xf numFmtId="1" fontId="0" fillId="20" borderId="139" xfId="4" applyNumberFormat="1" applyFont="1" applyFill="1" applyBorder="1" applyAlignment="1">
      <alignment horizontal="center"/>
    </xf>
    <xf numFmtId="166" fontId="0" fillId="20" borderId="137" xfId="4" applyNumberFormat="1" applyFont="1" applyFill="1" applyBorder="1" applyAlignment="1">
      <alignment horizontal="center"/>
    </xf>
    <xf numFmtId="166" fontId="0" fillId="20" borderId="138" xfId="4" applyNumberFormat="1" applyFont="1" applyFill="1" applyBorder="1" applyAlignment="1">
      <alignment horizontal="center"/>
    </xf>
    <xf numFmtId="166" fontId="0" fillId="20" borderId="139" xfId="4" applyNumberFormat="1" applyFont="1" applyFill="1" applyBorder="1" applyAlignment="1">
      <alignment horizontal="center"/>
    </xf>
    <xf numFmtId="2" fontId="0" fillId="20" borderId="137" xfId="4" applyNumberFormat="1" applyFont="1" applyFill="1" applyBorder="1" applyAlignment="1">
      <alignment horizontal="center"/>
    </xf>
    <xf numFmtId="2" fontId="0" fillId="20" borderId="139" xfId="4" applyNumberFormat="1" applyFont="1" applyFill="1" applyBorder="1" applyAlignment="1">
      <alignment horizontal="center"/>
    </xf>
    <xf numFmtId="0" fontId="5" fillId="0" borderId="22" xfId="0" applyFont="1" applyBorder="1"/>
    <xf numFmtId="0" fontId="5" fillId="0" borderId="22" xfId="0" applyFont="1" applyBorder="1" applyAlignment="1">
      <alignment horizontal="center"/>
    </xf>
    <xf numFmtId="0" fontId="5" fillId="0" borderId="32" xfId="0" applyFont="1" applyBorder="1"/>
    <xf numFmtId="0" fontId="0" fillId="27" borderId="78" xfId="0" applyFill="1" applyBorder="1"/>
    <xf numFmtId="0" fontId="0" fillId="27" borderId="42" xfId="0" applyFont="1" applyFill="1" applyBorder="1"/>
    <xf numFmtId="0" fontId="0" fillId="27" borderId="38" xfId="0" applyFont="1" applyFill="1" applyBorder="1"/>
    <xf numFmtId="0" fontId="0" fillId="29" borderId="0" xfId="0" applyFill="1" applyBorder="1" applyAlignment="1">
      <alignment horizontal="left"/>
    </xf>
    <xf numFmtId="0" fontId="2" fillId="30" borderId="0" xfId="0" applyFont="1" applyFill="1" applyBorder="1"/>
    <xf numFmtId="0" fontId="0" fillId="29" borderId="0" xfId="0" applyFont="1" applyFill="1" applyBorder="1" applyAlignment="1">
      <alignment horizontal="center"/>
    </xf>
    <xf numFmtId="1" fontId="0" fillId="29" borderId="0" xfId="0" applyNumberFormat="1" applyFont="1" applyFill="1" applyBorder="1" applyAlignment="1">
      <alignment horizontal="center"/>
    </xf>
    <xf numFmtId="0" fontId="0" fillId="29" borderId="0" xfId="0" applyFill="1" applyBorder="1" applyAlignment="1"/>
    <xf numFmtId="175" fontId="42" fillId="29" borderId="0" xfId="0" applyNumberFormat="1" applyFont="1" applyFill="1" applyBorder="1" applyAlignment="1">
      <alignment horizontal="center"/>
    </xf>
    <xf numFmtId="0" fontId="63" fillId="29" borderId="0" xfId="0" applyFont="1" applyFill="1" applyBorder="1" applyAlignment="1"/>
    <xf numFmtId="0" fontId="63" fillId="29" borderId="0" xfId="0" applyFont="1" applyFill="1" applyBorder="1" applyAlignment="1">
      <alignment horizontal="center"/>
    </xf>
    <xf numFmtId="1" fontId="63" fillId="29" borderId="0" xfId="0" applyNumberFormat="1" applyFont="1" applyFill="1" applyBorder="1" applyAlignment="1">
      <alignment horizontal="center"/>
    </xf>
    <xf numFmtId="0" fontId="63" fillId="29" borderId="0" xfId="0" applyNumberFormat="1" applyFont="1" applyFill="1" applyBorder="1" applyAlignment="1">
      <alignment horizontal="center"/>
    </xf>
    <xf numFmtId="2" fontId="63" fillId="29" borderId="0" xfId="0" applyNumberFormat="1" applyFont="1" applyFill="1" applyBorder="1" applyAlignment="1">
      <alignment horizontal="center"/>
    </xf>
    <xf numFmtId="0" fontId="0" fillId="29" borderId="0" xfId="0" applyFont="1" applyFill="1" applyBorder="1"/>
    <xf numFmtId="0" fontId="63" fillId="29" borderId="0" xfId="0" applyFont="1" applyFill="1" applyBorder="1" applyAlignment="1">
      <alignment horizontal="left"/>
    </xf>
    <xf numFmtId="0" fontId="63" fillId="29" borderId="0" xfId="0" applyFont="1" applyFill="1" applyBorder="1" applyAlignment="1" applyProtection="1">
      <protection locked="0"/>
    </xf>
    <xf numFmtId="0" fontId="0" fillId="30" borderId="0" xfId="0" applyFill="1" applyAlignment="1"/>
    <xf numFmtId="0" fontId="0" fillId="30" borderId="0" xfId="0" applyFont="1" applyFill="1" applyAlignment="1"/>
    <xf numFmtId="0" fontId="18" fillId="0" borderId="0" xfId="0" applyFont="1" applyFill="1" applyBorder="1" applyAlignment="1"/>
    <xf numFmtId="0" fontId="18" fillId="0" borderId="0" xfId="0" applyFont="1" applyFill="1" applyBorder="1" applyAlignment="1">
      <alignment horizontal="left"/>
    </xf>
    <xf numFmtId="0" fontId="0" fillId="32" borderId="0" xfId="0" applyFill="1" applyBorder="1" applyAlignment="1"/>
    <xf numFmtId="0" fontId="0" fillId="31" borderId="0" xfId="0" applyFont="1" applyFill="1" applyBorder="1"/>
    <xf numFmtId="0" fontId="0" fillId="32" borderId="0" xfId="0" applyFont="1" applyFill="1" applyBorder="1" applyAlignment="1">
      <alignment horizontal="center"/>
    </xf>
    <xf numFmtId="1" fontId="0" fillId="32" borderId="0" xfId="0" applyNumberFormat="1" applyFont="1" applyFill="1" applyBorder="1" applyAlignment="1">
      <alignment horizontal="center"/>
    </xf>
    <xf numFmtId="0" fontId="0" fillId="32" borderId="0" xfId="0" applyNumberFormat="1" applyFont="1" applyFill="1" applyBorder="1" applyAlignment="1">
      <alignment horizontal="center"/>
    </xf>
    <xf numFmtId="2" fontId="0" fillId="32" borderId="0" xfId="0" applyNumberFormat="1" applyFont="1" applyFill="1" applyBorder="1" applyAlignment="1">
      <alignment horizontal="center"/>
    </xf>
    <xf numFmtId="0" fontId="0" fillId="32" borderId="0" xfId="0" applyFont="1" applyFill="1" applyBorder="1" applyAlignment="1">
      <alignment horizontal="left"/>
    </xf>
    <xf numFmtId="0" fontId="0" fillId="32" borderId="0" xfId="0" applyFill="1" applyBorder="1" applyAlignment="1">
      <alignment horizontal="left"/>
    </xf>
    <xf numFmtId="0" fontId="16" fillId="28" borderId="56" xfId="0" applyFont="1" applyFill="1" applyBorder="1"/>
    <xf numFmtId="0" fontId="16" fillId="28" borderId="57" xfId="0" applyFont="1" applyFill="1" applyBorder="1" applyAlignment="1">
      <alignment horizontal="center"/>
    </xf>
    <xf numFmtId="0" fontId="16" fillId="28" borderId="59" xfId="0" applyFont="1" applyFill="1" applyBorder="1" applyAlignment="1">
      <alignment horizontal="center"/>
    </xf>
    <xf numFmtId="0" fontId="16" fillId="28" borderId="56" xfId="0" applyFont="1" applyFill="1" applyBorder="1" applyAlignment="1"/>
    <xf numFmtId="0" fontId="21" fillId="28" borderId="57" xfId="0" applyFont="1" applyFill="1" applyBorder="1"/>
    <xf numFmtId="0" fontId="16" fillId="28" borderId="58" xfId="0" applyFont="1" applyFill="1" applyBorder="1"/>
    <xf numFmtId="0" fontId="16" fillId="28" borderId="56" xfId="0" applyFont="1" applyFill="1" applyBorder="1" applyAlignment="1">
      <alignment horizontal="left"/>
    </xf>
    <xf numFmtId="0" fontId="0" fillId="28" borderId="58" xfId="0" applyFont="1" applyFill="1" applyBorder="1"/>
    <xf numFmtId="0" fontId="16" fillId="23" borderId="25" xfId="0" applyFont="1" applyFill="1" applyBorder="1" applyAlignment="1">
      <alignment horizontal="center"/>
    </xf>
    <xf numFmtId="0" fontId="64" fillId="33" borderId="0" xfId="0" applyFont="1" applyFill="1"/>
    <xf numFmtId="0" fontId="64" fillId="34" borderId="0" xfId="0" applyFont="1" applyFill="1"/>
    <xf numFmtId="0" fontId="0" fillId="33" borderId="0" xfId="0" applyFont="1" applyFill="1"/>
    <xf numFmtId="0" fontId="64" fillId="35" borderId="0" xfId="0" applyFont="1" applyFill="1"/>
    <xf numFmtId="0" fontId="64" fillId="36" borderId="0" xfId="0" applyFont="1" applyFill="1"/>
    <xf numFmtId="0" fontId="64" fillId="38" borderId="0" xfId="0" applyFont="1" applyFill="1"/>
    <xf numFmtId="0" fontId="64" fillId="39" borderId="0" xfId="0" applyFont="1" applyFill="1"/>
    <xf numFmtId="2" fontId="0" fillId="0" borderId="0" xfId="0" applyNumberFormat="1" applyFont="1" applyBorder="1" applyAlignment="1">
      <alignment horizontal="center"/>
    </xf>
    <xf numFmtId="10" fontId="31" fillId="0" borderId="0" xfId="5" applyNumberFormat="1" applyFill="1" applyBorder="1" applyAlignment="1">
      <alignment horizontal="center"/>
    </xf>
    <xf numFmtId="0" fontId="19" fillId="28" borderId="57" xfId="0" applyFont="1" applyFill="1" applyBorder="1" applyAlignment="1">
      <alignment horizontal="center"/>
    </xf>
    <xf numFmtId="9" fontId="19" fillId="28" borderId="57" xfId="0" applyNumberFormat="1" applyFont="1" applyFill="1" applyBorder="1" applyAlignment="1">
      <alignment horizontal="center"/>
    </xf>
    <xf numFmtId="0" fontId="19" fillId="28" borderId="57" xfId="0" applyNumberFormat="1" applyFont="1" applyFill="1" applyBorder="1" applyAlignment="1">
      <alignment horizontal="center"/>
    </xf>
    <xf numFmtId="49" fontId="19" fillId="28" borderId="57" xfId="0" applyNumberFormat="1" applyFont="1" applyFill="1" applyBorder="1" applyAlignment="1">
      <alignment horizontal="center"/>
    </xf>
    <xf numFmtId="0" fontId="19" fillId="28" borderId="59" xfId="0" applyFont="1" applyFill="1" applyBorder="1" applyAlignment="1">
      <alignment horizontal="center"/>
    </xf>
    <xf numFmtId="0" fontId="16" fillId="28" borderId="57" xfId="0" applyFont="1" applyFill="1" applyBorder="1" applyAlignment="1">
      <alignment horizontal="left"/>
    </xf>
    <xf numFmtId="0" fontId="0" fillId="31" borderId="24" xfId="0" applyFont="1" applyFill="1" applyBorder="1"/>
    <xf numFmtId="0" fontId="0" fillId="31" borderId="37" xfId="0" applyFont="1" applyFill="1" applyBorder="1"/>
    <xf numFmtId="0" fontId="0" fillId="0" borderId="24" xfId="0" applyFont="1" applyBorder="1"/>
    <xf numFmtId="0" fontId="0" fillId="0" borderId="25" xfId="0" applyFont="1" applyBorder="1"/>
    <xf numFmtId="0" fontId="16" fillId="28" borderId="22" xfId="0" applyFont="1" applyFill="1" applyBorder="1" applyAlignment="1">
      <alignment horizontal="center" vertical="center"/>
    </xf>
    <xf numFmtId="0" fontId="16" fillId="28" borderId="22" xfId="0" applyFont="1" applyFill="1" applyBorder="1" applyAlignment="1">
      <alignment horizontal="center"/>
    </xf>
    <xf numFmtId="0" fontId="16" fillId="28" borderId="32" xfId="0" applyFont="1" applyFill="1" applyBorder="1" applyAlignment="1">
      <alignment horizontal="center"/>
    </xf>
    <xf numFmtId="0" fontId="16" fillId="28" borderId="56" xfId="0" applyFont="1" applyFill="1" applyBorder="1" applyAlignment="1">
      <alignment horizontal="center"/>
    </xf>
    <xf numFmtId="49" fontId="2" fillId="0" borderId="0" xfId="2" applyNumberFormat="1" applyFont="1" applyFill="1" applyBorder="1" applyAlignment="1"/>
    <xf numFmtId="165" fontId="0" fillId="0" borderId="0" xfId="4" applyNumberFormat="1" applyFont="1"/>
    <xf numFmtId="0" fontId="3" fillId="0" borderId="13" xfId="0" applyFont="1" applyBorder="1" applyAlignment="1">
      <alignment horizontal="left"/>
    </xf>
    <xf numFmtId="1" fontId="2" fillId="0" borderId="0" xfId="0" applyNumberFormat="1" applyFont="1" applyAlignment="1">
      <alignment horizontal="center"/>
    </xf>
    <xf numFmtId="0" fontId="27" fillId="0" borderId="0" xfId="0" applyFont="1" applyAlignment="1">
      <alignment horizontal="right"/>
    </xf>
    <xf numFmtId="0" fontId="3" fillId="0" borderId="0" xfId="0" applyFont="1" applyAlignment="1">
      <alignment horizontal="left"/>
    </xf>
    <xf numFmtId="0" fontId="5" fillId="0" borderId="0" xfId="0" applyFont="1" applyAlignment="1">
      <alignment horizontal="left"/>
    </xf>
    <xf numFmtId="170" fontId="2" fillId="0" borderId="0" xfId="0" applyNumberFormat="1" applyFont="1" applyAlignment="1">
      <alignment horizontal="center"/>
    </xf>
    <xf numFmtId="0" fontId="2" fillId="0" borderId="0" xfId="0" applyFont="1" applyAlignment="1">
      <alignment wrapText="1"/>
    </xf>
    <xf numFmtId="0" fontId="31" fillId="0" borderId="0" xfId="6"/>
    <xf numFmtId="0" fontId="31" fillId="0" borderId="0" xfId="6" quotePrefix="1"/>
    <xf numFmtId="0" fontId="2" fillId="13" borderId="0" xfId="0" applyFont="1" applyFill="1" applyAlignment="1">
      <alignment horizontal="left"/>
    </xf>
    <xf numFmtId="0" fontId="2" fillId="9" borderId="0" xfId="0" applyFont="1" applyFill="1" applyAlignment="1">
      <alignment horizontal="left"/>
    </xf>
    <xf numFmtId="0" fontId="2" fillId="10" borderId="0" xfId="0" applyFont="1" applyFill="1" applyAlignment="1">
      <alignment horizontal="left"/>
    </xf>
    <xf numFmtId="0" fontId="2" fillId="11" borderId="0" xfId="0" applyFont="1" applyFill="1" applyAlignment="1">
      <alignment horizontal="left"/>
    </xf>
    <xf numFmtId="0" fontId="2" fillId="6" borderId="0" xfId="0" applyFont="1" applyFill="1" applyAlignment="1">
      <alignment horizontal="left"/>
    </xf>
    <xf numFmtId="0" fontId="2" fillId="14" borderId="0" xfId="0" applyFont="1" applyFill="1" applyAlignment="1">
      <alignment horizontal="left"/>
    </xf>
    <xf numFmtId="0" fontId="2" fillId="11" borderId="1" xfId="0" applyFont="1" applyFill="1" applyBorder="1"/>
    <xf numFmtId="0" fontId="2" fillId="0" borderId="13" xfId="0" applyFont="1" applyBorder="1" applyAlignment="1">
      <alignment horizontal="left"/>
    </xf>
    <xf numFmtId="2" fontId="3" fillId="0" borderId="13" xfId="0" applyNumberFormat="1" applyFont="1" applyBorder="1" applyAlignment="1">
      <alignment horizontal="center"/>
    </xf>
    <xf numFmtId="0" fontId="5" fillId="4" borderId="0" xfId="0" applyFont="1" applyFill="1" applyAlignment="1">
      <alignment horizontal="left"/>
    </xf>
    <xf numFmtId="0" fontId="5" fillId="9" borderId="0" xfId="0" applyFont="1" applyFill="1" applyAlignment="1">
      <alignment horizontal="left"/>
    </xf>
    <xf numFmtId="0" fontId="5" fillId="15" borderId="0" xfId="0" applyFont="1" applyFill="1" applyAlignment="1">
      <alignment horizontal="left"/>
    </xf>
    <xf numFmtId="14" fontId="0" fillId="0" borderId="0" xfId="0" applyNumberFormat="1"/>
    <xf numFmtId="0" fontId="0" fillId="0" borderId="0" xfId="0" applyBorder="1" applyAlignment="1">
      <alignment horizontal="right"/>
    </xf>
    <xf numFmtId="0" fontId="0" fillId="0" borderId="0" xfId="0" applyFont="1" applyAlignment="1">
      <alignment horizontal="left"/>
    </xf>
    <xf numFmtId="0" fontId="2" fillId="0" borderId="1" xfId="0" applyFont="1" applyFill="1" applyBorder="1" applyAlignment="1">
      <alignment horizontal="left"/>
    </xf>
    <xf numFmtId="0" fontId="2" fillId="0" borderId="1" xfId="0" applyFont="1" applyFill="1" applyBorder="1" applyAlignment="1">
      <alignment horizontal="center"/>
    </xf>
    <xf numFmtId="0" fontId="2" fillId="0" borderId="1" xfId="0" applyNumberFormat="1" applyFont="1" applyFill="1" applyBorder="1" applyAlignment="1">
      <alignment horizontal="center"/>
    </xf>
    <xf numFmtId="0" fontId="2" fillId="0" borderId="81" xfId="0" applyNumberFormat="1" applyFont="1" applyFill="1" applyBorder="1" applyAlignment="1">
      <alignment horizontal="center"/>
    </xf>
    <xf numFmtId="0" fontId="2" fillId="0" borderId="43" xfId="0" applyFont="1" applyFill="1" applyBorder="1" applyAlignment="1">
      <alignment horizontal="center"/>
    </xf>
    <xf numFmtId="0" fontId="2" fillId="0" borderId="1" xfId="0" applyFont="1" applyFill="1" applyBorder="1"/>
    <xf numFmtId="0" fontId="5" fillId="0" borderId="1" xfId="0" applyFont="1" applyFill="1" applyBorder="1" applyAlignment="1">
      <alignment horizontal="left"/>
    </xf>
    <xf numFmtId="0" fontId="5" fillId="0" borderId="1" xfId="0" applyFont="1" applyFill="1" applyBorder="1" applyAlignment="1">
      <alignment horizontal="center"/>
    </xf>
    <xf numFmtId="0" fontId="5" fillId="0" borderId="1" xfId="0" applyNumberFormat="1" applyFont="1" applyFill="1" applyBorder="1" applyAlignment="1">
      <alignment horizontal="center"/>
    </xf>
    <xf numFmtId="0" fontId="5" fillId="0" borderId="81" xfId="0" applyNumberFormat="1" applyFont="1" applyFill="1" applyBorder="1" applyAlignment="1">
      <alignment horizontal="center"/>
    </xf>
    <xf numFmtId="0" fontId="2" fillId="0" borderId="43" xfId="0" applyFont="1" applyFill="1" applyBorder="1"/>
    <xf numFmtId="2" fontId="2" fillId="0" borderId="1" xfId="0" applyNumberFormat="1" applyFont="1" applyFill="1" applyBorder="1" applyAlignment="1">
      <alignment horizontal="center"/>
    </xf>
    <xf numFmtId="0" fontId="2" fillId="0" borderId="1" xfId="0" applyNumberFormat="1" applyFont="1" applyFill="1" applyBorder="1" applyAlignment="1">
      <alignment horizontal="left"/>
    </xf>
    <xf numFmtId="0" fontId="2" fillId="0" borderId="1" xfId="0" applyFont="1" applyFill="1" applyBorder="1" applyAlignment="1"/>
    <xf numFmtId="0" fontId="5" fillId="0" borderId="0" xfId="0" applyFont="1" applyFill="1" applyBorder="1"/>
    <xf numFmtId="0" fontId="2" fillId="0" borderId="43" xfId="0" applyFont="1" applyFill="1" applyBorder="1" applyAlignment="1">
      <alignment horizontal="left"/>
    </xf>
    <xf numFmtId="1" fontId="2" fillId="0" borderId="1" xfId="0" applyNumberFormat="1" applyFont="1" applyFill="1" applyBorder="1" applyAlignment="1">
      <alignment horizontal="center"/>
    </xf>
    <xf numFmtId="49" fontId="2" fillId="0" borderId="1" xfId="0" applyNumberFormat="1" applyFont="1" applyFill="1" applyBorder="1" applyAlignment="1">
      <alignment horizontal="center"/>
    </xf>
    <xf numFmtId="0" fontId="2" fillId="0" borderId="62" xfId="0" applyFont="1" applyFill="1" applyBorder="1" applyAlignment="1">
      <alignment horizontal="left"/>
    </xf>
    <xf numFmtId="0" fontId="2" fillId="0" borderId="62" xfId="0" applyFont="1" applyFill="1" applyBorder="1" applyAlignment="1">
      <alignment horizontal="center"/>
    </xf>
    <xf numFmtId="0" fontId="2" fillId="0" borderId="62" xfId="0" applyNumberFormat="1" applyFont="1" applyFill="1" applyBorder="1" applyAlignment="1">
      <alignment horizontal="center"/>
    </xf>
    <xf numFmtId="0" fontId="2" fillId="0" borderId="60" xfId="0" applyNumberFormat="1" applyFont="1" applyFill="1" applyBorder="1" applyAlignment="1">
      <alignment horizontal="center"/>
    </xf>
    <xf numFmtId="0" fontId="2" fillId="0" borderId="62" xfId="0" applyFont="1" applyFill="1" applyBorder="1"/>
    <xf numFmtId="0" fontId="5" fillId="7" borderId="22" xfId="0" applyFont="1" applyFill="1" applyBorder="1" applyAlignment="1">
      <alignment horizontal="center"/>
    </xf>
    <xf numFmtId="0" fontId="2" fillId="7" borderId="22" xfId="0" applyFont="1" applyFill="1" applyBorder="1" applyAlignment="1">
      <alignment wrapText="1"/>
    </xf>
    <xf numFmtId="0" fontId="2" fillId="7" borderId="22" xfId="0" applyFont="1" applyFill="1" applyBorder="1" applyAlignment="1">
      <alignment horizontal="center" wrapText="1"/>
    </xf>
    <xf numFmtId="0" fontId="2" fillId="7" borderId="22" xfId="0" applyNumberFormat="1" applyFont="1" applyFill="1" applyBorder="1" applyAlignment="1">
      <alignment horizontal="center" wrapText="1"/>
    </xf>
    <xf numFmtId="0" fontId="5" fillId="7" borderId="22" xfId="0" applyFont="1" applyFill="1" applyBorder="1" applyAlignment="1">
      <alignment horizontal="center" wrapText="1"/>
    </xf>
    <xf numFmtId="0" fontId="5" fillId="7" borderId="22" xfId="0" applyNumberFormat="1" applyFont="1" applyFill="1" applyBorder="1" applyAlignment="1">
      <alignment horizontal="center"/>
    </xf>
    <xf numFmtId="0" fontId="5" fillId="7" borderId="22" xfId="0" applyNumberFormat="1" applyFont="1" applyFill="1" applyBorder="1" applyAlignment="1">
      <alignment horizontal="center" wrapText="1"/>
    </xf>
    <xf numFmtId="0" fontId="5" fillId="7" borderId="138" xfId="0" applyNumberFormat="1" applyFont="1" applyFill="1" applyBorder="1" applyAlignment="1">
      <alignment horizontal="center" wrapText="1"/>
    </xf>
    <xf numFmtId="0" fontId="5" fillId="7" borderId="138" xfId="0" applyFont="1" applyFill="1" applyBorder="1" applyAlignment="1">
      <alignment horizontal="center" wrapText="1"/>
    </xf>
    <xf numFmtId="0" fontId="26" fillId="0" borderId="1" xfId="0" applyNumberFormat="1" applyFont="1" applyFill="1" applyBorder="1" applyAlignment="1">
      <alignment horizontal="center"/>
    </xf>
    <xf numFmtId="0" fontId="26" fillId="0" borderId="1" xfId="0" applyFont="1" applyFill="1" applyBorder="1" applyAlignment="1">
      <alignment horizontal="center"/>
    </xf>
    <xf numFmtId="0" fontId="2" fillId="0" borderId="44" xfId="0" applyFont="1" applyFill="1" applyBorder="1" applyAlignment="1">
      <alignment horizontal="center"/>
    </xf>
    <xf numFmtId="0" fontId="2" fillId="30" borderId="62" xfId="0" applyFont="1" applyFill="1" applyBorder="1"/>
    <xf numFmtId="0" fontId="2" fillId="30" borderId="62" xfId="0" applyFont="1" applyFill="1" applyBorder="1" applyAlignment="1">
      <alignment horizontal="left"/>
    </xf>
    <xf numFmtId="0" fontId="2" fillId="30" borderId="1" xfId="0" applyFont="1" applyFill="1" applyBorder="1" applyAlignment="1">
      <alignment horizontal="left"/>
    </xf>
    <xf numFmtId="0" fontId="2" fillId="0" borderId="62" xfId="0" applyNumberFormat="1" applyFont="1" applyFill="1" applyBorder="1"/>
    <xf numFmtId="0" fontId="2" fillId="0" borderId="46" xfId="0" applyFont="1" applyFill="1" applyBorder="1"/>
    <xf numFmtId="0" fontId="2" fillId="0" borderId="1" xfId="0" applyNumberFormat="1" applyFont="1" applyFill="1" applyBorder="1"/>
    <xf numFmtId="0" fontId="2" fillId="0" borderId="44" xfId="0" applyNumberFormat="1" applyFont="1" applyFill="1" applyBorder="1" applyAlignment="1">
      <alignment horizontal="center"/>
    </xf>
    <xf numFmtId="0" fontId="2" fillId="30" borderId="62" xfId="0" applyFont="1" applyFill="1" applyBorder="1" applyAlignment="1">
      <alignment wrapText="1"/>
    </xf>
    <xf numFmtId="49" fontId="2" fillId="0" borderId="0" xfId="0" applyNumberFormat="1" applyFont="1" applyFill="1" applyBorder="1" applyAlignment="1">
      <alignment horizontal="center"/>
    </xf>
    <xf numFmtId="0" fontId="2" fillId="0" borderId="142" xfId="0" applyFont="1" applyFill="1" applyBorder="1" applyAlignment="1">
      <alignment horizontal="center"/>
    </xf>
    <xf numFmtId="0" fontId="5" fillId="0" borderId="0" xfId="0" applyFont="1" applyFill="1" applyBorder="1" applyAlignment="1"/>
    <xf numFmtId="0" fontId="2" fillId="0" borderId="49" xfId="0" applyFont="1" applyFill="1" applyBorder="1"/>
    <xf numFmtId="0" fontId="2" fillId="0" borderId="49" xfId="0" applyFont="1" applyFill="1" applyBorder="1" applyAlignment="1">
      <alignment horizontal="left"/>
    </xf>
    <xf numFmtId="0" fontId="2" fillId="0" borderId="22" xfId="0" applyFont="1" applyFill="1" applyBorder="1"/>
    <xf numFmtId="0" fontId="2" fillId="7" borderId="138" xfId="0" applyFont="1" applyFill="1" applyBorder="1" applyAlignment="1">
      <alignment horizontal="center"/>
    </xf>
    <xf numFmtId="0" fontId="2" fillId="0" borderId="49" xfId="0" applyFont="1" applyFill="1" applyBorder="1" applyAlignment="1">
      <alignment horizontal="center"/>
    </xf>
    <xf numFmtId="0" fontId="2" fillId="0" borderId="49" xfId="0" applyNumberFormat="1" applyFont="1" applyFill="1" applyBorder="1" applyAlignment="1">
      <alignment horizontal="center"/>
    </xf>
    <xf numFmtId="0" fontId="5" fillId="7" borderId="120" xfId="0" applyFont="1" applyFill="1" applyBorder="1" applyAlignment="1">
      <alignment horizontal="left" wrapText="1"/>
    </xf>
    <xf numFmtId="0" fontId="5" fillId="7" borderId="120" xfId="0" applyNumberFormat="1" applyFont="1" applyFill="1" applyBorder="1" applyAlignment="1">
      <alignment horizontal="center" wrapText="1"/>
    </xf>
    <xf numFmtId="0" fontId="5" fillId="7" borderId="120" xfId="0" applyFont="1" applyFill="1" applyBorder="1" applyAlignment="1">
      <alignment horizontal="center" wrapText="1"/>
    </xf>
    <xf numFmtId="49" fontId="5" fillId="7" borderId="120" xfId="0" applyNumberFormat="1" applyFont="1" applyFill="1" applyBorder="1" applyAlignment="1">
      <alignment horizontal="center" wrapText="1"/>
    </xf>
    <xf numFmtId="0" fontId="2" fillId="7" borderId="120" xfId="0" applyFont="1" applyFill="1" applyBorder="1" applyAlignment="1">
      <alignment horizontal="center" wrapText="1"/>
    </xf>
    <xf numFmtId="0" fontId="2" fillId="7" borderId="120" xfId="0" applyNumberFormat="1" applyFont="1" applyFill="1" applyBorder="1" applyAlignment="1">
      <alignment horizontal="center" wrapText="1"/>
    </xf>
    <xf numFmtId="0" fontId="2" fillId="30" borderId="145" xfId="0" applyFont="1" applyFill="1" applyBorder="1" applyAlignment="1">
      <alignment horizontal="left"/>
    </xf>
    <xf numFmtId="0" fontId="5" fillId="0" borderId="62" xfId="0" applyFont="1" applyFill="1" applyBorder="1" applyAlignment="1">
      <alignment horizontal="left"/>
    </xf>
    <xf numFmtId="0" fontId="2" fillId="30" borderId="62" xfId="0" applyFont="1" applyFill="1" applyBorder="1" applyAlignment="1">
      <alignment horizontal="center"/>
    </xf>
    <xf numFmtId="0" fontId="2" fillId="30" borderId="1" xfId="0" applyFont="1" applyFill="1" applyBorder="1" applyAlignment="1">
      <alignment horizontal="center"/>
    </xf>
    <xf numFmtId="0" fontId="2" fillId="0" borderId="103" xfId="0" applyFont="1" applyFill="1" applyBorder="1" applyAlignment="1">
      <alignment horizontal="center"/>
    </xf>
    <xf numFmtId="0" fontId="5" fillId="7" borderId="120" xfId="0" applyFont="1" applyFill="1" applyBorder="1" applyAlignment="1">
      <alignment horizontal="left"/>
    </xf>
    <xf numFmtId="0" fontId="2" fillId="30" borderId="144" xfId="0" applyFont="1" applyFill="1" applyBorder="1" applyAlignment="1">
      <alignment horizontal="center"/>
    </xf>
    <xf numFmtId="0" fontId="2" fillId="30" borderId="146" xfId="0" applyFont="1" applyFill="1" applyBorder="1" applyAlignment="1">
      <alignment horizontal="left"/>
    </xf>
    <xf numFmtId="0" fontId="2" fillId="7" borderId="22" xfId="0" applyFont="1" applyFill="1" applyBorder="1" applyAlignment="1">
      <alignment horizontal="center"/>
    </xf>
    <xf numFmtId="0" fontId="2" fillId="7" borderId="120" xfId="0" applyFont="1" applyFill="1" applyBorder="1" applyAlignment="1">
      <alignment horizontal="center"/>
    </xf>
    <xf numFmtId="0" fontId="5" fillId="0" borderId="49" xfId="0" applyFont="1" applyFill="1" applyBorder="1" applyAlignment="1">
      <alignment horizontal="left"/>
    </xf>
    <xf numFmtId="0" fontId="2" fillId="0" borderId="62" xfId="0" applyNumberFormat="1" applyFont="1" applyFill="1" applyBorder="1" applyAlignment="1"/>
    <xf numFmtId="0" fontId="2" fillId="0" borderId="1" xfId="0" applyNumberFormat="1" applyFont="1" applyFill="1" applyBorder="1" applyAlignment="1"/>
    <xf numFmtId="0" fontId="2" fillId="30" borderId="144" xfId="0" applyFont="1" applyFill="1" applyBorder="1"/>
    <xf numFmtId="0" fontId="2" fillId="30" borderId="46" xfId="0" applyFont="1" applyFill="1" applyBorder="1" applyAlignment="1">
      <alignment horizontal="center"/>
    </xf>
    <xf numFmtId="0" fontId="2" fillId="30" borderId="46" xfId="0" applyFont="1" applyFill="1" applyBorder="1"/>
    <xf numFmtId="0" fontId="2" fillId="30" borderId="43" xfId="0" applyFont="1" applyFill="1" applyBorder="1" applyAlignment="1">
      <alignment horizontal="center"/>
    </xf>
    <xf numFmtId="0" fontId="2" fillId="30" borderId="43" xfId="0" applyFont="1" applyFill="1" applyBorder="1"/>
    <xf numFmtId="0" fontId="5" fillId="7" borderId="120" xfId="0" applyFont="1" applyFill="1" applyBorder="1" applyAlignment="1">
      <alignment horizontal="center"/>
    </xf>
    <xf numFmtId="0" fontId="5" fillId="7" borderId="120" xfId="0" applyNumberFormat="1" applyFont="1" applyFill="1" applyBorder="1" applyAlignment="1">
      <alignment horizontal="center"/>
    </xf>
    <xf numFmtId="0" fontId="2" fillId="0" borderId="0" xfId="0" applyNumberFormat="1" applyFont="1" applyFill="1" applyBorder="1"/>
    <xf numFmtId="0" fontId="2" fillId="0" borderId="147" xfId="0" applyNumberFormat="1" applyFont="1" applyFill="1" applyBorder="1" applyAlignment="1">
      <alignment horizontal="center"/>
    </xf>
    <xf numFmtId="0" fontId="26" fillId="0" borderId="1" xfId="0" applyNumberFormat="1" applyFont="1" applyFill="1" applyBorder="1" applyAlignment="1"/>
    <xf numFmtId="0" fontId="2" fillId="0" borderId="1" xfId="0" applyFont="1" applyFill="1" applyBorder="1" applyAlignment="1">
      <alignment horizontal="right"/>
    </xf>
    <xf numFmtId="0" fontId="2" fillId="30" borderId="145" xfId="0" applyFont="1" applyFill="1" applyBorder="1"/>
    <xf numFmtId="0" fontId="2" fillId="7" borderId="138" xfId="0" applyFont="1" applyFill="1" applyBorder="1" applyAlignment="1">
      <alignment horizontal="center" wrapText="1"/>
    </xf>
    <xf numFmtId="0" fontId="2" fillId="7" borderId="137" xfId="0" applyFont="1" applyFill="1" applyBorder="1"/>
    <xf numFmtId="0" fontId="2" fillId="7" borderId="138" xfId="0" applyFont="1" applyFill="1" applyBorder="1"/>
    <xf numFmtId="0" fontId="5" fillId="7" borderId="138" xfId="0" applyFont="1" applyFill="1" applyBorder="1" applyAlignment="1">
      <alignment horizontal="center"/>
    </xf>
    <xf numFmtId="0" fontId="2" fillId="0" borderId="49" xfId="0" applyNumberFormat="1" applyFont="1" applyFill="1" applyBorder="1"/>
    <xf numFmtId="0" fontId="2" fillId="7" borderId="120" xfId="0" applyFont="1" applyFill="1" applyBorder="1"/>
    <xf numFmtId="0" fontId="2" fillId="0" borderId="43" xfId="0" applyNumberFormat="1" applyFont="1" applyFill="1" applyBorder="1"/>
    <xf numFmtId="0" fontId="2" fillId="0" borderId="43" xfId="0" applyNumberFormat="1" applyFont="1" applyFill="1" applyBorder="1" applyAlignment="1">
      <alignment horizontal="center"/>
    </xf>
    <xf numFmtId="0" fontId="2" fillId="0" borderId="44" xfId="0" applyFont="1" applyFill="1" applyBorder="1"/>
    <xf numFmtId="0" fontId="2" fillId="0" borderId="0" xfId="0" applyFont="1" applyBorder="1" applyAlignment="1">
      <alignment horizontal="center"/>
    </xf>
    <xf numFmtId="0" fontId="2" fillId="0" borderId="26" xfId="0" applyFont="1" applyFill="1" applyBorder="1" applyAlignment="1">
      <alignment horizontal="center"/>
    </xf>
    <xf numFmtId="0" fontId="2" fillId="0" borderId="143" xfId="0" applyFont="1" applyFill="1" applyBorder="1"/>
    <xf numFmtId="0" fontId="2" fillId="0" borderId="26" xfId="0" applyFont="1" applyFill="1" applyBorder="1"/>
    <xf numFmtId="0" fontId="2" fillId="0" borderId="149" xfId="0" applyFont="1" applyFill="1" applyBorder="1" applyAlignment="1">
      <alignment horizontal="center"/>
    </xf>
    <xf numFmtId="0" fontId="2" fillId="0" borderId="149" xfId="0" applyNumberFormat="1" applyFont="1" applyFill="1" applyBorder="1" applyAlignment="1">
      <alignment horizontal="center"/>
    </xf>
    <xf numFmtId="0" fontId="3" fillId="0" borderId="1" xfId="0" applyNumberFormat="1" applyFont="1" applyFill="1" applyBorder="1" applyAlignment="1">
      <alignment horizontal="center"/>
    </xf>
    <xf numFmtId="166" fontId="2" fillId="0" borderId="0" xfId="0" applyNumberFormat="1" applyFont="1" applyFill="1" applyBorder="1"/>
    <xf numFmtId="166" fontId="2" fillId="0" borderId="0" xfId="0" applyNumberFormat="1" applyFont="1" applyFill="1" applyBorder="1" applyAlignment="1">
      <alignment horizontal="center"/>
    </xf>
    <xf numFmtId="1" fontId="2" fillId="0" borderId="0" xfId="0" applyNumberFormat="1" applyFont="1" applyFill="1" applyBorder="1"/>
    <xf numFmtId="0" fontId="5" fillId="7" borderId="22" xfId="0" applyFont="1" applyFill="1" applyBorder="1" applyAlignment="1">
      <alignment horizontal="left" wrapText="1"/>
    </xf>
    <xf numFmtId="0" fontId="5" fillId="13" borderId="120" xfId="0" applyFont="1" applyFill="1" applyBorder="1" applyAlignment="1">
      <alignment horizontal="center"/>
    </xf>
    <xf numFmtId="0" fontId="5" fillId="10" borderId="120" xfId="0" applyFont="1" applyFill="1" applyBorder="1" applyAlignment="1">
      <alignment horizontal="center"/>
    </xf>
    <xf numFmtId="0" fontId="5" fillId="6" borderId="120" xfId="0" applyFont="1" applyFill="1" applyBorder="1" applyAlignment="1">
      <alignment horizontal="center"/>
    </xf>
    <xf numFmtId="1" fontId="2" fillId="6" borderId="148" xfId="0" applyNumberFormat="1" applyFont="1" applyFill="1" applyBorder="1" applyAlignment="1">
      <alignment horizontal="center"/>
    </xf>
    <xf numFmtId="1" fontId="2" fillId="0" borderId="26" xfId="0" applyNumberFormat="1" applyFont="1" applyFill="1" applyBorder="1" applyAlignment="1">
      <alignment horizontal="center"/>
    </xf>
    <xf numFmtId="0" fontId="2" fillId="0" borderId="26" xfId="0" applyFont="1" applyBorder="1" applyAlignment="1">
      <alignment horizontal="center"/>
    </xf>
    <xf numFmtId="0" fontId="2" fillId="0" borderId="0" xfId="0" applyNumberFormat="1" applyFont="1" applyBorder="1" applyAlignment="1">
      <alignment horizontal="center"/>
    </xf>
    <xf numFmtId="1" fontId="2" fillId="0" borderId="0" xfId="0" applyNumberFormat="1" applyFont="1" applyBorder="1" applyAlignment="1">
      <alignment horizontal="center"/>
    </xf>
    <xf numFmtId="2" fontId="2" fillId="0" borderId="0" xfId="0" applyNumberFormat="1" applyFont="1" applyFill="1" applyBorder="1" applyAlignment="1">
      <alignment horizontal="left"/>
    </xf>
    <xf numFmtId="0" fontId="0" fillId="0" borderId="0" xfId="0" applyFont="1" applyBorder="1" applyAlignment="1">
      <alignment horizontal="left"/>
    </xf>
    <xf numFmtId="2" fontId="2" fillId="0" borderId="0" xfId="0" applyNumberFormat="1" applyFont="1" applyBorder="1" applyAlignment="1">
      <alignment horizontal="center"/>
    </xf>
    <xf numFmtId="2" fontId="28" fillId="0" borderId="0" xfId="0" applyNumberFormat="1" applyFont="1" applyFill="1" applyBorder="1" applyAlignment="1">
      <alignment horizontal="center"/>
    </xf>
    <xf numFmtId="0" fontId="2" fillId="0" borderId="28" xfId="0" applyNumberFormat="1" applyFont="1" applyFill="1" applyBorder="1" applyAlignment="1">
      <alignment horizontal="center"/>
    </xf>
    <xf numFmtId="2" fontId="2" fillId="0" borderId="148" xfId="0" applyNumberFormat="1" applyFont="1" applyFill="1" applyBorder="1" applyAlignment="1">
      <alignment horizontal="center"/>
    </xf>
    <xf numFmtId="2" fontId="2" fillId="0" borderId="26" xfId="0" applyNumberFormat="1" applyFont="1" applyFill="1" applyBorder="1" applyAlignment="1">
      <alignment horizontal="center"/>
    </xf>
    <xf numFmtId="0" fontId="2" fillId="0" borderId="0" xfId="0" applyNumberFormat="1" applyFont="1"/>
    <xf numFmtId="0" fontId="2" fillId="0" borderId="0" xfId="4" applyFont="1" applyAlignment="1">
      <alignment horizontal="right"/>
    </xf>
    <xf numFmtId="0" fontId="2" fillId="0" borderId="0" xfId="4" applyFont="1"/>
    <xf numFmtId="164" fontId="2" fillId="0" borderId="0" xfId="4" applyNumberFormat="1" applyFont="1"/>
    <xf numFmtId="171" fontId="2" fillId="0" borderId="0" xfId="4" applyNumberFormat="1" applyFont="1"/>
    <xf numFmtId="0" fontId="5" fillId="7" borderId="120" xfId="0" applyFont="1" applyFill="1" applyBorder="1" applyAlignment="1">
      <alignment horizontal="left" vertical="center" wrapText="1"/>
    </xf>
    <xf numFmtId="0" fontId="5" fillId="7" borderId="120" xfId="0" applyFont="1" applyFill="1" applyBorder="1" applyAlignment="1">
      <alignment horizontal="center" vertical="center" wrapText="1"/>
    </xf>
    <xf numFmtId="0" fontId="2" fillId="30" borderId="145" xfId="0" applyFont="1" applyFill="1" applyBorder="1" applyAlignment="1">
      <alignment horizontal="center" vertical="center"/>
    </xf>
    <xf numFmtId="0" fontId="2" fillId="30" borderId="145" xfId="0" applyFont="1" applyFill="1" applyBorder="1" applyAlignment="1">
      <alignment horizontal="left" vertical="center"/>
    </xf>
    <xf numFmtId="0" fontId="2" fillId="0" borderId="29" xfId="0" applyFont="1" applyFill="1" applyBorder="1" applyAlignment="1">
      <alignment horizontal="left"/>
    </xf>
    <xf numFmtId="2" fontId="2" fillId="0" borderId="30" xfId="0" applyNumberFormat="1" applyFont="1" applyFill="1" applyBorder="1" applyAlignment="1">
      <alignment horizontal="center"/>
    </xf>
    <xf numFmtId="172" fontId="2" fillId="0" borderId="30" xfId="0" applyNumberFormat="1" applyFont="1" applyFill="1" applyBorder="1" applyAlignment="1">
      <alignment horizontal="center"/>
    </xf>
    <xf numFmtId="0" fontId="2" fillId="0" borderId="30" xfId="0" applyFont="1" applyFill="1" applyBorder="1" applyAlignment="1">
      <alignment horizontal="center"/>
    </xf>
    <xf numFmtId="0" fontId="2" fillId="0" borderId="29" xfId="0" applyFont="1" applyFill="1" applyBorder="1" applyAlignment="1">
      <alignment horizontal="center"/>
    </xf>
    <xf numFmtId="0" fontId="2" fillId="0" borderId="31" xfId="0" applyFont="1" applyFill="1" applyBorder="1" applyAlignment="1">
      <alignment horizontal="center"/>
    </xf>
    <xf numFmtId="0" fontId="2" fillId="0" borderId="22" xfId="0" applyFont="1" applyFill="1" applyBorder="1" applyAlignment="1">
      <alignment horizontal="center"/>
    </xf>
    <xf numFmtId="0" fontId="2" fillId="0" borderId="22" xfId="0" applyFont="1" applyFill="1" applyBorder="1" applyAlignment="1">
      <alignment horizontal="left"/>
    </xf>
    <xf numFmtId="0" fontId="2" fillId="0" borderId="32" xfId="0" applyFont="1" applyFill="1" applyBorder="1" applyAlignment="1">
      <alignment horizontal="center"/>
    </xf>
    <xf numFmtId="0" fontId="2" fillId="0" borderId="56" xfId="0" applyFont="1" applyFill="1" applyBorder="1" applyAlignment="1">
      <alignment horizontal="center"/>
    </xf>
    <xf numFmtId="0" fontId="5" fillId="0" borderId="57" xfId="0" applyFont="1" applyFill="1" applyBorder="1" applyAlignment="1">
      <alignment horizontal="center"/>
    </xf>
    <xf numFmtId="0" fontId="2" fillId="0" borderId="57" xfId="0" applyFont="1" applyFill="1" applyBorder="1" applyAlignment="1">
      <alignment horizontal="center"/>
    </xf>
    <xf numFmtId="0" fontId="2" fillId="0" borderId="59" xfId="0" applyFont="1" applyFill="1" applyBorder="1" applyAlignment="1">
      <alignment horizontal="center"/>
    </xf>
    <xf numFmtId="1" fontId="5" fillId="7" borderId="120" xfId="0" applyNumberFormat="1" applyFont="1" applyFill="1" applyBorder="1" applyAlignment="1">
      <alignment horizontal="center"/>
    </xf>
    <xf numFmtId="0" fontId="5" fillId="7" borderId="120" xfId="0" quotePrefix="1" applyFont="1" applyFill="1" applyBorder="1" applyAlignment="1">
      <alignment horizontal="center"/>
    </xf>
    <xf numFmtId="2" fontId="5" fillId="7" borderId="120" xfId="0" applyNumberFormat="1" applyFont="1" applyFill="1" applyBorder="1" applyAlignment="1">
      <alignment horizontal="center"/>
    </xf>
    <xf numFmtId="0" fontId="5" fillId="7" borderId="47" xfId="0" applyFont="1" applyFill="1" applyBorder="1" applyAlignment="1">
      <alignment horizontal="center"/>
    </xf>
    <xf numFmtId="0" fontId="5" fillId="7" borderId="47" xfId="0" applyNumberFormat="1" applyFont="1" applyFill="1" applyBorder="1" applyAlignment="1">
      <alignment horizontal="center"/>
    </xf>
    <xf numFmtId="1" fontId="5" fillId="7" borderId="47" xfId="0" applyNumberFormat="1" applyFont="1" applyFill="1" applyBorder="1" applyAlignment="1">
      <alignment horizontal="center"/>
    </xf>
    <xf numFmtId="0" fontId="5" fillId="7" borderId="47" xfId="0" quotePrefix="1" applyFont="1" applyFill="1" applyBorder="1" applyAlignment="1">
      <alignment horizontal="center"/>
    </xf>
    <xf numFmtId="0" fontId="5" fillId="7" borderId="47" xfId="0" applyFont="1" applyFill="1" applyBorder="1" applyAlignment="1">
      <alignment horizontal="center" wrapText="1"/>
    </xf>
    <xf numFmtId="2" fontId="5" fillId="7" borderId="47" xfId="0" applyNumberFormat="1" applyFont="1" applyFill="1" applyBorder="1" applyAlignment="1">
      <alignment horizontal="center"/>
    </xf>
    <xf numFmtId="0" fontId="5" fillId="7" borderId="47" xfId="0" applyFont="1" applyFill="1" applyBorder="1" applyAlignment="1">
      <alignment horizontal="left"/>
    </xf>
    <xf numFmtId="0" fontId="2" fillId="7" borderId="47" xfId="0" applyFont="1" applyFill="1" applyBorder="1" applyAlignment="1">
      <alignment horizontal="center"/>
    </xf>
    <xf numFmtId="0" fontId="2" fillId="7" borderId="120" xfId="0" applyFont="1" applyFill="1" applyBorder="1" applyAlignment="1">
      <alignment horizontal="left"/>
    </xf>
    <xf numFmtId="0" fontId="2" fillId="7" borderId="120" xfId="0" applyNumberFormat="1" applyFont="1" applyFill="1" applyBorder="1" applyAlignment="1">
      <alignment horizontal="center"/>
    </xf>
    <xf numFmtId="1" fontId="2" fillId="7" borderId="120" xfId="0" applyNumberFormat="1" applyFont="1" applyFill="1" applyBorder="1" applyAlignment="1">
      <alignment horizontal="center"/>
    </xf>
    <xf numFmtId="2" fontId="2" fillId="7" borderId="120" xfId="0" applyNumberFormat="1" applyFont="1" applyFill="1" applyBorder="1" applyAlignment="1">
      <alignment horizontal="center"/>
    </xf>
    <xf numFmtId="0" fontId="33" fillId="7" borderId="120" xfId="0" applyFont="1" applyFill="1" applyBorder="1" applyAlignment="1">
      <alignment horizontal="left"/>
    </xf>
    <xf numFmtId="0" fontId="2" fillId="7" borderId="47" xfId="0" applyNumberFormat="1" applyFont="1" applyFill="1" applyBorder="1" applyAlignment="1">
      <alignment horizontal="center"/>
    </xf>
    <xf numFmtId="1" fontId="28" fillId="7" borderId="47" xfId="0" applyNumberFormat="1" applyFont="1" applyFill="1" applyBorder="1" applyAlignment="1">
      <alignment horizontal="center"/>
    </xf>
    <xf numFmtId="0" fontId="33" fillId="7" borderId="47" xfId="0" applyFont="1" applyFill="1" applyBorder="1" applyAlignment="1">
      <alignment horizontal="left"/>
    </xf>
    <xf numFmtId="2" fontId="28" fillId="7" borderId="47" xfId="0" applyNumberFormat="1" applyFont="1" applyFill="1" applyBorder="1" applyAlignment="1">
      <alignment horizontal="center"/>
    </xf>
    <xf numFmtId="0" fontId="2" fillId="7" borderId="22" xfId="0" applyFont="1" applyFill="1" applyBorder="1" applyAlignment="1">
      <alignment horizontal="left"/>
    </xf>
    <xf numFmtId="1" fontId="2" fillId="7" borderId="22" xfId="0" applyNumberFormat="1" applyFont="1" applyFill="1" applyBorder="1" applyAlignment="1">
      <alignment horizontal="center"/>
    </xf>
    <xf numFmtId="0" fontId="2" fillId="7" borderId="22" xfId="0" applyNumberFormat="1" applyFont="1" applyFill="1" applyBorder="1" applyAlignment="1">
      <alignment horizontal="center"/>
    </xf>
    <xf numFmtId="168" fontId="2" fillId="7" borderId="22" xfId="0" applyNumberFormat="1" applyFont="1" applyFill="1" applyBorder="1" applyAlignment="1">
      <alignment horizontal="center"/>
    </xf>
    <xf numFmtId="2" fontId="2" fillId="7" borderId="22" xfId="0" applyNumberFormat="1" applyFont="1" applyFill="1" applyBorder="1" applyAlignment="1">
      <alignment horizontal="center"/>
    </xf>
    <xf numFmtId="0" fontId="33" fillId="7" borderId="22" xfId="0" applyFont="1" applyFill="1" applyBorder="1" applyAlignment="1">
      <alignment horizontal="left"/>
    </xf>
    <xf numFmtId="1" fontId="2" fillId="7" borderId="47" xfId="0" applyNumberFormat="1" applyFont="1" applyFill="1" applyBorder="1" applyAlignment="1">
      <alignment horizontal="center"/>
    </xf>
    <xf numFmtId="0" fontId="2" fillId="7" borderId="47" xfId="0" applyFont="1" applyFill="1" applyBorder="1" applyAlignment="1">
      <alignment horizontal="left"/>
    </xf>
    <xf numFmtId="168" fontId="2" fillId="7" borderId="47" xfId="0" applyNumberFormat="1" applyFont="1" applyFill="1" applyBorder="1" applyAlignment="1">
      <alignment horizontal="center"/>
    </xf>
    <xf numFmtId="2" fontId="2" fillId="7" borderId="47" xfId="0" applyNumberFormat="1" applyFont="1" applyFill="1" applyBorder="1" applyAlignment="1">
      <alignment horizontal="center"/>
    </xf>
    <xf numFmtId="1" fontId="28" fillId="0" borderId="0" xfId="0" applyNumberFormat="1" applyFont="1" applyFill="1" applyBorder="1" applyAlignment="1">
      <alignment horizontal="center"/>
    </xf>
    <xf numFmtId="1" fontId="13" fillId="0" borderId="0" xfId="0" applyNumberFormat="1" applyFont="1" applyFill="1" applyBorder="1" applyAlignment="1">
      <alignment horizontal="center"/>
    </xf>
    <xf numFmtId="0" fontId="5" fillId="7" borderId="22" xfId="0" applyFont="1" applyFill="1" applyBorder="1" applyAlignment="1">
      <alignment horizontal="left"/>
    </xf>
    <xf numFmtId="0" fontId="2" fillId="8" borderId="0" xfId="0" applyFont="1" applyFill="1" applyAlignment="1">
      <alignment horizontal="left"/>
    </xf>
    <xf numFmtId="0" fontId="2" fillId="0" borderId="0" xfId="0" applyFont="1" applyFill="1" applyAlignment="1"/>
    <xf numFmtId="0" fontId="66" fillId="0" borderId="0" xfId="0" applyFont="1"/>
    <xf numFmtId="0" fontId="67" fillId="0" borderId="0" xfId="0" applyFont="1"/>
    <xf numFmtId="166" fontId="66" fillId="0" borderId="0" xfId="0" applyNumberFormat="1" applyFont="1"/>
    <xf numFmtId="2" fontId="66" fillId="0" borderId="0" xfId="0" applyNumberFormat="1" applyFont="1"/>
    <xf numFmtId="10" fontId="66" fillId="0" borderId="0" xfId="0" applyNumberFormat="1" applyFont="1"/>
    <xf numFmtId="0" fontId="2" fillId="0" borderId="31" xfId="0" applyFont="1" applyBorder="1" applyAlignment="1">
      <alignment horizontal="center"/>
    </xf>
    <xf numFmtId="0" fontId="2" fillId="0" borderId="22" xfId="0" applyFont="1" applyBorder="1" applyAlignment="1">
      <alignment horizontal="center"/>
    </xf>
    <xf numFmtId="0" fontId="2" fillId="0" borderId="32" xfId="0" applyFont="1" applyBorder="1" applyAlignment="1">
      <alignment horizontal="center"/>
    </xf>
    <xf numFmtId="0" fontId="5" fillId="0" borderId="99" xfId="0" applyFont="1" applyBorder="1" applyAlignment="1">
      <alignment horizontal="center"/>
    </xf>
    <xf numFmtId="0" fontId="5" fillId="0" borderId="41" xfId="0" applyFont="1" applyBorder="1" applyAlignment="1">
      <alignment horizontal="center"/>
    </xf>
    <xf numFmtId="0" fontId="5" fillId="0" borderId="94" xfId="0" applyFont="1" applyBorder="1" applyAlignment="1">
      <alignment horizontal="center"/>
    </xf>
    <xf numFmtId="0" fontId="5" fillId="0" borderId="56" xfId="0" applyFont="1" applyBorder="1" applyAlignment="1">
      <alignment horizontal="center"/>
    </xf>
    <xf numFmtId="0" fontId="5" fillId="0" borderId="57" xfId="0" applyFont="1" applyBorder="1" applyAlignment="1">
      <alignment horizontal="center"/>
    </xf>
    <xf numFmtId="0" fontId="5" fillId="0" borderId="59" xfId="0" applyFont="1" applyBorder="1" applyAlignment="1">
      <alignment horizontal="center"/>
    </xf>
    <xf numFmtId="0" fontId="2" fillId="30" borderId="144" xfId="0" applyFont="1" applyFill="1" applyBorder="1" applyAlignment="1">
      <alignment horizontal="center" wrapText="1"/>
    </xf>
    <xf numFmtId="0" fontId="2" fillId="30" borderId="62" xfId="0" applyFont="1" applyFill="1" applyBorder="1" applyAlignment="1">
      <alignment horizontal="center" wrapText="1"/>
    </xf>
    <xf numFmtId="0" fontId="2" fillId="30" borderId="1" xfId="0" applyFont="1" applyFill="1" applyBorder="1" applyAlignment="1">
      <alignment horizontal="center" wrapText="1"/>
    </xf>
    <xf numFmtId="0" fontId="2" fillId="0" borderId="150" xfId="0" applyFont="1" applyFill="1" applyBorder="1" applyAlignment="1">
      <alignment horizontal="center"/>
    </xf>
    <xf numFmtId="0" fontId="2" fillId="0" borderId="33" xfId="0" applyFont="1" applyFill="1" applyBorder="1" applyAlignment="1">
      <alignment horizontal="center"/>
    </xf>
    <xf numFmtId="174" fontId="2" fillId="0" borderId="0" xfId="0" applyNumberFormat="1" applyFont="1"/>
    <xf numFmtId="0" fontId="2" fillId="7" borderId="42" xfId="0" applyFont="1" applyFill="1" applyBorder="1" applyAlignment="1">
      <alignment horizontal="center"/>
    </xf>
    <xf numFmtId="0" fontId="0" fillId="0" borderId="0" xfId="0" applyFill="1" applyAlignment="1"/>
    <xf numFmtId="0" fontId="0" fillId="40" borderId="0" xfId="0" applyFont="1" applyFill="1" applyAlignment="1"/>
    <xf numFmtId="0" fontId="32" fillId="40" borderId="0" xfId="0" applyNumberFormat="1" applyFont="1" applyFill="1" applyAlignment="1">
      <alignment horizontal="center"/>
    </xf>
    <xf numFmtId="0" fontId="0" fillId="40" borderId="0" xfId="0" applyFont="1" applyFill="1" applyBorder="1"/>
    <xf numFmtId="1" fontId="0" fillId="40" borderId="16" xfId="0" applyNumberFormat="1" applyFont="1" applyFill="1" applyBorder="1" applyAlignment="1">
      <alignment horizontal="center"/>
    </xf>
    <xf numFmtId="1" fontId="0" fillId="40" borderId="0" xfId="0" applyNumberFormat="1" applyFont="1" applyFill="1" applyAlignment="1">
      <alignment horizontal="center"/>
    </xf>
    <xf numFmtId="0" fontId="0" fillId="40" borderId="0" xfId="0" applyFont="1" applyFill="1" applyAlignment="1">
      <alignment horizontal="center"/>
    </xf>
    <xf numFmtId="0" fontId="0" fillId="40" borderId="0" xfId="0" applyNumberFormat="1" applyFont="1" applyFill="1" applyAlignment="1">
      <alignment horizontal="center"/>
    </xf>
    <xf numFmtId="0" fontId="0" fillId="40" borderId="15" xfId="0" applyFont="1" applyFill="1" applyBorder="1"/>
    <xf numFmtId="1" fontId="0" fillId="40" borderId="0" xfId="0" applyNumberFormat="1" applyFont="1" applyFill="1" applyBorder="1" applyAlignment="1">
      <alignment horizontal="center"/>
    </xf>
    <xf numFmtId="0" fontId="64" fillId="0" borderId="0" xfId="0" applyFont="1" applyFill="1"/>
    <xf numFmtId="0" fontId="64" fillId="37" borderId="0" xfId="0" applyFont="1" applyFill="1" applyBorder="1"/>
    <xf numFmtId="0" fontId="32" fillId="0" borderId="0" xfId="0" applyNumberFormat="1" applyFont="1" applyBorder="1" applyAlignment="1">
      <alignment horizontal="center"/>
    </xf>
    <xf numFmtId="0" fontId="64" fillId="39" borderId="0" xfId="0" applyFont="1" applyFill="1" applyBorder="1"/>
    <xf numFmtId="1" fontId="0" fillId="0" borderId="22" xfId="0" applyNumberFormat="1" applyFont="1" applyBorder="1" applyAlignment="1">
      <alignment horizontal="center"/>
    </xf>
    <xf numFmtId="0" fontId="0" fillId="0" borderId="0" xfId="0" applyFont="1" applyFill="1" applyBorder="1" applyAlignment="1"/>
    <xf numFmtId="0" fontId="68" fillId="0" borderId="0" xfId="0" applyFont="1"/>
    <xf numFmtId="2" fontId="2" fillId="0" borderId="44" xfId="0" applyNumberFormat="1" applyFont="1" applyFill="1" applyBorder="1" applyAlignment="1">
      <alignment horizontal="center"/>
    </xf>
    <xf numFmtId="2" fontId="2" fillId="0" borderId="141" xfId="0" applyNumberFormat="1" applyFont="1" applyFill="1" applyBorder="1" applyAlignment="1">
      <alignment horizontal="center"/>
    </xf>
    <xf numFmtId="0" fontId="0" fillId="40" borderId="0" xfId="0" applyFill="1"/>
    <xf numFmtId="1" fontId="0" fillId="0" borderId="0" xfId="0" applyNumberFormat="1"/>
    <xf numFmtId="10" fontId="0" fillId="0" borderId="0" xfId="4" applyNumberFormat="1" applyFont="1" applyBorder="1" applyAlignment="1">
      <alignment horizontal="center"/>
    </xf>
    <xf numFmtId="166" fontId="31" fillId="0" borderId="30" xfId="4" applyNumberFormat="1" applyFont="1" applyBorder="1" applyAlignment="1">
      <alignment horizontal="center"/>
    </xf>
    <xf numFmtId="166" fontId="16" fillId="0" borderId="32" xfId="4" applyNumberFormat="1" applyFont="1" applyBorder="1" applyAlignment="1">
      <alignment horizontal="center"/>
    </xf>
    <xf numFmtId="9" fontId="0" fillId="0" borderId="0" xfId="0" applyNumberFormat="1"/>
    <xf numFmtId="165" fontId="0" fillId="0" borderId="0" xfId="0" applyNumberFormat="1"/>
    <xf numFmtId="176" fontId="0" fillId="0" borderId="0" xfId="0" applyNumberFormat="1"/>
    <xf numFmtId="177" fontId="0" fillId="0" borderId="0" xfId="4" applyNumberFormat="1" applyFont="1"/>
    <xf numFmtId="0" fontId="0" fillId="0" borderId="47" xfId="0" applyBorder="1"/>
    <xf numFmtId="0" fontId="0" fillId="0" borderId="47" xfId="0" applyFill="1" applyBorder="1"/>
    <xf numFmtId="10" fontId="0" fillId="0" borderId="47" xfId="0" applyNumberFormat="1" applyBorder="1"/>
    <xf numFmtId="2" fontId="0" fillId="0" borderId="47" xfId="0" applyNumberFormat="1" applyBorder="1"/>
    <xf numFmtId="0" fontId="70" fillId="0" borderId="0" xfId="0" applyFont="1"/>
    <xf numFmtId="0" fontId="16" fillId="0" borderId="0" xfId="0" applyFont="1" applyAlignment="1">
      <alignment horizontal="center"/>
    </xf>
    <xf numFmtId="0" fontId="16" fillId="41" borderId="115" xfId="0" applyFont="1" applyFill="1" applyBorder="1" applyAlignment="1">
      <alignment horizontal="left"/>
    </xf>
    <xf numFmtId="0" fontId="16" fillId="41" borderId="118" xfId="0" applyFont="1" applyFill="1" applyBorder="1" applyAlignment="1">
      <alignment horizontal="center"/>
    </xf>
    <xf numFmtId="0" fontId="16" fillId="41" borderId="29" xfId="0" applyFont="1" applyFill="1" applyBorder="1" applyAlignment="1"/>
    <xf numFmtId="0" fontId="16" fillId="41" borderId="0" xfId="0" applyFont="1" applyFill="1" applyBorder="1" applyAlignment="1"/>
    <xf numFmtId="0" fontId="16" fillId="41" borderId="0" xfId="0" applyFont="1" applyFill="1" applyBorder="1" applyAlignment="1">
      <alignment horizontal="center"/>
    </xf>
    <xf numFmtId="0" fontId="16" fillId="41" borderId="29" xfId="0" applyFont="1" applyFill="1" applyBorder="1"/>
    <xf numFmtId="0" fontId="18" fillId="41" borderId="0" xfId="0" applyFont="1" applyFill="1" applyBorder="1"/>
    <xf numFmtId="0" fontId="16" fillId="41" borderId="30" xfId="0" applyFont="1" applyFill="1" applyBorder="1" applyAlignment="1">
      <alignment horizontal="center"/>
    </xf>
    <xf numFmtId="0" fontId="18" fillId="41" borderId="29" xfId="0" applyFont="1" applyFill="1" applyBorder="1"/>
    <xf numFmtId="0" fontId="16" fillId="41" borderId="0" xfId="0" applyFont="1" applyFill="1" applyBorder="1"/>
    <xf numFmtId="0" fontId="18" fillId="41" borderId="30" xfId="0" applyFont="1" applyFill="1" applyBorder="1" applyAlignment="1">
      <alignment horizontal="center"/>
    </xf>
    <xf numFmtId="0" fontId="16" fillId="42" borderId="29" xfId="0" applyFont="1" applyFill="1" applyBorder="1" applyAlignment="1"/>
    <xf numFmtId="0" fontId="16" fillId="42" borderId="0" xfId="0" applyFont="1" applyFill="1" applyBorder="1" applyAlignment="1"/>
    <xf numFmtId="0" fontId="16" fillId="42" borderId="0" xfId="0" applyFont="1" applyFill="1" applyBorder="1" applyAlignment="1">
      <alignment horizontal="center"/>
    </xf>
    <xf numFmtId="0" fontId="16" fillId="42" borderId="29" xfId="0" applyFont="1" applyFill="1" applyBorder="1" applyAlignment="1">
      <alignment horizontal="left"/>
    </xf>
    <xf numFmtId="0" fontId="16" fillId="42" borderId="0" xfId="0" applyFont="1" applyFill="1" applyBorder="1" applyAlignment="1">
      <alignment horizontal="left"/>
    </xf>
    <xf numFmtId="1" fontId="16" fillId="42" borderId="30" xfId="0" applyNumberFormat="1" applyFont="1" applyFill="1" applyBorder="1" applyAlignment="1">
      <alignment horizontal="center"/>
    </xf>
    <xf numFmtId="0" fontId="18" fillId="42" borderId="29" xfId="0" applyFont="1" applyFill="1" applyBorder="1"/>
    <xf numFmtId="0" fontId="16" fillId="42" borderId="0" xfId="0" applyFont="1" applyFill="1" applyBorder="1"/>
    <xf numFmtId="0" fontId="18" fillId="42" borderId="30" xfId="0" applyFont="1" applyFill="1" applyBorder="1" applyAlignment="1">
      <alignment horizontal="center"/>
    </xf>
    <xf numFmtId="0" fontId="16" fillId="42" borderId="30" xfId="0" applyFont="1" applyFill="1" applyBorder="1" applyAlignment="1">
      <alignment horizontal="center"/>
    </xf>
    <xf numFmtId="0" fontId="50" fillId="41" borderId="29" xfId="0" applyFont="1" applyFill="1" applyBorder="1" applyAlignment="1">
      <alignment horizontal="center"/>
    </xf>
    <xf numFmtId="0" fontId="50" fillId="41" borderId="0" xfId="0" applyFont="1" applyFill="1" applyBorder="1" applyAlignment="1"/>
    <xf numFmtId="0" fontId="5" fillId="41" borderId="0" xfId="0" applyFont="1" applyFill="1" applyBorder="1" applyAlignment="1"/>
    <xf numFmtId="0" fontId="5" fillId="41" borderId="30" xfId="0" applyFont="1" applyFill="1" applyBorder="1" applyAlignment="1"/>
    <xf numFmtId="0" fontId="16" fillId="41" borderId="29" xfId="0" applyFont="1" applyFill="1" applyBorder="1" applyAlignment="1">
      <alignment horizontal="left"/>
    </xf>
    <xf numFmtId="0" fontId="16" fillId="41" borderId="0" xfId="0" applyFont="1" applyFill="1" applyBorder="1" applyAlignment="1">
      <alignment horizontal="left"/>
    </xf>
    <xf numFmtId="1" fontId="16" fillId="41" borderId="30" xfId="0" applyNumberFormat="1" applyFont="1" applyFill="1" applyBorder="1" applyAlignment="1">
      <alignment horizontal="center"/>
    </xf>
    <xf numFmtId="0" fontId="0" fillId="41" borderId="0" xfId="0" applyFill="1" applyBorder="1"/>
    <xf numFmtId="0" fontId="0" fillId="41" borderId="29" xfId="0" applyFill="1" applyBorder="1"/>
    <xf numFmtId="1" fontId="16" fillId="42" borderId="0" xfId="0" applyNumberFormat="1" applyFont="1" applyFill="1" applyBorder="1" applyAlignment="1">
      <alignment horizontal="center"/>
    </xf>
    <xf numFmtId="1" fontId="16" fillId="42" borderId="29" xfId="0" applyNumberFormat="1" applyFont="1" applyFill="1" applyBorder="1" applyAlignment="1">
      <alignment horizontal="left"/>
    </xf>
    <xf numFmtId="1" fontId="16" fillId="42" borderId="0" xfId="0" applyNumberFormat="1" applyFont="1" applyFill="1" applyBorder="1" applyAlignment="1">
      <alignment horizontal="left"/>
    </xf>
    <xf numFmtId="0" fontId="0" fillId="41" borderId="30" xfId="0" applyFill="1" applyBorder="1"/>
    <xf numFmtId="0" fontId="51" fillId="41" borderId="29" xfId="0" applyFont="1" applyFill="1" applyBorder="1"/>
    <xf numFmtId="0" fontId="50" fillId="41" borderId="0" xfId="0" applyFont="1" applyFill="1" applyBorder="1"/>
    <xf numFmtId="0" fontId="2" fillId="41" borderId="0" xfId="0" applyFont="1" applyFill="1" applyBorder="1"/>
    <xf numFmtId="0" fontId="2" fillId="41" borderId="30" xfId="0" applyFont="1" applyFill="1" applyBorder="1"/>
    <xf numFmtId="0" fontId="2" fillId="41" borderId="0" xfId="0" applyFont="1" applyFill="1" applyBorder="1" applyAlignment="1"/>
    <xf numFmtId="0" fontId="2" fillId="41" borderId="30" xfId="0" applyFont="1" applyFill="1" applyBorder="1" applyAlignment="1"/>
    <xf numFmtId="0" fontId="16" fillId="43" borderId="27" xfId="0" applyFont="1" applyFill="1" applyBorder="1" applyAlignment="1">
      <alignment horizontal="left"/>
    </xf>
    <xf numFmtId="0" fontId="16" fillId="43" borderId="28" xfId="0" applyFont="1" applyFill="1" applyBorder="1" applyAlignment="1">
      <alignment horizontal="left"/>
    </xf>
    <xf numFmtId="0" fontId="16" fillId="43" borderId="28" xfId="0" applyFont="1" applyFill="1" applyBorder="1" applyAlignment="1">
      <alignment horizontal="center"/>
    </xf>
    <xf numFmtId="0" fontId="18" fillId="44" borderId="27" xfId="0" applyFont="1" applyFill="1" applyBorder="1"/>
    <xf numFmtId="0" fontId="18" fillId="44" borderId="28" xfId="0" applyFont="1" applyFill="1" applyBorder="1"/>
    <xf numFmtId="0" fontId="18" fillId="44" borderId="48" xfId="0" applyFont="1" applyFill="1" applyBorder="1" applyAlignment="1">
      <alignment horizontal="center"/>
    </xf>
    <xf numFmtId="0" fontId="18" fillId="43" borderId="27" xfId="0" applyFont="1" applyFill="1" applyBorder="1"/>
    <xf numFmtId="0" fontId="18" fillId="43" borderId="28" xfId="0" applyFont="1" applyFill="1" applyBorder="1"/>
    <xf numFmtId="0" fontId="18" fillId="43" borderId="48" xfId="0" applyFont="1" applyFill="1" applyBorder="1" applyAlignment="1">
      <alignment horizontal="center"/>
    </xf>
    <xf numFmtId="0" fontId="18" fillId="44" borderId="29" xfId="0" applyFont="1" applyFill="1" applyBorder="1"/>
    <xf numFmtId="0" fontId="18" fillId="44" borderId="0" xfId="0" applyFont="1" applyFill="1" applyBorder="1"/>
    <xf numFmtId="0" fontId="18" fillId="44" borderId="0" xfId="0" applyFont="1" applyFill="1" applyBorder="1" applyAlignment="1">
      <alignment horizontal="center"/>
    </xf>
    <xf numFmtId="0" fontId="16" fillId="43" borderId="29" xfId="0" applyFont="1" applyFill="1" applyBorder="1" applyAlignment="1"/>
    <xf numFmtId="0" fontId="16" fillId="43" borderId="0" xfId="0" applyFont="1" applyFill="1" applyBorder="1" applyAlignment="1"/>
    <xf numFmtId="0" fontId="16" fillId="43" borderId="30" xfId="0" applyFont="1" applyFill="1" applyBorder="1" applyAlignment="1">
      <alignment horizontal="center"/>
    </xf>
    <xf numFmtId="1" fontId="16" fillId="43" borderId="30" xfId="0" applyNumberFormat="1" applyFont="1" applyFill="1" applyBorder="1" applyAlignment="1">
      <alignment horizontal="center"/>
    </xf>
    <xf numFmtId="0" fontId="16" fillId="43" borderId="0" xfId="0" applyFont="1" applyFill="1" applyBorder="1" applyAlignment="1">
      <alignment horizontal="left"/>
    </xf>
    <xf numFmtId="1" fontId="16" fillId="43" borderId="0" xfId="0" applyNumberFormat="1" applyFont="1" applyFill="1" applyBorder="1" applyAlignment="1">
      <alignment horizontal="center"/>
    </xf>
    <xf numFmtId="0" fontId="16" fillId="43" borderId="29" xfId="0" applyFont="1" applyFill="1" applyBorder="1" applyAlignment="1">
      <alignment horizontal="left"/>
    </xf>
    <xf numFmtId="0" fontId="0" fillId="44" borderId="29" xfId="0" applyFill="1" applyBorder="1"/>
    <xf numFmtId="0" fontId="0" fillId="44" borderId="0" xfId="0" applyFill="1" applyBorder="1"/>
    <xf numFmtId="0" fontId="0" fillId="44" borderId="30" xfId="0" applyFill="1" applyBorder="1"/>
    <xf numFmtId="0" fontId="16" fillId="43" borderId="0" xfId="0" applyFont="1" applyFill="1" applyBorder="1" applyAlignment="1">
      <alignment horizontal="center"/>
    </xf>
    <xf numFmtId="0" fontId="18" fillId="43" borderId="29" xfId="0" applyFont="1" applyFill="1" applyBorder="1" applyAlignment="1">
      <alignment horizontal="left"/>
    </xf>
    <xf numFmtId="0" fontId="16" fillId="43" borderId="0" xfId="0" applyFont="1" applyFill="1" applyBorder="1"/>
    <xf numFmtId="1" fontId="18" fillId="43" borderId="30" xfId="0" applyNumberFormat="1" applyFont="1" applyFill="1" applyBorder="1" applyAlignment="1">
      <alignment horizontal="center"/>
    </xf>
    <xf numFmtId="0" fontId="18" fillId="43" borderId="29" xfId="0" applyFont="1" applyFill="1" applyBorder="1"/>
    <xf numFmtId="0" fontId="18" fillId="43" borderId="30" xfId="0" applyFont="1" applyFill="1" applyBorder="1" applyAlignment="1">
      <alignment horizontal="center"/>
    </xf>
    <xf numFmtId="0" fontId="16" fillId="43" borderId="29" xfId="0" applyFont="1" applyFill="1" applyBorder="1"/>
    <xf numFmtId="0" fontId="31" fillId="44" borderId="0" xfId="0" applyFont="1" applyFill="1" applyBorder="1"/>
    <xf numFmtId="0" fontId="16" fillId="44" borderId="0" xfId="0" applyFont="1" applyFill="1" applyBorder="1" applyAlignment="1">
      <alignment horizontal="center"/>
    </xf>
    <xf numFmtId="0" fontId="18" fillId="44" borderId="30" xfId="0" applyFont="1" applyFill="1" applyBorder="1" applyAlignment="1">
      <alignment horizontal="center"/>
    </xf>
    <xf numFmtId="1" fontId="16" fillId="43" borderId="29" xfId="0" applyNumberFormat="1" applyFont="1" applyFill="1" applyBorder="1" applyAlignment="1">
      <alignment horizontal="left"/>
    </xf>
    <xf numFmtId="1" fontId="16" fillId="43" borderId="0" xfId="0" applyNumberFormat="1" applyFont="1" applyFill="1" applyBorder="1" applyAlignment="1">
      <alignment horizontal="left"/>
    </xf>
    <xf numFmtId="0" fontId="18" fillId="43" borderId="0" xfId="0" applyFont="1" applyFill="1" applyBorder="1" applyAlignment="1">
      <alignment horizontal="center"/>
    </xf>
    <xf numFmtId="0" fontId="16" fillId="44" borderId="29" xfId="0" applyFont="1" applyFill="1" applyBorder="1"/>
    <xf numFmtId="0" fontId="16" fillId="44" borderId="0" xfId="0" applyFont="1" applyFill="1" applyBorder="1"/>
    <xf numFmtId="0" fontId="18" fillId="43" borderId="29" xfId="0" applyFont="1" applyFill="1" applyBorder="1" applyAlignment="1"/>
    <xf numFmtId="0" fontId="16" fillId="43" borderId="31" xfId="0" applyFont="1" applyFill="1" applyBorder="1" applyAlignment="1"/>
    <xf numFmtId="0" fontId="16" fillId="43" borderId="22" xfId="0" applyFont="1" applyFill="1" applyBorder="1" applyAlignment="1"/>
    <xf numFmtId="0" fontId="16" fillId="43" borderId="22" xfId="0" applyFont="1" applyFill="1" applyBorder="1" applyAlignment="1">
      <alignment horizontal="center"/>
    </xf>
    <xf numFmtId="0" fontId="16" fillId="43" borderId="32" xfId="0" applyFont="1" applyFill="1" applyBorder="1" applyAlignment="1">
      <alignment horizontal="center"/>
    </xf>
    <xf numFmtId="1" fontId="16" fillId="43" borderId="32" xfId="0" applyNumberFormat="1" applyFont="1" applyFill="1" applyBorder="1" applyAlignment="1">
      <alignment horizontal="center"/>
    </xf>
    <xf numFmtId="2" fontId="0" fillId="30" borderId="17" xfId="0" applyNumberFormat="1" applyFont="1" applyFill="1" applyBorder="1"/>
    <xf numFmtId="0" fontId="0" fillId="30" borderId="0" xfId="0" applyFont="1" applyFill="1" applyBorder="1"/>
    <xf numFmtId="0" fontId="0" fillId="30" borderId="6" xfId="0" applyFont="1" applyFill="1" applyBorder="1"/>
    <xf numFmtId="0" fontId="16" fillId="45" borderId="22" xfId="0" applyFont="1" applyFill="1" applyBorder="1" applyAlignment="1">
      <alignment horizontal="left"/>
    </xf>
    <xf numFmtId="0" fontId="16" fillId="45" borderId="22" xfId="0" applyFont="1" applyFill="1" applyBorder="1"/>
    <xf numFmtId="0" fontId="0" fillId="30" borderId="27" xfId="0" applyFill="1" applyBorder="1"/>
    <xf numFmtId="0" fontId="0" fillId="30" borderId="0" xfId="0" applyFill="1" applyBorder="1"/>
    <xf numFmtId="0" fontId="0" fillId="30" borderId="0" xfId="0" applyFill="1" applyBorder="1" applyAlignment="1">
      <alignment horizontal="center"/>
    </xf>
    <xf numFmtId="0" fontId="0" fillId="30" borderId="27" xfId="0" applyFill="1" applyBorder="1" applyAlignment="1">
      <alignment horizontal="center"/>
    </xf>
    <xf numFmtId="0" fontId="0" fillId="30" borderId="48" xfId="0" applyFont="1" applyFill="1" applyBorder="1" applyAlignment="1">
      <alignment horizontal="center"/>
    </xf>
    <xf numFmtId="0" fontId="0" fillId="30" borderId="22" xfId="0" applyFill="1" applyBorder="1"/>
    <xf numFmtId="0" fontId="49" fillId="30" borderId="28" xfId="0" applyFont="1" applyFill="1" applyBorder="1" applyAlignment="1"/>
    <xf numFmtId="0" fontId="0" fillId="30" borderId="28" xfId="0" applyFill="1" applyBorder="1"/>
    <xf numFmtId="0" fontId="0" fillId="30" borderId="48" xfId="0" applyFont="1" applyFill="1" applyBorder="1"/>
    <xf numFmtId="0" fontId="0" fillId="30" borderId="29" xfId="0" applyFill="1" applyBorder="1"/>
    <xf numFmtId="0" fontId="0" fillId="30" borderId="30" xfId="0" applyFill="1" applyBorder="1"/>
    <xf numFmtId="175" fontId="47" fillId="30" borderId="66" xfId="0" applyNumberFormat="1" applyFont="1" applyFill="1" applyBorder="1" applyAlignment="1">
      <alignment horizontal="center"/>
    </xf>
    <xf numFmtId="0" fontId="62" fillId="30" borderId="27" xfId="0" applyFont="1" applyFill="1" applyBorder="1"/>
    <xf numFmtId="0" fontId="0" fillId="30" borderId="28" xfId="0" applyFont="1" applyFill="1" applyBorder="1"/>
    <xf numFmtId="0" fontId="16" fillId="41" borderId="27" xfId="0" applyFont="1" applyFill="1" applyBorder="1" applyAlignment="1">
      <alignment horizontal="center"/>
    </xf>
    <xf numFmtId="2" fontId="31" fillId="42" borderId="57" xfId="0" applyNumberFormat="1" applyFont="1" applyFill="1" applyBorder="1" applyAlignment="1">
      <alignment horizontal="right"/>
    </xf>
    <xf numFmtId="0" fontId="31" fillId="41" borderId="0" xfId="0" applyFont="1" applyFill="1" applyBorder="1" applyAlignment="1">
      <alignment horizontal="right"/>
    </xf>
    <xf numFmtId="0" fontId="16" fillId="44" borderId="29" xfId="0" applyFont="1" applyFill="1" applyBorder="1" applyAlignment="1">
      <alignment horizontal="left"/>
    </xf>
    <xf numFmtId="10" fontId="31" fillId="44" borderId="30" xfId="0" applyNumberFormat="1" applyFont="1" applyFill="1" applyBorder="1" applyAlignment="1">
      <alignment horizontal="center"/>
    </xf>
    <xf numFmtId="0" fontId="16" fillId="41" borderId="31" xfId="0" applyFont="1" applyFill="1" applyBorder="1" applyAlignment="1">
      <alignment horizontal="left"/>
    </xf>
    <xf numFmtId="10" fontId="31" fillId="41" borderId="32" xfId="0" applyNumberFormat="1" applyFont="1" applyFill="1" applyBorder="1"/>
    <xf numFmtId="1" fontId="31" fillId="41" borderId="118" xfId="0" applyNumberFormat="1" applyFont="1" applyFill="1" applyBorder="1" applyAlignment="1">
      <alignment horizontal="center"/>
    </xf>
    <xf numFmtId="0" fontId="31" fillId="44" borderId="30" xfId="0" applyFont="1" applyFill="1" applyBorder="1" applyAlignment="1">
      <alignment horizontal="center"/>
    </xf>
    <xf numFmtId="10" fontId="31" fillId="41" borderId="30" xfId="0" applyNumberFormat="1" applyFont="1" applyFill="1" applyBorder="1" applyAlignment="1">
      <alignment horizontal="center"/>
    </xf>
    <xf numFmtId="9" fontId="16" fillId="41" borderId="29" xfId="0" applyNumberFormat="1" applyFont="1" applyFill="1" applyBorder="1" applyAlignment="1">
      <alignment horizontal="left"/>
    </xf>
    <xf numFmtId="1" fontId="31" fillId="41" borderId="30" xfId="0" applyNumberFormat="1" applyFont="1" applyFill="1" applyBorder="1" applyAlignment="1">
      <alignment horizontal="center"/>
    </xf>
    <xf numFmtId="0" fontId="16" fillId="44" borderId="30" xfId="0" applyFont="1" applyFill="1" applyBorder="1" applyAlignment="1">
      <alignment horizontal="center"/>
    </xf>
    <xf numFmtId="10" fontId="16" fillId="41" borderId="29" xfId="0" applyNumberFormat="1" applyFont="1" applyFill="1" applyBorder="1" applyAlignment="1">
      <alignment horizontal="left"/>
    </xf>
    <xf numFmtId="10" fontId="31" fillId="44" borderId="30" xfId="0" quotePrefix="1" applyNumberFormat="1" applyFont="1" applyFill="1" applyBorder="1" applyAlignment="1">
      <alignment horizontal="center"/>
    </xf>
    <xf numFmtId="2" fontId="31" fillId="42" borderId="47" xfId="0" applyNumberFormat="1" applyFont="1" applyFill="1" applyBorder="1" applyAlignment="1">
      <alignment horizontal="right"/>
    </xf>
    <xf numFmtId="2" fontId="31" fillId="42" borderId="0" xfId="0" applyNumberFormat="1" applyFont="1" applyFill="1" applyBorder="1" applyAlignment="1">
      <alignment horizontal="right"/>
    </xf>
    <xf numFmtId="2" fontId="31" fillId="41" borderId="22" xfId="0" applyNumberFormat="1" applyFont="1" applyFill="1" applyBorder="1" applyAlignment="1">
      <alignment horizontal="right"/>
    </xf>
    <xf numFmtId="0" fontId="31" fillId="41" borderId="22" xfId="0" applyFont="1" applyFill="1" applyBorder="1" applyAlignment="1">
      <alignment horizontal="right"/>
    </xf>
    <xf numFmtId="0" fontId="16" fillId="43" borderId="4" xfId="0" applyFont="1" applyFill="1" applyBorder="1"/>
    <xf numFmtId="0" fontId="16" fillId="43" borderId="5" xfId="0" applyFont="1" applyFill="1" applyBorder="1"/>
    <xf numFmtId="0" fontId="0" fillId="43" borderId="4" xfId="0" applyFill="1" applyBorder="1"/>
    <xf numFmtId="2" fontId="0" fillId="42" borderId="0" xfId="0" applyNumberFormat="1" applyFill="1" applyBorder="1"/>
    <xf numFmtId="0" fontId="0" fillId="42" borderId="6" xfId="0" applyFont="1" applyFill="1" applyBorder="1"/>
    <xf numFmtId="0" fontId="0" fillId="42" borderId="6" xfId="0" applyFill="1" applyBorder="1"/>
    <xf numFmtId="2" fontId="0" fillId="42" borderId="17" xfId="0" applyNumberFormat="1" applyFont="1" applyFill="1" applyBorder="1"/>
    <xf numFmtId="2" fontId="0" fillId="42" borderId="7" xfId="0" applyNumberFormat="1" applyFill="1" applyBorder="1"/>
    <xf numFmtId="0" fontId="0" fillId="42" borderId="8" xfId="0" applyFont="1" applyFill="1" applyBorder="1"/>
    <xf numFmtId="2" fontId="0" fillId="42" borderId="18" xfId="0" applyNumberFormat="1" applyFont="1" applyFill="1" applyBorder="1"/>
    <xf numFmtId="0" fontId="0" fillId="43" borderId="53" xfId="0" applyFill="1" applyBorder="1"/>
    <xf numFmtId="0" fontId="0" fillId="43" borderId="17" xfId="0" applyFill="1" applyBorder="1"/>
    <xf numFmtId="2" fontId="0" fillId="42" borderId="17" xfId="0" applyNumberFormat="1" applyFill="1" applyBorder="1"/>
    <xf numFmtId="0" fontId="50" fillId="44" borderId="27" xfId="0" applyFont="1" applyFill="1" applyBorder="1" applyAlignment="1">
      <alignment horizontal="center"/>
    </xf>
    <xf numFmtId="0" fontId="50" fillId="44" borderId="28" xfId="0" applyFont="1" applyFill="1" applyBorder="1" applyAlignment="1"/>
    <xf numFmtId="0" fontId="5" fillId="44" borderId="28" xfId="0" applyFont="1" applyFill="1" applyBorder="1" applyAlignment="1"/>
    <xf numFmtId="0" fontId="5" fillId="44" borderId="48" xfId="0" applyFont="1" applyFill="1" applyBorder="1" applyAlignment="1"/>
    <xf numFmtId="0" fontId="50" fillId="44" borderId="29" xfId="0" applyFont="1" applyFill="1" applyBorder="1" applyAlignment="1">
      <alignment horizontal="center"/>
    </xf>
    <xf numFmtId="0" fontId="50" fillId="44" borderId="0" xfId="0" applyFont="1" applyFill="1" applyBorder="1" applyAlignment="1"/>
    <xf numFmtId="0" fontId="5" fillId="44" borderId="0" xfId="0" applyFont="1" applyFill="1" applyBorder="1" applyAlignment="1"/>
    <xf numFmtId="0" fontId="5" fillId="44" borderId="30" xfId="0" applyFont="1" applyFill="1" applyBorder="1" applyAlignment="1"/>
    <xf numFmtId="0" fontId="50" fillId="44" borderId="31" xfId="0" applyFont="1" applyFill="1" applyBorder="1" applyAlignment="1">
      <alignment horizontal="center"/>
    </xf>
    <xf numFmtId="0" fontId="50" fillId="44" borderId="22" xfId="0" applyFont="1" applyFill="1" applyBorder="1" applyAlignment="1"/>
    <xf numFmtId="0" fontId="2" fillId="44" borderId="22" xfId="0" applyFont="1" applyFill="1" applyBorder="1" applyAlignment="1"/>
    <xf numFmtId="0" fontId="2" fillId="44" borderId="32" xfId="0" applyFont="1" applyFill="1" applyBorder="1" applyAlignment="1"/>
    <xf numFmtId="0" fontId="50" fillId="44" borderId="29" xfId="0" applyFont="1" applyFill="1" applyBorder="1" applyAlignment="1">
      <alignment horizontal="left"/>
    </xf>
    <xf numFmtId="0" fontId="51" fillId="44" borderId="0" xfId="0" applyFont="1" applyFill="1" applyBorder="1" applyAlignment="1">
      <alignment horizontal="left"/>
    </xf>
    <xf numFmtId="0" fontId="51" fillId="44" borderId="10" xfId="0" applyFont="1" applyFill="1" applyBorder="1" applyAlignment="1">
      <alignment horizontal="left"/>
    </xf>
    <xf numFmtId="0" fontId="51" fillId="44" borderId="0" xfId="0" applyFont="1" applyFill="1" applyBorder="1" applyAlignment="1"/>
    <xf numFmtId="0" fontId="50" fillId="43" borderId="0" xfId="0" applyFont="1" applyFill="1" applyBorder="1" applyAlignment="1">
      <alignment horizontal="left"/>
    </xf>
    <xf numFmtId="0" fontId="51" fillId="44" borderId="22" xfId="0" applyFont="1" applyFill="1" applyBorder="1"/>
    <xf numFmtId="0" fontId="50" fillId="44" borderId="29" xfId="0" applyFont="1" applyFill="1" applyBorder="1" applyAlignment="1"/>
    <xf numFmtId="0" fontId="51" fillId="44" borderId="69" xfId="0" applyFont="1" applyFill="1" applyBorder="1" applyAlignment="1"/>
    <xf numFmtId="175" fontId="0" fillId="44" borderId="69" xfId="0" applyNumberFormat="1" applyFont="1" applyFill="1" applyBorder="1" applyAlignment="1">
      <alignment horizontal="center"/>
    </xf>
    <xf numFmtId="0" fontId="50" fillId="43" borderId="29" xfId="0" applyFont="1" applyFill="1" applyBorder="1" applyAlignment="1">
      <alignment horizontal="left"/>
    </xf>
    <xf numFmtId="0" fontId="52" fillId="43" borderId="0" xfId="0" applyFont="1" applyFill="1" applyBorder="1" applyAlignment="1">
      <alignment horizontal="left"/>
    </xf>
    <xf numFmtId="0" fontId="50" fillId="43" borderId="69" xfId="0" applyFont="1" applyFill="1" applyBorder="1" applyAlignment="1">
      <alignment horizontal="left"/>
    </xf>
    <xf numFmtId="0" fontId="50" fillId="44" borderId="31" xfId="0" applyFont="1" applyFill="1" applyBorder="1"/>
    <xf numFmtId="0" fontId="51" fillId="44" borderId="71" xfId="0" applyFont="1" applyFill="1" applyBorder="1"/>
    <xf numFmtId="1" fontId="50" fillId="42" borderId="119" xfId="0" applyNumberFormat="1" applyFont="1" applyFill="1" applyBorder="1" applyAlignment="1">
      <alignment horizontal="center"/>
    </xf>
    <xf numFmtId="0" fontId="50" fillId="42" borderId="119" xfId="0" applyNumberFormat="1" applyFont="1" applyFill="1" applyBorder="1" applyAlignment="1">
      <alignment horizontal="center"/>
    </xf>
    <xf numFmtId="0" fontId="50" fillId="41" borderId="119" xfId="0" applyFont="1" applyFill="1" applyBorder="1" applyAlignment="1">
      <alignment horizontal="center"/>
    </xf>
    <xf numFmtId="9" fontId="50" fillId="42" borderId="70" xfId="0" applyNumberFormat="1" applyFont="1" applyFill="1" applyBorder="1" applyAlignment="1">
      <alignment horizontal="center"/>
    </xf>
    <xf numFmtId="10" fontId="50" fillId="41" borderId="70" xfId="0" applyNumberFormat="1" applyFont="1" applyFill="1" applyBorder="1" applyAlignment="1">
      <alignment horizontal="center"/>
    </xf>
    <xf numFmtId="0" fontId="50" fillId="41" borderId="70" xfId="0" applyFont="1" applyFill="1" applyBorder="1" applyAlignment="1">
      <alignment horizontal="center"/>
    </xf>
    <xf numFmtId="9" fontId="50" fillId="41" borderId="70" xfId="0" applyNumberFormat="1" applyFont="1" applyFill="1" applyBorder="1" applyAlignment="1">
      <alignment horizontal="center"/>
    </xf>
    <xf numFmtId="0" fontId="50" fillId="41" borderId="70" xfId="0" applyNumberFormat="1" applyFont="1" applyFill="1" applyBorder="1" applyAlignment="1">
      <alignment horizontal="center"/>
    </xf>
    <xf numFmtId="0" fontId="50" fillId="41" borderId="72" xfId="0" applyFont="1" applyFill="1" applyBorder="1" applyAlignment="1">
      <alignment horizontal="center"/>
    </xf>
    <xf numFmtId="0" fontId="16" fillId="41" borderId="115" xfId="0" applyNumberFormat="1" applyFont="1" applyFill="1" applyBorder="1" applyAlignment="1">
      <alignment horizontal="left"/>
    </xf>
    <xf numFmtId="0" fontId="31" fillId="41" borderId="30" xfId="0" applyFont="1" applyFill="1" applyBorder="1" applyAlignment="1">
      <alignment horizontal="center"/>
    </xf>
    <xf numFmtId="0" fontId="16" fillId="41" borderId="29" xfId="0" quotePrefix="1" applyFont="1" applyFill="1" applyBorder="1" applyAlignment="1">
      <alignment horizontal="left"/>
    </xf>
    <xf numFmtId="1" fontId="31" fillId="41" borderId="32" xfId="0" applyNumberFormat="1" applyFont="1" applyFill="1" applyBorder="1" applyAlignment="1">
      <alignment horizontal="center"/>
    </xf>
    <xf numFmtId="1" fontId="16" fillId="41" borderId="32" xfId="0" applyNumberFormat="1" applyFont="1" applyFill="1" applyBorder="1" applyAlignment="1">
      <alignment horizontal="center"/>
    </xf>
    <xf numFmtId="2" fontId="31" fillId="43" borderId="0" xfId="0" applyNumberFormat="1" applyFont="1" applyFill="1" applyBorder="1" applyAlignment="1">
      <alignment horizontal="right"/>
    </xf>
    <xf numFmtId="10" fontId="16" fillId="44" borderId="29" xfId="0" applyNumberFormat="1" applyFont="1" applyFill="1" applyBorder="1" applyAlignment="1">
      <alignment horizontal="left"/>
    </xf>
    <xf numFmtId="2" fontId="31" fillId="43" borderId="22" xfId="0" applyNumberFormat="1" applyFont="1" applyFill="1" applyBorder="1" applyAlignment="1">
      <alignment horizontal="right"/>
    </xf>
    <xf numFmtId="0" fontId="16" fillId="43" borderId="53" xfId="0" applyFont="1" applyFill="1" applyBorder="1" applyAlignment="1"/>
    <xf numFmtId="0" fontId="0" fillId="44" borderId="73" xfId="0" applyFill="1" applyBorder="1" applyAlignment="1"/>
    <xf numFmtId="0" fontId="16" fillId="43" borderId="17" xfId="0" applyFont="1" applyFill="1" applyBorder="1" applyAlignment="1"/>
    <xf numFmtId="0" fontId="0" fillId="44" borderId="10" xfId="0" applyFill="1" applyBorder="1" applyAlignment="1"/>
    <xf numFmtId="0" fontId="16" fillId="45" borderId="53" xfId="0" applyFont="1" applyFill="1" applyBorder="1" applyAlignment="1">
      <alignment horizontal="left"/>
    </xf>
    <xf numFmtId="0" fontId="0" fillId="30" borderId="66" xfId="0" applyFill="1" applyBorder="1" applyAlignment="1">
      <alignment horizontal="left"/>
    </xf>
    <xf numFmtId="0" fontId="0" fillId="30" borderId="41" xfId="0" applyFill="1" applyBorder="1"/>
    <xf numFmtId="0" fontId="0" fillId="30" borderId="54" xfId="0" applyFill="1" applyBorder="1" applyAlignment="1">
      <alignment horizontal="left"/>
    </xf>
    <xf numFmtId="1" fontId="2" fillId="42" borderId="77" xfId="0" applyNumberFormat="1" applyFont="1" applyFill="1" applyBorder="1" applyAlignment="1">
      <alignment horizontal="left"/>
    </xf>
    <xf numFmtId="0" fontId="0" fillId="41" borderId="74" xfId="0" applyFill="1" applyBorder="1" applyAlignment="1"/>
    <xf numFmtId="0" fontId="0" fillId="41" borderId="75" xfId="0" applyFill="1" applyBorder="1"/>
    <xf numFmtId="0" fontId="0" fillId="41" borderId="76" xfId="0" applyFill="1" applyBorder="1"/>
    <xf numFmtId="0" fontId="0" fillId="42" borderId="50" xfId="0" applyFill="1" applyBorder="1" applyAlignment="1">
      <alignment horizontal="center"/>
    </xf>
    <xf numFmtId="0" fontId="0" fillId="42" borderId="51" xfId="0" applyFont="1" applyFill="1" applyBorder="1" applyAlignment="1">
      <alignment horizontal="center"/>
    </xf>
    <xf numFmtId="0" fontId="0" fillId="42" borderId="51" xfId="0" applyFill="1" applyBorder="1" applyAlignment="1">
      <alignment horizontal="center"/>
    </xf>
    <xf numFmtId="0" fontId="0" fillId="42" borderId="50" xfId="0" applyFont="1" applyFill="1" applyBorder="1" applyAlignment="1">
      <alignment horizontal="center"/>
    </xf>
    <xf numFmtId="0" fontId="17" fillId="45" borderId="31" xfId="0" applyFont="1" applyFill="1" applyBorder="1" applyAlignment="1">
      <alignment horizontal="left"/>
    </xf>
    <xf numFmtId="0" fontId="17" fillId="45" borderId="22" xfId="0" applyFont="1" applyFill="1" applyBorder="1" applyAlignment="1">
      <alignment horizontal="center"/>
    </xf>
    <xf numFmtId="0" fontId="17" fillId="45" borderId="22" xfId="0" applyFont="1" applyFill="1" applyBorder="1"/>
    <xf numFmtId="0" fontId="17" fillId="45" borderId="32" xfId="0" applyFont="1" applyFill="1" applyBorder="1" applyAlignment="1">
      <alignment horizontal="center"/>
    </xf>
    <xf numFmtId="0" fontId="17" fillId="45" borderId="22" xfId="0" applyFont="1" applyFill="1" applyBorder="1" applyAlignment="1">
      <alignment horizontal="left"/>
    </xf>
    <xf numFmtId="1" fontId="17" fillId="45" borderId="22" xfId="0" applyNumberFormat="1" applyFont="1" applyFill="1" applyBorder="1" applyAlignment="1">
      <alignment horizontal="center"/>
    </xf>
    <xf numFmtId="0" fontId="0" fillId="47" borderId="0" xfId="0" applyFill="1" applyBorder="1" applyAlignment="1"/>
    <xf numFmtId="0" fontId="0" fillId="48" borderId="30" xfId="0" applyNumberFormat="1" applyFont="1" applyFill="1" applyBorder="1" applyAlignment="1">
      <alignment horizontal="center"/>
    </xf>
    <xf numFmtId="0" fontId="0" fillId="43" borderId="30" xfId="0" applyNumberFormat="1" applyFont="1" applyFill="1" applyBorder="1" applyAlignment="1">
      <alignment horizontal="center"/>
    </xf>
    <xf numFmtId="0" fontId="0" fillId="48" borderId="32" xfId="0" applyNumberFormat="1" applyFont="1" applyFill="1" applyBorder="1" applyAlignment="1">
      <alignment horizontal="center"/>
    </xf>
    <xf numFmtId="0" fontId="16" fillId="48" borderId="0" xfId="0" applyFont="1" applyFill="1" applyBorder="1" applyAlignment="1">
      <alignment horizontal="right"/>
    </xf>
    <xf numFmtId="2" fontId="0" fillId="48" borderId="30" xfId="0" applyNumberFormat="1" applyFont="1" applyFill="1" applyBorder="1"/>
    <xf numFmtId="9" fontId="31" fillId="47" borderId="24" xfId="5" applyFill="1" applyBorder="1" applyAlignment="1">
      <alignment horizontal="center"/>
    </xf>
    <xf numFmtId="0" fontId="16" fillId="43" borderId="0" xfId="0" applyFont="1" applyFill="1" applyBorder="1" applyAlignment="1">
      <alignment horizontal="right"/>
    </xf>
    <xf numFmtId="2" fontId="0" fillId="43" borderId="30" xfId="0" applyNumberFormat="1" applyFont="1" applyFill="1" applyBorder="1"/>
    <xf numFmtId="9" fontId="31" fillId="44" borderId="24" xfId="5" applyFill="1" applyBorder="1" applyAlignment="1">
      <alignment horizontal="center"/>
    </xf>
    <xf numFmtId="0" fontId="16" fillId="42" borderId="0" xfId="0" applyFont="1" applyFill="1" applyBorder="1" applyAlignment="1">
      <alignment horizontal="right"/>
    </xf>
    <xf numFmtId="2" fontId="0" fillId="42" borderId="30" xfId="0" applyNumberFormat="1" applyFont="1" applyFill="1" applyBorder="1"/>
    <xf numFmtId="9" fontId="31" fillId="41" borderId="24" xfId="5" applyFill="1" applyBorder="1" applyAlignment="1">
      <alignment horizontal="center"/>
    </xf>
    <xf numFmtId="0" fontId="44" fillId="46" borderId="99" xfId="0" applyFont="1" applyFill="1" applyBorder="1" applyAlignment="1"/>
    <xf numFmtId="0" fontId="16" fillId="46" borderId="41" xfId="0" applyFont="1" applyFill="1" applyBorder="1"/>
    <xf numFmtId="0" fontId="0" fillId="46" borderId="41" xfId="0" applyFont="1" applyFill="1" applyBorder="1"/>
    <xf numFmtId="0" fontId="0" fillId="46" borderId="28" xfId="0" applyFont="1" applyFill="1" applyBorder="1"/>
    <xf numFmtId="0" fontId="0" fillId="46" borderId="48" xfId="0" applyFont="1" applyFill="1" applyBorder="1"/>
    <xf numFmtId="0" fontId="16" fillId="46" borderId="40" xfId="0" applyFont="1" applyFill="1" applyBorder="1"/>
    <xf numFmtId="0" fontId="0" fillId="46" borderId="0" xfId="0" applyFont="1" applyFill="1" applyBorder="1"/>
    <xf numFmtId="0" fontId="0" fillId="46" borderId="30" xfId="0" applyFont="1" applyFill="1" applyBorder="1"/>
    <xf numFmtId="175" fontId="0" fillId="46" borderId="30" xfId="0" applyNumberFormat="1" applyFont="1" applyFill="1" applyBorder="1"/>
    <xf numFmtId="0" fontId="0" fillId="46" borderId="22" xfId="0" applyFont="1" applyFill="1" applyBorder="1"/>
    <xf numFmtId="175" fontId="0" fillId="46" borderId="32" xfId="0" applyNumberFormat="1" applyFont="1" applyFill="1" applyBorder="1"/>
    <xf numFmtId="0" fontId="0" fillId="46" borderId="29" xfId="0" applyFont="1" applyFill="1" applyBorder="1"/>
    <xf numFmtId="0" fontId="0" fillId="46" borderId="31" xfId="0" applyFont="1" applyFill="1" applyBorder="1"/>
    <xf numFmtId="0" fontId="16" fillId="42" borderId="56" xfId="0" applyFont="1" applyFill="1" applyBorder="1" applyAlignment="1">
      <alignment horizontal="right"/>
    </xf>
    <xf numFmtId="2" fontId="0" fillId="42" borderId="59" xfId="0" applyNumberFormat="1" applyFont="1" applyFill="1" applyBorder="1"/>
    <xf numFmtId="9" fontId="0" fillId="41" borderId="67" xfId="0" applyNumberFormat="1" applyFont="1" applyFill="1" applyBorder="1" applyAlignment="1">
      <alignment horizontal="center"/>
    </xf>
    <xf numFmtId="49" fontId="16" fillId="44" borderId="48" xfId="0" applyNumberFormat="1" applyFont="1" applyFill="1" applyBorder="1" applyAlignment="1">
      <alignment horizontal="center"/>
    </xf>
    <xf numFmtId="1" fontId="0" fillId="44" borderId="30" xfId="0" applyNumberFormat="1" applyFont="1" applyFill="1" applyBorder="1" applyAlignment="1">
      <alignment horizontal="center"/>
    </xf>
    <xf numFmtId="9" fontId="16" fillId="47" borderId="30" xfId="0" applyNumberFormat="1" applyFont="1" applyFill="1" applyBorder="1" applyAlignment="1">
      <alignment horizontal="center"/>
    </xf>
    <xf numFmtId="10" fontId="0" fillId="47" borderId="32" xfId="0" applyNumberFormat="1" applyFont="1" applyFill="1" applyBorder="1" applyAlignment="1">
      <alignment horizontal="center"/>
    </xf>
    <xf numFmtId="0" fontId="16" fillId="28" borderId="36" xfId="0" applyFont="1" applyFill="1" applyBorder="1" applyAlignment="1">
      <alignment horizontal="center"/>
    </xf>
    <xf numFmtId="0" fontId="0" fillId="0" borderId="29" xfId="0" applyFont="1" applyFill="1" applyBorder="1"/>
    <xf numFmtId="2" fontId="0" fillId="46" borderId="29" xfId="0" applyNumberFormat="1" applyFont="1" applyFill="1" applyBorder="1"/>
    <xf numFmtId="0" fontId="0" fillId="46" borderId="0" xfId="0" applyFont="1" applyFill="1" applyBorder="1" applyAlignment="1">
      <alignment horizontal="center"/>
    </xf>
    <xf numFmtId="0" fontId="0" fillId="49" borderId="0" xfId="0" applyFont="1" applyFill="1" applyBorder="1" applyAlignment="1">
      <alignment horizontal="left"/>
    </xf>
    <xf numFmtId="0" fontId="2" fillId="44" borderId="0" xfId="0" applyFont="1" applyFill="1" applyBorder="1"/>
    <xf numFmtId="0" fontId="0" fillId="49" borderId="0" xfId="0" applyFont="1" applyFill="1" applyBorder="1" applyAlignment="1">
      <alignment horizontal="center"/>
    </xf>
    <xf numFmtId="1" fontId="0" fillId="49" borderId="0" xfId="0" applyNumberFormat="1" applyFont="1" applyFill="1" applyBorder="1" applyAlignment="1">
      <alignment horizontal="center"/>
    </xf>
    <xf numFmtId="0" fontId="0" fillId="49" borderId="0" xfId="0" applyNumberFormat="1" applyFont="1" applyFill="1" applyBorder="1" applyAlignment="1">
      <alignment horizontal="center"/>
    </xf>
    <xf numFmtId="175" fontId="42" fillId="49" borderId="0" xfId="0" applyNumberFormat="1" applyFont="1" applyFill="1" applyBorder="1" applyAlignment="1">
      <alignment horizontal="center"/>
    </xf>
    <xf numFmtId="1" fontId="16" fillId="50" borderId="57" xfId="0" applyNumberFormat="1" applyFont="1" applyFill="1" applyBorder="1" applyAlignment="1">
      <alignment horizontal="center"/>
    </xf>
    <xf numFmtId="0" fontId="0" fillId="46" borderId="59" xfId="0" applyNumberFormat="1" applyFont="1" applyFill="1" applyBorder="1" applyAlignment="1">
      <alignment horizontal="center"/>
    </xf>
    <xf numFmtId="1" fontId="16" fillId="51" borderId="57" xfId="0" applyNumberFormat="1" applyFont="1" applyFill="1" applyBorder="1" applyAlignment="1">
      <alignment horizontal="center"/>
    </xf>
    <xf numFmtId="1" fontId="16" fillId="51" borderId="59" xfId="0" applyNumberFormat="1" applyFont="1" applyFill="1" applyBorder="1" applyAlignment="1">
      <alignment horizontal="center"/>
    </xf>
    <xf numFmtId="0" fontId="16" fillId="0" borderId="22" xfId="0" applyFont="1" applyBorder="1"/>
    <xf numFmtId="0" fontId="0" fillId="32" borderId="0" xfId="0" applyNumberFormat="1" applyFont="1" applyFill="1" applyBorder="1" applyAlignment="1">
      <alignment horizontal="left"/>
    </xf>
    <xf numFmtId="0" fontId="18" fillId="0" borderId="0" xfId="0" applyNumberFormat="1" applyFont="1" applyFill="1" applyBorder="1" applyAlignment="1">
      <alignment horizontal="left"/>
    </xf>
    <xf numFmtId="0" fontId="16" fillId="41" borderId="29" xfId="0" applyFont="1" applyFill="1" applyBorder="1" applyAlignment="1">
      <alignment horizontal="center"/>
    </xf>
    <xf numFmtId="0" fontId="16" fillId="41" borderId="22" xfId="0" applyNumberFormat="1" applyFont="1" applyFill="1" applyBorder="1" applyAlignment="1">
      <alignment horizontal="right"/>
    </xf>
    <xf numFmtId="0" fontId="16" fillId="41" borderId="22" xfId="0" applyFont="1" applyFill="1" applyBorder="1" applyAlignment="1"/>
    <xf numFmtId="0" fontId="16" fillId="41" borderId="32" xfId="0" applyNumberFormat="1" applyFont="1" applyFill="1" applyBorder="1" applyAlignment="1">
      <alignment horizontal="left"/>
    </xf>
    <xf numFmtId="0" fontId="16" fillId="41" borderId="31" xfId="0" applyFont="1" applyFill="1" applyBorder="1" applyAlignment="1">
      <alignment horizontal="center"/>
    </xf>
    <xf numFmtId="0" fontId="50" fillId="41" borderId="30" xfId="0" applyFont="1" applyFill="1" applyBorder="1" applyAlignment="1">
      <alignment horizontal="center"/>
    </xf>
    <xf numFmtId="0" fontId="0" fillId="41" borderId="155" xfId="0" applyFill="1" applyBorder="1"/>
    <xf numFmtId="0" fontId="0" fillId="28" borderId="59" xfId="0" applyFill="1" applyBorder="1"/>
    <xf numFmtId="0" fontId="0" fillId="31" borderId="94" xfId="0" applyFill="1" applyBorder="1"/>
    <xf numFmtId="0" fontId="0" fillId="31" borderId="34" xfId="0" applyFill="1" applyBorder="1"/>
    <xf numFmtId="0" fontId="0" fillId="44" borderId="155" xfId="0" applyFill="1" applyBorder="1"/>
    <xf numFmtId="0" fontId="0" fillId="44" borderId="151" xfId="0" applyFill="1" applyBorder="1"/>
    <xf numFmtId="0" fontId="16" fillId="44" borderId="32" xfId="0" applyFont="1" applyFill="1" applyBorder="1" applyAlignment="1">
      <alignment horizontal="center"/>
    </xf>
    <xf numFmtId="0" fontId="16" fillId="31" borderId="99" xfId="0" applyFont="1" applyFill="1" applyBorder="1"/>
    <xf numFmtId="0" fontId="16" fillId="31" borderId="116" xfId="0" applyFont="1" applyFill="1" applyBorder="1"/>
    <xf numFmtId="0" fontId="16" fillId="31" borderId="29" xfId="0" applyFont="1" applyFill="1" applyBorder="1"/>
    <xf numFmtId="0" fontId="16" fillId="31" borderId="30" xfId="0" applyFont="1" applyFill="1" applyBorder="1"/>
    <xf numFmtId="0" fontId="16" fillId="31" borderId="34" xfId="0" applyFont="1" applyFill="1" applyBorder="1"/>
    <xf numFmtId="0" fontId="0" fillId="52" borderId="19" xfId="0" applyFill="1" applyBorder="1"/>
    <xf numFmtId="0" fontId="0" fillId="52" borderId="9" xfId="0" applyFill="1" applyBorder="1"/>
    <xf numFmtId="0" fontId="0" fillId="52" borderId="9" xfId="0" applyFill="1" applyBorder="1" applyAlignment="1">
      <alignment horizontal="right"/>
    </xf>
    <xf numFmtId="0" fontId="0" fillId="52" borderId="14" xfId="0" applyFill="1" applyBorder="1"/>
    <xf numFmtId="0" fontId="0" fillId="52" borderId="11" xfId="0" applyFont="1" applyFill="1" applyBorder="1"/>
    <xf numFmtId="0" fontId="0" fillId="52" borderId="0" xfId="0" applyFill="1" applyBorder="1"/>
    <xf numFmtId="165" fontId="0" fillId="52" borderId="0" xfId="0" applyNumberFormat="1" applyFill="1" applyBorder="1"/>
    <xf numFmtId="1" fontId="0" fillId="52" borderId="0" xfId="0" applyNumberFormat="1" applyFill="1" applyBorder="1"/>
    <xf numFmtId="0" fontId="0" fillId="52" borderId="10" xfId="0" applyFill="1" applyBorder="1"/>
    <xf numFmtId="165" fontId="0" fillId="52" borderId="0" xfId="0" applyNumberFormat="1" applyFont="1" applyFill="1"/>
    <xf numFmtId="10" fontId="0" fillId="52" borderId="0" xfId="0" applyNumberFormat="1" applyFill="1" applyBorder="1"/>
    <xf numFmtId="0" fontId="0" fillId="52" borderId="11" xfId="0" applyFill="1" applyBorder="1"/>
    <xf numFmtId="0" fontId="0" fillId="27" borderId="83" xfId="0" applyFont="1" applyFill="1" applyBorder="1"/>
    <xf numFmtId="0" fontId="0" fillId="27" borderId="61" xfId="0" applyFill="1" applyBorder="1"/>
    <xf numFmtId="165" fontId="0" fillId="52" borderId="12" xfId="0" applyNumberFormat="1" applyFill="1" applyBorder="1"/>
    <xf numFmtId="0" fontId="0" fillId="52" borderId="12" xfId="0" applyFill="1" applyBorder="1"/>
    <xf numFmtId="0" fontId="16" fillId="52" borderId="21" xfId="0" applyFont="1" applyFill="1" applyBorder="1" applyAlignment="1">
      <alignment horizontal="right"/>
    </xf>
    <xf numFmtId="0" fontId="0" fillId="52" borderId="0" xfId="0" applyFill="1"/>
    <xf numFmtId="0" fontId="0" fillId="27" borderId="0" xfId="0" applyFill="1"/>
    <xf numFmtId="0" fontId="0" fillId="52" borderId="0" xfId="0" applyFont="1" applyFill="1"/>
    <xf numFmtId="0" fontId="0" fillId="47" borderId="84" xfId="0" applyFill="1" applyBorder="1" applyAlignment="1"/>
    <xf numFmtId="0" fontId="0" fillId="47" borderId="47" xfId="0" applyFill="1" applyBorder="1" applyAlignment="1"/>
    <xf numFmtId="0" fontId="0" fillId="47" borderId="85" xfId="0" applyFill="1" applyBorder="1" applyAlignment="1"/>
    <xf numFmtId="2" fontId="18" fillId="47" borderId="40" xfId="0" applyNumberFormat="1" applyFont="1" applyFill="1" applyBorder="1" applyAlignment="1">
      <alignment horizontal="center"/>
    </xf>
    <xf numFmtId="0" fontId="18" fillId="47" borderId="69" xfId="0" applyFont="1" applyFill="1" applyBorder="1" applyAlignment="1">
      <alignment horizontal="center"/>
    </xf>
    <xf numFmtId="0" fontId="0" fillId="47" borderId="40" xfId="0" applyFill="1" applyBorder="1" applyAlignment="1"/>
    <xf numFmtId="0" fontId="0" fillId="47" borderId="69" xfId="0" applyFill="1" applyBorder="1" applyAlignment="1"/>
    <xf numFmtId="0" fontId="0" fillId="47" borderId="40" xfId="0" applyNumberFormat="1" applyFill="1" applyBorder="1" applyAlignment="1">
      <alignment horizontal="center"/>
    </xf>
    <xf numFmtId="0" fontId="0" fillId="47" borderId="69" xfId="0" applyNumberFormat="1" applyFill="1" applyBorder="1" applyAlignment="1">
      <alignment horizontal="center"/>
    </xf>
    <xf numFmtId="166" fontId="0" fillId="47" borderId="40" xfId="0" applyNumberFormat="1" applyFill="1" applyBorder="1"/>
    <xf numFmtId="166" fontId="0" fillId="47" borderId="0" xfId="0" applyNumberFormat="1" applyFill="1" applyBorder="1"/>
    <xf numFmtId="166" fontId="0" fillId="47" borderId="69" xfId="0" applyNumberFormat="1" applyFill="1" applyBorder="1"/>
    <xf numFmtId="166" fontId="16" fillId="47" borderId="40" xfId="0" applyNumberFormat="1" applyFont="1" applyFill="1" applyBorder="1"/>
    <xf numFmtId="0" fontId="0" fillId="47" borderId="86" xfId="0" applyNumberFormat="1" applyFill="1" applyBorder="1" applyAlignment="1">
      <alignment horizontal="center"/>
    </xf>
    <xf numFmtId="0" fontId="0" fillId="47" borderId="87" xfId="0" applyNumberFormat="1" applyFill="1" applyBorder="1" applyAlignment="1">
      <alignment horizontal="center"/>
    </xf>
    <xf numFmtId="166" fontId="16" fillId="47" borderId="86" xfId="0" applyNumberFormat="1" applyFont="1" applyFill="1" applyBorder="1"/>
    <xf numFmtId="166" fontId="16" fillId="47" borderId="88" xfId="0" applyNumberFormat="1" applyFont="1" applyFill="1" applyBorder="1"/>
    <xf numFmtId="166" fontId="0" fillId="47" borderId="88" xfId="0" applyNumberFormat="1" applyFill="1" applyBorder="1"/>
    <xf numFmtId="166" fontId="0" fillId="47" borderId="87" xfId="0" applyNumberFormat="1" applyFill="1" applyBorder="1"/>
    <xf numFmtId="0" fontId="0" fillId="47" borderId="89" xfId="0" applyNumberFormat="1" applyFill="1" applyBorder="1" applyAlignment="1">
      <alignment horizontal="center"/>
    </xf>
    <xf numFmtId="0" fontId="0" fillId="47" borderId="90" xfId="0" applyNumberFormat="1" applyFill="1" applyBorder="1" applyAlignment="1">
      <alignment horizontal="center"/>
    </xf>
    <xf numFmtId="166" fontId="16" fillId="47" borderId="89" xfId="0" applyNumberFormat="1" applyFont="1" applyFill="1" applyBorder="1"/>
    <xf numFmtId="166" fontId="0" fillId="47" borderId="91" xfId="0" applyNumberFormat="1" applyFill="1" applyBorder="1"/>
    <xf numFmtId="166" fontId="0" fillId="47" borderId="90" xfId="0" applyNumberFormat="1" applyFill="1" applyBorder="1"/>
    <xf numFmtId="166" fontId="16" fillId="47" borderId="0" xfId="0" applyNumberFormat="1" applyFont="1" applyFill="1" applyBorder="1"/>
    <xf numFmtId="0" fontId="56" fillId="47" borderId="40" xfId="0" applyNumberFormat="1" applyFont="1" applyFill="1" applyBorder="1"/>
    <xf numFmtId="0" fontId="56" fillId="47" borderId="86" xfId="0" applyNumberFormat="1" applyFont="1" applyFill="1" applyBorder="1"/>
    <xf numFmtId="0" fontId="56" fillId="47" borderId="88" xfId="0" applyNumberFormat="1" applyFont="1" applyFill="1" applyBorder="1"/>
    <xf numFmtId="0" fontId="56" fillId="47" borderId="89" xfId="0" applyNumberFormat="1" applyFont="1" applyFill="1" applyBorder="1"/>
    <xf numFmtId="166" fontId="16" fillId="47" borderId="91" xfId="0" applyNumberFormat="1" applyFont="1" applyFill="1" applyBorder="1"/>
    <xf numFmtId="0" fontId="56" fillId="47" borderId="0" xfId="0" applyNumberFormat="1" applyFont="1" applyFill="1" applyBorder="1"/>
    <xf numFmtId="166" fontId="16" fillId="47" borderId="87" xfId="0" applyNumberFormat="1" applyFont="1" applyFill="1" applyBorder="1"/>
    <xf numFmtId="166" fontId="16" fillId="47" borderId="69" xfId="0" applyNumberFormat="1" applyFont="1" applyFill="1" applyBorder="1"/>
    <xf numFmtId="0" fontId="0" fillId="47" borderId="95" xfId="0" applyNumberFormat="1" applyFill="1" applyBorder="1" applyAlignment="1">
      <alignment horizontal="center"/>
    </xf>
    <xf numFmtId="0" fontId="0" fillId="47" borderId="96" xfId="0" applyNumberFormat="1" applyFill="1" applyBorder="1" applyAlignment="1">
      <alignment horizontal="center"/>
    </xf>
    <xf numFmtId="0" fontId="56" fillId="47" borderId="95" xfId="0" applyNumberFormat="1" applyFont="1" applyFill="1" applyBorder="1"/>
    <xf numFmtId="0" fontId="56" fillId="47" borderId="97" xfId="0" applyNumberFormat="1" applyFont="1" applyFill="1" applyBorder="1"/>
    <xf numFmtId="166" fontId="16" fillId="47" borderId="96" xfId="0" applyNumberFormat="1" applyFont="1" applyFill="1" applyBorder="1"/>
    <xf numFmtId="0" fontId="0" fillId="41" borderId="84" xfId="0" applyFill="1" applyBorder="1" applyAlignment="1"/>
    <xf numFmtId="0" fontId="0" fillId="41" borderId="47" xfId="0" applyFill="1" applyBorder="1" applyAlignment="1"/>
    <xf numFmtId="0" fontId="0" fillId="41" borderId="85" xfId="0" applyFill="1" applyBorder="1" applyAlignment="1"/>
    <xf numFmtId="2" fontId="18" fillId="41" borderId="40" xfId="0" applyNumberFormat="1" applyFont="1" applyFill="1" applyBorder="1" applyAlignment="1">
      <alignment horizontal="center"/>
    </xf>
    <xf numFmtId="0" fontId="18" fillId="41" borderId="0" xfId="0" applyFont="1" applyFill="1" applyBorder="1" applyAlignment="1">
      <alignment horizontal="center"/>
    </xf>
    <xf numFmtId="0" fontId="0" fillId="41" borderId="40" xfId="0" applyFill="1" applyBorder="1" applyAlignment="1"/>
    <xf numFmtId="0" fontId="0" fillId="41" borderId="0" xfId="0" applyFill="1" applyBorder="1" applyAlignment="1"/>
    <xf numFmtId="0" fontId="0" fillId="41" borderId="69" xfId="0" applyFill="1" applyBorder="1" applyAlignment="1"/>
    <xf numFmtId="0" fontId="0" fillId="41" borderId="40" xfId="0" applyNumberFormat="1" applyFill="1" applyBorder="1" applyAlignment="1">
      <alignment horizontal="center"/>
    </xf>
    <xf numFmtId="0" fontId="0" fillId="41" borderId="0" xfId="0" applyNumberFormat="1" applyFill="1" applyBorder="1" applyAlignment="1">
      <alignment horizontal="center"/>
    </xf>
    <xf numFmtId="166" fontId="0" fillId="41" borderId="40" xfId="0" applyNumberFormat="1" applyFill="1" applyBorder="1"/>
    <xf numFmtId="166" fontId="0" fillId="41" borderId="0" xfId="0" applyNumberFormat="1" applyFill="1" applyBorder="1"/>
    <xf numFmtId="166" fontId="0" fillId="41" borderId="69" xfId="0" applyNumberFormat="1" applyFill="1" applyBorder="1"/>
    <xf numFmtId="166" fontId="16" fillId="41" borderId="40" xfId="0" applyNumberFormat="1" applyFont="1" applyFill="1" applyBorder="1"/>
    <xf numFmtId="0" fontId="0" fillId="41" borderId="86" xfId="0" applyNumberFormat="1" applyFill="1" applyBorder="1" applyAlignment="1">
      <alignment horizontal="center"/>
    </xf>
    <xf numFmtId="0" fontId="0" fillId="41" borderId="88" xfId="0" applyNumberFormat="1" applyFill="1" applyBorder="1" applyAlignment="1">
      <alignment horizontal="center"/>
    </xf>
    <xf numFmtId="166" fontId="16" fillId="41" borderId="86" xfId="0" applyNumberFormat="1" applyFont="1" applyFill="1" applyBorder="1"/>
    <xf numFmtId="166" fontId="16" fillId="41" borderId="88" xfId="0" applyNumberFormat="1" applyFont="1" applyFill="1" applyBorder="1"/>
    <xf numFmtId="166" fontId="0" fillId="41" borderId="88" xfId="0" applyNumberFormat="1" applyFill="1" applyBorder="1"/>
    <xf numFmtId="166" fontId="0" fillId="41" borderId="87" xfId="0" applyNumberFormat="1" applyFill="1" applyBorder="1"/>
    <xf numFmtId="0" fontId="0" fillId="41" borderId="89" xfId="0" applyNumberFormat="1" applyFill="1" applyBorder="1" applyAlignment="1">
      <alignment horizontal="center"/>
    </xf>
    <xf numFmtId="0" fontId="0" fillId="41" borderId="91" xfId="0" applyNumberFormat="1" applyFill="1" applyBorder="1" applyAlignment="1">
      <alignment horizontal="center"/>
    </xf>
    <xf numFmtId="166" fontId="16" fillId="41" borderId="89" xfId="0" applyNumberFormat="1" applyFont="1" applyFill="1" applyBorder="1"/>
    <xf numFmtId="166" fontId="16" fillId="41" borderId="91" xfId="0" applyNumberFormat="1" applyFont="1" applyFill="1" applyBorder="1"/>
    <xf numFmtId="166" fontId="31" fillId="41" borderId="91" xfId="0" applyNumberFormat="1" applyFont="1" applyFill="1" applyBorder="1"/>
    <xf numFmtId="166" fontId="0" fillId="41" borderId="91" xfId="0" applyNumberFormat="1" applyFill="1" applyBorder="1"/>
    <xf numFmtId="166" fontId="0" fillId="41" borderId="90" xfId="0" applyNumberFormat="1" applyFill="1" applyBorder="1"/>
    <xf numFmtId="166" fontId="16" fillId="41" borderId="0" xfId="0" applyNumberFormat="1" applyFont="1" applyFill="1" applyBorder="1"/>
    <xf numFmtId="0" fontId="56" fillId="41" borderId="40" xfId="0" applyNumberFormat="1" applyFont="1" applyFill="1" applyBorder="1"/>
    <xf numFmtId="0" fontId="56" fillId="41" borderId="86" xfId="0" applyNumberFormat="1" applyFont="1" applyFill="1" applyBorder="1"/>
    <xf numFmtId="0" fontId="56" fillId="41" borderId="88" xfId="0" applyNumberFormat="1" applyFont="1" applyFill="1" applyBorder="1"/>
    <xf numFmtId="166" fontId="16" fillId="41" borderId="87" xfId="0" applyNumberFormat="1" applyFont="1" applyFill="1" applyBorder="1"/>
    <xf numFmtId="0" fontId="56" fillId="41" borderId="89" xfId="0" applyNumberFormat="1" applyFont="1" applyFill="1" applyBorder="1"/>
    <xf numFmtId="0" fontId="56" fillId="41" borderId="91" xfId="0" applyNumberFormat="1" applyFont="1" applyFill="1" applyBorder="1"/>
    <xf numFmtId="0" fontId="0" fillId="41" borderId="83" xfId="0" applyNumberFormat="1" applyFill="1" applyBorder="1" applyAlignment="1">
      <alignment horizontal="center"/>
    </xf>
    <xf numFmtId="0" fontId="0" fillId="41" borderId="61" xfId="0" applyNumberFormat="1" applyFill="1" applyBorder="1" applyAlignment="1">
      <alignment horizontal="center"/>
    </xf>
    <xf numFmtId="0" fontId="56" fillId="41" borderId="83" xfId="0" applyNumberFormat="1" applyFont="1" applyFill="1" applyBorder="1"/>
    <xf numFmtId="0" fontId="56" fillId="41" borderId="61" xfId="0" applyNumberFormat="1" applyFont="1" applyFill="1" applyBorder="1"/>
    <xf numFmtId="166" fontId="16" fillId="41" borderId="92" xfId="0" applyNumberFormat="1" applyFont="1" applyFill="1" applyBorder="1"/>
    <xf numFmtId="166" fontId="0" fillId="41" borderId="30" xfId="0" applyNumberFormat="1" applyFill="1" applyBorder="1"/>
    <xf numFmtId="0" fontId="56" fillId="41" borderId="30" xfId="0" applyNumberFormat="1" applyFont="1" applyFill="1" applyBorder="1"/>
    <xf numFmtId="0" fontId="56" fillId="41" borderId="80" xfId="0" applyFont="1" applyFill="1" applyBorder="1"/>
    <xf numFmtId="0" fontId="56" fillId="41" borderId="22" xfId="0" applyFont="1" applyFill="1" applyBorder="1"/>
    <xf numFmtId="0" fontId="56" fillId="41" borderId="32" xfId="0" applyFont="1" applyFill="1" applyBorder="1"/>
    <xf numFmtId="166" fontId="0" fillId="41" borderId="80" xfId="0" applyNumberFormat="1" applyFill="1" applyBorder="1"/>
    <xf numFmtId="166" fontId="0" fillId="41" borderId="22" xfId="0" applyNumberFormat="1" applyFill="1" applyBorder="1"/>
    <xf numFmtId="0" fontId="56" fillId="41" borderId="22" xfId="0" applyNumberFormat="1" applyFont="1" applyFill="1" applyBorder="1"/>
    <xf numFmtId="0" fontId="56" fillId="41" borderId="32" xfId="0" applyNumberFormat="1" applyFont="1" applyFill="1" applyBorder="1"/>
    <xf numFmtId="166" fontId="31" fillId="41" borderId="40" xfId="0" applyNumberFormat="1" applyFont="1" applyFill="1" applyBorder="1"/>
    <xf numFmtId="166" fontId="31" fillId="41" borderId="0" xfId="0" applyNumberFormat="1" applyFont="1" applyFill="1" applyBorder="1"/>
    <xf numFmtId="166" fontId="31" fillId="41" borderId="30" xfId="0" applyNumberFormat="1" applyFont="1" applyFill="1" applyBorder="1"/>
    <xf numFmtId="166" fontId="31" fillId="41" borderId="80" xfId="0" applyNumberFormat="1" applyFont="1" applyFill="1" applyBorder="1"/>
    <xf numFmtId="166" fontId="31" fillId="41" borderId="22" xfId="0" applyNumberFormat="1" applyFont="1" applyFill="1" applyBorder="1"/>
    <xf numFmtId="166" fontId="31" fillId="41" borderId="32" xfId="0" applyNumberFormat="1" applyFont="1" applyFill="1" applyBorder="1"/>
    <xf numFmtId="0" fontId="16" fillId="28" borderId="82" xfId="0" applyFont="1" applyFill="1" applyBorder="1"/>
    <xf numFmtId="0" fontId="16" fillId="28" borderId="28" xfId="0" applyFont="1" applyFill="1" applyBorder="1"/>
    <xf numFmtId="0" fontId="16" fillId="28" borderId="48" xfId="0" applyFont="1" applyFill="1" applyBorder="1"/>
    <xf numFmtId="0" fontId="16" fillId="28" borderId="39" xfId="0" applyFont="1" applyFill="1" applyBorder="1" applyAlignment="1"/>
    <xf numFmtId="0" fontId="16" fillId="28" borderId="42" xfId="0" applyFont="1" applyFill="1" applyBorder="1" applyAlignment="1"/>
    <xf numFmtId="0" fontId="16" fillId="28" borderId="38" xfId="0" applyFont="1" applyFill="1" applyBorder="1" applyAlignment="1"/>
    <xf numFmtId="0" fontId="16" fillId="28" borderId="84" xfId="0" applyFont="1" applyFill="1" applyBorder="1" applyAlignment="1"/>
    <xf numFmtId="0" fontId="16" fillId="28" borderId="47" xfId="0" applyFont="1" applyFill="1" applyBorder="1" applyAlignment="1"/>
    <xf numFmtId="0" fontId="16" fillId="28" borderId="85" xfId="0" applyFont="1" applyFill="1" applyBorder="1" applyAlignment="1"/>
    <xf numFmtId="166" fontId="31" fillId="53" borderId="39" xfId="0" applyNumberFormat="1" applyFont="1" applyFill="1" applyBorder="1"/>
    <xf numFmtId="166" fontId="31" fillId="53" borderId="42" xfId="0" applyNumberFormat="1" applyFont="1" applyFill="1" applyBorder="1"/>
    <xf numFmtId="166" fontId="31" fillId="53" borderId="79" xfId="0" applyNumberFormat="1" applyFont="1" applyFill="1" applyBorder="1"/>
    <xf numFmtId="0" fontId="16" fillId="54" borderId="19" xfId="0" applyFont="1" applyFill="1" applyBorder="1" applyAlignment="1"/>
    <xf numFmtId="10" fontId="0" fillId="54" borderId="9" xfId="0" applyNumberFormat="1" applyFill="1" applyBorder="1"/>
    <xf numFmtId="166" fontId="0" fillId="54" borderId="14" xfId="0" applyNumberFormat="1" applyFill="1" applyBorder="1"/>
    <xf numFmtId="0" fontId="16" fillId="54" borderId="20" xfId="0" applyFont="1" applyFill="1" applyBorder="1"/>
    <xf numFmtId="0" fontId="0" fillId="54" borderId="12" xfId="0" applyFill="1" applyBorder="1"/>
    <xf numFmtId="0" fontId="0" fillId="54" borderId="21" xfId="0" applyFill="1" applyBorder="1"/>
    <xf numFmtId="10" fontId="0" fillId="0" borderId="0" xfId="0" applyNumberFormat="1" applyFont="1"/>
    <xf numFmtId="0" fontId="31" fillId="41" borderId="0" xfId="0" applyFont="1" applyFill="1" applyBorder="1" applyAlignment="1">
      <alignment horizontal="center"/>
    </xf>
    <xf numFmtId="0" fontId="31" fillId="41" borderId="22" xfId="0" applyFont="1" applyFill="1" applyBorder="1" applyAlignment="1">
      <alignment horizontal="center"/>
    </xf>
    <xf numFmtId="0" fontId="50" fillId="43" borderId="29" xfId="0" applyFont="1" applyFill="1" applyBorder="1" applyAlignment="1">
      <alignment horizontal="left"/>
    </xf>
    <xf numFmtId="175" fontId="18" fillId="0" borderId="0" xfId="0" applyNumberFormat="1" applyFont="1" applyFill="1" applyBorder="1" applyAlignment="1">
      <alignment horizontal="left"/>
    </xf>
    <xf numFmtId="175" fontId="63" fillId="29" borderId="0" xfId="0" applyNumberFormat="1" applyFont="1" applyFill="1" applyBorder="1" applyAlignment="1">
      <alignment horizontal="left"/>
    </xf>
    <xf numFmtId="2" fontId="0" fillId="0" borderId="0" xfId="0" applyNumberFormat="1" applyFont="1" applyBorder="1"/>
    <xf numFmtId="2" fontId="0" fillId="18" borderId="0" xfId="0" applyNumberFormat="1" applyFont="1" applyFill="1" applyBorder="1"/>
    <xf numFmtId="10" fontId="0" fillId="0" borderId="0" xfId="0" applyNumberFormat="1" applyBorder="1"/>
    <xf numFmtId="2" fontId="0" fillId="5" borderId="162" xfId="0" applyNumberFormat="1" applyFont="1" applyFill="1" applyBorder="1" applyAlignment="1">
      <alignment horizontal="center"/>
    </xf>
    <xf numFmtId="2" fontId="0" fillId="5" borderId="163" xfId="0" applyNumberFormat="1" applyFont="1" applyFill="1" applyBorder="1" applyAlignment="1">
      <alignment horizontal="center"/>
    </xf>
    <xf numFmtId="175" fontId="0" fillId="0" borderId="0" xfId="0" applyNumberFormat="1" applyFont="1" applyFill="1" applyBorder="1"/>
    <xf numFmtId="2" fontId="16" fillId="0" borderId="125" xfId="4" applyNumberFormat="1" applyFont="1" applyFill="1" applyBorder="1" applyAlignment="1">
      <alignment horizontal="center" wrapText="1"/>
    </xf>
    <xf numFmtId="2" fontId="16" fillId="0" borderId="127" xfId="4" applyNumberFormat="1" applyFont="1" applyFill="1" applyBorder="1" applyAlignment="1">
      <alignment horizontal="center" wrapText="1"/>
    </xf>
    <xf numFmtId="2" fontId="2" fillId="0" borderId="164" xfId="0" applyNumberFormat="1" applyFont="1" applyFill="1" applyBorder="1" applyAlignment="1">
      <alignment horizontal="center"/>
    </xf>
    <xf numFmtId="10" fontId="2" fillId="0" borderId="0" xfId="0" applyNumberFormat="1" applyFont="1" applyFill="1" applyBorder="1"/>
    <xf numFmtId="171" fontId="2" fillId="0" borderId="0" xfId="0" applyNumberFormat="1" applyFont="1" applyFill="1" applyBorder="1"/>
    <xf numFmtId="1" fontId="5" fillId="0" borderId="0" xfId="0" applyNumberFormat="1" applyFont="1" applyFill="1" applyBorder="1"/>
    <xf numFmtId="2" fontId="5" fillId="0" borderId="0" xfId="0" applyNumberFormat="1" applyFont="1" applyFill="1" applyBorder="1"/>
    <xf numFmtId="2" fontId="2" fillId="0" borderId="0" xfId="0" applyNumberFormat="1" applyFont="1" applyFill="1" applyBorder="1"/>
    <xf numFmtId="0" fontId="5" fillId="0" borderId="0" xfId="4" applyFont="1"/>
    <xf numFmtId="0" fontId="2" fillId="0" borderId="0" xfId="4" applyFont="1" applyBorder="1"/>
    <xf numFmtId="2" fontId="2" fillId="0" borderId="0" xfId="4" applyNumberFormat="1" applyFont="1" applyBorder="1"/>
    <xf numFmtId="10" fontId="2" fillId="0" borderId="0" xfId="4" applyNumberFormat="1" applyFont="1" applyBorder="1"/>
    <xf numFmtId="166" fontId="2" fillId="0" borderId="0" xfId="4" applyNumberFormat="1" applyFont="1" applyBorder="1"/>
    <xf numFmtId="0" fontId="2" fillId="0" borderId="0" xfId="4" applyFont="1" applyBorder="1" applyAlignment="1">
      <alignment horizontal="right"/>
    </xf>
    <xf numFmtId="0" fontId="2" fillId="0" borderId="0" xfId="0" applyFont="1" applyBorder="1"/>
    <xf numFmtId="0" fontId="5" fillId="0" borderId="0" xfId="4" applyFont="1" applyBorder="1"/>
    <xf numFmtId="0" fontId="5" fillId="0" borderId="0" xfId="0" applyFont="1" applyBorder="1"/>
    <xf numFmtId="0" fontId="2" fillId="0" borderId="29" xfId="0" applyFont="1" applyBorder="1"/>
    <xf numFmtId="0" fontId="2" fillId="0" borderId="30" xfId="0" applyFont="1" applyBorder="1" applyAlignment="1">
      <alignment horizontal="center"/>
    </xf>
    <xf numFmtId="0" fontId="2" fillId="0" borderId="31" xfId="0" applyFont="1" applyBorder="1"/>
    <xf numFmtId="0" fontId="3" fillId="0" borderId="56" xfId="0" applyFont="1" applyBorder="1" applyAlignment="1">
      <alignment horizontal="center"/>
    </xf>
    <xf numFmtId="165" fontId="0" fillId="0" borderId="0" xfId="0" applyNumberFormat="1" applyFont="1" applyFill="1" applyBorder="1"/>
    <xf numFmtId="10" fontId="0" fillId="0" borderId="0" xfId="0" applyNumberFormat="1" applyFont="1" applyFill="1" applyBorder="1"/>
    <xf numFmtId="9" fontId="0" fillId="0" borderId="0" xfId="0" applyNumberFormat="1" applyFont="1" applyFill="1" applyBorder="1"/>
    <xf numFmtId="0" fontId="0" fillId="0" borderId="0" xfId="0" applyNumberFormat="1" applyFont="1"/>
    <xf numFmtId="0" fontId="0" fillId="0" borderId="0" xfId="0" applyNumberFormat="1" applyFont="1" applyFill="1"/>
    <xf numFmtId="0" fontId="0" fillId="0" borderId="0" xfId="0" applyNumberFormat="1" applyFont="1" applyBorder="1"/>
    <xf numFmtId="0" fontId="68" fillId="0" borderId="0" xfId="0" applyNumberFormat="1" applyFont="1"/>
    <xf numFmtId="0" fontId="69" fillId="0" borderId="0" xfId="0" applyNumberFormat="1" applyFont="1" applyFill="1"/>
    <xf numFmtId="0" fontId="0" fillId="0" borderId="0" xfId="0" quotePrefix="1"/>
    <xf numFmtId="165" fontId="0" fillId="0" borderId="0" xfId="0" applyNumberFormat="1" applyAlignment="1">
      <alignment horizontal="center"/>
    </xf>
    <xf numFmtId="165" fontId="2" fillId="0" borderId="0" xfId="0" applyNumberFormat="1" applyFont="1" applyFill="1"/>
    <xf numFmtId="165" fontId="2" fillId="0" borderId="0" xfId="0" applyNumberFormat="1" applyFont="1"/>
    <xf numFmtId="0" fontId="0" fillId="0" borderId="0" xfId="4" applyNumberFormat="1" applyFont="1" applyAlignment="1"/>
    <xf numFmtId="10" fontId="0" fillId="0" borderId="0" xfId="4" applyNumberFormat="1" applyFont="1" applyAlignment="1"/>
    <xf numFmtId="0" fontId="2" fillId="0" borderId="0" xfId="0" applyNumberFormat="1" applyFont="1" applyFill="1" applyBorder="1" applyAlignment="1">
      <alignment horizontal="left"/>
    </xf>
    <xf numFmtId="166" fontId="2" fillId="0" borderId="166" xfId="0" applyNumberFormat="1" applyFont="1" applyFill="1" applyBorder="1"/>
    <xf numFmtId="166" fontId="2" fillId="0" borderId="142" xfId="0" applyNumberFormat="1" applyFont="1" applyFill="1" applyBorder="1"/>
    <xf numFmtId="2" fontId="2" fillId="0" borderId="165" xfId="0" applyNumberFormat="1" applyFont="1" applyFill="1" applyBorder="1" applyAlignment="1">
      <alignment horizontal="center"/>
    </xf>
    <xf numFmtId="2" fontId="2" fillId="0" borderId="149" xfId="0" applyNumberFormat="1" applyFont="1" applyFill="1" applyBorder="1" applyAlignment="1">
      <alignment horizontal="center"/>
    </xf>
    <xf numFmtId="0" fontId="2" fillId="0" borderId="166" xfId="0" applyFont="1" applyFill="1" applyBorder="1" applyAlignment="1">
      <alignment horizontal="center"/>
    </xf>
    <xf numFmtId="178" fontId="2" fillId="0" borderId="0" xfId="0" applyNumberFormat="1" applyFont="1"/>
    <xf numFmtId="0" fontId="27" fillId="0" borderId="0" xfId="0" applyFont="1" applyFill="1" applyBorder="1" applyAlignment="1">
      <alignment horizontal="left"/>
    </xf>
    <xf numFmtId="177" fontId="2" fillId="0" borderId="0" xfId="5" applyNumberFormat="1" applyFont="1" applyBorder="1"/>
    <xf numFmtId="0" fontId="5" fillId="0" borderId="29" xfId="0" applyFont="1" applyFill="1" applyBorder="1" applyAlignment="1">
      <alignment horizontal="left"/>
    </xf>
    <xf numFmtId="10" fontId="5" fillId="0" borderId="0" xfId="0" applyNumberFormat="1" applyFont="1" applyFill="1" applyBorder="1" applyAlignment="1">
      <alignment horizontal="center"/>
    </xf>
    <xf numFmtId="168" fontId="2" fillId="0" borderId="0" xfId="0" applyNumberFormat="1" applyFont="1" applyAlignment="1">
      <alignment horizontal="center"/>
    </xf>
    <xf numFmtId="2" fontId="2" fillId="0" borderId="47" xfId="0" applyNumberFormat="1" applyFont="1" applyBorder="1" applyAlignment="1">
      <alignment horizontal="center"/>
    </xf>
    <xf numFmtId="0" fontId="2" fillId="0" borderId="47" xfId="0" applyFont="1" applyBorder="1" applyAlignment="1">
      <alignment horizontal="center"/>
    </xf>
    <xf numFmtId="0" fontId="2" fillId="0" borderId="61" xfId="0" applyFont="1" applyBorder="1" applyAlignment="1">
      <alignment horizontal="center"/>
    </xf>
    <xf numFmtId="9" fontId="2" fillId="0" borderId="61" xfId="0" applyNumberFormat="1" applyFont="1" applyBorder="1" applyAlignment="1">
      <alignment horizontal="center"/>
    </xf>
    <xf numFmtId="0" fontId="2" fillId="8" borderId="47" xfId="0" applyFont="1" applyFill="1" applyBorder="1" applyAlignment="1">
      <alignment horizontal="center"/>
    </xf>
    <xf numFmtId="0" fontId="25" fillId="0" borderId="0" xfId="0" applyFont="1" applyBorder="1" applyAlignment="1"/>
    <xf numFmtId="0" fontId="4" fillId="0" borderId="0" xfId="0" applyFont="1" applyBorder="1" applyAlignment="1"/>
    <xf numFmtId="2" fontId="4" fillId="0" borderId="0" xfId="0" applyNumberFormat="1" applyFont="1" applyBorder="1" applyAlignment="1"/>
    <xf numFmtId="2" fontId="16" fillId="0" borderId="0" xfId="0" applyNumberFormat="1" applyFont="1" applyBorder="1" applyAlignment="1">
      <alignment horizontal="center"/>
    </xf>
    <xf numFmtId="0" fontId="26" fillId="20" borderId="23" xfId="0" applyFont="1" applyFill="1" applyBorder="1"/>
    <xf numFmtId="0" fontId="50" fillId="44" borderId="69" xfId="0" applyFont="1" applyFill="1" applyBorder="1" applyAlignment="1"/>
    <xf numFmtId="2" fontId="18" fillId="0" borderId="47" xfId="0" applyNumberFormat="1" applyFont="1" applyFill="1" applyBorder="1"/>
    <xf numFmtId="171" fontId="0" fillId="0" borderId="47" xfId="0" applyNumberFormat="1" applyFill="1" applyBorder="1"/>
    <xf numFmtId="0" fontId="0" fillId="0" borderId="0" xfId="0" applyFont="1" applyFill="1" applyAlignment="1">
      <alignment horizontal="right"/>
    </xf>
    <xf numFmtId="1" fontId="50" fillId="43" borderId="29" xfId="0" applyNumberFormat="1" applyFont="1" applyFill="1" applyBorder="1" applyAlignment="1"/>
    <xf numFmtId="0" fontId="51" fillId="44" borderId="10" xfId="0" applyFont="1" applyFill="1" applyBorder="1" applyAlignment="1"/>
    <xf numFmtId="0" fontId="50" fillId="43" borderId="29" xfId="0" applyFont="1" applyFill="1" applyBorder="1" applyAlignment="1"/>
    <xf numFmtId="175" fontId="50" fillId="44" borderId="69" xfId="0" applyNumberFormat="1" applyFont="1" applyFill="1" applyBorder="1" applyAlignment="1"/>
    <xf numFmtId="49" fontId="2" fillId="0" borderId="30" xfId="0" applyNumberFormat="1" applyFont="1" applyBorder="1" applyAlignment="1">
      <alignment wrapText="1"/>
    </xf>
    <xf numFmtId="49" fontId="2" fillId="0" borderId="30" xfId="0" applyNumberFormat="1" applyFont="1" applyBorder="1" applyAlignment="1">
      <alignment horizontal="left" wrapText="1"/>
    </xf>
    <xf numFmtId="49" fontId="6" fillId="0" borderId="29" xfId="0" applyNumberFormat="1" applyFont="1" applyBorder="1" applyAlignment="1">
      <alignment horizontal="center" vertical="center"/>
    </xf>
    <xf numFmtId="49" fontId="6" fillId="0" borderId="31" xfId="0" applyNumberFormat="1" applyFont="1" applyBorder="1" applyAlignment="1">
      <alignment horizontal="center" vertical="center"/>
    </xf>
    <xf numFmtId="49" fontId="2" fillId="0" borderId="32" xfId="0" applyNumberFormat="1" applyFont="1" applyBorder="1" applyAlignment="1">
      <alignment wrapText="1"/>
    </xf>
    <xf numFmtId="49" fontId="4" fillId="0" borderId="56" xfId="0" applyNumberFormat="1" applyFont="1" applyBorder="1" applyAlignment="1">
      <alignment horizontal="center"/>
    </xf>
    <xf numFmtId="49" fontId="4" fillId="0" borderId="59" xfId="0" applyNumberFormat="1" applyFont="1" applyBorder="1" applyAlignment="1">
      <alignment horizontal="center"/>
    </xf>
    <xf numFmtId="49" fontId="2" fillId="44" borderId="30" xfId="0" applyNumberFormat="1" applyFont="1" applyFill="1" applyBorder="1" applyAlignment="1">
      <alignment wrapText="1"/>
    </xf>
    <xf numFmtId="49" fontId="2" fillId="44" borderId="30" xfId="0" applyNumberFormat="1" applyFont="1" applyFill="1" applyBorder="1" applyAlignment="1">
      <alignment horizontal="left" wrapText="1"/>
    </xf>
    <xf numFmtId="49" fontId="6" fillId="44" borderId="29" xfId="0" applyNumberFormat="1" applyFont="1" applyFill="1" applyBorder="1" applyAlignment="1">
      <alignment horizontal="center" vertical="center"/>
    </xf>
    <xf numFmtId="0" fontId="45" fillId="0" borderId="0" xfId="2" applyFont="1" applyFill="1" applyAlignment="1">
      <alignment horizontal="left"/>
    </xf>
    <xf numFmtId="49" fontId="6" fillId="44" borderId="29" xfId="0" applyNumberFormat="1" applyFont="1" applyFill="1" applyBorder="1" applyAlignment="1">
      <alignment horizontal="center" vertical="center"/>
    </xf>
    <xf numFmtId="49" fontId="6" fillId="0" borderId="29" xfId="0" applyNumberFormat="1" applyFont="1" applyBorder="1" applyAlignment="1">
      <alignment horizontal="center" vertical="center"/>
    </xf>
    <xf numFmtId="49" fontId="6" fillId="27" borderId="56" xfId="0" applyNumberFormat="1" applyFont="1" applyFill="1" applyBorder="1" applyAlignment="1">
      <alignment horizontal="center" vertical="center"/>
    </xf>
    <xf numFmtId="49" fontId="6" fillId="27" borderId="59" xfId="0" applyNumberFormat="1" applyFont="1" applyFill="1" applyBorder="1" applyAlignment="1">
      <alignment horizontal="center" vertical="center"/>
    </xf>
    <xf numFmtId="49" fontId="6" fillId="26" borderId="3" xfId="0" applyNumberFormat="1" applyFont="1" applyFill="1" applyBorder="1" applyAlignment="1">
      <alignment horizontal="center" vertical="center"/>
    </xf>
    <xf numFmtId="0" fontId="16" fillId="27" borderId="23" xfId="0" applyFont="1" applyFill="1" applyBorder="1" applyAlignment="1">
      <alignment horizontal="center" vertical="center"/>
    </xf>
    <xf numFmtId="0" fontId="16" fillId="27" borderId="37" xfId="0" applyFont="1" applyFill="1" applyBorder="1" applyAlignment="1">
      <alignment horizontal="center" vertical="center"/>
    </xf>
    <xf numFmtId="10" fontId="16" fillId="0" borderId="0" xfId="0" applyNumberFormat="1" applyFont="1" applyFill="1" applyBorder="1" applyAlignment="1">
      <alignment horizontal="right"/>
    </xf>
    <xf numFmtId="174" fontId="16" fillId="0" borderId="0" xfId="0" applyNumberFormat="1" applyFont="1" applyFill="1" applyBorder="1" applyAlignment="1">
      <alignment horizontal="right"/>
    </xf>
    <xf numFmtId="0" fontId="16" fillId="26" borderId="159" xfId="0" applyFont="1" applyFill="1" applyBorder="1" applyAlignment="1">
      <alignment horizontal="center"/>
    </xf>
    <xf numFmtId="0" fontId="16" fillId="26" borderId="160" xfId="0" applyFont="1" applyFill="1" applyBorder="1" applyAlignment="1">
      <alignment horizontal="center"/>
    </xf>
    <xf numFmtId="0" fontId="16" fillId="48" borderId="31" xfId="0" applyFont="1" applyFill="1" applyBorder="1" applyAlignment="1">
      <alignment horizontal="center"/>
    </xf>
    <xf numFmtId="0" fontId="16" fillId="48" borderId="22" xfId="0" applyFont="1" applyFill="1" applyBorder="1" applyAlignment="1">
      <alignment horizontal="center"/>
    </xf>
    <xf numFmtId="0" fontId="16" fillId="48" borderId="32" xfId="0" applyFont="1" applyFill="1" applyBorder="1" applyAlignment="1">
      <alignment horizontal="center"/>
    </xf>
    <xf numFmtId="1" fontId="0" fillId="44" borderId="0" xfId="0" applyNumberFormat="1" applyFont="1" applyFill="1" applyBorder="1" applyAlignment="1">
      <alignment horizontal="center"/>
    </xf>
    <xf numFmtId="0" fontId="16" fillId="26" borderId="99" xfId="0" applyFont="1" applyFill="1" applyBorder="1" applyAlignment="1">
      <alignment horizontal="center"/>
    </xf>
    <xf numFmtId="0" fontId="16" fillId="26" borderId="41" xfId="0" applyFont="1" applyFill="1" applyBorder="1" applyAlignment="1">
      <alignment horizontal="center"/>
    </xf>
    <xf numFmtId="0" fontId="16" fillId="26" borderId="94" xfId="0" applyFont="1" applyFill="1" applyBorder="1" applyAlignment="1">
      <alignment horizontal="center"/>
    </xf>
    <xf numFmtId="0" fontId="16" fillId="44" borderId="27" xfId="0" applyFont="1" applyFill="1" applyBorder="1" applyAlignment="1">
      <alignment horizontal="center"/>
    </xf>
    <xf numFmtId="0" fontId="16" fillId="44" borderId="28" xfId="0" applyFont="1" applyFill="1" applyBorder="1" applyAlignment="1">
      <alignment horizontal="center"/>
    </xf>
    <xf numFmtId="9" fontId="16" fillId="44" borderId="28" xfId="0" applyNumberFormat="1" applyFont="1" applyFill="1" applyBorder="1" applyAlignment="1">
      <alignment horizontal="center"/>
    </xf>
    <xf numFmtId="0" fontId="0" fillId="44" borderId="29" xfId="0" applyFont="1" applyFill="1" applyBorder="1" applyAlignment="1">
      <alignment horizontal="center"/>
    </xf>
    <xf numFmtId="0" fontId="0" fillId="44" borderId="0" xfId="0" applyFont="1" applyFill="1" applyBorder="1" applyAlignment="1">
      <alignment horizontal="center"/>
    </xf>
    <xf numFmtId="10" fontId="0" fillId="47" borderId="22" xfId="0" applyNumberFormat="1" applyFont="1" applyFill="1" applyBorder="1" applyAlignment="1">
      <alignment horizontal="center"/>
    </xf>
    <xf numFmtId="0" fontId="16" fillId="50" borderId="56" xfId="0" applyFont="1" applyFill="1" applyBorder="1" applyAlignment="1"/>
    <xf numFmtId="0" fontId="16" fillId="50" borderId="57" xfId="0" applyFont="1" applyFill="1" applyBorder="1" applyAlignment="1"/>
    <xf numFmtId="10" fontId="0" fillId="47" borderId="31" xfId="0" applyNumberFormat="1" applyFont="1" applyFill="1" applyBorder="1" applyAlignment="1">
      <alignment horizontal="center"/>
    </xf>
    <xf numFmtId="0" fontId="16" fillId="47" borderId="29" xfId="0" applyFont="1" applyFill="1" applyBorder="1" applyAlignment="1">
      <alignment horizontal="center"/>
    </xf>
    <xf numFmtId="0" fontId="16" fillId="47" borderId="0" xfId="0" applyFont="1" applyFill="1" applyBorder="1" applyAlignment="1">
      <alignment horizontal="center"/>
    </xf>
    <xf numFmtId="9" fontId="16" fillId="47" borderId="0" xfId="0" applyNumberFormat="1" applyFont="1" applyFill="1" applyBorder="1" applyAlignment="1">
      <alignment horizontal="center"/>
    </xf>
    <xf numFmtId="0" fontId="0" fillId="43" borderId="29" xfId="0" applyFont="1" applyFill="1" applyBorder="1" applyAlignment="1"/>
    <xf numFmtId="0" fontId="0" fillId="43" borderId="17" xfId="0" applyFont="1" applyFill="1" applyBorder="1" applyAlignment="1"/>
    <xf numFmtId="0" fontId="16" fillId="51" borderId="56" xfId="0" applyFont="1" applyFill="1" applyBorder="1" applyAlignment="1"/>
    <xf numFmtId="0" fontId="16" fillId="51" borderId="57" xfId="0" applyFont="1" applyFill="1" applyBorder="1" applyAlignment="1"/>
    <xf numFmtId="0" fontId="0" fillId="48" borderId="31" xfId="0" applyFill="1" applyBorder="1" applyAlignment="1"/>
    <xf numFmtId="0" fontId="0" fillId="48" borderId="157" xfId="0" applyFont="1" applyFill="1" applyBorder="1" applyAlignment="1"/>
    <xf numFmtId="0" fontId="0" fillId="48" borderId="29" xfId="0" applyFont="1" applyFill="1" applyBorder="1" applyAlignment="1"/>
    <xf numFmtId="0" fontId="0" fillId="48" borderId="17" xfId="0" applyFont="1" applyFill="1" applyBorder="1" applyAlignment="1"/>
    <xf numFmtId="10" fontId="16" fillId="0" borderId="29" xfId="0" applyNumberFormat="1" applyFont="1" applyFill="1" applyBorder="1" applyAlignment="1">
      <alignment horizontal="right"/>
    </xf>
    <xf numFmtId="10" fontId="0" fillId="44" borderId="0" xfId="0" applyNumberFormat="1" applyFont="1" applyFill="1" applyBorder="1" applyAlignment="1">
      <alignment horizontal="center"/>
    </xf>
    <xf numFmtId="0" fontId="0" fillId="43" borderId="29" xfId="0" applyFill="1" applyBorder="1" applyAlignment="1"/>
    <xf numFmtId="0" fontId="0" fillId="47" borderId="0" xfId="0" applyFill="1" applyBorder="1" applyAlignment="1"/>
    <xf numFmtId="0" fontId="0" fillId="44" borderId="0" xfId="0" applyFill="1" applyBorder="1" applyAlignment="1"/>
    <xf numFmtId="10" fontId="16" fillId="0" borderId="0" xfId="0" applyNumberFormat="1" applyFont="1" applyBorder="1" applyAlignment="1">
      <alignment horizontal="right"/>
    </xf>
    <xf numFmtId="0" fontId="16" fillId="0" borderId="0" xfId="0" applyNumberFormat="1" applyFont="1" applyBorder="1" applyAlignment="1">
      <alignment horizontal="right"/>
    </xf>
    <xf numFmtId="0" fontId="16" fillId="26" borderId="68" xfId="0" applyFont="1" applyFill="1" applyBorder="1" applyAlignment="1">
      <alignment horizontal="center"/>
    </xf>
    <xf numFmtId="0" fontId="16" fillId="26" borderId="140" xfId="0" applyFont="1" applyFill="1" applyBorder="1" applyAlignment="1">
      <alignment horizontal="center"/>
    </xf>
    <xf numFmtId="0" fontId="16" fillId="26" borderId="158" xfId="0" applyFont="1" applyFill="1" applyBorder="1" applyAlignment="1">
      <alignment horizontal="center"/>
    </xf>
    <xf numFmtId="10" fontId="16" fillId="41" borderId="155" xfId="0" applyNumberFormat="1" applyFont="1" applyFill="1" applyBorder="1" applyAlignment="1">
      <alignment horizontal="left"/>
    </xf>
    <xf numFmtId="0" fontId="31" fillId="41" borderId="156" xfId="0" applyFont="1" applyFill="1" applyBorder="1" applyAlignment="1"/>
    <xf numFmtId="0" fontId="31" fillId="41" borderId="40" xfId="0" applyFont="1" applyFill="1" applyBorder="1" applyAlignment="1"/>
    <xf numFmtId="0" fontId="4" fillId="41" borderId="108" xfId="0" applyFont="1" applyFill="1" applyBorder="1" applyAlignment="1">
      <alignment horizontal="center" vertical="center"/>
    </xf>
    <xf numFmtId="0" fontId="4" fillId="41" borderId="31" xfId="0" applyFont="1" applyFill="1" applyBorder="1" applyAlignment="1">
      <alignment horizontal="center" vertical="center"/>
    </xf>
    <xf numFmtId="2" fontId="16" fillId="41" borderId="28" xfId="0" applyNumberFormat="1" applyFont="1" applyFill="1" applyBorder="1" applyAlignment="1">
      <alignment horizontal="center"/>
    </xf>
    <xf numFmtId="2" fontId="16" fillId="41" borderId="48" xfId="0" applyNumberFormat="1" applyFont="1" applyFill="1" applyBorder="1" applyAlignment="1">
      <alignment horizontal="center"/>
    </xf>
    <xf numFmtId="0" fontId="16" fillId="28" borderId="99" xfId="0" applyFont="1" applyFill="1" applyBorder="1" applyAlignment="1">
      <alignment horizontal="center"/>
    </xf>
    <xf numFmtId="0" fontId="31" fillId="28" borderId="94" xfId="0" applyFont="1" applyFill="1" applyBorder="1" applyAlignment="1">
      <alignment horizontal="center"/>
    </xf>
    <xf numFmtId="10" fontId="16" fillId="28" borderId="105" xfId="0" applyNumberFormat="1" applyFont="1" applyFill="1" applyBorder="1" applyAlignment="1">
      <alignment horizontal="center"/>
    </xf>
    <xf numFmtId="0" fontId="16" fillId="28" borderId="106" xfId="0" applyFont="1" applyFill="1" applyBorder="1" applyAlignment="1">
      <alignment horizontal="center"/>
    </xf>
    <xf numFmtId="0" fontId="16" fillId="28" borderId="28" xfId="0" applyFont="1" applyFill="1" applyBorder="1" applyAlignment="1">
      <alignment horizontal="center" vertical="center" wrapText="1"/>
    </xf>
    <xf numFmtId="0" fontId="0" fillId="28" borderId="48" xfId="0" applyFont="1" applyFill="1" applyBorder="1" applyAlignment="1">
      <alignment horizontal="center" vertical="center" wrapText="1"/>
    </xf>
    <xf numFmtId="0" fontId="16" fillId="28" borderId="7" xfId="0" applyFont="1" applyFill="1" applyBorder="1" applyAlignment="1">
      <alignment horizontal="center" vertical="center" wrapText="1"/>
    </xf>
    <xf numFmtId="0" fontId="0" fillId="28" borderId="110" xfId="0" applyFont="1" applyFill="1" applyBorder="1" applyAlignment="1">
      <alignment horizontal="center" vertical="center" wrapText="1"/>
    </xf>
    <xf numFmtId="2" fontId="4" fillId="41" borderId="66" xfId="0" applyNumberFormat="1" applyFont="1" applyFill="1" applyBorder="1" applyAlignment="1">
      <alignment horizontal="center" vertical="center"/>
    </xf>
    <xf numFmtId="2" fontId="53" fillId="41" borderId="111" xfId="0" applyNumberFormat="1" applyFont="1" applyFill="1" applyBorder="1" applyAlignment="1"/>
    <xf numFmtId="2" fontId="4" fillId="41" borderId="22" xfId="0" applyNumberFormat="1" applyFont="1" applyFill="1" applyBorder="1" applyAlignment="1">
      <alignment horizontal="center" vertical="center"/>
    </xf>
    <xf numFmtId="2" fontId="53" fillId="41" borderId="32" xfId="0" applyNumberFormat="1" applyFont="1" applyFill="1" applyBorder="1" applyAlignment="1"/>
    <xf numFmtId="10" fontId="16" fillId="28" borderId="99" xfId="0" applyNumberFormat="1" applyFont="1" applyFill="1" applyBorder="1" applyAlignment="1">
      <alignment horizontal="center"/>
    </xf>
    <xf numFmtId="0" fontId="16" fillId="28" borderId="41" xfId="0" applyFont="1" applyFill="1" applyBorder="1" applyAlignment="1">
      <alignment horizontal="center"/>
    </xf>
    <xf numFmtId="0" fontId="31" fillId="28" borderId="41" xfId="0" applyFont="1" applyFill="1" applyBorder="1" applyAlignment="1">
      <alignment horizontal="center"/>
    </xf>
    <xf numFmtId="10" fontId="16" fillId="41" borderId="153" xfId="0" applyNumberFormat="1" applyFont="1" applyFill="1" applyBorder="1" applyAlignment="1">
      <alignment horizontal="left"/>
    </xf>
    <xf numFmtId="0" fontId="31" fillId="41" borderId="154" xfId="0" applyFont="1" applyFill="1" applyBorder="1" applyAlignment="1"/>
    <xf numFmtId="0" fontId="31" fillId="41" borderId="84" xfId="0" applyFont="1" applyFill="1" applyBorder="1" applyAlignment="1"/>
    <xf numFmtId="0" fontId="16" fillId="44" borderId="155" xfId="0" applyFont="1" applyFill="1" applyBorder="1" applyAlignment="1">
      <alignment horizontal="left"/>
    </xf>
    <xf numFmtId="0" fontId="31" fillId="44" borderId="156" xfId="0" applyFont="1" applyFill="1" applyBorder="1" applyAlignment="1"/>
    <xf numFmtId="0" fontId="31" fillId="44" borderId="40" xfId="0" applyFont="1" applyFill="1" applyBorder="1" applyAlignment="1"/>
    <xf numFmtId="0" fontId="16" fillId="41" borderId="155" xfId="0" applyFont="1" applyFill="1" applyBorder="1" applyAlignment="1">
      <alignment horizontal="left"/>
    </xf>
    <xf numFmtId="10" fontId="16" fillId="44" borderId="155" xfId="0" applyNumberFormat="1" applyFont="1" applyFill="1" applyBorder="1" applyAlignment="1">
      <alignment horizontal="left"/>
    </xf>
    <xf numFmtId="0" fontId="16" fillId="21" borderId="66" xfId="0" applyFont="1" applyFill="1" applyBorder="1" applyAlignment="1">
      <alignment horizontal="center"/>
    </xf>
    <xf numFmtId="0" fontId="16" fillId="21" borderId="12" xfId="0" applyFont="1" applyFill="1" applyBorder="1" applyAlignment="1">
      <alignment horizontal="center"/>
    </xf>
    <xf numFmtId="0" fontId="16" fillId="24" borderId="2" xfId="0" applyFont="1" applyFill="1" applyBorder="1" applyAlignment="1">
      <alignment horizontal="center"/>
    </xf>
    <xf numFmtId="0" fontId="0" fillId="23" borderId="102" xfId="0" applyFill="1" applyBorder="1" applyAlignment="1">
      <alignment horizontal="center"/>
    </xf>
    <xf numFmtId="0" fontId="0" fillId="23" borderId="52" xfId="0" applyFill="1" applyBorder="1" applyAlignment="1">
      <alignment horizontal="center"/>
    </xf>
    <xf numFmtId="0" fontId="16" fillId="28" borderId="116" xfId="0" applyFont="1" applyFill="1" applyBorder="1" applyAlignment="1">
      <alignment horizontal="center"/>
    </xf>
    <xf numFmtId="0" fontId="31" fillId="28" borderId="61" xfId="0" applyFont="1" applyFill="1" applyBorder="1" applyAlignment="1"/>
    <xf numFmtId="0" fontId="31" fillId="28" borderId="34" xfId="0" applyFont="1" applyFill="1" applyBorder="1" applyAlignment="1"/>
    <xf numFmtId="9" fontId="16" fillId="41" borderId="47" xfId="5" applyFont="1" applyFill="1" applyBorder="1" applyAlignment="1">
      <alignment horizontal="right"/>
    </xf>
    <xf numFmtId="0" fontId="31" fillId="41" borderId="118" xfId="0" applyFont="1" applyFill="1" applyBorder="1" applyAlignment="1">
      <alignment horizontal="right"/>
    </xf>
    <xf numFmtId="9" fontId="16" fillId="44" borderId="0" xfId="5" applyFont="1" applyFill="1" applyBorder="1" applyAlignment="1">
      <alignment horizontal="right"/>
    </xf>
    <xf numFmtId="0" fontId="31" fillId="44" borderId="30" xfId="0" applyFont="1" applyFill="1" applyBorder="1" applyAlignment="1">
      <alignment horizontal="right"/>
    </xf>
    <xf numFmtId="9" fontId="16" fillId="41" borderId="0" xfId="5" applyFont="1" applyFill="1" applyBorder="1" applyAlignment="1">
      <alignment horizontal="right"/>
    </xf>
    <xf numFmtId="0" fontId="31" fillId="41" borderId="30" xfId="0" applyFont="1" applyFill="1" applyBorder="1" applyAlignment="1">
      <alignment horizontal="right"/>
    </xf>
    <xf numFmtId="0" fontId="16" fillId="42" borderId="153" xfId="0" applyFont="1" applyFill="1" applyBorder="1" applyAlignment="1">
      <alignment horizontal="left"/>
    </xf>
    <xf numFmtId="0" fontId="31" fillId="41" borderId="84" xfId="0" applyFont="1" applyFill="1" applyBorder="1" applyAlignment="1">
      <alignment horizontal="left"/>
    </xf>
    <xf numFmtId="0" fontId="6" fillId="45" borderId="29" xfId="0" applyFont="1" applyFill="1" applyBorder="1" applyAlignment="1">
      <alignment horizontal="center"/>
    </xf>
    <xf numFmtId="0" fontId="0" fillId="30" borderId="0" xfId="0" applyFont="1" applyFill="1" applyBorder="1" applyAlignment="1">
      <alignment horizontal="center"/>
    </xf>
    <xf numFmtId="0" fontId="31" fillId="0" borderId="27" xfId="0" applyFont="1" applyBorder="1" applyAlignment="1"/>
    <xf numFmtId="0" fontId="31" fillId="0" borderId="28" xfId="0" applyFont="1" applyBorder="1" applyAlignment="1"/>
    <xf numFmtId="0" fontId="31" fillId="0" borderId="48" xfId="0" applyFont="1" applyBorder="1" applyAlignment="1"/>
    <xf numFmtId="0" fontId="31" fillId="0" borderId="31" xfId="0" applyFont="1" applyBorder="1" applyAlignment="1"/>
    <xf numFmtId="0" fontId="31" fillId="0" borderId="22" xfId="0" applyFont="1" applyBorder="1" applyAlignment="1"/>
    <xf numFmtId="0" fontId="31" fillId="0" borderId="32" xfId="0" applyFont="1" applyBorder="1" applyAlignment="1"/>
    <xf numFmtId="0" fontId="16" fillId="41" borderId="29" xfId="0" applyFont="1" applyFill="1" applyBorder="1" applyAlignment="1"/>
    <xf numFmtId="0" fontId="16" fillId="41" borderId="103" xfId="0" applyFont="1" applyFill="1" applyBorder="1" applyAlignment="1"/>
    <xf numFmtId="0" fontId="16" fillId="41" borderId="31" xfId="0" applyFont="1" applyFill="1" applyBorder="1" applyAlignment="1"/>
    <xf numFmtId="0" fontId="16" fillId="41" borderId="104" xfId="0" applyFont="1" applyFill="1" applyBorder="1" applyAlignment="1"/>
    <xf numFmtId="0" fontId="16" fillId="43" borderId="155" xfId="0" applyFont="1" applyFill="1" applyBorder="1" applyAlignment="1">
      <alignment horizontal="left"/>
    </xf>
    <xf numFmtId="0" fontId="31" fillId="44" borderId="40" xfId="0" applyFont="1" applyFill="1" applyBorder="1" applyAlignment="1">
      <alignment horizontal="left"/>
    </xf>
    <xf numFmtId="0" fontId="16" fillId="42" borderId="155" xfId="0" applyFont="1" applyFill="1" applyBorder="1" applyAlignment="1">
      <alignment horizontal="left"/>
    </xf>
    <xf numFmtId="0" fontId="31" fillId="41" borderId="40" xfId="0" applyFont="1" applyFill="1" applyBorder="1" applyAlignment="1">
      <alignment horizontal="left"/>
    </xf>
    <xf numFmtId="0" fontId="16" fillId="43" borderId="151" xfId="0" applyFont="1" applyFill="1" applyBorder="1" applyAlignment="1">
      <alignment horizontal="left"/>
    </xf>
    <xf numFmtId="0" fontId="31" fillId="44" borderId="80" xfId="0" applyFont="1" applyFill="1" applyBorder="1" applyAlignment="1">
      <alignment horizontal="left"/>
    </xf>
    <xf numFmtId="0" fontId="4" fillId="28" borderId="27" xfId="0" applyFont="1" applyFill="1" applyBorder="1" applyAlignment="1">
      <alignment horizontal="center" vertical="center"/>
    </xf>
    <xf numFmtId="0" fontId="4" fillId="28" borderId="98" xfId="0" applyFont="1" applyFill="1" applyBorder="1" applyAlignment="1">
      <alignment horizontal="center" vertical="center"/>
    </xf>
    <xf numFmtId="0" fontId="16" fillId="43" borderId="17" xfId="0" applyFont="1" applyFill="1" applyBorder="1" applyAlignment="1">
      <alignment horizontal="left"/>
    </xf>
    <xf numFmtId="0" fontId="0" fillId="44" borderId="0" xfId="0" applyFill="1" applyBorder="1" applyAlignment="1">
      <alignment horizontal="left"/>
    </xf>
    <xf numFmtId="0" fontId="16" fillId="43" borderId="101" xfId="0" applyFont="1" applyFill="1" applyBorder="1" applyAlignment="1">
      <alignment horizontal="left"/>
    </xf>
    <xf numFmtId="0" fontId="0" fillId="44" borderId="100" xfId="0" applyFill="1" applyBorder="1" applyAlignment="1">
      <alignment horizontal="left"/>
    </xf>
    <xf numFmtId="0" fontId="16" fillId="43" borderId="100" xfId="0" applyFont="1" applyFill="1" applyBorder="1" applyAlignment="1">
      <alignment horizontal="left"/>
    </xf>
    <xf numFmtId="0" fontId="16" fillId="43" borderId="53" xfId="0" applyFont="1" applyFill="1" applyBorder="1" applyAlignment="1">
      <alignment horizontal="left"/>
    </xf>
    <xf numFmtId="0" fontId="0" fillId="44" borderId="66" xfId="0" applyFill="1" applyBorder="1" applyAlignment="1">
      <alignment horizontal="left"/>
    </xf>
    <xf numFmtId="0" fontId="6" fillId="30" borderId="31" xfId="0" applyFont="1" applyFill="1" applyBorder="1" applyAlignment="1">
      <alignment horizontal="center"/>
    </xf>
    <xf numFmtId="0" fontId="6" fillId="30" borderId="32" xfId="0" applyFont="1" applyFill="1" applyBorder="1" applyAlignment="1">
      <alignment horizontal="center"/>
    </xf>
    <xf numFmtId="0" fontId="16" fillId="26" borderId="2" xfId="0" applyFont="1" applyFill="1" applyBorder="1" applyAlignment="1">
      <alignment horizontal="center"/>
    </xf>
    <xf numFmtId="0" fontId="0" fillId="28" borderId="102" xfId="0" applyFill="1" applyBorder="1" applyAlignment="1">
      <alignment horizontal="center"/>
    </xf>
    <xf numFmtId="0" fontId="0" fillId="28" borderId="52" xfId="0" applyFill="1" applyBorder="1" applyAlignment="1">
      <alignment horizontal="center"/>
    </xf>
    <xf numFmtId="0" fontId="6" fillId="30" borderId="22" xfId="0" applyFont="1" applyFill="1" applyBorder="1" applyAlignment="1">
      <alignment horizontal="center"/>
    </xf>
    <xf numFmtId="0" fontId="48" fillId="30" borderId="32" xfId="0" applyFont="1" applyFill="1" applyBorder="1" applyAlignment="1">
      <alignment horizontal="center"/>
    </xf>
    <xf numFmtId="9" fontId="16" fillId="44" borderId="22" xfId="5" applyFont="1" applyFill="1" applyBorder="1" applyAlignment="1">
      <alignment horizontal="right"/>
    </xf>
    <xf numFmtId="0" fontId="31" fillId="44" borderId="32" xfId="0" applyFont="1" applyFill="1" applyBorder="1" applyAlignment="1">
      <alignment horizontal="right"/>
    </xf>
    <xf numFmtId="9" fontId="16" fillId="41" borderId="57" xfId="0" applyNumberFormat="1" applyFont="1" applyFill="1" applyBorder="1" applyAlignment="1">
      <alignment horizontal="right"/>
    </xf>
    <xf numFmtId="0" fontId="31" fillId="41" borderId="59" xfId="0" applyFont="1" applyFill="1" applyBorder="1" applyAlignment="1">
      <alignment horizontal="right"/>
    </xf>
    <xf numFmtId="0" fontId="16" fillId="42" borderId="107" xfId="0" applyFont="1" applyFill="1" applyBorder="1" applyAlignment="1">
      <alignment horizontal="left"/>
    </xf>
    <xf numFmtId="0" fontId="31" fillId="41" borderId="112" xfId="0" applyFont="1" applyFill="1" applyBorder="1" applyAlignment="1">
      <alignment horizontal="left"/>
    </xf>
    <xf numFmtId="0" fontId="31" fillId="41" borderId="22" xfId="0" applyFont="1" applyFill="1" applyBorder="1" applyAlignment="1">
      <alignment horizontal="right"/>
    </xf>
    <xf numFmtId="0" fontId="31" fillId="41" borderId="32" xfId="0" applyFont="1" applyFill="1" applyBorder="1" applyAlignment="1">
      <alignment horizontal="right"/>
    </xf>
    <xf numFmtId="0" fontId="31" fillId="41" borderId="28" xfId="0" applyFont="1" applyFill="1" applyBorder="1" applyAlignment="1">
      <alignment horizontal="right"/>
    </xf>
    <xf numFmtId="0" fontId="31" fillId="41" borderId="48" xfId="0" applyFont="1" applyFill="1" applyBorder="1" applyAlignment="1">
      <alignment horizontal="right"/>
    </xf>
    <xf numFmtId="0" fontId="6" fillId="45" borderId="0" xfId="0" applyFont="1" applyFill="1" applyBorder="1" applyAlignment="1">
      <alignment horizontal="center"/>
    </xf>
    <xf numFmtId="0" fontId="0" fillId="30" borderId="30" xfId="0" applyFont="1" applyFill="1" applyBorder="1" applyAlignment="1">
      <alignment horizontal="center"/>
    </xf>
    <xf numFmtId="0" fontId="62" fillId="30" borderId="0" xfId="0" applyFont="1" applyFill="1" applyBorder="1" applyAlignment="1">
      <alignment horizontal="center"/>
    </xf>
    <xf numFmtId="0" fontId="16" fillId="30" borderId="113" xfId="0" applyFont="1" applyFill="1" applyBorder="1" applyAlignment="1">
      <alignment horizontal="center"/>
    </xf>
    <xf numFmtId="0" fontId="0" fillId="30" borderId="109" xfId="0" applyFont="1" applyFill="1" applyBorder="1" applyAlignment="1">
      <alignment horizontal="center"/>
    </xf>
    <xf numFmtId="0" fontId="0" fillId="30" borderId="114" xfId="0" applyFont="1" applyFill="1" applyBorder="1" applyAlignment="1">
      <alignment horizontal="center"/>
    </xf>
    <xf numFmtId="0" fontId="16" fillId="30" borderId="56" xfId="0" applyFont="1" applyFill="1" applyBorder="1" applyAlignment="1">
      <alignment horizontal="center"/>
    </xf>
    <xf numFmtId="0" fontId="0" fillId="30" borderId="57" xfId="0" applyFont="1" applyFill="1" applyBorder="1" applyAlignment="1">
      <alignment horizontal="center"/>
    </xf>
    <xf numFmtId="0" fontId="0" fillId="30" borderId="59" xfId="0" applyFont="1" applyFill="1" applyBorder="1" applyAlignment="1">
      <alignment horizontal="center"/>
    </xf>
    <xf numFmtId="0" fontId="16" fillId="30" borderId="31" xfId="0" applyFont="1" applyFill="1" applyBorder="1" applyAlignment="1">
      <alignment horizontal="center"/>
    </xf>
    <xf numFmtId="0" fontId="0" fillId="30" borderId="22" xfId="0" applyFont="1" applyFill="1" applyBorder="1" applyAlignment="1">
      <alignment horizontal="center"/>
    </xf>
    <xf numFmtId="0" fontId="0" fillId="30" borderId="32" xfId="0" applyFont="1" applyFill="1" applyBorder="1" applyAlignment="1"/>
    <xf numFmtId="0" fontId="16" fillId="41" borderId="151" xfId="0" applyFont="1" applyFill="1" applyBorder="1" applyAlignment="1">
      <alignment horizontal="left"/>
    </xf>
    <xf numFmtId="0" fontId="31" fillId="41" borderId="152" xfId="0" applyFont="1" applyFill="1" applyBorder="1" applyAlignment="1"/>
    <xf numFmtId="0" fontId="31" fillId="41" borderId="80" xfId="0" applyFont="1" applyFill="1" applyBorder="1" applyAlignment="1"/>
    <xf numFmtId="0" fontId="4" fillId="28" borderId="31" xfId="0" applyFont="1" applyFill="1" applyBorder="1" applyAlignment="1">
      <alignment horizontal="center" vertical="center"/>
    </xf>
    <xf numFmtId="0" fontId="62" fillId="0" borderId="0" xfId="0" applyFont="1" applyBorder="1" applyAlignment="1">
      <alignment horizontal="center"/>
    </xf>
    <xf numFmtId="2" fontId="4" fillId="28" borderId="28" xfId="0" applyNumberFormat="1" applyFont="1" applyFill="1" applyBorder="1" applyAlignment="1">
      <alignment horizontal="center" vertical="center"/>
    </xf>
    <xf numFmtId="2" fontId="4" fillId="28" borderId="48" xfId="0" applyNumberFormat="1" applyFont="1" applyFill="1" applyBorder="1" applyAlignment="1">
      <alignment horizontal="center" vertical="center"/>
    </xf>
    <xf numFmtId="2" fontId="4" fillId="28" borderId="22" xfId="0" applyNumberFormat="1" applyFont="1" applyFill="1" applyBorder="1" applyAlignment="1">
      <alignment horizontal="center" vertical="center"/>
    </xf>
    <xf numFmtId="2" fontId="4" fillId="28" borderId="32" xfId="0" applyNumberFormat="1" applyFont="1" applyFill="1" applyBorder="1" applyAlignment="1">
      <alignment horizontal="center" vertical="center"/>
    </xf>
    <xf numFmtId="2" fontId="4" fillId="0" borderId="0" xfId="0" applyNumberFormat="1" applyFont="1" applyBorder="1" applyAlignment="1">
      <alignment horizontal="center" vertical="center"/>
    </xf>
    <xf numFmtId="2" fontId="4" fillId="0" borderId="61" xfId="0" applyNumberFormat="1" applyFont="1" applyBorder="1" applyAlignment="1">
      <alignment horizontal="center" vertical="center"/>
    </xf>
    <xf numFmtId="2" fontId="16" fillId="28" borderId="39" xfId="0" applyNumberFormat="1" applyFont="1" applyFill="1" applyBorder="1" applyAlignment="1">
      <alignment horizontal="center"/>
    </xf>
    <xf numFmtId="2" fontId="16" fillId="28" borderId="38" xfId="0" applyNumberFormat="1" applyFont="1" applyFill="1" applyBorder="1" applyAlignment="1">
      <alignment horizontal="center"/>
    </xf>
    <xf numFmtId="2" fontId="19" fillId="41" borderId="84" xfId="0" applyNumberFormat="1" applyFont="1" applyFill="1" applyBorder="1" applyAlignment="1">
      <alignment horizontal="center"/>
    </xf>
    <xf numFmtId="2" fontId="19" fillId="41" borderId="85" xfId="0" applyNumberFormat="1" applyFont="1" applyFill="1" applyBorder="1" applyAlignment="1">
      <alignment horizontal="center"/>
    </xf>
    <xf numFmtId="0" fontId="16" fillId="53" borderId="99" xfId="0" applyNumberFormat="1" applyFont="1" applyFill="1" applyBorder="1" applyAlignment="1">
      <alignment horizontal="center"/>
    </xf>
    <xf numFmtId="0" fontId="16" fillId="53" borderId="161" xfId="0" applyNumberFormat="1" applyFont="1" applyFill="1" applyBorder="1" applyAlignment="1">
      <alignment horizontal="center"/>
    </xf>
    <xf numFmtId="2" fontId="16" fillId="41" borderId="115" xfId="0" applyNumberFormat="1" applyFont="1" applyFill="1" applyBorder="1" applyAlignment="1">
      <alignment horizontal="center" wrapText="1"/>
    </xf>
    <xf numFmtId="2" fontId="16" fillId="41" borderId="29" xfId="0" applyNumberFormat="1" applyFont="1" applyFill="1" applyBorder="1" applyAlignment="1">
      <alignment horizontal="center" wrapText="1"/>
    </xf>
    <xf numFmtId="2" fontId="16" fillId="41" borderId="31" xfId="0" applyNumberFormat="1" applyFont="1" applyFill="1" applyBorder="1" applyAlignment="1">
      <alignment horizontal="center" wrapText="1"/>
    </xf>
    <xf numFmtId="2" fontId="16" fillId="53" borderId="117" xfId="0" applyNumberFormat="1" applyFont="1" applyFill="1" applyBorder="1" applyAlignment="1">
      <alignment horizontal="center"/>
    </xf>
    <xf numFmtId="2" fontId="16" fillId="53" borderId="38" xfId="0" applyNumberFormat="1" applyFont="1" applyFill="1" applyBorder="1" applyAlignment="1">
      <alignment horizontal="center"/>
    </xf>
    <xf numFmtId="2" fontId="16" fillId="28" borderId="99" xfId="0" applyNumberFormat="1" applyFont="1" applyFill="1" applyBorder="1" applyAlignment="1">
      <alignment horizontal="center"/>
    </xf>
    <xf numFmtId="2" fontId="16" fillId="28" borderId="161" xfId="0" applyNumberFormat="1" applyFont="1" applyFill="1" applyBorder="1" applyAlignment="1">
      <alignment horizontal="center"/>
    </xf>
    <xf numFmtId="2" fontId="19" fillId="47" borderId="84" xfId="0" applyNumberFormat="1" applyFont="1" applyFill="1" applyBorder="1" applyAlignment="1">
      <alignment horizontal="center"/>
    </xf>
    <xf numFmtId="2" fontId="19" fillId="47" borderId="85" xfId="0" applyNumberFormat="1" applyFont="1" applyFill="1" applyBorder="1" applyAlignment="1">
      <alignment horizontal="center"/>
    </xf>
    <xf numFmtId="0" fontId="6" fillId="0" borderId="0" xfId="0" applyFont="1" applyFill="1" applyAlignment="1">
      <alignment horizontal="center" vertical="center" wrapText="1"/>
    </xf>
    <xf numFmtId="0" fontId="19" fillId="0" borderId="0" xfId="0" applyFont="1" applyFill="1" applyAlignment="1">
      <alignment horizontal="center"/>
    </xf>
    <xf numFmtId="0" fontId="19" fillId="0" borderId="0" xfId="0" applyFont="1" applyAlignment="1">
      <alignment horizontal="center"/>
    </xf>
    <xf numFmtId="0" fontId="16" fillId="15" borderId="99" xfId="0" applyNumberFormat="1" applyFont="1" applyFill="1" applyBorder="1" applyAlignment="1">
      <alignment horizontal="center"/>
    </xf>
    <xf numFmtId="0" fontId="16" fillId="15" borderId="41" xfId="0" applyNumberFormat="1" applyFont="1" applyFill="1" applyBorder="1" applyAlignment="1">
      <alignment horizontal="center"/>
    </xf>
    <xf numFmtId="0" fontId="6" fillId="0" borderId="0" xfId="0" applyFont="1" applyFill="1" applyAlignment="1">
      <alignment horizontal="center" vertical="center"/>
    </xf>
    <xf numFmtId="0" fontId="6" fillId="4" borderId="0" xfId="0" applyFont="1" applyFill="1" applyAlignment="1">
      <alignment horizontal="center" vertical="center"/>
    </xf>
    <xf numFmtId="2" fontId="16" fillId="0" borderId="0" xfId="0" applyNumberFormat="1" applyFont="1" applyFill="1" applyBorder="1" applyAlignment="1">
      <alignment horizontal="center"/>
    </xf>
    <xf numFmtId="0" fontId="16" fillId="0" borderId="0" xfId="0" applyFont="1" applyAlignment="1">
      <alignment horizontal="center"/>
    </xf>
  </cellXfs>
  <cellStyles count="7">
    <cellStyle name="Comma" xfId="1" builtinId="3"/>
    <cellStyle name="Hyperlink" xfId="2" builtinId="8"/>
    <cellStyle name="Neutral" xfId="3" builtinId="28" customBuiltin="1"/>
    <cellStyle name="Normal" xfId="0" builtinId="0"/>
    <cellStyle name="Normal_combat_swords_rc5" xfId="4" xr:uid="{00000000-0005-0000-0000-000004000000}"/>
    <cellStyle name="Normal_priestSpreadsheet_0_4 beta" xfId="6" xr:uid="{FD623ADA-A918-4F75-82AF-BAB908469C12}"/>
    <cellStyle name="Percent" xfId="5" builtinId="5"/>
  </cellStyles>
  <dxfs count="83">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patternType="solid">
          <bgColor rgb="FFB0FF57"/>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border>
        <left style="thin">
          <color indexed="8"/>
        </left>
        <right style="thin">
          <color indexed="8"/>
        </right>
        <top style="thin">
          <color indexed="8"/>
        </top>
        <bottom style="thin">
          <color indexed="8"/>
        </bottom>
      </border>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99"/>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1F5FE"/>
      <color rgb="FFF1F3F5"/>
      <color rgb="FFFFCCCB"/>
      <color rgb="FFCCFFCC"/>
      <color rgb="FFFFECB3"/>
      <color rgb="FFFFFFFF"/>
      <color rgb="FFF2F7FC"/>
      <color rgb="FFECEFF1"/>
      <color rgb="FFE0F2F1"/>
      <color rgb="FFE8EA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Y51" noThreeD="1"/>
</file>

<file path=xl/ctrlProps/ctrlProp24.xml><?xml version="1.0" encoding="utf-8"?>
<formControlPr xmlns="http://schemas.microsoft.com/office/spreadsheetml/2009/9/main" objectType="CheckBox" fmlaLink="Y52" noThreeD="1"/>
</file>

<file path=xl/ctrlProps/ctrlProp25.xml><?xml version="1.0" encoding="utf-8"?>
<formControlPr xmlns="http://schemas.microsoft.com/office/spreadsheetml/2009/9/main" objectType="CheckBox" fmlaLink="Y53" noThreeD="1"/>
</file>

<file path=xl/ctrlProps/ctrlProp26.xml><?xml version="1.0" encoding="utf-8"?>
<formControlPr xmlns="http://schemas.microsoft.com/office/spreadsheetml/2009/9/main" objectType="CheckBox" checked="Checked" fmlaLink="Y58" noThreeD="1"/>
</file>

<file path=xl/ctrlProps/ctrlProp27.xml><?xml version="1.0" encoding="utf-8"?>
<formControlPr xmlns="http://schemas.microsoft.com/office/spreadsheetml/2009/9/main" objectType="CheckBox" checked="Checked" fmlaLink="Y59" noThreeD="1"/>
</file>

<file path=xl/ctrlProps/ctrlProp28.xml><?xml version="1.0" encoding="utf-8"?>
<formControlPr xmlns="http://schemas.microsoft.com/office/spreadsheetml/2009/9/main" objectType="CheckBox" checked="Checked" fmlaLink="Y62" noThreeD="1"/>
</file>

<file path=xl/ctrlProps/ctrlProp29.xml><?xml version="1.0" encoding="utf-8"?>
<formControlPr xmlns="http://schemas.microsoft.com/office/spreadsheetml/2009/9/main" objectType="CheckBox" checked="Checked" fmlaLink="Y61" noThreeD="1"/>
</file>

<file path=xl/ctrlProps/ctrlProp30.xml><?xml version="1.0" encoding="utf-8"?>
<formControlPr xmlns="http://schemas.microsoft.com/office/spreadsheetml/2009/9/main" objectType="CheckBox" checked="Checked" fmlaLink="Y60" noThreeD="1"/>
</file>

<file path=xl/ctrlProps/ctrlProp31.xml><?xml version="1.0" encoding="utf-8"?>
<formControlPr xmlns="http://schemas.microsoft.com/office/spreadsheetml/2009/9/main" objectType="CheckBox" fmlaLink="Y54"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CheckBox" fmlaLink="Y55" noThreeD="1"/>
</file>

<file path=xl/ctrlProps/ctrlProp34.xml><?xml version="1.0" encoding="utf-8"?>
<formControlPr xmlns="http://schemas.microsoft.com/office/spreadsheetml/2009/9/main" objectType="CheckBox" checked="Checked" fmlaLink="AC44" noThreeD="1"/>
</file>

<file path=xl/ctrlProps/ctrlProp35.xml><?xml version="1.0" encoding="utf-8"?>
<formControlPr xmlns="http://schemas.microsoft.com/office/spreadsheetml/2009/9/main" objectType="CheckBox" checked="Checked" fmlaLink="Y4" noThreeD="1"/>
</file>

<file path=xl/ctrlProps/ctrlProp36.xml><?xml version="1.0" encoding="utf-8"?>
<formControlPr xmlns="http://schemas.microsoft.com/office/spreadsheetml/2009/9/main" objectType="CheckBox" checked="Checked" fmlaLink="Y5" noThreeD="1"/>
</file>

<file path=xl/ctrlProps/ctrlProp37.xml><?xml version="1.0" encoding="utf-8"?>
<formControlPr xmlns="http://schemas.microsoft.com/office/spreadsheetml/2009/9/main" objectType="CheckBox" checked="Checked" fmlaLink="Y6" noThreeD="1"/>
</file>

<file path=xl/ctrlProps/ctrlProp38.xml><?xml version="1.0" encoding="utf-8"?>
<formControlPr xmlns="http://schemas.microsoft.com/office/spreadsheetml/2009/9/main" objectType="CheckBox" checked="Checked" fmlaLink="Y43" noThreeD="1"/>
</file>

<file path=xl/ctrlProps/ctrlProp39.xml><?xml version="1.0" encoding="utf-8"?>
<formControlPr xmlns="http://schemas.microsoft.com/office/spreadsheetml/2009/9/main" objectType="CheckBox" fmlaLink="AC50"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2" fmlaLink="B7" fmlaRange="GearBuilds" noThreeD="1" sel="2" val="0"/>
</file>

<file path=xl/ctrlProps/ctrlProp43.xml><?xml version="1.0" encoding="utf-8"?>
<formControlPr xmlns="http://schemas.microsoft.com/office/spreadsheetml/2009/9/main" objectType="Drop" dropStyle="combo" dx="22" fmlaLink="A77" fmlaRange="BuffBuilds" noThreeD="1" sel="1" val="0"/>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checked="Checked" fmlaLink="Y7" noThreeD="1"/>
</file>

<file path=xl/ctrlProps/ctrlProp48.xml><?xml version="1.0" encoding="utf-8"?>
<formControlPr xmlns="http://schemas.microsoft.com/office/spreadsheetml/2009/9/main" objectType="CheckBox" checked="Checked" fmlaLink="Y8" noThreeD="1"/>
</file>

<file path=xl/ctrlProps/ctrlProp49.xml><?xml version="1.0" encoding="utf-8"?>
<formControlPr xmlns="http://schemas.microsoft.com/office/spreadsheetml/2009/9/main" objectType="CheckBox" checked="Checked" fmlaLink="Y44" noThreeD="1"/>
</file>

<file path=xl/ctrlProps/ctrlProp50.xml><?xml version="1.0" encoding="utf-8"?>
<formControlPr xmlns="http://schemas.microsoft.com/office/spreadsheetml/2009/9/main" objectType="CheckBox" fmlaLink="Y56" noThreeD="1"/>
</file>

<file path=xl/ctrlProps/ctrlProp51.xml><?xml version="1.0" encoding="utf-8"?>
<formControlPr xmlns="http://schemas.microsoft.com/office/spreadsheetml/2009/9/main" objectType="CheckBox" fmlaLink="AC55" noThreeD="1"/>
</file>

<file path=xl/ctrlProps/ctrlProp52.xml><?xml version="1.0" encoding="utf-8"?>
<formControlPr xmlns="http://schemas.microsoft.com/office/spreadsheetml/2009/9/main" objectType="CheckBox" checked="Checked" fmlaLink="AC61" noThreeD="1"/>
</file>

<file path=xl/ctrlProps/ctrlProp53.xml><?xml version="1.0" encoding="utf-8"?>
<formControlPr xmlns="http://schemas.microsoft.com/office/spreadsheetml/2009/9/main" objectType="CheckBox" checked="Checked" fmlaLink="AC62" noThreeD="1"/>
</file>

<file path=xl/ctrlProps/ctrlProp54.xml><?xml version="1.0" encoding="utf-8"?>
<formControlPr xmlns="http://schemas.microsoft.com/office/spreadsheetml/2009/9/main" objectType="CheckBox" checked="Checked" fmlaLink="AC63" noThreeD="1"/>
</file>

<file path=xl/ctrlProps/ctrlProp55.xml><?xml version="1.0" encoding="utf-8"?>
<formControlPr xmlns="http://schemas.microsoft.com/office/spreadsheetml/2009/9/main" objectType="CheckBox" checked="Checked" fmlaLink="AC64" noThreeD="1"/>
</file>

<file path=xl/ctrlProps/ctrlProp56.xml><?xml version="1.0" encoding="utf-8"?>
<formControlPr xmlns="http://schemas.microsoft.com/office/spreadsheetml/2009/9/main" objectType="CheckBox" checked="Checked" fmlaLink="AC65" noThreeD="1"/>
</file>

<file path=xl/ctrlProps/ctrlProp57.xml><?xml version="1.0" encoding="utf-8"?>
<formControlPr xmlns="http://schemas.microsoft.com/office/spreadsheetml/2009/9/main" objectType="CheckBox" checked="Checked" fmlaLink="AC66" noThreeD="1"/>
</file>

<file path=xl/ctrlProps/ctrlProp58.xml><?xml version="1.0" encoding="utf-8"?>
<formControlPr xmlns="http://schemas.microsoft.com/office/spreadsheetml/2009/9/main" objectType="CheckBox" checked="Checked" fmlaLink="AC67" noThreeD="1"/>
</file>

<file path=xl/ctrlProps/ctrlProp59.xml><?xml version="1.0" encoding="utf-8"?>
<formControlPr xmlns="http://schemas.microsoft.com/office/spreadsheetml/2009/9/main" objectType="CheckBox" checked="Checked" fmlaLink="AC68" noThreeD="1"/>
</file>

<file path=xl/ctrlProps/ctrlProp60.xml><?xml version="1.0" encoding="utf-8"?>
<formControlPr xmlns="http://schemas.microsoft.com/office/spreadsheetml/2009/9/main" objectType="CheckBox" checked="Checked" fmlaLink="AC69" noThreeD="1"/>
</file>

<file path=xl/ctrlProps/ctrlProp61.xml><?xml version="1.0" encoding="utf-8"?>
<formControlPr xmlns="http://schemas.microsoft.com/office/spreadsheetml/2009/9/main" objectType="CheckBox" checked="Checked" fmlaLink="AC70" noThreeD="1"/>
</file>

<file path=xl/ctrlProps/ctrlProp62.xml><?xml version="1.0" encoding="utf-8"?>
<formControlPr xmlns="http://schemas.microsoft.com/office/spreadsheetml/2009/9/main" objectType="CheckBox" checked="Checked" fmlaLink="AC71" noThreeD="1"/>
</file>

<file path=xl/ctrlProps/ctrlProp63.xml><?xml version="1.0" encoding="utf-8"?>
<formControlPr xmlns="http://schemas.microsoft.com/office/spreadsheetml/2009/9/main" objectType="CheckBox" checked="Checked" fmlaLink="AC74" noThreeD="1"/>
</file>

<file path=xl/ctrlProps/ctrlProp64.xml><?xml version="1.0" encoding="utf-8"?>
<formControlPr xmlns="http://schemas.microsoft.com/office/spreadsheetml/2009/9/main" objectType="CheckBox" checked="Checked" fmlaLink="AC72" noThreeD="1"/>
</file>

<file path=xl/ctrlProps/ctrlProp65.xml><?xml version="1.0" encoding="utf-8"?>
<formControlPr xmlns="http://schemas.microsoft.com/office/spreadsheetml/2009/9/main" objectType="CheckBox" checked="Checked" fmlaLink="AC73" noThreeD="1"/>
</file>

<file path=xl/ctrlProps/ctrlProp66.xml><?xml version="1.0" encoding="utf-8"?>
<formControlPr xmlns="http://schemas.microsoft.com/office/spreadsheetml/2009/9/main" objectType="CheckBox" checked="Checked" fmlaLink="$Y$65" noThreeD="1"/>
</file>

<file path=xl/ctrlProps/ctrlProp67.xml><?xml version="1.0" encoding="utf-8"?>
<formControlPr xmlns="http://schemas.microsoft.com/office/spreadsheetml/2009/9/main" objectType="CheckBox" fmlaLink="Y66" noThreeD="1"/>
</file>

<file path=xl/ctrlProps/ctrlProp68.xml><?xml version="1.0" encoding="utf-8"?>
<formControlPr xmlns="http://schemas.microsoft.com/office/spreadsheetml/2009/9/main" objectType="CheckBox" fmlaLink="Y67" noThreeD="1"/>
</file>

<file path=xl/ctrlProps/ctrlProp69.xml><?xml version="1.0" encoding="utf-8"?>
<formControlPr xmlns="http://schemas.microsoft.com/office/spreadsheetml/2009/9/main" objectType="CheckBox" fmlaLink="Y68" noThreeD="1"/>
</file>

<file path=xl/ctrlProps/ctrlProp70.xml><?xml version="1.0" encoding="utf-8"?>
<formControlPr xmlns="http://schemas.microsoft.com/office/spreadsheetml/2009/9/main" objectType="CheckBox" fmlaLink="Y69" noThreeD="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Y72" noThreeD="1"/>
</file>

<file path=xl/ctrlProps/ctrlProp74.xml><?xml version="1.0" encoding="utf-8"?>
<formControlPr xmlns="http://schemas.microsoft.com/office/spreadsheetml/2009/9/main" objectType="CheckBox" checked="Checked" fmlaLink="Y73" noThreeD="1"/>
</file>

<file path=xl/ctrlProps/ctrlProp75.xml><?xml version="1.0" encoding="utf-8"?>
<formControlPr xmlns="http://schemas.microsoft.com/office/spreadsheetml/2009/9/main" objectType="CheckBox" fmlaLink="Y74" noThreeD="1"/>
</file>

<file path=xl/ctrlProps/ctrlProp76.xml><?xml version="1.0" encoding="utf-8"?>
<formControlPr xmlns="http://schemas.microsoft.com/office/spreadsheetml/2009/9/main" objectType="CheckBox" fmlaLink="N24" lockText="1" noThreeD="1"/>
</file>

<file path=xl/ctrlProps/ctrlProp77.xml><?xml version="1.0" encoding="utf-8"?>
<formControlPr xmlns="http://schemas.microsoft.com/office/spreadsheetml/2009/9/main" objectType="Button"/>
</file>

<file path=xl/ctrlProps/ctrlProp78.xml><?xml version="1.0" encoding="utf-8"?>
<formControlPr xmlns="http://schemas.microsoft.com/office/spreadsheetml/2009/9/main" objectType="Button"/>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Drop" dropStyle="combo" dx="22" fmlaLink="E10" fmlaRange="TalentBuilds" noThreeD="1" sel="1" val="0"/>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Drop" dropStyle="combo" dx="22" fmlaLink="R10" fmlaRange="OptionBuilds" noThreeD="1" sel="1" val="0"/>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CheckBox" fmlaLink="$N$32" lockText="1" noThreeD="1"/>
</file>

<file path=xl/ctrlProps/ctrlProp89.xml><?xml version="1.0" encoding="utf-8"?>
<formControlPr xmlns="http://schemas.microsoft.com/office/spreadsheetml/2009/9/main" objectType="Button"/>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Drop" dropStyle="combo" dx="22" fmlaLink="$B$3" fmlaRange="CooldownBuilds" noThreeD="1" sel="1" val="0"/>
</file>

<file path=xl/ctrlProps/ctrlProp94.xml><?xml version="1.0" encoding="utf-8"?>
<formControlPr xmlns="http://schemas.microsoft.com/office/spreadsheetml/2009/9/main" objectType="CheckBox" checked="Checked" fmlaLink="$AQ$56" noThreeD="1"/>
</file>

<file path=xl/ctrlProps/ctrlProp95.xml><?xml version="1.0" encoding="utf-8"?>
<formControlPr xmlns="http://schemas.microsoft.com/office/spreadsheetml/2009/9/main" objectType="CheckBox" checked="Checked" fmlaLink="$AQ$57" noThreeD="1"/>
</file>

<file path=xl/ctrlProps/ctrlProp96.xml><?xml version="1.0" encoding="utf-8"?>
<formControlPr xmlns="http://schemas.microsoft.com/office/spreadsheetml/2009/9/main" objectType="CheckBox" checked="Checked" fmlaLink="$AQ$58" noThreeD="1"/>
</file>

<file path=xl/ctrlProps/ctrlProp97.xml><?xml version="1.0" encoding="utf-8"?>
<formControlPr xmlns="http://schemas.microsoft.com/office/spreadsheetml/2009/9/main" objectType="CheckBox" checked="Checked" fmlaLink="$AQ$59" noThreeD="1"/>
</file>

<file path=xl/ctrlProps/ctrlProp98.xml><?xml version="1.0" encoding="utf-8"?>
<formControlPr xmlns="http://schemas.microsoft.com/office/spreadsheetml/2009/9/main" objectType="CheckBox" checked="Checked" fmlaLink="$AQ$60" noThreeD="1"/>
</file>

<file path=xl/ctrlProps/ctrlProp99.xml><?xml version="1.0" encoding="utf-8"?>
<formControlPr xmlns="http://schemas.microsoft.com/office/spreadsheetml/2009/9/main" objectType="CheckBox" checked="Checked" fmlaLink="$AQ$61" noThreeD="1"/>
</file>

<file path=xl/ctrlProps/ctrlProp100.xml><?xml version="1.0" encoding="utf-8"?>
<formControlPr xmlns="http://schemas.microsoft.com/office/spreadsheetml/2009/9/main" objectType="CheckBox" checked="Checked" fmlaLink="$AQ$62" noThreeD="1"/>
</file>

<file path=xl/ctrlProps/ctrlProp101.xml><?xml version="1.0" encoding="utf-8"?>
<formControlPr xmlns="http://schemas.microsoft.com/office/spreadsheetml/2009/9/main" objectType="CheckBox" checked="Checked" fmlaLink="$AQ$63" noThreeD="1"/>
</file>

<file path=xl/ctrlProps/ctrlProp102.xml><?xml version="1.0" encoding="utf-8"?>
<formControlPr xmlns="http://schemas.microsoft.com/office/spreadsheetml/2009/9/main" objectType="CheckBox" checked="Checked" fmlaLink="$AQ$64" noThreeD="1"/>
</file>

<file path=xl/ctrlProps/ctrlProp103.xml><?xml version="1.0" encoding="utf-8"?>
<formControlPr xmlns="http://schemas.microsoft.com/office/spreadsheetml/2009/9/main" objectType="CheckBox" checked="Checked" fmlaLink="$AQ$65" noThreeD="1"/>
</file>

<file path=xl/ctrlProps/ctrlProp104.xml><?xml version="1.0" encoding="utf-8"?>
<formControlPr xmlns="http://schemas.microsoft.com/office/spreadsheetml/2009/9/main" objectType="CheckBox" checked="Checked" fmlaLink="$AQ$66" noThreeD="1"/>
</file>

<file path=xl/ctrlProps/ctrlProp105.xml><?xml version="1.0" encoding="utf-8"?>
<formControlPr xmlns="http://schemas.microsoft.com/office/spreadsheetml/2009/9/main" objectType="CheckBox" checked="Checked" fmlaLink="$AQ$67" noThreeD="1"/>
</file>

<file path=xl/ctrlProps/ctrlProp106.xml><?xml version="1.0" encoding="utf-8"?>
<formControlPr xmlns="http://schemas.microsoft.com/office/spreadsheetml/2009/9/main" objectType="CheckBox" checked="Checked" fmlaLink="$AQ$68" noThreeD="1"/>
</file>

<file path=xl/ctrlProps/ctrlProp107.xml><?xml version="1.0" encoding="utf-8"?>
<formControlPr xmlns="http://schemas.microsoft.com/office/spreadsheetml/2009/9/main" objectType="CheckBox" checked="Checked" fmlaLink="$AQ$69" noThreeD="1"/>
</file>

<file path=xl/ctrlProps/ctrlProp108.xml><?xml version="1.0" encoding="utf-8"?>
<formControlPr xmlns="http://schemas.microsoft.com/office/spreadsheetml/2009/9/main" objectType="CheckBox" checked="Checked" fmlaLink="$AQ$70" noThreeD="1"/>
</file>

<file path=xl/ctrlProps/ctrlProp109.xml><?xml version="1.0" encoding="utf-8"?>
<formControlPr xmlns="http://schemas.microsoft.com/office/spreadsheetml/2009/9/main" objectType="CheckBox" checked="Checked" fmlaLink="$AQ$71" noThreeD="1"/>
</file>

<file path=xl/ctrlProps/ctrlProp110.xml><?xml version="1.0" encoding="utf-8"?>
<formControlPr xmlns="http://schemas.microsoft.com/office/spreadsheetml/2009/9/main" objectType="CheckBox" checked="Checked" fmlaLink="$AQ$72" noThreeD="1"/>
</file>

<file path=xl/ctrlProps/ctrlProp111.xml><?xml version="1.0" encoding="utf-8"?>
<formControlPr xmlns="http://schemas.microsoft.com/office/spreadsheetml/2009/9/main" objectType="CheckBox" checked="Checked" fmlaLink="$AQ$73" noThreeD="1"/>
</file>

<file path=xl/ctrlProps/ctrlProp112.xml><?xml version="1.0" encoding="utf-8"?>
<formControlPr xmlns="http://schemas.microsoft.com/office/spreadsheetml/2009/9/main" objectType="CheckBox" checked="Checked" fmlaLink="$AQ$74" noThreeD="1"/>
</file>

<file path=xl/ctrlProps/ctrlProp113.xml><?xml version="1.0" encoding="utf-8"?>
<formControlPr xmlns="http://schemas.microsoft.com/office/spreadsheetml/2009/9/main" objectType="CheckBox" checked="Checked" fmlaLink="$AQ$75" noThreeD="1"/>
</file>

<file path=xl/ctrlProps/ctrlProp114.xml><?xml version="1.0" encoding="utf-8"?>
<formControlPr xmlns="http://schemas.microsoft.com/office/spreadsheetml/2009/9/main" objectType="CheckBox" checked="Checked" fmlaLink="$AQ$76" noThreeD="1"/>
</file>

<file path=xl/ctrlProps/ctrlProp115.xml><?xml version="1.0" encoding="utf-8"?>
<formControlPr xmlns="http://schemas.microsoft.com/office/spreadsheetml/2009/9/main" objectType="CheckBox" checked="Checked" fmlaLink="$AQ$77" noThreeD="1"/>
</file>

<file path=xl/ctrlProps/ctrlProp116.xml><?xml version="1.0" encoding="utf-8"?>
<formControlPr xmlns="http://schemas.microsoft.com/office/spreadsheetml/2009/9/main" objectType="CheckBox" checked="Checked" fmlaLink="$AQ$78" noThreeD="1"/>
</file>

<file path=xl/ctrlProps/ctrlProp117.xml><?xml version="1.0" encoding="utf-8"?>
<formControlPr xmlns="http://schemas.microsoft.com/office/spreadsheetml/2009/9/main" objectType="CheckBox" checked="Checked" fmlaLink="$AQ$79" noThreeD="1"/>
</file>

<file path=xl/ctrlProps/ctrlProp118.xml><?xml version="1.0" encoding="utf-8"?>
<formControlPr xmlns="http://schemas.microsoft.com/office/spreadsheetml/2009/9/main" objectType="CheckBox" checked="Checked" fmlaLink="$AQ$80" noThreeD="1"/>
</file>

<file path=xl/ctrlProps/ctrlProp119.xml><?xml version="1.0" encoding="utf-8"?>
<formControlPr xmlns="http://schemas.microsoft.com/office/spreadsheetml/2009/9/main" objectType="CheckBox" checked="Checked" fmlaLink="$AQ$81" noThreeD="1"/>
</file>

<file path=xl/ctrlProps/ctrlProp120.xml><?xml version="1.0" encoding="utf-8"?>
<formControlPr xmlns="http://schemas.microsoft.com/office/spreadsheetml/2009/9/main" objectType="CheckBox" checked="Checked" fmlaLink="$AQ$82" noThreeD="1"/>
</file>

<file path=xl/ctrlProps/ctrlProp121.xml><?xml version="1.0" encoding="utf-8"?>
<formControlPr xmlns="http://schemas.microsoft.com/office/spreadsheetml/2009/9/main" objectType="CheckBox" checked="Checked" fmlaLink="$AQ$83" noThreeD="1"/>
</file>

<file path=xl/ctrlProps/ctrlProp122.xml><?xml version="1.0" encoding="utf-8"?>
<formControlPr xmlns="http://schemas.microsoft.com/office/spreadsheetml/2009/9/main" objectType="CheckBox" checked="Checked" fmlaLink="$AQ$84" noThreeD="1"/>
</file>

<file path=xl/ctrlProps/ctrlProp123.xml><?xml version="1.0" encoding="utf-8"?>
<formControlPr xmlns="http://schemas.microsoft.com/office/spreadsheetml/2009/9/main" objectType="CheckBox" checked="Checked" fmlaLink="$AQ$85" noThreeD="1"/>
</file>

<file path=xl/ctrlProps/ctrlProp124.xml><?xml version="1.0" encoding="utf-8"?>
<formControlPr xmlns="http://schemas.microsoft.com/office/spreadsheetml/2009/9/main" objectType="CheckBox" checked="Checked" fmlaLink="$AQ$86" noThreeD="1"/>
</file>

<file path=xl/ctrlProps/ctrlProp125.xml><?xml version="1.0" encoding="utf-8"?>
<formControlPr xmlns="http://schemas.microsoft.com/office/spreadsheetml/2009/9/main" objectType="CheckBox" checked="Checked" fmlaLink="$AQ$87" noThreeD="1"/>
</file>

<file path=xl/ctrlProps/ctrlProp126.xml><?xml version="1.0" encoding="utf-8"?>
<formControlPr xmlns="http://schemas.microsoft.com/office/spreadsheetml/2009/9/main" objectType="CheckBox" checked="Checked" fmlaLink="$AQ$88" noThreeD="1"/>
</file>

<file path=xl/ctrlProps/ctrlProp127.xml><?xml version="1.0" encoding="utf-8"?>
<formControlPr xmlns="http://schemas.microsoft.com/office/spreadsheetml/2009/9/main" objectType="CheckBox" checked="Checked" fmlaLink="$AQ$89" noThreeD="1"/>
</file>

<file path=xl/ctrlProps/ctrlProp128.xml><?xml version="1.0" encoding="utf-8"?>
<formControlPr xmlns="http://schemas.microsoft.com/office/spreadsheetml/2009/9/main" objectType="CheckBox" checked="Checked" fmlaLink="$AQ$90" noThreeD="1"/>
</file>

<file path=xl/ctrlProps/ctrlProp129.xml><?xml version="1.0" encoding="utf-8"?>
<formControlPr xmlns="http://schemas.microsoft.com/office/spreadsheetml/2009/9/main" objectType="CheckBox" checked="Checked" fmlaLink="$AQ$91" noThreeD="1"/>
</file>

<file path=xl/ctrlProps/ctrlProp130.xml><?xml version="1.0" encoding="utf-8"?>
<formControlPr xmlns="http://schemas.microsoft.com/office/spreadsheetml/2009/9/main" objectType="CheckBox" checked="Checked" fmlaLink="$AQ$92" noThreeD="1"/>
</file>

<file path=xl/ctrlProps/ctrlProp131.xml><?xml version="1.0" encoding="utf-8"?>
<formControlPr xmlns="http://schemas.microsoft.com/office/spreadsheetml/2009/9/main" objectType="CheckBox" checked="Checked" fmlaLink="$AQ$93" noThreeD="1"/>
</file>

<file path=xl/ctrlProps/ctrlProp132.xml><?xml version="1.0" encoding="utf-8"?>
<formControlPr xmlns="http://schemas.microsoft.com/office/spreadsheetml/2009/9/main" objectType="CheckBox" checked="Checked" fmlaLink="$AQ$94" noThreeD="1"/>
</file>

<file path=xl/ctrlProps/ctrlProp133.xml><?xml version="1.0" encoding="utf-8"?>
<formControlPr xmlns="http://schemas.microsoft.com/office/spreadsheetml/2009/9/main" objectType="CheckBox" checked="Checked" fmlaLink="$AQ$95" noThreeD="1"/>
</file>

<file path=xl/ctrlProps/ctrlProp134.xml><?xml version="1.0" encoding="utf-8"?>
<formControlPr xmlns="http://schemas.microsoft.com/office/spreadsheetml/2009/9/main" objectType="CheckBox" checked="Checked" fmlaLink="$AQ$96" noThreeD="1"/>
</file>

<file path=xl/ctrlProps/ctrlProp135.xml><?xml version="1.0" encoding="utf-8"?>
<formControlPr xmlns="http://schemas.microsoft.com/office/spreadsheetml/2009/9/main" objectType="CheckBox" checked="Checked" fmlaLink="$AQ$97" noThreeD="1"/>
</file>

<file path=xl/ctrlProps/ctrlProp136.xml><?xml version="1.0" encoding="utf-8"?>
<formControlPr xmlns="http://schemas.microsoft.com/office/spreadsheetml/2009/9/main" objectType="CheckBox" checked="Checked" fmlaLink="$AQ$98" noThreeD="1"/>
</file>

<file path=xl/ctrlProps/ctrlProp137.xml><?xml version="1.0" encoding="utf-8"?>
<formControlPr xmlns="http://schemas.microsoft.com/office/spreadsheetml/2009/9/main" objectType="CheckBox" checked="Checked" fmlaLink="$AQ$99" noThreeD="1"/>
</file>

<file path=xl/ctrlProps/ctrlProp138.xml><?xml version="1.0" encoding="utf-8"?>
<formControlPr xmlns="http://schemas.microsoft.com/office/spreadsheetml/2009/9/main" objectType="CheckBox" checked="Checked" fmlaLink="$AQ$100" noThreeD="1"/>
</file>

<file path=xl/ctrlProps/ctrlProp139.xml><?xml version="1.0" encoding="utf-8"?>
<formControlPr xmlns="http://schemas.microsoft.com/office/spreadsheetml/2009/9/main" objectType="CheckBox" checked="Checked" fmlaLink="$AQ$102" noThreeD="1"/>
</file>

<file path=xl/ctrlProps/ctrlProp140.xml><?xml version="1.0" encoding="utf-8"?>
<formControlPr xmlns="http://schemas.microsoft.com/office/spreadsheetml/2009/9/main" objectType="CheckBox" checked="Checked" fmlaLink="$AQ$103" noThreeD="1"/>
</file>

<file path=xl/ctrlProps/ctrlProp141.xml><?xml version="1.0" encoding="utf-8"?>
<formControlPr xmlns="http://schemas.microsoft.com/office/spreadsheetml/2009/9/main" objectType="CheckBox" checked="Checked" fmlaLink="$AQ$104" noThreeD="1"/>
</file>

<file path=xl/ctrlProps/ctrlProp142.xml><?xml version="1.0" encoding="utf-8"?>
<formControlPr xmlns="http://schemas.microsoft.com/office/spreadsheetml/2009/9/main" objectType="CheckBox" checked="Checked" fmlaLink="$AQ$105" noThreeD="1"/>
</file>

<file path=xl/ctrlProps/ctrlProp143.xml><?xml version="1.0" encoding="utf-8"?>
<formControlPr xmlns="http://schemas.microsoft.com/office/spreadsheetml/2009/9/main" objectType="CheckBox" checked="Checked" fmlaLink="$AQ$106" noThreeD="1"/>
</file>

<file path=xl/ctrlProps/ctrlProp144.xml><?xml version="1.0" encoding="utf-8"?>
<formControlPr xmlns="http://schemas.microsoft.com/office/spreadsheetml/2009/9/main" objectType="CheckBox" checked="Checked" fmlaLink="$AQ$107" noThreeD="1"/>
</file>

<file path=xl/ctrlProps/ctrlProp145.xml><?xml version="1.0" encoding="utf-8"?>
<formControlPr xmlns="http://schemas.microsoft.com/office/spreadsheetml/2009/9/main" objectType="CheckBox" checked="Checked" fmlaLink="$AQ$108" noThreeD="1"/>
</file>

<file path=xl/ctrlProps/ctrlProp146.xml><?xml version="1.0" encoding="utf-8"?>
<formControlPr xmlns="http://schemas.microsoft.com/office/spreadsheetml/2009/9/main" objectType="CheckBox" checked="Checked" fmlaLink="$AQ$109" noThreeD="1"/>
</file>

<file path=xl/ctrlProps/ctrlProp147.xml><?xml version="1.0" encoding="utf-8"?>
<formControlPr xmlns="http://schemas.microsoft.com/office/spreadsheetml/2009/9/main" objectType="CheckBox" checked="Checked" fmlaLink="$AQ$110" noThreeD="1"/>
</file>

<file path=xl/ctrlProps/ctrlProp148.xml><?xml version="1.0" encoding="utf-8"?>
<formControlPr xmlns="http://schemas.microsoft.com/office/spreadsheetml/2009/9/main" objectType="CheckBox" checked="Checked" fmlaLink="$AQ$111" noThreeD="1"/>
</file>

<file path=xl/ctrlProps/ctrlProp149.xml><?xml version="1.0" encoding="utf-8"?>
<formControlPr xmlns="http://schemas.microsoft.com/office/spreadsheetml/2009/9/main" objectType="CheckBox" checked="Checked" fmlaLink="$AQ$112" noThreeD="1"/>
</file>

<file path=xl/ctrlProps/ctrlProp150.xml><?xml version="1.0" encoding="utf-8"?>
<formControlPr xmlns="http://schemas.microsoft.com/office/spreadsheetml/2009/9/main" objectType="CheckBox" checked="Checked" fmlaLink="$AQ$113" noThreeD="1"/>
</file>

<file path=xl/ctrlProps/ctrlProp151.xml><?xml version="1.0" encoding="utf-8"?>
<formControlPr xmlns="http://schemas.microsoft.com/office/spreadsheetml/2009/9/main" objectType="CheckBox" checked="Checked" fmlaLink="$AQ$114" noThreeD="1"/>
</file>

<file path=xl/ctrlProps/ctrlProp152.xml><?xml version="1.0" encoding="utf-8"?>
<formControlPr xmlns="http://schemas.microsoft.com/office/spreadsheetml/2009/9/main" objectType="CheckBox" checked="Checked" fmlaLink="$AQ$115" noThreeD="1"/>
</file>

<file path=xl/ctrlProps/ctrlProp153.xml><?xml version="1.0" encoding="utf-8"?>
<formControlPr xmlns="http://schemas.microsoft.com/office/spreadsheetml/2009/9/main" objectType="CheckBox" checked="Checked" fmlaLink="$AQ$116" noThreeD="1"/>
</file>

<file path=xl/ctrlProps/ctrlProp154.xml><?xml version="1.0" encoding="utf-8"?>
<formControlPr xmlns="http://schemas.microsoft.com/office/spreadsheetml/2009/9/main" objectType="CheckBox" checked="Checked" fmlaLink="$AQ$117" noThreeD="1"/>
</file>

<file path=xl/ctrlProps/ctrlProp155.xml><?xml version="1.0" encoding="utf-8"?>
<formControlPr xmlns="http://schemas.microsoft.com/office/spreadsheetml/2009/9/main" objectType="CheckBox" checked="Checked" fmlaLink="$AQ$118" noThreeD="1"/>
</file>

<file path=xl/ctrlProps/ctrlProp156.xml><?xml version="1.0" encoding="utf-8"?>
<formControlPr xmlns="http://schemas.microsoft.com/office/spreadsheetml/2009/9/main" objectType="CheckBox" checked="Checked" fmlaLink="$AQ$119" noThreeD="1"/>
</file>

<file path=xl/ctrlProps/ctrlProp157.xml><?xml version="1.0" encoding="utf-8"?>
<formControlPr xmlns="http://schemas.microsoft.com/office/spreadsheetml/2009/9/main" objectType="CheckBox" checked="Checked" fmlaLink="$AQ$120" noThreeD="1"/>
</file>

<file path=xl/ctrlProps/ctrlProp158.xml><?xml version="1.0" encoding="utf-8"?>
<formControlPr xmlns="http://schemas.microsoft.com/office/spreadsheetml/2009/9/main" objectType="CheckBox" checked="Checked" fmlaLink="$AQ$121" noThreeD="1"/>
</file>

<file path=xl/ctrlProps/ctrlProp159.xml><?xml version="1.0" encoding="utf-8"?>
<formControlPr xmlns="http://schemas.microsoft.com/office/spreadsheetml/2009/9/main" objectType="CheckBox" checked="Checked" fmlaLink="$AQ$122" noThreeD="1"/>
</file>

<file path=xl/ctrlProps/ctrlProp160.xml><?xml version="1.0" encoding="utf-8"?>
<formControlPr xmlns="http://schemas.microsoft.com/office/spreadsheetml/2009/9/main" objectType="CheckBox" checked="Checked" fmlaLink="$AQ$123" noThreeD="1"/>
</file>

<file path=xl/ctrlProps/ctrlProp161.xml><?xml version="1.0" encoding="utf-8"?>
<formControlPr xmlns="http://schemas.microsoft.com/office/spreadsheetml/2009/9/main" objectType="CheckBox" checked="Checked" fmlaLink="$AQ$124" noThreeD="1"/>
</file>

<file path=xl/ctrlProps/ctrlProp162.xml><?xml version="1.0" encoding="utf-8"?>
<formControlPr xmlns="http://schemas.microsoft.com/office/spreadsheetml/2009/9/main" objectType="CheckBox" checked="Checked" fmlaLink="$AQ$125" noThreeD="1"/>
</file>

<file path=xl/ctrlProps/ctrlProp163.xml><?xml version="1.0" encoding="utf-8"?>
<formControlPr xmlns="http://schemas.microsoft.com/office/spreadsheetml/2009/9/main" objectType="CheckBox" checked="Checked" fmlaLink="$AQ$126" noThreeD="1"/>
</file>

<file path=xl/ctrlProps/ctrlProp164.xml><?xml version="1.0" encoding="utf-8"?>
<formControlPr xmlns="http://schemas.microsoft.com/office/spreadsheetml/2009/9/main" objectType="CheckBox" checked="Checked" fmlaLink="$AQ$127" noThreeD="1"/>
</file>

<file path=xl/ctrlProps/ctrlProp165.xml><?xml version="1.0" encoding="utf-8"?>
<formControlPr xmlns="http://schemas.microsoft.com/office/spreadsheetml/2009/9/main" objectType="CheckBox" checked="Checked" fmlaLink="$AQ$128" noThreeD="1"/>
</file>

<file path=xl/ctrlProps/ctrlProp166.xml><?xml version="1.0" encoding="utf-8"?>
<formControlPr xmlns="http://schemas.microsoft.com/office/spreadsheetml/2009/9/main" objectType="CheckBox" checked="Checked" fmlaLink="$AQ$129" noThreeD="1"/>
</file>

<file path=xl/ctrlProps/ctrlProp167.xml><?xml version="1.0" encoding="utf-8"?>
<formControlPr xmlns="http://schemas.microsoft.com/office/spreadsheetml/2009/9/main" objectType="CheckBox" checked="Checked" fmlaLink="$AQ$130" noThreeD="1"/>
</file>

<file path=xl/ctrlProps/ctrlProp168.xml><?xml version="1.0" encoding="utf-8"?>
<formControlPr xmlns="http://schemas.microsoft.com/office/spreadsheetml/2009/9/main" objectType="CheckBox" checked="Checked" fmlaLink="$AQ$131" noThreeD="1"/>
</file>

<file path=xl/ctrlProps/ctrlProp169.xml><?xml version="1.0" encoding="utf-8"?>
<formControlPr xmlns="http://schemas.microsoft.com/office/spreadsheetml/2009/9/main" objectType="CheckBox" checked="Checked" fmlaLink="$AQ$132" noThreeD="1"/>
</file>

<file path=xl/ctrlProps/ctrlProp170.xml><?xml version="1.0" encoding="utf-8"?>
<formControlPr xmlns="http://schemas.microsoft.com/office/spreadsheetml/2009/9/main" objectType="CheckBox" checked="Checked" fmlaLink="$AQ$133" noThreeD="1"/>
</file>

<file path=xl/ctrlProps/ctrlProp171.xml><?xml version="1.0" encoding="utf-8"?>
<formControlPr xmlns="http://schemas.microsoft.com/office/spreadsheetml/2009/9/main" objectType="CheckBox" checked="Checked" fmlaLink="$AQ$134" noThreeD="1"/>
</file>

<file path=xl/ctrlProps/ctrlProp172.xml><?xml version="1.0" encoding="utf-8"?>
<formControlPr xmlns="http://schemas.microsoft.com/office/spreadsheetml/2009/9/main" objectType="CheckBox" checked="Checked" fmlaLink="$AQ$135" noThreeD="1"/>
</file>

<file path=xl/ctrlProps/ctrlProp173.xml><?xml version="1.0" encoding="utf-8"?>
<formControlPr xmlns="http://schemas.microsoft.com/office/spreadsheetml/2009/9/main" objectType="CheckBox" checked="Checked" fmlaLink="$AQ$136" noThreeD="1"/>
</file>

<file path=xl/ctrlProps/ctrlProp174.xml><?xml version="1.0" encoding="utf-8"?>
<formControlPr xmlns="http://schemas.microsoft.com/office/spreadsheetml/2009/9/main" objectType="CheckBox" checked="Checked" fmlaLink="$AQ$137" noThreeD="1"/>
</file>

<file path=xl/ctrlProps/ctrlProp175.xml><?xml version="1.0" encoding="utf-8"?>
<formControlPr xmlns="http://schemas.microsoft.com/office/spreadsheetml/2009/9/main" objectType="CheckBox" checked="Checked" fmlaLink="$AQ$138" noThreeD="1"/>
</file>

<file path=xl/ctrlProps/ctrlProp176.xml><?xml version="1.0" encoding="utf-8"?>
<formControlPr xmlns="http://schemas.microsoft.com/office/spreadsheetml/2009/9/main" objectType="CheckBox" checked="Checked" fmlaLink="$AQ$139" noThreeD="1"/>
</file>

<file path=xl/ctrlProps/ctrlProp177.xml><?xml version="1.0" encoding="utf-8"?>
<formControlPr xmlns="http://schemas.microsoft.com/office/spreadsheetml/2009/9/main" objectType="CheckBox" checked="Checked" fmlaLink="$AQ$140" noThreeD="1"/>
</file>

<file path=xl/ctrlProps/ctrlProp178.xml><?xml version="1.0" encoding="utf-8"?>
<formControlPr xmlns="http://schemas.microsoft.com/office/spreadsheetml/2009/9/main" objectType="CheckBox" checked="Checked" fmlaLink="$AQ$141" noThreeD="1"/>
</file>

<file path=xl/ctrlProps/ctrlProp179.xml><?xml version="1.0" encoding="utf-8"?>
<formControlPr xmlns="http://schemas.microsoft.com/office/spreadsheetml/2009/9/main" objectType="CheckBox" checked="Checked" fmlaLink="$AQ$142" noThreeD="1"/>
</file>

<file path=xl/ctrlProps/ctrlProp180.xml><?xml version="1.0" encoding="utf-8"?>
<formControlPr xmlns="http://schemas.microsoft.com/office/spreadsheetml/2009/9/main" objectType="CheckBox" checked="Checked" fmlaLink="$AQ$143" noThreeD="1"/>
</file>

<file path=xl/ctrlProps/ctrlProp181.xml><?xml version="1.0" encoding="utf-8"?>
<formControlPr xmlns="http://schemas.microsoft.com/office/spreadsheetml/2009/9/main" objectType="CheckBox" checked="Checked" fmlaLink="$AQ$144" noThreeD="1"/>
</file>

<file path=xl/ctrlProps/ctrlProp182.xml><?xml version="1.0" encoding="utf-8"?>
<formControlPr xmlns="http://schemas.microsoft.com/office/spreadsheetml/2009/9/main" objectType="CheckBox" checked="Checked" fmlaLink="$AQ$145" noThreeD="1"/>
</file>

<file path=xl/ctrlProps/ctrlProp183.xml><?xml version="1.0" encoding="utf-8"?>
<formControlPr xmlns="http://schemas.microsoft.com/office/spreadsheetml/2009/9/main" objectType="CheckBox" checked="Checked" fmlaLink="$AQ$146" noThreeD="1"/>
</file>

<file path=xl/ctrlProps/ctrlProp184.xml><?xml version="1.0" encoding="utf-8"?>
<formControlPr xmlns="http://schemas.microsoft.com/office/spreadsheetml/2009/9/main" objectType="CheckBox" checked="Checked" fmlaLink="$AQ$147" noThreeD="1"/>
</file>

<file path=xl/ctrlProps/ctrlProp185.xml><?xml version="1.0" encoding="utf-8"?>
<formControlPr xmlns="http://schemas.microsoft.com/office/spreadsheetml/2009/9/main" objectType="CheckBox" checked="Checked" fmlaLink="$AQ$148" noThreeD="1"/>
</file>

<file path=xl/ctrlProps/ctrlProp186.xml><?xml version="1.0" encoding="utf-8"?>
<formControlPr xmlns="http://schemas.microsoft.com/office/spreadsheetml/2009/9/main" objectType="CheckBox" checked="Checked" fmlaLink="$AQ$149" noThreeD="1"/>
</file>

<file path=xl/ctrlProps/ctrlProp187.xml><?xml version="1.0" encoding="utf-8"?>
<formControlPr xmlns="http://schemas.microsoft.com/office/spreadsheetml/2009/9/main" objectType="CheckBox" checked="Checked" fmlaLink="$AQ$150" noThreeD="1"/>
</file>

<file path=xl/ctrlProps/ctrlProp188.xml><?xml version="1.0" encoding="utf-8"?>
<formControlPr xmlns="http://schemas.microsoft.com/office/spreadsheetml/2009/9/main" objectType="CheckBox" checked="Checked" fmlaLink="$AQ$234" noThreeD="1"/>
</file>

<file path=xl/ctrlProps/ctrlProp189.xml><?xml version="1.0" encoding="utf-8"?>
<formControlPr xmlns="http://schemas.microsoft.com/office/spreadsheetml/2009/9/main" objectType="CheckBox" checked="Checked" fmlaLink="$AQ$235" noThreeD="1"/>
</file>

<file path=xl/ctrlProps/ctrlProp190.xml><?xml version="1.0" encoding="utf-8"?>
<formControlPr xmlns="http://schemas.microsoft.com/office/spreadsheetml/2009/9/main" objectType="CheckBox" checked="Checked" fmlaLink="$AQ$236" noThreeD="1"/>
</file>

<file path=xl/ctrlProps/ctrlProp191.xml><?xml version="1.0" encoding="utf-8"?>
<formControlPr xmlns="http://schemas.microsoft.com/office/spreadsheetml/2009/9/main" objectType="CheckBox" checked="Checked" fmlaLink="$AQ$237" noThreeD="1"/>
</file>

<file path=xl/ctrlProps/ctrlProp192.xml><?xml version="1.0" encoding="utf-8"?>
<formControlPr xmlns="http://schemas.microsoft.com/office/spreadsheetml/2009/9/main" objectType="CheckBox" checked="Checked" fmlaLink="$AQ$238" noThreeD="1"/>
</file>

<file path=xl/ctrlProps/ctrlProp193.xml><?xml version="1.0" encoding="utf-8"?>
<formControlPr xmlns="http://schemas.microsoft.com/office/spreadsheetml/2009/9/main" objectType="CheckBox" checked="Checked" fmlaLink="$AQ$239" noThreeD="1"/>
</file>

<file path=xl/ctrlProps/ctrlProp194.xml><?xml version="1.0" encoding="utf-8"?>
<formControlPr xmlns="http://schemas.microsoft.com/office/spreadsheetml/2009/9/main" objectType="CheckBox" checked="Checked" fmlaLink="$AQ$240" noThreeD="1"/>
</file>

<file path=xl/ctrlProps/ctrlProp195.xml><?xml version="1.0" encoding="utf-8"?>
<formControlPr xmlns="http://schemas.microsoft.com/office/spreadsheetml/2009/9/main" objectType="CheckBox" checked="Checked" fmlaLink="$AQ$241" noThreeD="1"/>
</file>

<file path=xl/ctrlProps/ctrlProp196.xml><?xml version="1.0" encoding="utf-8"?>
<formControlPr xmlns="http://schemas.microsoft.com/office/spreadsheetml/2009/9/main" objectType="CheckBox" checked="Checked" fmlaLink="$AQ$242" noThreeD="1"/>
</file>

<file path=xl/ctrlProps/ctrlProp197.xml><?xml version="1.0" encoding="utf-8"?>
<formControlPr xmlns="http://schemas.microsoft.com/office/spreadsheetml/2009/9/main" objectType="CheckBox" checked="Checked" fmlaLink="$AQ$243" noThreeD="1"/>
</file>

<file path=xl/ctrlProps/ctrlProp198.xml><?xml version="1.0" encoding="utf-8"?>
<formControlPr xmlns="http://schemas.microsoft.com/office/spreadsheetml/2009/9/main" objectType="CheckBox" checked="Checked" fmlaLink="$AQ$244" noThreeD="1"/>
</file>

<file path=xl/ctrlProps/ctrlProp199.xml><?xml version="1.0" encoding="utf-8"?>
<formControlPr xmlns="http://schemas.microsoft.com/office/spreadsheetml/2009/9/main" objectType="CheckBox" checked="Checked" fmlaLink="$AQ$245" noThreeD="1"/>
</file>

<file path=xl/ctrlProps/ctrlProp200.xml><?xml version="1.0" encoding="utf-8"?>
<formControlPr xmlns="http://schemas.microsoft.com/office/spreadsheetml/2009/9/main" objectType="CheckBox" checked="Checked" fmlaLink="$AQ$246" noThreeD="1"/>
</file>

<file path=xl/ctrlProps/ctrlProp201.xml><?xml version="1.0" encoding="utf-8"?>
<formControlPr xmlns="http://schemas.microsoft.com/office/spreadsheetml/2009/9/main" objectType="CheckBox" checked="Checked" fmlaLink="$AQ$247" noThreeD="1"/>
</file>

<file path=xl/ctrlProps/ctrlProp202.xml><?xml version="1.0" encoding="utf-8"?>
<formControlPr xmlns="http://schemas.microsoft.com/office/spreadsheetml/2009/9/main" objectType="CheckBox" checked="Checked" fmlaLink="$AQ$248" noThreeD="1"/>
</file>

<file path=xl/ctrlProps/ctrlProp203.xml><?xml version="1.0" encoding="utf-8"?>
<formControlPr xmlns="http://schemas.microsoft.com/office/spreadsheetml/2009/9/main" objectType="CheckBox" checked="Checked" fmlaLink="$AQ$249" noThreeD="1"/>
</file>

<file path=xl/ctrlProps/ctrlProp204.xml><?xml version="1.0" encoding="utf-8"?>
<formControlPr xmlns="http://schemas.microsoft.com/office/spreadsheetml/2009/9/main" objectType="CheckBox" checked="Checked" fmlaLink="$AQ$250" noThreeD="1"/>
</file>

<file path=xl/ctrlProps/ctrlProp205.xml><?xml version="1.0" encoding="utf-8"?>
<formControlPr xmlns="http://schemas.microsoft.com/office/spreadsheetml/2009/9/main" objectType="CheckBox" checked="Checked" fmlaLink="$AQ$251" noThreeD="1"/>
</file>

<file path=xl/ctrlProps/ctrlProp206.xml><?xml version="1.0" encoding="utf-8"?>
<formControlPr xmlns="http://schemas.microsoft.com/office/spreadsheetml/2009/9/main" objectType="CheckBox" checked="Checked" fmlaLink="$AQ$252" noThreeD="1"/>
</file>

<file path=xl/ctrlProps/ctrlProp207.xml><?xml version="1.0" encoding="utf-8"?>
<formControlPr xmlns="http://schemas.microsoft.com/office/spreadsheetml/2009/9/main" objectType="CheckBox" checked="Checked" fmlaLink="$AQ$253" noThreeD="1"/>
</file>

<file path=xl/ctrlProps/ctrlProp208.xml><?xml version="1.0" encoding="utf-8"?>
<formControlPr xmlns="http://schemas.microsoft.com/office/spreadsheetml/2009/9/main" objectType="CheckBox" checked="Checked" fmlaLink="$AQ$254" noThreeD="1"/>
</file>

<file path=xl/ctrlProps/ctrlProp209.xml><?xml version="1.0" encoding="utf-8"?>
<formControlPr xmlns="http://schemas.microsoft.com/office/spreadsheetml/2009/9/main" objectType="CheckBox" checked="Checked" fmlaLink="$AQ$255" noThreeD="1"/>
</file>

<file path=xl/ctrlProps/ctrlProp210.xml><?xml version="1.0" encoding="utf-8"?>
<formControlPr xmlns="http://schemas.microsoft.com/office/spreadsheetml/2009/9/main" objectType="CheckBox" checked="Checked" fmlaLink="$AQ$256" noThreeD="1"/>
</file>

<file path=xl/ctrlProps/ctrlProp211.xml><?xml version="1.0" encoding="utf-8"?>
<formControlPr xmlns="http://schemas.microsoft.com/office/spreadsheetml/2009/9/main" objectType="CheckBox" checked="Checked" fmlaLink="$AQ$257" noThreeD="1"/>
</file>

<file path=xl/ctrlProps/ctrlProp212.xml><?xml version="1.0" encoding="utf-8"?>
<formControlPr xmlns="http://schemas.microsoft.com/office/spreadsheetml/2009/9/main" objectType="CheckBox" checked="Checked" fmlaLink="$AQ$258" noThreeD="1"/>
</file>

<file path=xl/ctrlProps/ctrlProp213.xml><?xml version="1.0" encoding="utf-8"?>
<formControlPr xmlns="http://schemas.microsoft.com/office/spreadsheetml/2009/9/main" objectType="CheckBox" checked="Checked" fmlaLink="$AQ$259" noThreeD="1"/>
</file>

<file path=xl/ctrlProps/ctrlProp214.xml><?xml version="1.0" encoding="utf-8"?>
<formControlPr xmlns="http://schemas.microsoft.com/office/spreadsheetml/2009/9/main" objectType="CheckBox" checked="Checked" fmlaLink="$AQ$260" noThreeD="1"/>
</file>

<file path=xl/ctrlProps/ctrlProp215.xml><?xml version="1.0" encoding="utf-8"?>
<formControlPr xmlns="http://schemas.microsoft.com/office/spreadsheetml/2009/9/main" objectType="CheckBox" checked="Checked" fmlaLink="$AQ$261" noThreeD="1"/>
</file>

<file path=xl/ctrlProps/ctrlProp216.xml><?xml version="1.0" encoding="utf-8"?>
<formControlPr xmlns="http://schemas.microsoft.com/office/spreadsheetml/2009/9/main" objectType="CheckBox" checked="Checked" fmlaLink="$AQ$262" noThreeD="1"/>
</file>

<file path=xl/ctrlProps/ctrlProp217.xml><?xml version="1.0" encoding="utf-8"?>
<formControlPr xmlns="http://schemas.microsoft.com/office/spreadsheetml/2009/9/main" objectType="CheckBox" checked="Checked" fmlaLink="$AQ$263" noThreeD="1"/>
</file>

<file path=xl/ctrlProps/ctrlProp218.xml><?xml version="1.0" encoding="utf-8"?>
<formControlPr xmlns="http://schemas.microsoft.com/office/spreadsheetml/2009/9/main" objectType="CheckBox" checked="Checked" fmlaLink="$AQ$264" noThreeD="1"/>
</file>

<file path=xl/ctrlProps/ctrlProp219.xml><?xml version="1.0" encoding="utf-8"?>
<formControlPr xmlns="http://schemas.microsoft.com/office/spreadsheetml/2009/9/main" objectType="CheckBox" checked="Checked" fmlaLink="$AQ$265" noThreeD="1"/>
</file>

<file path=xl/ctrlProps/ctrlProp220.xml><?xml version="1.0" encoding="utf-8"?>
<formControlPr xmlns="http://schemas.microsoft.com/office/spreadsheetml/2009/9/main" objectType="CheckBox" checked="Checked" fmlaLink="$AQ$266" noThreeD="1"/>
</file>

<file path=xl/ctrlProps/ctrlProp221.xml><?xml version="1.0" encoding="utf-8"?>
<formControlPr xmlns="http://schemas.microsoft.com/office/spreadsheetml/2009/9/main" objectType="CheckBox" checked="Checked" fmlaLink="$AQ$267" noThreeD="1"/>
</file>

<file path=xl/ctrlProps/ctrlProp222.xml><?xml version="1.0" encoding="utf-8"?>
<formControlPr xmlns="http://schemas.microsoft.com/office/spreadsheetml/2009/9/main" objectType="CheckBox" checked="Checked" fmlaLink="$AQ$268" noThreeD="1"/>
</file>

<file path=xl/ctrlProps/ctrlProp223.xml><?xml version="1.0" encoding="utf-8"?>
<formControlPr xmlns="http://schemas.microsoft.com/office/spreadsheetml/2009/9/main" objectType="CheckBox" checked="Checked" fmlaLink="$AQ$269" noThreeD="1"/>
</file>

<file path=xl/ctrlProps/ctrlProp224.xml><?xml version="1.0" encoding="utf-8"?>
<formControlPr xmlns="http://schemas.microsoft.com/office/spreadsheetml/2009/9/main" objectType="CheckBox" checked="Checked" fmlaLink="$AQ$270" noThreeD="1"/>
</file>

<file path=xl/ctrlProps/ctrlProp225.xml><?xml version="1.0" encoding="utf-8"?>
<formControlPr xmlns="http://schemas.microsoft.com/office/spreadsheetml/2009/9/main" objectType="CheckBox" checked="Checked" fmlaLink="$AQ$271" noThreeD="1"/>
</file>

<file path=xl/ctrlProps/ctrlProp226.xml><?xml version="1.0" encoding="utf-8"?>
<formControlPr xmlns="http://schemas.microsoft.com/office/spreadsheetml/2009/9/main" objectType="CheckBox" checked="Checked" fmlaLink="$AQ$272" noThreeD="1"/>
</file>

<file path=xl/ctrlProps/ctrlProp227.xml><?xml version="1.0" encoding="utf-8"?>
<formControlPr xmlns="http://schemas.microsoft.com/office/spreadsheetml/2009/9/main" objectType="CheckBox" checked="Checked" fmlaLink="$AQ$273" noThreeD="1"/>
</file>

<file path=xl/ctrlProps/ctrlProp228.xml><?xml version="1.0" encoding="utf-8"?>
<formControlPr xmlns="http://schemas.microsoft.com/office/spreadsheetml/2009/9/main" objectType="CheckBox" checked="Checked" fmlaLink="$AQ$274" noThreeD="1"/>
</file>

<file path=xl/ctrlProps/ctrlProp229.xml><?xml version="1.0" encoding="utf-8"?>
<formControlPr xmlns="http://schemas.microsoft.com/office/spreadsheetml/2009/9/main" objectType="CheckBox" checked="Checked" fmlaLink="$AQ$275" noThreeD="1"/>
</file>

<file path=xl/ctrlProps/ctrlProp230.xml><?xml version="1.0" encoding="utf-8"?>
<formControlPr xmlns="http://schemas.microsoft.com/office/spreadsheetml/2009/9/main" objectType="CheckBox" checked="Checked" fmlaLink="$AQ$276" noThreeD="1"/>
</file>

<file path=xl/ctrlProps/ctrlProp231.xml><?xml version="1.0" encoding="utf-8"?>
<formControlPr xmlns="http://schemas.microsoft.com/office/spreadsheetml/2009/9/main" objectType="CheckBox" checked="Checked" fmlaLink="$AQ$277" noThreeD="1"/>
</file>

<file path=xl/ctrlProps/ctrlProp232.xml><?xml version="1.0" encoding="utf-8"?>
<formControlPr xmlns="http://schemas.microsoft.com/office/spreadsheetml/2009/9/main" objectType="CheckBox" checked="Checked" fmlaLink="$AQ$278" noThreeD="1"/>
</file>

<file path=xl/ctrlProps/ctrlProp233.xml><?xml version="1.0" encoding="utf-8"?>
<formControlPr xmlns="http://schemas.microsoft.com/office/spreadsheetml/2009/9/main" objectType="CheckBox" checked="Checked" fmlaLink="$AQ$279" noThreeD="1"/>
</file>

<file path=xl/ctrlProps/ctrlProp234.xml><?xml version="1.0" encoding="utf-8"?>
<formControlPr xmlns="http://schemas.microsoft.com/office/spreadsheetml/2009/9/main" objectType="CheckBox" checked="Checked" fmlaLink="$AQ$280" noThreeD="1"/>
</file>

<file path=xl/ctrlProps/ctrlProp235.xml><?xml version="1.0" encoding="utf-8"?>
<formControlPr xmlns="http://schemas.microsoft.com/office/spreadsheetml/2009/9/main" objectType="CheckBox" checked="Checked" fmlaLink="$AQ$281" noThreeD="1"/>
</file>

<file path=xl/ctrlProps/ctrlProp236.xml><?xml version="1.0" encoding="utf-8"?>
<formControlPr xmlns="http://schemas.microsoft.com/office/spreadsheetml/2009/9/main" objectType="CheckBox" checked="Checked" fmlaLink="$AQ$282" noThreeD="1"/>
</file>

<file path=xl/ctrlProps/ctrlProp237.xml><?xml version="1.0" encoding="utf-8"?>
<formControlPr xmlns="http://schemas.microsoft.com/office/spreadsheetml/2009/9/main" objectType="CheckBox" checked="Checked" fmlaLink="$AQ$283" noThreeD="1"/>
</file>

<file path=xl/ctrlProps/ctrlProp238.xml><?xml version="1.0" encoding="utf-8"?>
<formControlPr xmlns="http://schemas.microsoft.com/office/spreadsheetml/2009/9/main" objectType="CheckBox" checked="Checked" fmlaLink="$AQ$284" noThreeD="1"/>
</file>

<file path=xl/ctrlProps/ctrlProp239.xml><?xml version="1.0" encoding="utf-8"?>
<formControlPr xmlns="http://schemas.microsoft.com/office/spreadsheetml/2009/9/main" objectType="Button"/>
</file>

<file path=xl/ctrlProps/ctrlProp240.xml><?xml version="1.0" encoding="utf-8"?>
<formControlPr xmlns="http://schemas.microsoft.com/office/spreadsheetml/2009/9/main" objectType="Button"/>
</file>

<file path=xl/ctrlProps/ctrlProp241.xml><?xml version="1.0" encoding="utf-8"?>
<formControlPr xmlns="http://schemas.microsoft.com/office/spreadsheetml/2009/9/main" objectType="Button"/>
</file>

<file path=xl/ctrlProps/ctrlProp242.xml><?xml version="1.0" encoding="utf-8"?>
<formControlPr xmlns="http://schemas.microsoft.com/office/spreadsheetml/2009/9/main" objectType="CheckBox" checked="Checked" fmlaLink="$AQ$101" noThreeD="1"/>
</file>

<file path=xl/ctrlProps/ctrlProp243.xml><?xml version="1.0" encoding="utf-8"?>
<formControlPr xmlns="http://schemas.microsoft.com/office/spreadsheetml/2009/9/main" objectType="Button"/>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6</xdr:row>
          <xdr:rowOff>47625</xdr:rowOff>
        </xdr:from>
        <xdr:to>
          <xdr:col>8</xdr:col>
          <xdr:colOff>342900</xdr:colOff>
          <xdr:row>7</xdr:row>
          <xdr:rowOff>238125</xdr:rowOff>
        </xdr:to>
        <xdr:sp macro="" textlink="">
          <xdr:nvSpPr>
            <xdr:cNvPr id="5164" name="CommandButton" hidden="1">
              <a:extLst>
                <a:ext uri="{63B3BB69-23CF-44E3-9099-C40C66FF867C}">
                  <a14:compatExt spid="_x0000_s5164"/>
                </a:ext>
                <a:ext uri="{FF2B5EF4-FFF2-40B4-BE49-F238E27FC236}">
                  <a16:creationId xmlns:a16="http://schemas.microsoft.com/office/drawing/2014/main" id="{00000000-0008-0000-0200-00002C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2</xdr:row>
          <xdr:rowOff>19050</xdr:rowOff>
        </xdr:from>
        <xdr:to>
          <xdr:col>22</xdr:col>
          <xdr:colOff>457200</xdr:colOff>
          <xdr:row>6</xdr:row>
          <xdr:rowOff>133350</xdr:rowOff>
        </xdr:to>
        <xdr:sp macro="" textlink="">
          <xdr:nvSpPr>
            <xdr:cNvPr id="5190" name="CommandButton2" hidden="1">
              <a:extLst>
                <a:ext uri="{63B3BB69-23CF-44E3-9099-C40C66FF867C}">
                  <a14:compatExt spid="_x0000_s5190"/>
                </a:ext>
                <a:ext uri="{FF2B5EF4-FFF2-40B4-BE49-F238E27FC236}">
                  <a16:creationId xmlns:a16="http://schemas.microsoft.com/office/drawing/2014/main" id="{00000000-0008-0000-0200-000046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Another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9</xdr:row>
          <xdr:rowOff>0</xdr:rowOff>
        </xdr:from>
        <xdr:to>
          <xdr:col>0</xdr:col>
          <xdr:colOff>2705100</xdr:colOff>
          <xdr:row>10</xdr:row>
          <xdr:rowOff>9525</xdr:rowOff>
        </xdr:to>
        <xdr:sp macro="" textlink="">
          <xdr:nvSpPr>
            <xdr:cNvPr id="5192" name="Button 72" hidden="1">
              <a:extLst>
                <a:ext uri="{63B3BB69-23CF-44E3-9099-C40C66FF867C}">
                  <a14:compatExt spid="_x0000_s5192"/>
                </a:ext>
                <a:ext uri="{FF2B5EF4-FFF2-40B4-BE49-F238E27FC236}">
                  <a16:creationId xmlns:a16="http://schemas.microsoft.com/office/drawing/2014/main" id="{00000000-0008-0000-0200-00004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15</xdr:row>
          <xdr:rowOff>0</xdr:rowOff>
        </xdr:from>
        <xdr:to>
          <xdr:col>0</xdr:col>
          <xdr:colOff>2705100</xdr:colOff>
          <xdr:row>16</xdr:row>
          <xdr:rowOff>9525</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200-000049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21</xdr:row>
          <xdr:rowOff>0</xdr:rowOff>
        </xdr:from>
        <xdr:to>
          <xdr:col>1</xdr:col>
          <xdr:colOff>0</xdr:colOff>
          <xdr:row>22</xdr:row>
          <xdr:rowOff>9525</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200-00004A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25</xdr:row>
          <xdr:rowOff>0</xdr:rowOff>
        </xdr:from>
        <xdr:to>
          <xdr:col>1</xdr:col>
          <xdr:colOff>0</xdr:colOff>
          <xdr:row>26</xdr:row>
          <xdr:rowOff>9525</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200-00004B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31</xdr:row>
          <xdr:rowOff>0</xdr:rowOff>
        </xdr:from>
        <xdr:to>
          <xdr:col>1</xdr:col>
          <xdr:colOff>0</xdr:colOff>
          <xdr:row>32</xdr:row>
          <xdr:rowOff>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200-00004C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34</xdr:row>
          <xdr:rowOff>0</xdr:rowOff>
        </xdr:from>
        <xdr:to>
          <xdr:col>1</xdr:col>
          <xdr:colOff>0</xdr:colOff>
          <xdr:row>35</xdr:row>
          <xdr:rowOff>0</xdr:rowOff>
        </xdr:to>
        <xdr:sp macro="" textlink="">
          <xdr:nvSpPr>
            <xdr:cNvPr id="5197" name="Button 77" hidden="1">
              <a:extLst>
                <a:ext uri="{63B3BB69-23CF-44E3-9099-C40C66FF867C}">
                  <a14:compatExt spid="_x0000_s5197"/>
                </a:ext>
                <a:ext uri="{FF2B5EF4-FFF2-40B4-BE49-F238E27FC236}">
                  <a16:creationId xmlns:a16="http://schemas.microsoft.com/office/drawing/2014/main" id="{00000000-0008-0000-0200-00004D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38</xdr:row>
          <xdr:rowOff>0</xdr:rowOff>
        </xdr:from>
        <xdr:to>
          <xdr:col>1</xdr:col>
          <xdr:colOff>0</xdr:colOff>
          <xdr:row>39</xdr:row>
          <xdr:rowOff>0</xdr:rowOff>
        </xdr:to>
        <xdr:sp macro="" textlink="">
          <xdr:nvSpPr>
            <xdr:cNvPr id="5198" name="Button 78" hidden="1">
              <a:extLst>
                <a:ext uri="{63B3BB69-23CF-44E3-9099-C40C66FF867C}">
                  <a14:compatExt spid="_x0000_s5198"/>
                </a:ext>
                <a:ext uri="{FF2B5EF4-FFF2-40B4-BE49-F238E27FC236}">
                  <a16:creationId xmlns:a16="http://schemas.microsoft.com/office/drawing/2014/main" id="{00000000-0008-0000-0200-00004E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41</xdr:row>
          <xdr:rowOff>0</xdr:rowOff>
        </xdr:from>
        <xdr:to>
          <xdr:col>1</xdr:col>
          <xdr:colOff>0</xdr:colOff>
          <xdr:row>42</xdr:row>
          <xdr:rowOff>0</xdr:rowOff>
        </xdr:to>
        <xdr:sp macro="" textlink="">
          <xdr:nvSpPr>
            <xdr:cNvPr id="5199" name="Button 79" hidden="1">
              <a:extLst>
                <a:ext uri="{63B3BB69-23CF-44E3-9099-C40C66FF867C}">
                  <a14:compatExt spid="_x0000_s5199"/>
                </a:ext>
                <a:ext uri="{FF2B5EF4-FFF2-40B4-BE49-F238E27FC236}">
                  <a16:creationId xmlns:a16="http://schemas.microsoft.com/office/drawing/2014/main" id="{00000000-0008-0000-0200-00004F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46</xdr:row>
          <xdr:rowOff>0</xdr:rowOff>
        </xdr:from>
        <xdr:to>
          <xdr:col>0</xdr:col>
          <xdr:colOff>2705100</xdr:colOff>
          <xdr:row>47</xdr:row>
          <xdr:rowOff>9525</xdr:rowOff>
        </xdr:to>
        <xdr:sp macro="" textlink="">
          <xdr:nvSpPr>
            <xdr:cNvPr id="5200" name="Button 80" hidden="1">
              <a:extLst>
                <a:ext uri="{63B3BB69-23CF-44E3-9099-C40C66FF867C}">
                  <a14:compatExt spid="_x0000_s5200"/>
                </a:ext>
                <a:ext uri="{FF2B5EF4-FFF2-40B4-BE49-F238E27FC236}">
                  <a16:creationId xmlns:a16="http://schemas.microsoft.com/office/drawing/2014/main" id="{00000000-0008-0000-0200-000050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48</xdr:row>
          <xdr:rowOff>142875</xdr:rowOff>
        </xdr:from>
        <xdr:to>
          <xdr:col>1</xdr:col>
          <xdr:colOff>0</xdr:colOff>
          <xdr:row>50</xdr:row>
          <xdr:rowOff>9525</xdr:rowOff>
        </xdr:to>
        <xdr:sp macro="" textlink="">
          <xdr:nvSpPr>
            <xdr:cNvPr id="5201" name="Button 81" hidden="1">
              <a:extLst>
                <a:ext uri="{63B3BB69-23CF-44E3-9099-C40C66FF867C}">
                  <a14:compatExt spid="_x0000_s5201"/>
                </a:ext>
                <a:ext uri="{FF2B5EF4-FFF2-40B4-BE49-F238E27FC236}">
                  <a16:creationId xmlns:a16="http://schemas.microsoft.com/office/drawing/2014/main" id="{00000000-0008-0000-0200-000051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53</xdr:row>
          <xdr:rowOff>0</xdr:rowOff>
        </xdr:from>
        <xdr:to>
          <xdr:col>1</xdr:col>
          <xdr:colOff>0</xdr:colOff>
          <xdr:row>54</xdr:row>
          <xdr:rowOff>9525</xdr:rowOff>
        </xdr:to>
        <xdr:sp macro="" textlink="">
          <xdr:nvSpPr>
            <xdr:cNvPr id="5202" name="Button 82" hidden="1">
              <a:extLst>
                <a:ext uri="{63B3BB69-23CF-44E3-9099-C40C66FF867C}">
                  <a14:compatExt spid="_x0000_s5202"/>
                </a:ext>
                <a:ext uri="{FF2B5EF4-FFF2-40B4-BE49-F238E27FC236}">
                  <a16:creationId xmlns:a16="http://schemas.microsoft.com/office/drawing/2014/main" id="{00000000-0008-0000-0200-000052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56</xdr:row>
          <xdr:rowOff>0</xdr:rowOff>
        </xdr:from>
        <xdr:to>
          <xdr:col>1</xdr:col>
          <xdr:colOff>0</xdr:colOff>
          <xdr:row>57</xdr:row>
          <xdr:rowOff>9525</xdr:rowOff>
        </xdr:to>
        <xdr:sp macro="" textlink="">
          <xdr:nvSpPr>
            <xdr:cNvPr id="5203" name="Button 83" hidden="1">
              <a:extLst>
                <a:ext uri="{63B3BB69-23CF-44E3-9099-C40C66FF867C}">
                  <a14:compatExt spid="_x0000_s5203"/>
                </a:ext>
                <a:ext uri="{FF2B5EF4-FFF2-40B4-BE49-F238E27FC236}">
                  <a16:creationId xmlns:a16="http://schemas.microsoft.com/office/drawing/2014/main" id="{00000000-0008-0000-0200-000053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61</xdr:row>
          <xdr:rowOff>0</xdr:rowOff>
        </xdr:from>
        <xdr:to>
          <xdr:col>0</xdr:col>
          <xdr:colOff>2705100</xdr:colOff>
          <xdr:row>62</xdr:row>
          <xdr:rowOff>9525</xdr:rowOff>
        </xdr:to>
        <xdr:sp macro="" textlink="">
          <xdr:nvSpPr>
            <xdr:cNvPr id="5204" name="Button 84" hidden="1">
              <a:extLst>
                <a:ext uri="{63B3BB69-23CF-44E3-9099-C40C66FF867C}">
                  <a14:compatExt spid="_x0000_s5204"/>
                </a:ext>
                <a:ext uri="{FF2B5EF4-FFF2-40B4-BE49-F238E27FC236}">
                  <a16:creationId xmlns:a16="http://schemas.microsoft.com/office/drawing/2014/main" id="{00000000-0008-0000-0200-000054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65</xdr:row>
          <xdr:rowOff>0</xdr:rowOff>
        </xdr:from>
        <xdr:to>
          <xdr:col>0</xdr:col>
          <xdr:colOff>2705100</xdr:colOff>
          <xdr:row>66</xdr:row>
          <xdr:rowOff>9525</xdr:rowOff>
        </xdr:to>
        <xdr:sp macro="" textlink="">
          <xdr:nvSpPr>
            <xdr:cNvPr id="5205" name="Button 85" hidden="1">
              <a:extLst>
                <a:ext uri="{63B3BB69-23CF-44E3-9099-C40C66FF867C}">
                  <a14:compatExt spid="_x0000_s5205"/>
                </a:ext>
                <a:ext uri="{FF2B5EF4-FFF2-40B4-BE49-F238E27FC236}">
                  <a16:creationId xmlns:a16="http://schemas.microsoft.com/office/drawing/2014/main" id="{00000000-0008-0000-0200-000055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67</xdr:row>
          <xdr:rowOff>9525</xdr:rowOff>
        </xdr:from>
        <xdr:to>
          <xdr:col>1</xdr:col>
          <xdr:colOff>0</xdr:colOff>
          <xdr:row>68</xdr:row>
          <xdr:rowOff>9525</xdr:rowOff>
        </xdr:to>
        <xdr:sp macro="" textlink="">
          <xdr:nvSpPr>
            <xdr:cNvPr id="5206" name="Button 86" hidden="1">
              <a:extLst>
                <a:ext uri="{63B3BB69-23CF-44E3-9099-C40C66FF867C}">
                  <a14:compatExt spid="_x0000_s5206"/>
                </a:ext>
                <a:ext uri="{FF2B5EF4-FFF2-40B4-BE49-F238E27FC236}">
                  <a16:creationId xmlns:a16="http://schemas.microsoft.com/office/drawing/2014/main" id="{00000000-0008-0000-0200-000056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0</xdr:rowOff>
        </xdr:from>
        <xdr:to>
          <xdr:col>1</xdr:col>
          <xdr:colOff>0</xdr:colOff>
          <xdr:row>70</xdr:row>
          <xdr:rowOff>0</xdr:rowOff>
        </xdr:to>
        <xdr:sp macro="" textlink="">
          <xdr:nvSpPr>
            <xdr:cNvPr id="5207" name="Button 87" hidden="1">
              <a:extLst>
                <a:ext uri="{63B3BB69-23CF-44E3-9099-C40C66FF867C}">
                  <a14:compatExt spid="_x0000_s5207"/>
                </a:ext>
                <a:ext uri="{FF2B5EF4-FFF2-40B4-BE49-F238E27FC236}">
                  <a16:creationId xmlns:a16="http://schemas.microsoft.com/office/drawing/2014/main" id="{00000000-0008-0000-0200-000057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152400</xdr:rowOff>
        </xdr:from>
        <xdr:to>
          <xdr:col>1</xdr:col>
          <xdr:colOff>0</xdr:colOff>
          <xdr:row>71</xdr:row>
          <xdr:rowOff>9525</xdr:rowOff>
        </xdr:to>
        <xdr:sp macro="" textlink="">
          <xdr:nvSpPr>
            <xdr:cNvPr id="5208" name="Button 88" hidden="1">
              <a:extLst>
                <a:ext uri="{63B3BB69-23CF-44E3-9099-C40C66FF867C}">
                  <a14:compatExt spid="_x0000_s5208"/>
                </a:ext>
                <a:ext uri="{FF2B5EF4-FFF2-40B4-BE49-F238E27FC236}">
                  <a16:creationId xmlns:a16="http://schemas.microsoft.com/office/drawing/2014/main" id="{00000000-0008-0000-0200-00005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4</xdr:row>
          <xdr:rowOff>19050</xdr:rowOff>
        </xdr:from>
        <xdr:to>
          <xdr:col>0</xdr:col>
          <xdr:colOff>838200</xdr:colOff>
          <xdr:row>6</xdr:row>
          <xdr:rowOff>0</xdr:rowOff>
        </xdr:to>
        <xdr:sp macro="" textlink="">
          <xdr:nvSpPr>
            <xdr:cNvPr id="5744" name="Button 624" hidden="1">
              <a:extLst>
                <a:ext uri="{63B3BB69-23CF-44E3-9099-C40C66FF867C}">
                  <a14:compatExt spid="_x0000_s5744"/>
                </a:ext>
                <a:ext uri="{FF2B5EF4-FFF2-40B4-BE49-F238E27FC236}">
                  <a16:creationId xmlns:a16="http://schemas.microsoft.com/office/drawing/2014/main" id="{00000000-0008-0000-0200-000070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847725</xdr:colOff>
          <xdr:row>4</xdr:row>
          <xdr:rowOff>9525</xdr:rowOff>
        </xdr:from>
        <xdr:to>
          <xdr:col>0</xdr:col>
          <xdr:colOff>1666875</xdr:colOff>
          <xdr:row>6</xdr:row>
          <xdr:rowOff>0</xdr:rowOff>
        </xdr:to>
        <xdr:sp macro="" textlink="">
          <xdr:nvSpPr>
            <xdr:cNvPr id="5745" name="Button 625" hidden="1">
              <a:extLst>
                <a:ext uri="{63B3BB69-23CF-44E3-9099-C40C66FF867C}">
                  <a14:compatExt spid="_x0000_s5745"/>
                </a:ext>
                <a:ext uri="{FF2B5EF4-FFF2-40B4-BE49-F238E27FC236}">
                  <a16:creationId xmlns:a16="http://schemas.microsoft.com/office/drawing/2014/main" id="{00000000-0008-0000-0200-000071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Gems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1676400</xdr:colOff>
          <xdr:row>4</xdr:row>
          <xdr:rowOff>9525</xdr:rowOff>
        </xdr:from>
        <xdr:to>
          <xdr:col>0</xdr:col>
          <xdr:colOff>2686050</xdr:colOff>
          <xdr:row>6</xdr:row>
          <xdr:rowOff>0</xdr:rowOff>
        </xdr:to>
        <xdr:sp macro="" textlink="">
          <xdr:nvSpPr>
            <xdr:cNvPr id="5746" name="Button 626" hidden="1">
              <a:extLst>
                <a:ext uri="{63B3BB69-23CF-44E3-9099-C40C66FF867C}">
                  <a14:compatExt spid="_x0000_s5746"/>
                </a:ext>
                <a:ext uri="{FF2B5EF4-FFF2-40B4-BE49-F238E27FC236}">
                  <a16:creationId xmlns:a16="http://schemas.microsoft.com/office/drawing/2014/main" id="{00000000-0008-0000-0200-000072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Enchants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50</xdr:row>
          <xdr:rowOff>0</xdr:rowOff>
        </xdr:from>
        <xdr:to>
          <xdr:col>21</xdr:col>
          <xdr:colOff>38100</xdr:colOff>
          <xdr:row>51</xdr:row>
          <xdr:rowOff>0</xdr:rowOff>
        </xdr:to>
        <xdr:sp macro="" textlink="">
          <xdr:nvSpPr>
            <xdr:cNvPr id="5756" name="IncludeSmith" hidden="1">
              <a:extLst>
                <a:ext uri="{63B3BB69-23CF-44E3-9099-C40C66FF867C}">
                  <a14:compatExt spid="_x0000_s5756"/>
                </a:ext>
                <a:ext uri="{FF2B5EF4-FFF2-40B4-BE49-F238E27FC236}">
                  <a16:creationId xmlns:a16="http://schemas.microsoft.com/office/drawing/2014/main" id="{00000000-0008-0000-0200-00007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51</xdr:row>
          <xdr:rowOff>0</xdr:rowOff>
        </xdr:from>
        <xdr:to>
          <xdr:col>21</xdr:col>
          <xdr:colOff>9525</xdr:colOff>
          <xdr:row>52</xdr:row>
          <xdr:rowOff>0</xdr:rowOff>
        </xdr:to>
        <xdr:sp macro="" textlink="">
          <xdr:nvSpPr>
            <xdr:cNvPr id="5759" name="IncludeSmith" hidden="1">
              <a:extLst>
                <a:ext uri="{63B3BB69-23CF-44E3-9099-C40C66FF867C}">
                  <a14:compatExt spid="_x0000_s5759"/>
                </a:ext>
                <a:ext uri="{FF2B5EF4-FFF2-40B4-BE49-F238E27FC236}">
                  <a16:creationId xmlns:a16="http://schemas.microsoft.com/office/drawing/2014/main" id="{00000000-0008-0000-0200-00007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52</xdr:row>
          <xdr:rowOff>0</xdr:rowOff>
        </xdr:from>
        <xdr:to>
          <xdr:col>21</xdr:col>
          <xdr:colOff>38100</xdr:colOff>
          <xdr:row>53</xdr:row>
          <xdr:rowOff>0</xdr:rowOff>
        </xdr:to>
        <xdr:sp macro="" textlink="">
          <xdr:nvSpPr>
            <xdr:cNvPr id="5760" name="IncludeEng" hidden="1">
              <a:extLst>
                <a:ext uri="{63B3BB69-23CF-44E3-9099-C40C66FF867C}">
                  <a14:compatExt spid="_x0000_s5760"/>
                </a:ext>
                <a:ext uri="{FF2B5EF4-FFF2-40B4-BE49-F238E27FC236}">
                  <a16:creationId xmlns:a16="http://schemas.microsoft.com/office/drawing/2014/main" id="{00000000-0008-0000-0200-00008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57</xdr:row>
          <xdr:rowOff>0</xdr:rowOff>
        </xdr:from>
        <xdr:to>
          <xdr:col>21</xdr:col>
          <xdr:colOff>38100</xdr:colOff>
          <xdr:row>58</xdr:row>
          <xdr:rowOff>0</xdr:rowOff>
        </xdr:to>
        <xdr:sp macro="" textlink="">
          <xdr:nvSpPr>
            <xdr:cNvPr id="5766" name="CheckBox" hidden="1">
              <a:extLst>
                <a:ext uri="{63B3BB69-23CF-44E3-9099-C40C66FF867C}">
                  <a14:compatExt spid="_x0000_s5766"/>
                </a:ext>
                <a:ext uri="{FF2B5EF4-FFF2-40B4-BE49-F238E27FC236}">
                  <a16:creationId xmlns:a16="http://schemas.microsoft.com/office/drawing/2014/main" id="{00000000-0008-0000-0200-00008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58</xdr:row>
          <xdr:rowOff>0</xdr:rowOff>
        </xdr:from>
        <xdr:to>
          <xdr:col>21</xdr:col>
          <xdr:colOff>38100</xdr:colOff>
          <xdr:row>59</xdr:row>
          <xdr:rowOff>0</xdr:rowOff>
        </xdr:to>
        <xdr:sp macro="" textlink="">
          <xdr:nvSpPr>
            <xdr:cNvPr id="5767" name="CheckBox" hidden="1">
              <a:extLst>
                <a:ext uri="{63B3BB69-23CF-44E3-9099-C40C66FF867C}">
                  <a14:compatExt spid="_x0000_s5767"/>
                </a:ext>
                <a:ext uri="{FF2B5EF4-FFF2-40B4-BE49-F238E27FC236}">
                  <a16:creationId xmlns:a16="http://schemas.microsoft.com/office/drawing/2014/main" id="{00000000-0008-0000-0200-00008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61</xdr:row>
          <xdr:rowOff>0</xdr:rowOff>
        </xdr:from>
        <xdr:to>
          <xdr:col>21</xdr:col>
          <xdr:colOff>38100</xdr:colOff>
          <xdr:row>62</xdr:row>
          <xdr:rowOff>0</xdr:rowOff>
        </xdr:to>
        <xdr:sp macro="" textlink="">
          <xdr:nvSpPr>
            <xdr:cNvPr id="5768" name="CheckBox" hidden="1">
              <a:extLst>
                <a:ext uri="{63B3BB69-23CF-44E3-9099-C40C66FF867C}">
                  <a14:compatExt spid="_x0000_s5768"/>
                </a:ext>
                <a:ext uri="{FF2B5EF4-FFF2-40B4-BE49-F238E27FC236}">
                  <a16:creationId xmlns:a16="http://schemas.microsoft.com/office/drawing/2014/main" id="{00000000-0008-0000-0200-000088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60</xdr:row>
          <xdr:rowOff>0</xdr:rowOff>
        </xdr:from>
        <xdr:to>
          <xdr:col>21</xdr:col>
          <xdr:colOff>38100</xdr:colOff>
          <xdr:row>61</xdr:row>
          <xdr:rowOff>0</xdr:rowOff>
        </xdr:to>
        <xdr:sp macro="" textlink="">
          <xdr:nvSpPr>
            <xdr:cNvPr id="5769" name="CheckBox" hidden="1">
              <a:extLst>
                <a:ext uri="{63B3BB69-23CF-44E3-9099-C40C66FF867C}">
                  <a14:compatExt spid="_x0000_s5769"/>
                </a:ext>
                <a:ext uri="{FF2B5EF4-FFF2-40B4-BE49-F238E27FC236}">
                  <a16:creationId xmlns:a16="http://schemas.microsoft.com/office/drawing/2014/main" id="{00000000-0008-0000-0200-000089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59</xdr:row>
          <xdr:rowOff>142875</xdr:rowOff>
        </xdr:from>
        <xdr:to>
          <xdr:col>26</xdr:col>
          <xdr:colOff>228600</xdr:colOff>
          <xdr:row>61</xdr:row>
          <xdr:rowOff>0</xdr:rowOff>
        </xdr:to>
        <xdr:sp macro="" textlink="">
          <xdr:nvSpPr>
            <xdr:cNvPr id="5770" name="CheckBox" hidden="1">
              <a:extLst>
                <a:ext uri="{63B3BB69-23CF-44E3-9099-C40C66FF867C}">
                  <a14:compatExt spid="_x0000_s5770"/>
                </a:ext>
                <a:ext uri="{FF2B5EF4-FFF2-40B4-BE49-F238E27FC236}">
                  <a16:creationId xmlns:a16="http://schemas.microsoft.com/office/drawing/2014/main" id="{00000000-0008-0000-0200-00008A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0</xdr:rowOff>
        </xdr:from>
        <xdr:to>
          <xdr:col>26</xdr:col>
          <xdr:colOff>371475</xdr:colOff>
          <xdr:row>62</xdr:row>
          <xdr:rowOff>0</xdr:rowOff>
        </xdr:to>
        <xdr:sp macro="" textlink="">
          <xdr:nvSpPr>
            <xdr:cNvPr id="5772" name="CheckBox" hidden="1">
              <a:extLst>
                <a:ext uri="{63B3BB69-23CF-44E3-9099-C40C66FF867C}">
                  <a14:compatExt spid="_x0000_s5772"/>
                </a:ext>
                <a:ext uri="{FF2B5EF4-FFF2-40B4-BE49-F238E27FC236}">
                  <a16:creationId xmlns:a16="http://schemas.microsoft.com/office/drawing/2014/main" id="{00000000-0008-0000-0200-00008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152400</xdr:rowOff>
        </xdr:from>
        <xdr:to>
          <xdr:col>26</xdr:col>
          <xdr:colOff>447675</xdr:colOff>
          <xdr:row>63</xdr:row>
          <xdr:rowOff>0</xdr:rowOff>
        </xdr:to>
        <xdr:sp macro="" textlink="">
          <xdr:nvSpPr>
            <xdr:cNvPr id="5773" name="CheckBox" hidden="1">
              <a:extLst>
                <a:ext uri="{63B3BB69-23CF-44E3-9099-C40C66FF867C}">
                  <a14:compatExt spid="_x0000_s5773"/>
                </a:ext>
                <a:ext uri="{FF2B5EF4-FFF2-40B4-BE49-F238E27FC236}">
                  <a16:creationId xmlns:a16="http://schemas.microsoft.com/office/drawing/2014/main" id="{00000000-0008-0000-0200-00008D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63</xdr:row>
          <xdr:rowOff>0</xdr:rowOff>
        </xdr:from>
        <xdr:to>
          <xdr:col>26</xdr:col>
          <xdr:colOff>447675</xdr:colOff>
          <xdr:row>64</xdr:row>
          <xdr:rowOff>0</xdr:rowOff>
        </xdr:to>
        <xdr:sp macro="" textlink="">
          <xdr:nvSpPr>
            <xdr:cNvPr id="5774" name="CheckBox" hidden="1">
              <a:extLst>
                <a:ext uri="{63B3BB69-23CF-44E3-9099-C40C66FF867C}">
                  <a14:compatExt spid="_x0000_s5774"/>
                </a:ext>
                <a:ext uri="{FF2B5EF4-FFF2-40B4-BE49-F238E27FC236}">
                  <a16:creationId xmlns:a16="http://schemas.microsoft.com/office/drawing/2014/main" id="{00000000-0008-0000-0200-00008E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0</xdr:rowOff>
        </xdr:from>
        <xdr:to>
          <xdr:col>26</xdr:col>
          <xdr:colOff>295275</xdr:colOff>
          <xdr:row>65</xdr:row>
          <xdr:rowOff>9525</xdr:rowOff>
        </xdr:to>
        <xdr:sp macro="" textlink="">
          <xdr:nvSpPr>
            <xdr:cNvPr id="5775" name="CheckBox" hidden="1">
              <a:extLst>
                <a:ext uri="{63B3BB69-23CF-44E3-9099-C40C66FF867C}">
                  <a14:compatExt spid="_x0000_s5775"/>
                </a:ext>
                <a:ext uri="{FF2B5EF4-FFF2-40B4-BE49-F238E27FC236}">
                  <a16:creationId xmlns:a16="http://schemas.microsoft.com/office/drawing/2014/main" id="{00000000-0008-0000-0200-00008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152400</xdr:rowOff>
        </xdr:from>
        <xdr:to>
          <xdr:col>26</xdr:col>
          <xdr:colOff>247650</xdr:colOff>
          <xdr:row>66</xdr:row>
          <xdr:rowOff>9525</xdr:rowOff>
        </xdr:to>
        <xdr:sp macro="" textlink="">
          <xdr:nvSpPr>
            <xdr:cNvPr id="5776" name="CheckBox" hidden="1">
              <a:extLst>
                <a:ext uri="{63B3BB69-23CF-44E3-9099-C40C66FF867C}">
                  <a14:compatExt spid="_x0000_s5776"/>
                </a:ext>
                <a:ext uri="{FF2B5EF4-FFF2-40B4-BE49-F238E27FC236}">
                  <a16:creationId xmlns:a16="http://schemas.microsoft.com/office/drawing/2014/main" id="{00000000-0008-0000-0200-00009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66</xdr:row>
          <xdr:rowOff>0</xdr:rowOff>
        </xdr:from>
        <xdr:to>
          <xdr:col>26</xdr:col>
          <xdr:colOff>266700</xdr:colOff>
          <xdr:row>67</xdr:row>
          <xdr:rowOff>9525</xdr:rowOff>
        </xdr:to>
        <xdr:sp macro="" textlink="">
          <xdr:nvSpPr>
            <xdr:cNvPr id="5777" name="CheckBox" hidden="1">
              <a:extLst>
                <a:ext uri="{63B3BB69-23CF-44E3-9099-C40C66FF867C}">
                  <a14:compatExt spid="_x0000_s5777"/>
                </a:ext>
                <a:ext uri="{FF2B5EF4-FFF2-40B4-BE49-F238E27FC236}">
                  <a16:creationId xmlns:a16="http://schemas.microsoft.com/office/drawing/2014/main" id="{00000000-0008-0000-0200-000091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67</xdr:row>
          <xdr:rowOff>0</xdr:rowOff>
        </xdr:from>
        <xdr:to>
          <xdr:col>26</xdr:col>
          <xdr:colOff>314325</xdr:colOff>
          <xdr:row>68</xdr:row>
          <xdr:rowOff>9525</xdr:rowOff>
        </xdr:to>
        <xdr:sp macro="" textlink="">
          <xdr:nvSpPr>
            <xdr:cNvPr id="5778" name="CheckBox" hidden="1">
              <a:extLst>
                <a:ext uri="{63B3BB69-23CF-44E3-9099-C40C66FF867C}">
                  <a14:compatExt spid="_x0000_s5778"/>
                </a:ext>
                <a:ext uri="{FF2B5EF4-FFF2-40B4-BE49-F238E27FC236}">
                  <a16:creationId xmlns:a16="http://schemas.microsoft.com/office/drawing/2014/main" id="{00000000-0008-0000-0200-000092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68</xdr:row>
          <xdr:rowOff>0</xdr:rowOff>
        </xdr:from>
        <xdr:to>
          <xdr:col>26</xdr:col>
          <xdr:colOff>342900</xdr:colOff>
          <xdr:row>69</xdr:row>
          <xdr:rowOff>9525</xdr:rowOff>
        </xdr:to>
        <xdr:sp macro="" textlink="">
          <xdr:nvSpPr>
            <xdr:cNvPr id="5779" name="CheckBox" hidden="1">
              <a:extLst>
                <a:ext uri="{63B3BB69-23CF-44E3-9099-C40C66FF867C}">
                  <a14:compatExt spid="_x0000_s5779"/>
                </a:ext>
                <a:ext uri="{FF2B5EF4-FFF2-40B4-BE49-F238E27FC236}">
                  <a16:creationId xmlns:a16="http://schemas.microsoft.com/office/drawing/2014/main" id="{00000000-0008-0000-0200-000093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69</xdr:row>
          <xdr:rowOff>0</xdr:rowOff>
        </xdr:from>
        <xdr:to>
          <xdr:col>26</xdr:col>
          <xdr:colOff>342900</xdr:colOff>
          <xdr:row>70</xdr:row>
          <xdr:rowOff>9525</xdr:rowOff>
        </xdr:to>
        <xdr:sp macro="" textlink="">
          <xdr:nvSpPr>
            <xdr:cNvPr id="5780" name="CheckBox" hidden="1">
              <a:extLst>
                <a:ext uri="{63B3BB69-23CF-44E3-9099-C40C66FF867C}">
                  <a14:compatExt spid="_x0000_s5780"/>
                </a:ext>
                <a:ext uri="{FF2B5EF4-FFF2-40B4-BE49-F238E27FC236}">
                  <a16:creationId xmlns:a16="http://schemas.microsoft.com/office/drawing/2014/main" id="{00000000-0008-0000-0200-000094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70</xdr:row>
          <xdr:rowOff>0</xdr:rowOff>
        </xdr:from>
        <xdr:to>
          <xdr:col>26</xdr:col>
          <xdr:colOff>371475</xdr:colOff>
          <xdr:row>71</xdr:row>
          <xdr:rowOff>9525</xdr:rowOff>
        </xdr:to>
        <xdr:sp macro="" textlink="">
          <xdr:nvSpPr>
            <xdr:cNvPr id="5781" name="CheckBox" hidden="1">
              <a:extLst>
                <a:ext uri="{63B3BB69-23CF-44E3-9099-C40C66FF867C}">
                  <a14:compatExt spid="_x0000_s5781"/>
                </a:ext>
                <a:ext uri="{FF2B5EF4-FFF2-40B4-BE49-F238E27FC236}">
                  <a16:creationId xmlns:a16="http://schemas.microsoft.com/office/drawing/2014/main" id="{00000000-0008-0000-0200-00009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142875</xdr:rowOff>
        </xdr:from>
        <xdr:to>
          <xdr:col>26</xdr:col>
          <xdr:colOff>323850</xdr:colOff>
          <xdr:row>74</xdr:row>
          <xdr:rowOff>0</xdr:rowOff>
        </xdr:to>
        <xdr:sp macro="" textlink="">
          <xdr:nvSpPr>
            <xdr:cNvPr id="5782" name="CheckBox" hidden="1">
              <a:extLst>
                <a:ext uri="{63B3BB69-23CF-44E3-9099-C40C66FF867C}">
                  <a14:compatExt spid="_x0000_s5782"/>
                </a:ext>
                <a:ext uri="{FF2B5EF4-FFF2-40B4-BE49-F238E27FC236}">
                  <a16:creationId xmlns:a16="http://schemas.microsoft.com/office/drawing/2014/main" id="{00000000-0008-0000-0200-00009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59</xdr:row>
          <xdr:rowOff>0</xdr:rowOff>
        </xdr:from>
        <xdr:to>
          <xdr:col>21</xdr:col>
          <xdr:colOff>38100</xdr:colOff>
          <xdr:row>60</xdr:row>
          <xdr:rowOff>0</xdr:rowOff>
        </xdr:to>
        <xdr:sp macro="" textlink="">
          <xdr:nvSpPr>
            <xdr:cNvPr id="5783" name="CheckBox" hidden="1">
              <a:extLst>
                <a:ext uri="{63B3BB69-23CF-44E3-9099-C40C66FF867C}">
                  <a14:compatExt spid="_x0000_s5783"/>
                </a:ext>
                <a:ext uri="{FF2B5EF4-FFF2-40B4-BE49-F238E27FC236}">
                  <a16:creationId xmlns:a16="http://schemas.microsoft.com/office/drawing/2014/main" id="{00000000-0008-0000-0200-00009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53</xdr:row>
          <xdr:rowOff>0</xdr:rowOff>
        </xdr:from>
        <xdr:to>
          <xdr:col>21</xdr:col>
          <xdr:colOff>38100</xdr:colOff>
          <xdr:row>54</xdr:row>
          <xdr:rowOff>0</xdr:rowOff>
        </xdr:to>
        <xdr:sp macro="" textlink="">
          <xdr:nvSpPr>
            <xdr:cNvPr id="5797" name="CheckBox" hidden="1">
              <a:extLst>
                <a:ext uri="{63B3BB69-23CF-44E3-9099-C40C66FF867C}">
                  <a14:compatExt spid="_x0000_s5797"/>
                </a:ext>
                <a:ext uri="{FF2B5EF4-FFF2-40B4-BE49-F238E27FC236}">
                  <a16:creationId xmlns:a16="http://schemas.microsoft.com/office/drawing/2014/main" id="{00000000-0008-0000-0200-0000A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2</xdr:row>
          <xdr:rowOff>9525</xdr:rowOff>
        </xdr:from>
        <xdr:to>
          <xdr:col>0</xdr:col>
          <xdr:colOff>2686050</xdr:colOff>
          <xdr:row>4</xdr:row>
          <xdr:rowOff>9525</xdr:rowOff>
        </xdr:to>
        <xdr:sp macro="" textlink="">
          <xdr:nvSpPr>
            <xdr:cNvPr id="5828" name="Button 708" hidden="1">
              <a:extLst>
                <a:ext uri="{63B3BB69-23CF-44E3-9099-C40C66FF867C}">
                  <a14:compatExt spid="_x0000_s5828"/>
                </a:ext>
                <a:ext uri="{FF2B5EF4-FFF2-40B4-BE49-F238E27FC236}">
                  <a16:creationId xmlns:a16="http://schemas.microsoft.com/office/drawing/2014/main" id="{00000000-0008-0000-0200-0000C4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0</xdr:rowOff>
        </xdr:from>
        <xdr:to>
          <xdr:col>21</xdr:col>
          <xdr:colOff>38100</xdr:colOff>
          <xdr:row>55</xdr:row>
          <xdr:rowOff>0</xdr:rowOff>
        </xdr:to>
        <xdr:sp macro="" textlink="">
          <xdr:nvSpPr>
            <xdr:cNvPr id="6031" name="CheckBox" hidden="1">
              <a:extLst>
                <a:ext uri="{63B3BB69-23CF-44E3-9099-C40C66FF867C}">
                  <a14:compatExt spid="_x0000_s6031"/>
                </a:ext>
                <a:ext uri="{FF2B5EF4-FFF2-40B4-BE49-F238E27FC236}">
                  <a16:creationId xmlns:a16="http://schemas.microsoft.com/office/drawing/2014/main" id="{00000000-0008-0000-0200-00008F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43</xdr:row>
          <xdr:rowOff>0</xdr:rowOff>
        </xdr:from>
        <xdr:to>
          <xdr:col>26</xdr:col>
          <xdr:colOff>190500</xdr:colOff>
          <xdr:row>44</xdr:row>
          <xdr:rowOff>0</xdr:rowOff>
        </xdr:to>
        <xdr:sp macro="" textlink="">
          <xdr:nvSpPr>
            <xdr:cNvPr id="6040" name="CheckBox" hidden="1">
              <a:extLst>
                <a:ext uri="{63B3BB69-23CF-44E3-9099-C40C66FF867C}">
                  <a14:compatExt spid="_x0000_s6040"/>
                </a:ext>
                <a:ext uri="{FF2B5EF4-FFF2-40B4-BE49-F238E27FC236}">
                  <a16:creationId xmlns:a16="http://schemas.microsoft.com/office/drawing/2014/main" id="{00000000-0008-0000-0200-00009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2</xdr:row>
          <xdr:rowOff>19050</xdr:rowOff>
        </xdr:from>
        <xdr:to>
          <xdr:col>25</xdr:col>
          <xdr:colOff>0</xdr:colOff>
          <xdr:row>2</xdr:row>
          <xdr:rowOff>152400</xdr:rowOff>
        </xdr:to>
        <xdr:sp macro="" textlink="">
          <xdr:nvSpPr>
            <xdr:cNvPr id="6103" name="CheckBox" hidden="1">
              <a:extLst>
                <a:ext uri="{63B3BB69-23CF-44E3-9099-C40C66FF867C}">
                  <a14:compatExt spid="_x0000_s6103"/>
                </a:ext>
                <a:ext uri="{FF2B5EF4-FFF2-40B4-BE49-F238E27FC236}">
                  <a16:creationId xmlns:a16="http://schemas.microsoft.com/office/drawing/2014/main" id="{00000000-0008-0000-0200-0000D7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3</xdr:row>
          <xdr:rowOff>0</xdr:rowOff>
        </xdr:from>
        <xdr:to>
          <xdr:col>25</xdr:col>
          <xdr:colOff>0</xdr:colOff>
          <xdr:row>4</xdr:row>
          <xdr:rowOff>0</xdr:rowOff>
        </xdr:to>
        <xdr:sp macro="" textlink="">
          <xdr:nvSpPr>
            <xdr:cNvPr id="6104" name="CheckBox" hidden="1">
              <a:extLst>
                <a:ext uri="{63B3BB69-23CF-44E3-9099-C40C66FF867C}">
                  <a14:compatExt spid="_x0000_s6104"/>
                </a:ext>
                <a:ext uri="{FF2B5EF4-FFF2-40B4-BE49-F238E27FC236}">
                  <a16:creationId xmlns:a16="http://schemas.microsoft.com/office/drawing/2014/main" id="{00000000-0008-0000-0200-0000D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4</xdr:row>
          <xdr:rowOff>9525</xdr:rowOff>
        </xdr:from>
        <xdr:to>
          <xdr:col>25</xdr:col>
          <xdr:colOff>0</xdr:colOff>
          <xdr:row>4</xdr:row>
          <xdr:rowOff>152400</xdr:rowOff>
        </xdr:to>
        <xdr:sp macro="" textlink="">
          <xdr:nvSpPr>
            <xdr:cNvPr id="6105" name="CheckBox" hidden="1">
              <a:extLst>
                <a:ext uri="{63B3BB69-23CF-44E3-9099-C40C66FF867C}">
                  <a14:compatExt spid="_x0000_s6105"/>
                </a:ext>
                <a:ext uri="{FF2B5EF4-FFF2-40B4-BE49-F238E27FC236}">
                  <a16:creationId xmlns:a16="http://schemas.microsoft.com/office/drawing/2014/main" id="{00000000-0008-0000-0200-0000D9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71</xdr:row>
          <xdr:rowOff>0</xdr:rowOff>
        </xdr:from>
        <xdr:to>
          <xdr:col>26</xdr:col>
          <xdr:colOff>371475</xdr:colOff>
          <xdr:row>72</xdr:row>
          <xdr:rowOff>9525</xdr:rowOff>
        </xdr:to>
        <xdr:sp macro="" textlink="">
          <xdr:nvSpPr>
            <xdr:cNvPr id="66749" name="CheckBox" hidden="1">
              <a:extLst>
                <a:ext uri="{63B3BB69-23CF-44E3-9099-C40C66FF867C}">
                  <a14:compatExt spid="_x0000_s66749"/>
                </a:ext>
                <a:ext uri="{FF2B5EF4-FFF2-40B4-BE49-F238E27FC236}">
                  <a16:creationId xmlns:a16="http://schemas.microsoft.com/office/drawing/2014/main" id="{00000000-0008-0000-0200-0000BD0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41</xdr:row>
          <xdr:rowOff>152400</xdr:rowOff>
        </xdr:from>
        <xdr:to>
          <xdr:col>21</xdr:col>
          <xdr:colOff>38100</xdr:colOff>
          <xdr:row>42</xdr:row>
          <xdr:rowOff>152400</xdr:rowOff>
        </xdr:to>
        <xdr:sp macro="" textlink="">
          <xdr:nvSpPr>
            <xdr:cNvPr id="66928" name="IncludeSmith" hidden="1">
              <a:extLst>
                <a:ext uri="{63B3BB69-23CF-44E3-9099-C40C66FF867C}">
                  <a14:compatExt spid="_x0000_s66928"/>
                </a:ext>
                <a:ext uri="{FF2B5EF4-FFF2-40B4-BE49-F238E27FC236}">
                  <a16:creationId xmlns:a16="http://schemas.microsoft.com/office/drawing/2014/main" id="{00000000-0008-0000-0200-000070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49</xdr:row>
          <xdr:rowOff>0</xdr:rowOff>
        </xdr:from>
        <xdr:to>
          <xdr:col>26</xdr:col>
          <xdr:colOff>190500</xdr:colOff>
          <xdr:row>50</xdr:row>
          <xdr:rowOff>0</xdr:rowOff>
        </xdr:to>
        <xdr:sp macro="" textlink="">
          <xdr:nvSpPr>
            <xdr:cNvPr id="66995" name="CheckBox" hidden="1">
              <a:extLst>
                <a:ext uri="{63B3BB69-23CF-44E3-9099-C40C66FF867C}">
                  <a14:compatExt spid="_x0000_s66995"/>
                </a:ext>
                <a:ext uri="{FF2B5EF4-FFF2-40B4-BE49-F238E27FC236}">
                  <a16:creationId xmlns:a16="http://schemas.microsoft.com/office/drawing/2014/main" id="{00000000-0008-0000-0200-0000B3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19050</xdr:rowOff>
        </xdr:from>
        <xdr:to>
          <xdr:col>0</xdr:col>
          <xdr:colOff>838200</xdr:colOff>
          <xdr:row>8</xdr:row>
          <xdr:rowOff>133350</xdr:rowOff>
        </xdr:to>
        <xdr:sp macro="" textlink="">
          <xdr:nvSpPr>
            <xdr:cNvPr id="67303" name="Button 1767" hidden="1">
              <a:extLst>
                <a:ext uri="{63B3BB69-23CF-44E3-9099-C40C66FF867C}">
                  <a14:compatExt spid="_x0000_s67303"/>
                </a:ext>
                <a:ext uri="{FF2B5EF4-FFF2-40B4-BE49-F238E27FC236}">
                  <a16:creationId xmlns:a16="http://schemas.microsoft.com/office/drawing/2014/main" id="{00000000-0008-0000-0200-0000E7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1676400</xdr:colOff>
          <xdr:row>7</xdr:row>
          <xdr:rowOff>9525</xdr:rowOff>
        </xdr:from>
        <xdr:to>
          <xdr:col>0</xdr:col>
          <xdr:colOff>2686050</xdr:colOff>
          <xdr:row>8</xdr:row>
          <xdr:rowOff>133350</xdr:rowOff>
        </xdr:to>
        <xdr:sp macro="" textlink="">
          <xdr:nvSpPr>
            <xdr:cNvPr id="67304" name="Button 1768" hidden="1">
              <a:extLst>
                <a:ext uri="{63B3BB69-23CF-44E3-9099-C40C66FF867C}">
                  <a14:compatExt spid="_x0000_s67304"/>
                </a:ext>
                <a:ext uri="{FF2B5EF4-FFF2-40B4-BE49-F238E27FC236}">
                  <a16:creationId xmlns:a16="http://schemas.microsoft.com/office/drawing/2014/main" id="{00000000-0008-0000-0200-0000E8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Gear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6</xdr:row>
          <xdr:rowOff>47625</xdr:rowOff>
        </xdr:from>
        <xdr:to>
          <xdr:col>1</xdr:col>
          <xdr:colOff>2028825</xdr:colOff>
          <xdr:row>7</xdr:row>
          <xdr:rowOff>123825</xdr:rowOff>
        </xdr:to>
        <xdr:sp macro="" textlink="">
          <xdr:nvSpPr>
            <xdr:cNvPr id="67305" name="gearBuildComboBox" hidden="1">
              <a:extLst>
                <a:ext uri="{63B3BB69-23CF-44E3-9099-C40C66FF867C}">
                  <a14:compatExt spid="_x0000_s67305"/>
                </a:ext>
                <a:ext uri="{FF2B5EF4-FFF2-40B4-BE49-F238E27FC236}">
                  <a16:creationId xmlns:a16="http://schemas.microsoft.com/office/drawing/2014/main" id="{00000000-0008-0000-0200-0000E906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76</xdr:row>
          <xdr:rowOff>38100</xdr:rowOff>
        </xdr:from>
        <xdr:to>
          <xdr:col>0</xdr:col>
          <xdr:colOff>2152650</xdr:colOff>
          <xdr:row>77</xdr:row>
          <xdr:rowOff>114300</xdr:rowOff>
        </xdr:to>
        <xdr:sp macro="" textlink="">
          <xdr:nvSpPr>
            <xdr:cNvPr id="67359" name="buffBuildComboBox" hidden="1">
              <a:extLst>
                <a:ext uri="{63B3BB69-23CF-44E3-9099-C40C66FF867C}">
                  <a14:compatExt spid="_x0000_s67359"/>
                </a:ext>
                <a:ext uri="{FF2B5EF4-FFF2-40B4-BE49-F238E27FC236}">
                  <a16:creationId xmlns:a16="http://schemas.microsoft.com/office/drawing/2014/main" id="{00000000-0008-0000-0200-00001F07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72</xdr:row>
          <xdr:rowOff>152400</xdr:rowOff>
        </xdr:from>
        <xdr:to>
          <xdr:col>0</xdr:col>
          <xdr:colOff>676275</xdr:colOff>
          <xdr:row>75</xdr:row>
          <xdr:rowOff>152400</xdr:rowOff>
        </xdr:to>
        <xdr:sp macro="" textlink="">
          <xdr:nvSpPr>
            <xdr:cNvPr id="67360" name="Button 1824" hidden="1">
              <a:extLst>
                <a:ext uri="{63B3BB69-23CF-44E3-9099-C40C66FF867C}">
                  <a14:compatExt spid="_x0000_s67360"/>
                </a:ext>
                <a:ext uri="{FF2B5EF4-FFF2-40B4-BE49-F238E27FC236}">
                  <a16:creationId xmlns:a16="http://schemas.microsoft.com/office/drawing/2014/main" id="{00000000-0008-0000-0200-000020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685800</xdr:colOff>
          <xdr:row>72</xdr:row>
          <xdr:rowOff>152400</xdr:rowOff>
        </xdr:from>
        <xdr:to>
          <xdr:col>0</xdr:col>
          <xdr:colOff>1352550</xdr:colOff>
          <xdr:row>75</xdr:row>
          <xdr:rowOff>152400</xdr:rowOff>
        </xdr:to>
        <xdr:sp macro="" textlink="">
          <xdr:nvSpPr>
            <xdr:cNvPr id="67361" name="Button 1825" hidden="1">
              <a:extLst>
                <a:ext uri="{63B3BB69-23CF-44E3-9099-C40C66FF867C}">
                  <a14:compatExt spid="_x0000_s67361"/>
                </a:ext>
                <a:ext uri="{FF2B5EF4-FFF2-40B4-BE49-F238E27FC236}">
                  <a16:creationId xmlns:a16="http://schemas.microsoft.com/office/drawing/2014/main" id="{00000000-0008-0000-0200-000021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2028825</xdr:colOff>
          <xdr:row>73</xdr:row>
          <xdr:rowOff>0</xdr:rowOff>
        </xdr:from>
        <xdr:to>
          <xdr:col>0</xdr:col>
          <xdr:colOff>2676525</xdr:colOff>
          <xdr:row>76</xdr:row>
          <xdr:rowOff>0</xdr:rowOff>
        </xdr:to>
        <xdr:sp macro="" textlink="">
          <xdr:nvSpPr>
            <xdr:cNvPr id="67362" name="Button 1826" hidden="1">
              <a:extLst>
                <a:ext uri="{63B3BB69-23CF-44E3-9099-C40C66FF867C}">
                  <a14:compatExt spid="_x0000_s67362"/>
                </a:ext>
                <a:ext uri="{FF2B5EF4-FFF2-40B4-BE49-F238E27FC236}">
                  <a16:creationId xmlns:a16="http://schemas.microsoft.com/office/drawing/2014/main" id="{00000000-0008-0000-0200-000022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Buff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5</xdr:row>
          <xdr:rowOff>9525</xdr:rowOff>
        </xdr:from>
        <xdr:to>
          <xdr:col>25</xdr:col>
          <xdr:colOff>0</xdr:colOff>
          <xdr:row>5</xdr:row>
          <xdr:rowOff>152400</xdr:rowOff>
        </xdr:to>
        <xdr:sp macro="" textlink="">
          <xdr:nvSpPr>
            <xdr:cNvPr id="67366" name="CheckBox" hidden="1">
              <a:extLst>
                <a:ext uri="{63B3BB69-23CF-44E3-9099-C40C66FF867C}">
                  <a14:compatExt spid="_x0000_s67366"/>
                </a:ext>
                <a:ext uri="{FF2B5EF4-FFF2-40B4-BE49-F238E27FC236}">
                  <a16:creationId xmlns:a16="http://schemas.microsoft.com/office/drawing/2014/main" id="{00000000-0008-0000-0200-00002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6</xdr:row>
          <xdr:rowOff>0</xdr:rowOff>
        </xdr:from>
        <xdr:to>
          <xdr:col>25</xdr:col>
          <xdr:colOff>0</xdr:colOff>
          <xdr:row>6</xdr:row>
          <xdr:rowOff>152400</xdr:rowOff>
        </xdr:to>
        <xdr:sp macro="" textlink="">
          <xdr:nvSpPr>
            <xdr:cNvPr id="67367" name="CheckBox" hidden="1">
              <a:extLst>
                <a:ext uri="{63B3BB69-23CF-44E3-9099-C40C66FF867C}">
                  <a14:compatExt spid="_x0000_s67367"/>
                </a:ext>
                <a:ext uri="{FF2B5EF4-FFF2-40B4-BE49-F238E27FC236}">
                  <a16:creationId xmlns:a16="http://schemas.microsoft.com/office/drawing/2014/main" id="{00000000-0008-0000-0200-000027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0</xdr:rowOff>
        </xdr:from>
        <xdr:to>
          <xdr:col>26</xdr:col>
          <xdr:colOff>314325</xdr:colOff>
          <xdr:row>73</xdr:row>
          <xdr:rowOff>9525</xdr:rowOff>
        </xdr:to>
        <xdr:sp macro="" textlink="">
          <xdr:nvSpPr>
            <xdr:cNvPr id="67414" name="CheckBox" hidden="1">
              <a:extLst>
                <a:ext uri="{63B3BB69-23CF-44E3-9099-C40C66FF867C}">
                  <a14:compatExt spid="_x0000_s67414"/>
                </a:ext>
                <a:ext uri="{FF2B5EF4-FFF2-40B4-BE49-F238E27FC236}">
                  <a16:creationId xmlns:a16="http://schemas.microsoft.com/office/drawing/2014/main" id="{00000000-0008-0000-0200-00005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43</xdr:row>
          <xdr:rowOff>0</xdr:rowOff>
        </xdr:from>
        <xdr:to>
          <xdr:col>21</xdr:col>
          <xdr:colOff>19050</xdr:colOff>
          <xdr:row>43</xdr:row>
          <xdr:rowOff>142875</xdr:rowOff>
        </xdr:to>
        <xdr:sp macro="" textlink="">
          <xdr:nvSpPr>
            <xdr:cNvPr id="67440" name="IncludeSmith" hidden="1">
              <a:extLst>
                <a:ext uri="{63B3BB69-23CF-44E3-9099-C40C66FF867C}">
                  <a14:compatExt spid="_x0000_s67440"/>
                </a:ext>
                <a:ext uri="{FF2B5EF4-FFF2-40B4-BE49-F238E27FC236}">
                  <a16:creationId xmlns:a16="http://schemas.microsoft.com/office/drawing/2014/main" id="{00000000-0008-0000-0200-00007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152400</xdr:rowOff>
        </xdr:from>
        <xdr:to>
          <xdr:col>21</xdr:col>
          <xdr:colOff>38100</xdr:colOff>
          <xdr:row>55</xdr:row>
          <xdr:rowOff>152400</xdr:rowOff>
        </xdr:to>
        <xdr:sp macro="" textlink="">
          <xdr:nvSpPr>
            <xdr:cNvPr id="67460" name="CheckBox" hidden="1">
              <a:extLst>
                <a:ext uri="{63B3BB69-23CF-44E3-9099-C40C66FF867C}">
                  <a14:compatExt spid="_x0000_s67460"/>
                </a:ext>
                <a:ext uri="{FF2B5EF4-FFF2-40B4-BE49-F238E27FC236}">
                  <a16:creationId xmlns:a16="http://schemas.microsoft.com/office/drawing/2014/main" id="{00000000-0008-0000-0200-000084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53</xdr:row>
          <xdr:rowOff>142875</xdr:rowOff>
        </xdr:from>
        <xdr:to>
          <xdr:col>26</xdr:col>
          <xdr:colOff>190500</xdr:colOff>
          <xdr:row>54</xdr:row>
          <xdr:rowOff>142875</xdr:rowOff>
        </xdr:to>
        <xdr:sp macro="" textlink="">
          <xdr:nvSpPr>
            <xdr:cNvPr id="67480" name="CheckBox" hidden="1">
              <a:extLst>
                <a:ext uri="{63B3BB69-23CF-44E3-9099-C40C66FF867C}">
                  <a14:compatExt spid="_x0000_s67480"/>
                </a:ext>
                <a:ext uri="{FF2B5EF4-FFF2-40B4-BE49-F238E27FC236}">
                  <a16:creationId xmlns:a16="http://schemas.microsoft.com/office/drawing/2014/main" id="{00000000-0008-0000-0200-000098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63</xdr:row>
          <xdr:rowOff>142875</xdr:rowOff>
        </xdr:from>
        <xdr:to>
          <xdr:col>21</xdr:col>
          <xdr:colOff>38100</xdr:colOff>
          <xdr:row>65</xdr:row>
          <xdr:rowOff>0</xdr:rowOff>
        </xdr:to>
        <xdr:sp macro="" textlink="">
          <xdr:nvSpPr>
            <xdr:cNvPr id="67517" name="Check Box 1981" hidden="1">
              <a:extLst>
                <a:ext uri="{63B3BB69-23CF-44E3-9099-C40C66FF867C}">
                  <a14:compatExt spid="_x0000_s67517"/>
                </a:ext>
                <a:ext uri="{FF2B5EF4-FFF2-40B4-BE49-F238E27FC236}">
                  <a16:creationId xmlns:a16="http://schemas.microsoft.com/office/drawing/2014/main" id="{00000000-0008-0000-0200-0000BD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9525</xdr:rowOff>
        </xdr:from>
        <xdr:to>
          <xdr:col>21</xdr:col>
          <xdr:colOff>38100</xdr:colOff>
          <xdr:row>66</xdr:row>
          <xdr:rowOff>0</xdr:rowOff>
        </xdr:to>
        <xdr:sp macro="" textlink="">
          <xdr:nvSpPr>
            <xdr:cNvPr id="67518" name="Check Box 1982" hidden="1">
              <a:extLst>
                <a:ext uri="{63B3BB69-23CF-44E3-9099-C40C66FF867C}">
                  <a14:compatExt spid="_x0000_s67518"/>
                </a:ext>
                <a:ext uri="{FF2B5EF4-FFF2-40B4-BE49-F238E27FC236}">
                  <a16:creationId xmlns:a16="http://schemas.microsoft.com/office/drawing/2014/main" id="{00000000-0008-0000-0200-0000BE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152400</xdr:rowOff>
        </xdr:from>
        <xdr:to>
          <xdr:col>21</xdr:col>
          <xdr:colOff>38100</xdr:colOff>
          <xdr:row>67</xdr:row>
          <xdr:rowOff>0</xdr:rowOff>
        </xdr:to>
        <xdr:sp macro="" textlink="">
          <xdr:nvSpPr>
            <xdr:cNvPr id="67519" name="Check Box 1983" hidden="1">
              <a:extLst>
                <a:ext uri="{63B3BB69-23CF-44E3-9099-C40C66FF867C}">
                  <a14:compatExt spid="_x0000_s67519"/>
                </a:ext>
                <a:ext uri="{FF2B5EF4-FFF2-40B4-BE49-F238E27FC236}">
                  <a16:creationId xmlns:a16="http://schemas.microsoft.com/office/drawing/2014/main" id="{00000000-0008-0000-0200-0000BF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67</xdr:row>
          <xdr:rowOff>0</xdr:rowOff>
        </xdr:from>
        <xdr:to>
          <xdr:col>21</xdr:col>
          <xdr:colOff>38100</xdr:colOff>
          <xdr:row>68</xdr:row>
          <xdr:rowOff>0</xdr:rowOff>
        </xdr:to>
        <xdr:sp macro="" textlink="">
          <xdr:nvSpPr>
            <xdr:cNvPr id="67520" name="Check Box 1984" hidden="1">
              <a:extLst>
                <a:ext uri="{63B3BB69-23CF-44E3-9099-C40C66FF867C}">
                  <a14:compatExt spid="_x0000_s67520"/>
                </a:ext>
                <a:ext uri="{FF2B5EF4-FFF2-40B4-BE49-F238E27FC236}">
                  <a16:creationId xmlns:a16="http://schemas.microsoft.com/office/drawing/2014/main" id="{00000000-0008-0000-0200-0000C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68</xdr:row>
          <xdr:rowOff>0</xdr:rowOff>
        </xdr:from>
        <xdr:to>
          <xdr:col>21</xdr:col>
          <xdr:colOff>38100</xdr:colOff>
          <xdr:row>69</xdr:row>
          <xdr:rowOff>0</xdr:rowOff>
        </xdr:to>
        <xdr:sp macro="" textlink="">
          <xdr:nvSpPr>
            <xdr:cNvPr id="67521" name="Check Box 1985" hidden="1">
              <a:extLst>
                <a:ext uri="{63B3BB69-23CF-44E3-9099-C40C66FF867C}">
                  <a14:compatExt spid="_x0000_s67521"/>
                </a:ext>
                <a:ext uri="{FF2B5EF4-FFF2-40B4-BE49-F238E27FC236}">
                  <a16:creationId xmlns:a16="http://schemas.microsoft.com/office/drawing/2014/main" id="{00000000-0008-0000-0200-0000C1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847725</xdr:colOff>
          <xdr:row>7</xdr:row>
          <xdr:rowOff>9525</xdr:rowOff>
        </xdr:from>
        <xdr:to>
          <xdr:col>0</xdr:col>
          <xdr:colOff>1666875</xdr:colOff>
          <xdr:row>8</xdr:row>
          <xdr:rowOff>133350</xdr:rowOff>
        </xdr:to>
        <xdr:sp macro="" textlink="">
          <xdr:nvSpPr>
            <xdr:cNvPr id="67545" name="Button 2009" hidden="1">
              <a:extLst>
                <a:ext uri="{63B3BB69-23CF-44E3-9099-C40C66FF867C}">
                  <a14:compatExt spid="_x0000_s67545"/>
                </a:ext>
                <a:ext uri="{FF2B5EF4-FFF2-40B4-BE49-F238E27FC236}">
                  <a16:creationId xmlns:a16="http://schemas.microsoft.com/office/drawing/2014/main" id="{00000000-0008-0000-0200-0000D9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1352550</xdr:colOff>
          <xdr:row>72</xdr:row>
          <xdr:rowOff>152400</xdr:rowOff>
        </xdr:from>
        <xdr:to>
          <xdr:col>0</xdr:col>
          <xdr:colOff>2019300</xdr:colOff>
          <xdr:row>75</xdr:row>
          <xdr:rowOff>152400</xdr:rowOff>
        </xdr:to>
        <xdr:sp macro="" textlink="">
          <xdr:nvSpPr>
            <xdr:cNvPr id="67572" name="Button 2036" hidden="1">
              <a:extLst>
                <a:ext uri="{63B3BB69-23CF-44E3-9099-C40C66FF867C}">
                  <a14:compatExt spid="_x0000_s67572"/>
                </a:ext>
                <a:ext uri="{FF2B5EF4-FFF2-40B4-BE49-F238E27FC236}">
                  <a16:creationId xmlns:a16="http://schemas.microsoft.com/office/drawing/2014/main" id="{00000000-0008-0000-0200-0000F4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71</xdr:row>
          <xdr:rowOff>0</xdr:rowOff>
        </xdr:from>
        <xdr:to>
          <xdr:col>21</xdr:col>
          <xdr:colOff>38100</xdr:colOff>
          <xdr:row>72</xdr:row>
          <xdr:rowOff>9525</xdr:rowOff>
        </xdr:to>
        <xdr:sp macro="" textlink="">
          <xdr:nvSpPr>
            <xdr:cNvPr id="189469" name="Check Box 2077" hidden="1">
              <a:extLst>
                <a:ext uri="{63B3BB69-23CF-44E3-9099-C40C66FF867C}">
                  <a14:compatExt spid="_x0000_s189469"/>
                </a:ext>
                <a:ext uri="{FF2B5EF4-FFF2-40B4-BE49-F238E27FC236}">
                  <a16:creationId xmlns:a16="http://schemas.microsoft.com/office/drawing/2014/main" id="{00000000-0008-0000-0200-00001D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72</xdr:row>
          <xdr:rowOff>0</xdr:rowOff>
        </xdr:from>
        <xdr:to>
          <xdr:col>21</xdr:col>
          <xdr:colOff>38100</xdr:colOff>
          <xdr:row>73</xdr:row>
          <xdr:rowOff>9525</xdr:rowOff>
        </xdr:to>
        <xdr:sp macro="" textlink="">
          <xdr:nvSpPr>
            <xdr:cNvPr id="189470" name="Check Box 2078" hidden="1">
              <a:extLst>
                <a:ext uri="{63B3BB69-23CF-44E3-9099-C40C66FF867C}">
                  <a14:compatExt spid="_x0000_s189470"/>
                </a:ext>
                <a:ext uri="{FF2B5EF4-FFF2-40B4-BE49-F238E27FC236}">
                  <a16:creationId xmlns:a16="http://schemas.microsoft.com/office/drawing/2014/main" id="{00000000-0008-0000-0200-00001E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73</xdr:row>
          <xdr:rowOff>9525</xdr:rowOff>
        </xdr:from>
        <xdr:to>
          <xdr:col>21</xdr:col>
          <xdr:colOff>38100</xdr:colOff>
          <xdr:row>74</xdr:row>
          <xdr:rowOff>19050</xdr:rowOff>
        </xdr:to>
        <xdr:sp macro="" textlink="">
          <xdr:nvSpPr>
            <xdr:cNvPr id="189471" name="Check Box 2079" hidden="1">
              <a:extLst>
                <a:ext uri="{63B3BB69-23CF-44E3-9099-C40C66FF867C}">
                  <a14:compatExt spid="_x0000_s189471"/>
                </a:ext>
                <a:ext uri="{FF2B5EF4-FFF2-40B4-BE49-F238E27FC236}">
                  <a16:creationId xmlns:a16="http://schemas.microsoft.com/office/drawing/2014/main" id="{00000000-0008-0000-0200-00001F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333375</xdr:colOff>
          <xdr:row>22</xdr:row>
          <xdr:rowOff>114300</xdr:rowOff>
        </xdr:from>
        <xdr:to>
          <xdr:col>14</xdr:col>
          <xdr:colOff>0</xdr:colOff>
          <xdr:row>24</xdr:row>
          <xdr:rowOff>28575</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300-00005110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42</xdr:row>
          <xdr:rowOff>19050</xdr:rowOff>
        </xdr:from>
        <xdr:to>
          <xdr:col>6</xdr:col>
          <xdr:colOff>1047750</xdr:colOff>
          <xdr:row>43</xdr:row>
          <xdr:rowOff>152400</xdr:rowOff>
        </xdr:to>
        <xdr:sp macro="" textlink="">
          <xdr:nvSpPr>
            <xdr:cNvPr id="4102" name="CommandButton"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Calculate AEP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xdr:row>
          <xdr:rowOff>9525</xdr:rowOff>
        </xdr:from>
        <xdr:to>
          <xdr:col>3</xdr:col>
          <xdr:colOff>781050</xdr:colOff>
          <xdr:row>7</xdr:row>
          <xdr:rowOff>142875</xdr:rowOff>
        </xdr:to>
        <xdr:sp macro="" textlink="">
          <xdr:nvSpPr>
            <xdr:cNvPr id="4104" name="CommandButton"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9</xdr:row>
          <xdr:rowOff>9525</xdr:rowOff>
        </xdr:from>
        <xdr:to>
          <xdr:col>8</xdr:col>
          <xdr:colOff>571500</xdr:colOff>
          <xdr:row>10</xdr:row>
          <xdr:rowOff>266700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300-00006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Reset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9</xdr:row>
          <xdr:rowOff>9525</xdr:rowOff>
        </xdr:from>
        <xdr:to>
          <xdr:col>3</xdr:col>
          <xdr:colOff>0</xdr:colOff>
          <xdr:row>10</xdr:row>
          <xdr:rowOff>266700</xdr:rowOff>
        </xdr:to>
        <xdr:sp macro="" textlink="">
          <xdr:nvSpPr>
            <xdr:cNvPr id="4197" name="Button 101" hidden="1">
              <a:extLst>
                <a:ext uri="{63B3BB69-23CF-44E3-9099-C40C66FF867C}">
                  <a14:compatExt spid="_x0000_s4197"/>
                </a:ext>
                <a:ext uri="{FF2B5EF4-FFF2-40B4-BE49-F238E27FC236}">
                  <a16:creationId xmlns:a16="http://schemas.microsoft.com/office/drawing/2014/main" id="{00000000-0008-0000-0300-00006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9</xdr:row>
          <xdr:rowOff>19050</xdr:rowOff>
        </xdr:from>
        <xdr:to>
          <xdr:col>5</xdr:col>
          <xdr:colOff>561975</xdr:colOff>
          <xdr:row>9</xdr:row>
          <xdr:rowOff>247650</xdr:rowOff>
        </xdr:to>
        <xdr:sp macro="" textlink="">
          <xdr:nvSpPr>
            <xdr:cNvPr id="4199" name="talentBuildComboBox" hidden="1">
              <a:extLst>
                <a:ext uri="{63B3BB69-23CF-44E3-9099-C40C66FF867C}">
                  <a14:compatExt spid="_x0000_s4199"/>
                </a:ext>
                <a:ext uri="{FF2B5EF4-FFF2-40B4-BE49-F238E27FC236}">
                  <a16:creationId xmlns:a16="http://schemas.microsoft.com/office/drawing/2014/main" id="{00000000-0008-0000-03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9</xdr:row>
          <xdr:rowOff>9525</xdr:rowOff>
        </xdr:from>
        <xdr:to>
          <xdr:col>7</xdr:col>
          <xdr:colOff>95250</xdr:colOff>
          <xdr:row>10</xdr:row>
          <xdr:rowOff>266700</xdr:rowOff>
        </xdr:to>
        <xdr:sp macro="" textlink="">
          <xdr:nvSpPr>
            <xdr:cNvPr id="4203" name="Button 107" hidden="1">
              <a:extLst>
                <a:ext uri="{63B3BB69-23CF-44E3-9099-C40C66FF867C}">
                  <a14:compatExt spid="_x0000_s4203"/>
                </a:ext>
                <a:ext uri="{FF2B5EF4-FFF2-40B4-BE49-F238E27FC236}">
                  <a16:creationId xmlns:a16="http://schemas.microsoft.com/office/drawing/2014/main" id="{00000000-0008-0000-0300-00006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Talent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11</xdr:row>
          <xdr:rowOff>19050</xdr:rowOff>
        </xdr:from>
        <xdr:to>
          <xdr:col>14</xdr:col>
          <xdr:colOff>695325</xdr:colOff>
          <xdr:row>11</xdr:row>
          <xdr:rowOff>238125</xdr:rowOff>
        </xdr:to>
        <xdr:sp macro="" textlink="">
          <xdr:nvSpPr>
            <xdr:cNvPr id="4207" name="optionBuildComboBox" hidden="1">
              <a:extLst>
                <a:ext uri="{63B3BB69-23CF-44E3-9099-C40C66FF867C}">
                  <a14:compatExt spid="_x0000_s4207"/>
                </a:ext>
                <a:ext uri="{FF2B5EF4-FFF2-40B4-BE49-F238E27FC236}">
                  <a16:creationId xmlns:a16="http://schemas.microsoft.com/office/drawing/2014/main" id="{00000000-0008-0000-0300-00006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466725</xdr:colOff>
          <xdr:row>9</xdr:row>
          <xdr:rowOff>9525</xdr:rowOff>
        </xdr:from>
        <xdr:to>
          <xdr:col>13</xdr:col>
          <xdr:colOff>304800</xdr:colOff>
          <xdr:row>10</xdr:row>
          <xdr:rowOff>257175</xdr:rowOff>
        </xdr:to>
        <xdr:sp macro="" textlink="">
          <xdr:nvSpPr>
            <xdr:cNvPr id="4221" name="Button 125" hidden="1">
              <a:extLst>
                <a:ext uri="{63B3BB69-23CF-44E3-9099-C40C66FF867C}">
                  <a14:compatExt spid="_x0000_s4221"/>
                </a:ext>
                <a:ext uri="{FF2B5EF4-FFF2-40B4-BE49-F238E27FC236}">
                  <a16:creationId xmlns:a16="http://schemas.microsoft.com/office/drawing/2014/main" id="{00000000-0008-0000-0300-00007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9</xdr:row>
          <xdr:rowOff>9525</xdr:rowOff>
        </xdr:from>
        <xdr:to>
          <xdr:col>14</xdr:col>
          <xdr:colOff>704850</xdr:colOff>
          <xdr:row>10</xdr:row>
          <xdr:rowOff>257175</xdr:rowOff>
        </xdr:to>
        <xdr:sp macro="" textlink="">
          <xdr:nvSpPr>
            <xdr:cNvPr id="4222" name="Button 2" hidden="1">
              <a:extLst>
                <a:ext uri="{63B3BB69-23CF-44E3-9099-C40C66FF867C}">
                  <a14:compatExt spid="_x0000_s4222"/>
                </a:ext>
                <a:ext uri="{FF2B5EF4-FFF2-40B4-BE49-F238E27FC236}">
                  <a16:creationId xmlns:a16="http://schemas.microsoft.com/office/drawing/2014/main" id="{00000000-0008-0000-0300-00007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Option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xdr:row>
          <xdr:rowOff>9525</xdr:rowOff>
        </xdr:from>
        <xdr:to>
          <xdr:col>1</xdr:col>
          <xdr:colOff>219075</xdr:colOff>
          <xdr:row>10</xdr:row>
          <xdr:rowOff>266700</xdr:rowOff>
        </xdr:to>
        <xdr:sp macro="" textlink="">
          <xdr:nvSpPr>
            <xdr:cNvPr id="4258" name="Button 162" hidden="1">
              <a:extLst>
                <a:ext uri="{63B3BB69-23CF-44E3-9099-C40C66FF867C}">
                  <a14:compatExt spid="_x0000_s4258"/>
                </a:ext>
                <a:ext uri="{FF2B5EF4-FFF2-40B4-BE49-F238E27FC236}">
                  <a16:creationId xmlns:a16="http://schemas.microsoft.com/office/drawing/2014/main" id="{00000000-0008-0000-0300-0000A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447675</xdr:colOff>
          <xdr:row>10</xdr:row>
          <xdr:rowOff>257175</xdr:rowOff>
        </xdr:to>
        <xdr:sp macro="" textlink="">
          <xdr:nvSpPr>
            <xdr:cNvPr id="4323" name="Button 227" hidden="1">
              <a:extLst>
                <a:ext uri="{63B3BB69-23CF-44E3-9099-C40C66FF867C}">
                  <a14:compatExt spid="_x0000_s4323"/>
                </a:ext>
                <a:ext uri="{FF2B5EF4-FFF2-40B4-BE49-F238E27FC236}">
                  <a16:creationId xmlns:a16="http://schemas.microsoft.com/office/drawing/2014/main" id="{00000000-0008-0000-0300-0000E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30</xdr:row>
          <xdr:rowOff>114300</xdr:rowOff>
        </xdr:from>
        <xdr:to>
          <xdr:col>14</xdr:col>
          <xdr:colOff>0</xdr:colOff>
          <xdr:row>32</xdr:row>
          <xdr:rowOff>28575</xdr:rowOff>
        </xdr:to>
        <xdr:sp macro="" textlink="">
          <xdr:nvSpPr>
            <xdr:cNvPr id="4354" name="Check Box 258" hidden="1">
              <a:extLst>
                <a:ext uri="{63B3BB69-23CF-44E3-9099-C40C66FF867C}">
                  <a14:compatExt spid="_x0000_s4354"/>
                </a:ext>
                <a:ext uri="{FF2B5EF4-FFF2-40B4-BE49-F238E27FC236}">
                  <a16:creationId xmlns:a16="http://schemas.microsoft.com/office/drawing/2014/main" id="{00000000-0008-0000-0300-00000211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0</xdr:row>
          <xdr:rowOff>19050</xdr:rowOff>
        </xdr:from>
        <xdr:to>
          <xdr:col>10</xdr:col>
          <xdr:colOff>447675</xdr:colOff>
          <xdr:row>3</xdr:row>
          <xdr:rowOff>142875</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0400-000001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0</xdr:row>
          <xdr:rowOff>57150</xdr:rowOff>
        </xdr:from>
        <xdr:to>
          <xdr:col>4</xdr:col>
          <xdr:colOff>485775</xdr:colOff>
          <xdr:row>3</xdr:row>
          <xdr:rowOff>85725</xdr:rowOff>
        </xdr:to>
        <xdr:sp macro="" textlink="">
          <xdr:nvSpPr>
            <xdr:cNvPr id="114692" name="Button 4" hidden="1">
              <a:extLst>
                <a:ext uri="{63B3BB69-23CF-44E3-9099-C40C66FF867C}">
                  <a14:compatExt spid="_x0000_s114692"/>
                </a:ext>
                <a:ext uri="{FF2B5EF4-FFF2-40B4-BE49-F238E27FC236}">
                  <a16:creationId xmlns:a16="http://schemas.microsoft.com/office/drawing/2014/main" id="{00000000-0008-0000-0400-000004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504825</xdr:colOff>
          <xdr:row>0</xdr:row>
          <xdr:rowOff>57150</xdr:rowOff>
        </xdr:from>
        <xdr:to>
          <xdr:col>4</xdr:col>
          <xdr:colOff>1333500</xdr:colOff>
          <xdr:row>3</xdr:row>
          <xdr:rowOff>85725</xdr:rowOff>
        </xdr:to>
        <xdr:sp macro="" textlink="">
          <xdr:nvSpPr>
            <xdr:cNvPr id="114693" name="Button 2" hidden="1">
              <a:extLst>
                <a:ext uri="{63B3BB69-23CF-44E3-9099-C40C66FF867C}">
                  <a14:compatExt spid="_x0000_s114693"/>
                </a:ext>
                <a:ext uri="{FF2B5EF4-FFF2-40B4-BE49-F238E27FC236}">
                  <a16:creationId xmlns:a16="http://schemas.microsoft.com/office/drawing/2014/main" id="{00000000-0008-0000-0400-000005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CD Setting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0</xdr:row>
          <xdr:rowOff>57150</xdr:rowOff>
        </xdr:from>
        <xdr:to>
          <xdr:col>3</xdr:col>
          <xdr:colOff>142875</xdr:colOff>
          <xdr:row>3</xdr:row>
          <xdr:rowOff>85725</xdr:rowOff>
        </xdr:to>
        <xdr:sp macro="" textlink="">
          <xdr:nvSpPr>
            <xdr:cNvPr id="114694" name="Button 6" hidden="1">
              <a:extLst>
                <a:ext uri="{63B3BB69-23CF-44E3-9099-C40C66FF867C}">
                  <a14:compatExt spid="_x0000_s114694"/>
                </a:ext>
                <a:ext uri="{FF2B5EF4-FFF2-40B4-BE49-F238E27FC236}">
                  <a16:creationId xmlns:a16="http://schemas.microsoft.com/office/drawing/2014/main" id="{00000000-0008-0000-0400-000006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333375</xdr:colOff>
          <xdr:row>2</xdr:row>
          <xdr:rowOff>57150</xdr:rowOff>
        </xdr:from>
        <xdr:to>
          <xdr:col>1</xdr:col>
          <xdr:colOff>2286000</xdr:colOff>
          <xdr:row>3</xdr:row>
          <xdr:rowOff>114300</xdr:rowOff>
        </xdr:to>
        <xdr:sp macro="" textlink="">
          <xdr:nvSpPr>
            <xdr:cNvPr id="114695" name="optionBuildComboBox" hidden="1">
              <a:extLst>
                <a:ext uri="{63B3BB69-23CF-44E3-9099-C40C66FF867C}">
                  <a14:compatExt spid="_x0000_s114695"/>
                </a:ext>
                <a:ext uri="{FF2B5EF4-FFF2-40B4-BE49-F238E27FC236}">
                  <a16:creationId xmlns:a16="http://schemas.microsoft.com/office/drawing/2014/main" id="{00000000-0008-0000-0400-000007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54</xdr:row>
          <xdr:rowOff>123825</xdr:rowOff>
        </xdr:from>
        <xdr:to>
          <xdr:col>1</xdr:col>
          <xdr:colOff>0</xdr:colOff>
          <xdr:row>56</xdr:row>
          <xdr:rowOff>38100</xdr:rowOff>
        </xdr:to>
        <xdr:sp macro="" textlink="">
          <xdr:nvSpPr>
            <xdr:cNvPr id="80898" name="Check Box 2" hidden="1">
              <a:extLst>
                <a:ext uri="{63B3BB69-23CF-44E3-9099-C40C66FF867C}">
                  <a14:compatExt spid="_x0000_s80898"/>
                </a:ext>
                <a:ext uri="{FF2B5EF4-FFF2-40B4-BE49-F238E27FC236}">
                  <a16:creationId xmlns:a16="http://schemas.microsoft.com/office/drawing/2014/main" id="{00000000-0008-0000-0500-00000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123825</xdr:rowOff>
        </xdr:from>
        <xdr:to>
          <xdr:col>1</xdr:col>
          <xdr:colOff>0</xdr:colOff>
          <xdr:row>57</xdr:row>
          <xdr:rowOff>38100</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id="{00000000-0008-0000-0500-00000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123825</xdr:rowOff>
        </xdr:from>
        <xdr:to>
          <xdr:col>1</xdr:col>
          <xdr:colOff>0</xdr:colOff>
          <xdr:row>58</xdr:row>
          <xdr:rowOff>38100</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id="{00000000-0008-0000-0500-00001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123825</xdr:rowOff>
        </xdr:from>
        <xdr:to>
          <xdr:col>1</xdr:col>
          <xdr:colOff>0</xdr:colOff>
          <xdr:row>59</xdr:row>
          <xdr:rowOff>38100</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id="{00000000-0008-0000-0500-00001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123825</xdr:rowOff>
        </xdr:from>
        <xdr:to>
          <xdr:col>1</xdr:col>
          <xdr:colOff>0</xdr:colOff>
          <xdr:row>60</xdr:row>
          <xdr:rowOff>38100</xdr:rowOff>
        </xdr:to>
        <xdr:sp macro="" textlink="">
          <xdr:nvSpPr>
            <xdr:cNvPr id="80914" name="Check Box 18" hidden="1">
              <a:extLst>
                <a:ext uri="{63B3BB69-23CF-44E3-9099-C40C66FF867C}">
                  <a14:compatExt spid="_x0000_s80914"/>
                </a:ext>
                <a:ext uri="{FF2B5EF4-FFF2-40B4-BE49-F238E27FC236}">
                  <a16:creationId xmlns:a16="http://schemas.microsoft.com/office/drawing/2014/main" id="{00000000-0008-0000-0500-00001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123825</xdr:rowOff>
        </xdr:from>
        <xdr:to>
          <xdr:col>1</xdr:col>
          <xdr:colOff>0</xdr:colOff>
          <xdr:row>61</xdr:row>
          <xdr:rowOff>38100</xdr:rowOff>
        </xdr:to>
        <xdr:sp macro="" textlink="">
          <xdr:nvSpPr>
            <xdr:cNvPr id="80915" name="Check Box 19" hidden="1">
              <a:extLst>
                <a:ext uri="{63B3BB69-23CF-44E3-9099-C40C66FF867C}">
                  <a14:compatExt spid="_x0000_s80915"/>
                </a:ext>
                <a:ext uri="{FF2B5EF4-FFF2-40B4-BE49-F238E27FC236}">
                  <a16:creationId xmlns:a16="http://schemas.microsoft.com/office/drawing/2014/main" id="{00000000-0008-0000-0500-00001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123825</xdr:rowOff>
        </xdr:from>
        <xdr:to>
          <xdr:col>1</xdr:col>
          <xdr:colOff>0</xdr:colOff>
          <xdr:row>62</xdr:row>
          <xdr:rowOff>38100</xdr:rowOff>
        </xdr:to>
        <xdr:sp macro="" textlink="">
          <xdr:nvSpPr>
            <xdr:cNvPr id="80916" name="Check Box 20" hidden="1">
              <a:extLst>
                <a:ext uri="{63B3BB69-23CF-44E3-9099-C40C66FF867C}">
                  <a14:compatExt spid="_x0000_s80916"/>
                </a:ext>
                <a:ext uri="{FF2B5EF4-FFF2-40B4-BE49-F238E27FC236}">
                  <a16:creationId xmlns:a16="http://schemas.microsoft.com/office/drawing/2014/main" id="{00000000-0008-0000-0500-00001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123825</xdr:rowOff>
        </xdr:from>
        <xdr:to>
          <xdr:col>1</xdr:col>
          <xdr:colOff>0</xdr:colOff>
          <xdr:row>63</xdr:row>
          <xdr:rowOff>38100</xdr:rowOff>
        </xdr:to>
        <xdr:sp macro="" textlink="">
          <xdr:nvSpPr>
            <xdr:cNvPr id="80917" name="Check Box 21" hidden="1">
              <a:extLst>
                <a:ext uri="{63B3BB69-23CF-44E3-9099-C40C66FF867C}">
                  <a14:compatExt spid="_x0000_s80917"/>
                </a:ext>
                <a:ext uri="{FF2B5EF4-FFF2-40B4-BE49-F238E27FC236}">
                  <a16:creationId xmlns:a16="http://schemas.microsoft.com/office/drawing/2014/main" id="{00000000-0008-0000-0500-00001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123825</xdr:rowOff>
        </xdr:from>
        <xdr:to>
          <xdr:col>1</xdr:col>
          <xdr:colOff>0</xdr:colOff>
          <xdr:row>64</xdr:row>
          <xdr:rowOff>38100</xdr:rowOff>
        </xdr:to>
        <xdr:sp macro="" textlink="">
          <xdr:nvSpPr>
            <xdr:cNvPr id="80918" name="Check Box 22" hidden="1">
              <a:extLst>
                <a:ext uri="{63B3BB69-23CF-44E3-9099-C40C66FF867C}">
                  <a14:compatExt spid="_x0000_s80918"/>
                </a:ext>
                <a:ext uri="{FF2B5EF4-FFF2-40B4-BE49-F238E27FC236}">
                  <a16:creationId xmlns:a16="http://schemas.microsoft.com/office/drawing/2014/main" id="{00000000-0008-0000-0500-00001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123825</xdr:rowOff>
        </xdr:from>
        <xdr:to>
          <xdr:col>1</xdr:col>
          <xdr:colOff>0</xdr:colOff>
          <xdr:row>65</xdr:row>
          <xdr:rowOff>38100</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0500-00001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123825</xdr:rowOff>
        </xdr:from>
        <xdr:to>
          <xdr:col>1</xdr:col>
          <xdr:colOff>0</xdr:colOff>
          <xdr:row>66</xdr:row>
          <xdr:rowOff>38100</xdr:rowOff>
        </xdr:to>
        <xdr:sp macro="" textlink="">
          <xdr:nvSpPr>
            <xdr:cNvPr id="80920" name="Check Box 24" hidden="1">
              <a:extLst>
                <a:ext uri="{63B3BB69-23CF-44E3-9099-C40C66FF867C}">
                  <a14:compatExt spid="_x0000_s80920"/>
                </a:ext>
                <a:ext uri="{FF2B5EF4-FFF2-40B4-BE49-F238E27FC236}">
                  <a16:creationId xmlns:a16="http://schemas.microsoft.com/office/drawing/2014/main" id="{00000000-0008-0000-0500-00001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123825</xdr:rowOff>
        </xdr:from>
        <xdr:to>
          <xdr:col>1</xdr:col>
          <xdr:colOff>0</xdr:colOff>
          <xdr:row>67</xdr:row>
          <xdr:rowOff>38100</xdr:rowOff>
        </xdr:to>
        <xdr:sp macro="" textlink="">
          <xdr:nvSpPr>
            <xdr:cNvPr id="80921" name="Check Box 25" hidden="1">
              <a:extLst>
                <a:ext uri="{63B3BB69-23CF-44E3-9099-C40C66FF867C}">
                  <a14:compatExt spid="_x0000_s80921"/>
                </a:ext>
                <a:ext uri="{FF2B5EF4-FFF2-40B4-BE49-F238E27FC236}">
                  <a16:creationId xmlns:a16="http://schemas.microsoft.com/office/drawing/2014/main" id="{00000000-0008-0000-0500-00001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123825</xdr:rowOff>
        </xdr:from>
        <xdr:to>
          <xdr:col>1</xdr:col>
          <xdr:colOff>0</xdr:colOff>
          <xdr:row>68</xdr:row>
          <xdr:rowOff>38100</xdr:rowOff>
        </xdr:to>
        <xdr:sp macro="" textlink="">
          <xdr:nvSpPr>
            <xdr:cNvPr id="80922" name="Check Box 26" hidden="1">
              <a:extLst>
                <a:ext uri="{63B3BB69-23CF-44E3-9099-C40C66FF867C}">
                  <a14:compatExt spid="_x0000_s80922"/>
                </a:ext>
                <a:ext uri="{FF2B5EF4-FFF2-40B4-BE49-F238E27FC236}">
                  <a16:creationId xmlns:a16="http://schemas.microsoft.com/office/drawing/2014/main" id="{00000000-0008-0000-0500-00001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123825</xdr:rowOff>
        </xdr:from>
        <xdr:to>
          <xdr:col>1</xdr:col>
          <xdr:colOff>0</xdr:colOff>
          <xdr:row>69</xdr:row>
          <xdr:rowOff>38100</xdr:rowOff>
        </xdr:to>
        <xdr:sp macro="" textlink="">
          <xdr:nvSpPr>
            <xdr:cNvPr id="80923" name="Check Box 27" hidden="1">
              <a:extLst>
                <a:ext uri="{63B3BB69-23CF-44E3-9099-C40C66FF867C}">
                  <a14:compatExt spid="_x0000_s80923"/>
                </a:ext>
                <a:ext uri="{FF2B5EF4-FFF2-40B4-BE49-F238E27FC236}">
                  <a16:creationId xmlns:a16="http://schemas.microsoft.com/office/drawing/2014/main" id="{00000000-0008-0000-0500-00001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123825</xdr:rowOff>
        </xdr:from>
        <xdr:to>
          <xdr:col>1</xdr:col>
          <xdr:colOff>0</xdr:colOff>
          <xdr:row>70</xdr:row>
          <xdr:rowOff>38100</xdr:rowOff>
        </xdr:to>
        <xdr:sp macro="" textlink="">
          <xdr:nvSpPr>
            <xdr:cNvPr id="80924" name="Check Box 28" hidden="1">
              <a:extLst>
                <a:ext uri="{63B3BB69-23CF-44E3-9099-C40C66FF867C}">
                  <a14:compatExt spid="_x0000_s80924"/>
                </a:ext>
                <a:ext uri="{FF2B5EF4-FFF2-40B4-BE49-F238E27FC236}">
                  <a16:creationId xmlns:a16="http://schemas.microsoft.com/office/drawing/2014/main" id="{00000000-0008-0000-0500-00001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123825</xdr:rowOff>
        </xdr:from>
        <xdr:to>
          <xdr:col>1</xdr:col>
          <xdr:colOff>0</xdr:colOff>
          <xdr:row>71</xdr:row>
          <xdr:rowOff>38100</xdr:rowOff>
        </xdr:to>
        <xdr:sp macro="" textlink="">
          <xdr:nvSpPr>
            <xdr:cNvPr id="80925" name="Check Box 29" hidden="1">
              <a:extLst>
                <a:ext uri="{63B3BB69-23CF-44E3-9099-C40C66FF867C}">
                  <a14:compatExt spid="_x0000_s80925"/>
                </a:ext>
                <a:ext uri="{FF2B5EF4-FFF2-40B4-BE49-F238E27FC236}">
                  <a16:creationId xmlns:a16="http://schemas.microsoft.com/office/drawing/2014/main" id="{00000000-0008-0000-0500-00001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123825</xdr:rowOff>
        </xdr:from>
        <xdr:to>
          <xdr:col>1</xdr:col>
          <xdr:colOff>0</xdr:colOff>
          <xdr:row>72</xdr:row>
          <xdr:rowOff>38100</xdr:rowOff>
        </xdr:to>
        <xdr:sp macro="" textlink="">
          <xdr:nvSpPr>
            <xdr:cNvPr id="80926" name="Check Box 30" hidden="1">
              <a:extLst>
                <a:ext uri="{63B3BB69-23CF-44E3-9099-C40C66FF867C}">
                  <a14:compatExt spid="_x0000_s80926"/>
                </a:ext>
                <a:ext uri="{FF2B5EF4-FFF2-40B4-BE49-F238E27FC236}">
                  <a16:creationId xmlns:a16="http://schemas.microsoft.com/office/drawing/2014/main" id="{00000000-0008-0000-0500-00001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123825</xdr:rowOff>
        </xdr:from>
        <xdr:to>
          <xdr:col>1</xdr:col>
          <xdr:colOff>0</xdr:colOff>
          <xdr:row>73</xdr:row>
          <xdr:rowOff>38100</xdr:rowOff>
        </xdr:to>
        <xdr:sp macro="" textlink="">
          <xdr:nvSpPr>
            <xdr:cNvPr id="80927" name="Check Box 31" hidden="1">
              <a:extLst>
                <a:ext uri="{63B3BB69-23CF-44E3-9099-C40C66FF867C}">
                  <a14:compatExt spid="_x0000_s80927"/>
                </a:ext>
                <a:ext uri="{FF2B5EF4-FFF2-40B4-BE49-F238E27FC236}">
                  <a16:creationId xmlns:a16="http://schemas.microsoft.com/office/drawing/2014/main" id="{00000000-0008-0000-0500-00001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123825</xdr:rowOff>
        </xdr:from>
        <xdr:to>
          <xdr:col>1</xdr:col>
          <xdr:colOff>0</xdr:colOff>
          <xdr:row>74</xdr:row>
          <xdr:rowOff>38100</xdr:rowOff>
        </xdr:to>
        <xdr:sp macro="" textlink="">
          <xdr:nvSpPr>
            <xdr:cNvPr id="80928" name="Check Box 32" hidden="1">
              <a:extLst>
                <a:ext uri="{63B3BB69-23CF-44E3-9099-C40C66FF867C}">
                  <a14:compatExt spid="_x0000_s80928"/>
                </a:ext>
                <a:ext uri="{FF2B5EF4-FFF2-40B4-BE49-F238E27FC236}">
                  <a16:creationId xmlns:a16="http://schemas.microsoft.com/office/drawing/2014/main" id="{00000000-0008-0000-0500-00002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123825</xdr:rowOff>
        </xdr:from>
        <xdr:to>
          <xdr:col>1</xdr:col>
          <xdr:colOff>0</xdr:colOff>
          <xdr:row>75</xdr:row>
          <xdr:rowOff>38100</xdr:rowOff>
        </xdr:to>
        <xdr:sp macro="" textlink="">
          <xdr:nvSpPr>
            <xdr:cNvPr id="80929" name="Check Box 33" hidden="1">
              <a:extLst>
                <a:ext uri="{63B3BB69-23CF-44E3-9099-C40C66FF867C}">
                  <a14:compatExt spid="_x0000_s80929"/>
                </a:ext>
                <a:ext uri="{FF2B5EF4-FFF2-40B4-BE49-F238E27FC236}">
                  <a16:creationId xmlns:a16="http://schemas.microsoft.com/office/drawing/2014/main" id="{00000000-0008-0000-0500-00002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123825</xdr:rowOff>
        </xdr:from>
        <xdr:to>
          <xdr:col>1</xdr:col>
          <xdr:colOff>0</xdr:colOff>
          <xdr:row>76</xdr:row>
          <xdr:rowOff>38100</xdr:rowOff>
        </xdr:to>
        <xdr:sp macro="" textlink="">
          <xdr:nvSpPr>
            <xdr:cNvPr id="80930" name="Check Box 34" hidden="1">
              <a:extLst>
                <a:ext uri="{63B3BB69-23CF-44E3-9099-C40C66FF867C}">
                  <a14:compatExt spid="_x0000_s80930"/>
                </a:ext>
                <a:ext uri="{FF2B5EF4-FFF2-40B4-BE49-F238E27FC236}">
                  <a16:creationId xmlns:a16="http://schemas.microsoft.com/office/drawing/2014/main" id="{00000000-0008-0000-0500-00002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123825</xdr:rowOff>
        </xdr:from>
        <xdr:to>
          <xdr:col>1</xdr:col>
          <xdr:colOff>0</xdr:colOff>
          <xdr:row>77</xdr:row>
          <xdr:rowOff>38100</xdr:rowOff>
        </xdr:to>
        <xdr:sp macro="" textlink="">
          <xdr:nvSpPr>
            <xdr:cNvPr id="80931" name="Check Box 35" hidden="1">
              <a:extLst>
                <a:ext uri="{63B3BB69-23CF-44E3-9099-C40C66FF867C}">
                  <a14:compatExt spid="_x0000_s80931"/>
                </a:ext>
                <a:ext uri="{FF2B5EF4-FFF2-40B4-BE49-F238E27FC236}">
                  <a16:creationId xmlns:a16="http://schemas.microsoft.com/office/drawing/2014/main" id="{00000000-0008-0000-0500-00002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123825</xdr:rowOff>
        </xdr:from>
        <xdr:to>
          <xdr:col>1</xdr:col>
          <xdr:colOff>0</xdr:colOff>
          <xdr:row>78</xdr:row>
          <xdr:rowOff>38100</xdr:rowOff>
        </xdr:to>
        <xdr:sp macro="" textlink="">
          <xdr:nvSpPr>
            <xdr:cNvPr id="80932" name="Check Box 36" hidden="1">
              <a:extLst>
                <a:ext uri="{63B3BB69-23CF-44E3-9099-C40C66FF867C}">
                  <a14:compatExt spid="_x0000_s80932"/>
                </a:ext>
                <a:ext uri="{FF2B5EF4-FFF2-40B4-BE49-F238E27FC236}">
                  <a16:creationId xmlns:a16="http://schemas.microsoft.com/office/drawing/2014/main" id="{00000000-0008-0000-0500-00002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123825</xdr:rowOff>
        </xdr:from>
        <xdr:to>
          <xdr:col>1</xdr:col>
          <xdr:colOff>0</xdr:colOff>
          <xdr:row>79</xdr:row>
          <xdr:rowOff>38100</xdr:rowOff>
        </xdr:to>
        <xdr:sp macro="" textlink="">
          <xdr:nvSpPr>
            <xdr:cNvPr id="80933" name="Check Box 37" hidden="1">
              <a:extLst>
                <a:ext uri="{63B3BB69-23CF-44E3-9099-C40C66FF867C}">
                  <a14:compatExt spid="_x0000_s80933"/>
                </a:ext>
                <a:ext uri="{FF2B5EF4-FFF2-40B4-BE49-F238E27FC236}">
                  <a16:creationId xmlns:a16="http://schemas.microsoft.com/office/drawing/2014/main" id="{00000000-0008-0000-0500-00002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123825</xdr:rowOff>
        </xdr:from>
        <xdr:to>
          <xdr:col>1</xdr:col>
          <xdr:colOff>0</xdr:colOff>
          <xdr:row>80</xdr:row>
          <xdr:rowOff>38100</xdr:rowOff>
        </xdr:to>
        <xdr:sp macro="" textlink="">
          <xdr:nvSpPr>
            <xdr:cNvPr id="80934" name="Check Box 38" hidden="1">
              <a:extLst>
                <a:ext uri="{63B3BB69-23CF-44E3-9099-C40C66FF867C}">
                  <a14:compatExt spid="_x0000_s80934"/>
                </a:ext>
                <a:ext uri="{FF2B5EF4-FFF2-40B4-BE49-F238E27FC236}">
                  <a16:creationId xmlns:a16="http://schemas.microsoft.com/office/drawing/2014/main" id="{00000000-0008-0000-0500-00002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123825</xdr:rowOff>
        </xdr:from>
        <xdr:to>
          <xdr:col>1</xdr:col>
          <xdr:colOff>0</xdr:colOff>
          <xdr:row>81</xdr:row>
          <xdr:rowOff>38100</xdr:rowOff>
        </xdr:to>
        <xdr:sp macro="" textlink="">
          <xdr:nvSpPr>
            <xdr:cNvPr id="80935" name="Check Box 39" hidden="1">
              <a:extLst>
                <a:ext uri="{63B3BB69-23CF-44E3-9099-C40C66FF867C}">
                  <a14:compatExt spid="_x0000_s80935"/>
                </a:ext>
                <a:ext uri="{FF2B5EF4-FFF2-40B4-BE49-F238E27FC236}">
                  <a16:creationId xmlns:a16="http://schemas.microsoft.com/office/drawing/2014/main" id="{00000000-0008-0000-0500-00002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123825</xdr:rowOff>
        </xdr:from>
        <xdr:to>
          <xdr:col>1</xdr:col>
          <xdr:colOff>0</xdr:colOff>
          <xdr:row>82</xdr:row>
          <xdr:rowOff>38100</xdr:rowOff>
        </xdr:to>
        <xdr:sp macro="" textlink="">
          <xdr:nvSpPr>
            <xdr:cNvPr id="80936" name="Check Box 40" hidden="1">
              <a:extLst>
                <a:ext uri="{63B3BB69-23CF-44E3-9099-C40C66FF867C}">
                  <a14:compatExt spid="_x0000_s80936"/>
                </a:ext>
                <a:ext uri="{FF2B5EF4-FFF2-40B4-BE49-F238E27FC236}">
                  <a16:creationId xmlns:a16="http://schemas.microsoft.com/office/drawing/2014/main" id="{00000000-0008-0000-0500-00002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123825</xdr:rowOff>
        </xdr:from>
        <xdr:to>
          <xdr:col>1</xdr:col>
          <xdr:colOff>0</xdr:colOff>
          <xdr:row>83</xdr:row>
          <xdr:rowOff>38100</xdr:rowOff>
        </xdr:to>
        <xdr:sp macro="" textlink="">
          <xdr:nvSpPr>
            <xdr:cNvPr id="80937" name="Check Box 41" hidden="1">
              <a:extLst>
                <a:ext uri="{63B3BB69-23CF-44E3-9099-C40C66FF867C}">
                  <a14:compatExt spid="_x0000_s80937"/>
                </a:ext>
                <a:ext uri="{FF2B5EF4-FFF2-40B4-BE49-F238E27FC236}">
                  <a16:creationId xmlns:a16="http://schemas.microsoft.com/office/drawing/2014/main" id="{00000000-0008-0000-0500-00002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123825</xdr:rowOff>
        </xdr:from>
        <xdr:to>
          <xdr:col>1</xdr:col>
          <xdr:colOff>0</xdr:colOff>
          <xdr:row>84</xdr:row>
          <xdr:rowOff>38100</xdr:rowOff>
        </xdr:to>
        <xdr:sp macro="" textlink="">
          <xdr:nvSpPr>
            <xdr:cNvPr id="80938" name="Check Box 42" hidden="1">
              <a:extLst>
                <a:ext uri="{63B3BB69-23CF-44E3-9099-C40C66FF867C}">
                  <a14:compatExt spid="_x0000_s80938"/>
                </a:ext>
                <a:ext uri="{FF2B5EF4-FFF2-40B4-BE49-F238E27FC236}">
                  <a16:creationId xmlns:a16="http://schemas.microsoft.com/office/drawing/2014/main" id="{00000000-0008-0000-0500-00002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123825</xdr:rowOff>
        </xdr:from>
        <xdr:to>
          <xdr:col>1</xdr:col>
          <xdr:colOff>0</xdr:colOff>
          <xdr:row>85</xdr:row>
          <xdr:rowOff>38100</xdr:rowOff>
        </xdr:to>
        <xdr:sp macro="" textlink="">
          <xdr:nvSpPr>
            <xdr:cNvPr id="80939" name="Check Box 43" hidden="1">
              <a:extLst>
                <a:ext uri="{63B3BB69-23CF-44E3-9099-C40C66FF867C}">
                  <a14:compatExt spid="_x0000_s80939"/>
                </a:ext>
                <a:ext uri="{FF2B5EF4-FFF2-40B4-BE49-F238E27FC236}">
                  <a16:creationId xmlns:a16="http://schemas.microsoft.com/office/drawing/2014/main" id="{00000000-0008-0000-0500-00002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123825</xdr:rowOff>
        </xdr:from>
        <xdr:to>
          <xdr:col>1</xdr:col>
          <xdr:colOff>0</xdr:colOff>
          <xdr:row>86</xdr:row>
          <xdr:rowOff>38100</xdr:rowOff>
        </xdr:to>
        <xdr:sp macro="" textlink="">
          <xdr:nvSpPr>
            <xdr:cNvPr id="80940" name="Check Box 44" hidden="1">
              <a:extLst>
                <a:ext uri="{63B3BB69-23CF-44E3-9099-C40C66FF867C}">
                  <a14:compatExt spid="_x0000_s80940"/>
                </a:ext>
                <a:ext uri="{FF2B5EF4-FFF2-40B4-BE49-F238E27FC236}">
                  <a16:creationId xmlns:a16="http://schemas.microsoft.com/office/drawing/2014/main" id="{00000000-0008-0000-0500-00002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123825</xdr:rowOff>
        </xdr:from>
        <xdr:to>
          <xdr:col>1</xdr:col>
          <xdr:colOff>0</xdr:colOff>
          <xdr:row>87</xdr:row>
          <xdr:rowOff>38100</xdr:rowOff>
        </xdr:to>
        <xdr:sp macro="" textlink="">
          <xdr:nvSpPr>
            <xdr:cNvPr id="80941" name="Check Box 45" hidden="1">
              <a:extLst>
                <a:ext uri="{63B3BB69-23CF-44E3-9099-C40C66FF867C}">
                  <a14:compatExt spid="_x0000_s80941"/>
                </a:ext>
                <a:ext uri="{FF2B5EF4-FFF2-40B4-BE49-F238E27FC236}">
                  <a16:creationId xmlns:a16="http://schemas.microsoft.com/office/drawing/2014/main" id="{00000000-0008-0000-0500-00002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123825</xdr:rowOff>
        </xdr:from>
        <xdr:to>
          <xdr:col>1</xdr:col>
          <xdr:colOff>0</xdr:colOff>
          <xdr:row>88</xdr:row>
          <xdr:rowOff>38100</xdr:rowOff>
        </xdr:to>
        <xdr:sp macro="" textlink="">
          <xdr:nvSpPr>
            <xdr:cNvPr id="80942" name="Check Box 46" hidden="1">
              <a:extLst>
                <a:ext uri="{63B3BB69-23CF-44E3-9099-C40C66FF867C}">
                  <a14:compatExt spid="_x0000_s80942"/>
                </a:ext>
                <a:ext uri="{FF2B5EF4-FFF2-40B4-BE49-F238E27FC236}">
                  <a16:creationId xmlns:a16="http://schemas.microsoft.com/office/drawing/2014/main" id="{00000000-0008-0000-0500-00002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123825</xdr:rowOff>
        </xdr:from>
        <xdr:to>
          <xdr:col>1</xdr:col>
          <xdr:colOff>0</xdr:colOff>
          <xdr:row>89</xdr:row>
          <xdr:rowOff>38100</xdr:rowOff>
        </xdr:to>
        <xdr:sp macro="" textlink="">
          <xdr:nvSpPr>
            <xdr:cNvPr id="80943" name="Check Box 47" hidden="1">
              <a:extLst>
                <a:ext uri="{63B3BB69-23CF-44E3-9099-C40C66FF867C}">
                  <a14:compatExt spid="_x0000_s80943"/>
                </a:ext>
                <a:ext uri="{FF2B5EF4-FFF2-40B4-BE49-F238E27FC236}">
                  <a16:creationId xmlns:a16="http://schemas.microsoft.com/office/drawing/2014/main" id="{00000000-0008-0000-0500-00002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123825</xdr:rowOff>
        </xdr:from>
        <xdr:to>
          <xdr:col>1</xdr:col>
          <xdr:colOff>0</xdr:colOff>
          <xdr:row>90</xdr:row>
          <xdr:rowOff>38100</xdr:rowOff>
        </xdr:to>
        <xdr:sp macro="" textlink="">
          <xdr:nvSpPr>
            <xdr:cNvPr id="80944" name="Check Box 48" hidden="1">
              <a:extLst>
                <a:ext uri="{63B3BB69-23CF-44E3-9099-C40C66FF867C}">
                  <a14:compatExt spid="_x0000_s80944"/>
                </a:ext>
                <a:ext uri="{FF2B5EF4-FFF2-40B4-BE49-F238E27FC236}">
                  <a16:creationId xmlns:a16="http://schemas.microsoft.com/office/drawing/2014/main" id="{00000000-0008-0000-0500-00003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123825</xdr:rowOff>
        </xdr:from>
        <xdr:to>
          <xdr:col>1</xdr:col>
          <xdr:colOff>0</xdr:colOff>
          <xdr:row>91</xdr:row>
          <xdr:rowOff>38100</xdr:rowOff>
        </xdr:to>
        <xdr:sp macro="" textlink="">
          <xdr:nvSpPr>
            <xdr:cNvPr id="80945" name="Check Box 49" hidden="1">
              <a:extLst>
                <a:ext uri="{63B3BB69-23CF-44E3-9099-C40C66FF867C}">
                  <a14:compatExt spid="_x0000_s80945"/>
                </a:ext>
                <a:ext uri="{FF2B5EF4-FFF2-40B4-BE49-F238E27FC236}">
                  <a16:creationId xmlns:a16="http://schemas.microsoft.com/office/drawing/2014/main" id="{00000000-0008-0000-0500-00003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123825</xdr:rowOff>
        </xdr:from>
        <xdr:to>
          <xdr:col>1</xdr:col>
          <xdr:colOff>0</xdr:colOff>
          <xdr:row>92</xdr:row>
          <xdr:rowOff>38100</xdr:rowOff>
        </xdr:to>
        <xdr:sp macro="" textlink="">
          <xdr:nvSpPr>
            <xdr:cNvPr id="80946" name="Check Box 50" hidden="1">
              <a:extLst>
                <a:ext uri="{63B3BB69-23CF-44E3-9099-C40C66FF867C}">
                  <a14:compatExt spid="_x0000_s80946"/>
                </a:ext>
                <a:ext uri="{FF2B5EF4-FFF2-40B4-BE49-F238E27FC236}">
                  <a16:creationId xmlns:a16="http://schemas.microsoft.com/office/drawing/2014/main" id="{00000000-0008-0000-0500-00003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123825</xdr:rowOff>
        </xdr:from>
        <xdr:to>
          <xdr:col>1</xdr:col>
          <xdr:colOff>0</xdr:colOff>
          <xdr:row>93</xdr:row>
          <xdr:rowOff>38100</xdr:rowOff>
        </xdr:to>
        <xdr:sp macro="" textlink="">
          <xdr:nvSpPr>
            <xdr:cNvPr id="80947" name="Check Box 51" hidden="1">
              <a:extLst>
                <a:ext uri="{63B3BB69-23CF-44E3-9099-C40C66FF867C}">
                  <a14:compatExt spid="_x0000_s80947"/>
                </a:ext>
                <a:ext uri="{FF2B5EF4-FFF2-40B4-BE49-F238E27FC236}">
                  <a16:creationId xmlns:a16="http://schemas.microsoft.com/office/drawing/2014/main" id="{00000000-0008-0000-0500-00003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123825</xdr:rowOff>
        </xdr:from>
        <xdr:to>
          <xdr:col>1</xdr:col>
          <xdr:colOff>0</xdr:colOff>
          <xdr:row>94</xdr:row>
          <xdr:rowOff>38100</xdr:rowOff>
        </xdr:to>
        <xdr:sp macro="" textlink="">
          <xdr:nvSpPr>
            <xdr:cNvPr id="80948" name="Check Box 52" hidden="1">
              <a:extLst>
                <a:ext uri="{63B3BB69-23CF-44E3-9099-C40C66FF867C}">
                  <a14:compatExt spid="_x0000_s80948"/>
                </a:ext>
                <a:ext uri="{FF2B5EF4-FFF2-40B4-BE49-F238E27FC236}">
                  <a16:creationId xmlns:a16="http://schemas.microsoft.com/office/drawing/2014/main" id="{00000000-0008-0000-0500-00003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123825</xdr:rowOff>
        </xdr:from>
        <xdr:to>
          <xdr:col>1</xdr:col>
          <xdr:colOff>0</xdr:colOff>
          <xdr:row>95</xdr:row>
          <xdr:rowOff>38100</xdr:rowOff>
        </xdr:to>
        <xdr:sp macro="" textlink="">
          <xdr:nvSpPr>
            <xdr:cNvPr id="80949" name="Check Box 53" hidden="1">
              <a:extLst>
                <a:ext uri="{63B3BB69-23CF-44E3-9099-C40C66FF867C}">
                  <a14:compatExt spid="_x0000_s80949"/>
                </a:ext>
                <a:ext uri="{FF2B5EF4-FFF2-40B4-BE49-F238E27FC236}">
                  <a16:creationId xmlns:a16="http://schemas.microsoft.com/office/drawing/2014/main" id="{00000000-0008-0000-0500-00003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123825</xdr:rowOff>
        </xdr:from>
        <xdr:to>
          <xdr:col>1</xdr:col>
          <xdr:colOff>0</xdr:colOff>
          <xdr:row>96</xdr:row>
          <xdr:rowOff>38100</xdr:rowOff>
        </xdr:to>
        <xdr:sp macro="" textlink="">
          <xdr:nvSpPr>
            <xdr:cNvPr id="80950" name="Check Box 54" hidden="1">
              <a:extLst>
                <a:ext uri="{63B3BB69-23CF-44E3-9099-C40C66FF867C}">
                  <a14:compatExt spid="_x0000_s80950"/>
                </a:ext>
                <a:ext uri="{FF2B5EF4-FFF2-40B4-BE49-F238E27FC236}">
                  <a16:creationId xmlns:a16="http://schemas.microsoft.com/office/drawing/2014/main" id="{00000000-0008-0000-0500-00003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123825</xdr:rowOff>
        </xdr:from>
        <xdr:to>
          <xdr:col>1</xdr:col>
          <xdr:colOff>0</xdr:colOff>
          <xdr:row>97</xdr:row>
          <xdr:rowOff>38100</xdr:rowOff>
        </xdr:to>
        <xdr:sp macro="" textlink="">
          <xdr:nvSpPr>
            <xdr:cNvPr id="80951" name="Check Box 55" hidden="1">
              <a:extLst>
                <a:ext uri="{63B3BB69-23CF-44E3-9099-C40C66FF867C}">
                  <a14:compatExt spid="_x0000_s80951"/>
                </a:ext>
                <a:ext uri="{FF2B5EF4-FFF2-40B4-BE49-F238E27FC236}">
                  <a16:creationId xmlns:a16="http://schemas.microsoft.com/office/drawing/2014/main" id="{00000000-0008-0000-0500-00003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123825</xdr:rowOff>
        </xdr:from>
        <xdr:to>
          <xdr:col>1</xdr:col>
          <xdr:colOff>0</xdr:colOff>
          <xdr:row>98</xdr:row>
          <xdr:rowOff>38100</xdr:rowOff>
        </xdr:to>
        <xdr:sp macro="" textlink="">
          <xdr:nvSpPr>
            <xdr:cNvPr id="80952" name="Check Box 56" hidden="1">
              <a:extLst>
                <a:ext uri="{63B3BB69-23CF-44E3-9099-C40C66FF867C}">
                  <a14:compatExt spid="_x0000_s80952"/>
                </a:ext>
                <a:ext uri="{FF2B5EF4-FFF2-40B4-BE49-F238E27FC236}">
                  <a16:creationId xmlns:a16="http://schemas.microsoft.com/office/drawing/2014/main" id="{00000000-0008-0000-0500-00003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123825</xdr:rowOff>
        </xdr:from>
        <xdr:to>
          <xdr:col>1</xdr:col>
          <xdr:colOff>0</xdr:colOff>
          <xdr:row>99</xdr:row>
          <xdr:rowOff>38100</xdr:rowOff>
        </xdr:to>
        <xdr:sp macro="" textlink="">
          <xdr:nvSpPr>
            <xdr:cNvPr id="80953" name="Check Box 57" hidden="1">
              <a:extLst>
                <a:ext uri="{63B3BB69-23CF-44E3-9099-C40C66FF867C}">
                  <a14:compatExt spid="_x0000_s80953"/>
                </a:ext>
                <a:ext uri="{FF2B5EF4-FFF2-40B4-BE49-F238E27FC236}">
                  <a16:creationId xmlns:a16="http://schemas.microsoft.com/office/drawing/2014/main" id="{00000000-0008-0000-0500-00003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0</xdr:rowOff>
        </xdr:from>
        <xdr:to>
          <xdr:col>1</xdr:col>
          <xdr:colOff>66675</xdr:colOff>
          <xdr:row>100</xdr:row>
          <xdr:rowOff>0</xdr:rowOff>
        </xdr:to>
        <xdr:sp macro="" textlink="">
          <xdr:nvSpPr>
            <xdr:cNvPr id="80954" name="Check Box 58" hidden="1">
              <a:extLst>
                <a:ext uri="{63B3BB69-23CF-44E3-9099-C40C66FF867C}">
                  <a14:compatExt spid="_x0000_s80954"/>
                </a:ext>
                <a:ext uri="{FF2B5EF4-FFF2-40B4-BE49-F238E27FC236}">
                  <a16:creationId xmlns:a16="http://schemas.microsoft.com/office/drawing/2014/main" id="{00000000-0008-0000-0500-00003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123825</xdr:rowOff>
        </xdr:from>
        <xdr:to>
          <xdr:col>1</xdr:col>
          <xdr:colOff>0</xdr:colOff>
          <xdr:row>102</xdr:row>
          <xdr:rowOff>38100</xdr:rowOff>
        </xdr:to>
        <xdr:sp macro="" textlink="">
          <xdr:nvSpPr>
            <xdr:cNvPr id="80956" name="Check Box 60" hidden="1">
              <a:extLst>
                <a:ext uri="{63B3BB69-23CF-44E3-9099-C40C66FF867C}">
                  <a14:compatExt spid="_x0000_s80956"/>
                </a:ext>
                <a:ext uri="{FF2B5EF4-FFF2-40B4-BE49-F238E27FC236}">
                  <a16:creationId xmlns:a16="http://schemas.microsoft.com/office/drawing/2014/main" id="{00000000-0008-0000-0500-00003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123825</xdr:rowOff>
        </xdr:from>
        <xdr:to>
          <xdr:col>1</xdr:col>
          <xdr:colOff>0</xdr:colOff>
          <xdr:row>103</xdr:row>
          <xdr:rowOff>38100</xdr:rowOff>
        </xdr:to>
        <xdr:sp macro="" textlink="">
          <xdr:nvSpPr>
            <xdr:cNvPr id="80957" name="Check Box 61" hidden="1">
              <a:extLst>
                <a:ext uri="{63B3BB69-23CF-44E3-9099-C40C66FF867C}">
                  <a14:compatExt spid="_x0000_s80957"/>
                </a:ext>
                <a:ext uri="{FF2B5EF4-FFF2-40B4-BE49-F238E27FC236}">
                  <a16:creationId xmlns:a16="http://schemas.microsoft.com/office/drawing/2014/main" id="{00000000-0008-0000-0500-00003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123825</xdr:rowOff>
        </xdr:from>
        <xdr:to>
          <xdr:col>1</xdr:col>
          <xdr:colOff>0</xdr:colOff>
          <xdr:row>104</xdr:row>
          <xdr:rowOff>38100</xdr:rowOff>
        </xdr:to>
        <xdr:sp macro="" textlink="">
          <xdr:nvSpPr>
            <xdr:cNvPr id="80958" name="Check Box 62" hidden="1">
              <a:extLst>
                <a:ext uri="{63B3BB69-23CF-44E3-9099-C40C66FF867C}">
                  <a14:compatExt spid="_x0000_s80958"/>
                </a:ext>
                <a:ext uri="{FF2B5EF4-FFF2-40B4-BE49-F238E27FC236}">
                  <a16:creationId xmlns:a16="http://schemas.microsoft.com/office/drawing/2014/main" id="{00000000-0008-0000-0500-00003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123825</xdr:rowOff>
        </xdr:from>
        <xdr:to>
          <xdr:col>1</xdr:col>
          <xdr:colOff>0</xdr:colOff>
          <xdr:row>105</xdr:row>
          <xdr:rowOff>38100</xdr:rowOff>
        </xdr:to>
        <xdr:sp macro="" textlink="">
          <xdr:nvSpPr>
            <xdr:cNvPr id="80959" name="Check Box 63" hidden="1">
              <a:extLst>
                <a:ext uri="{63B3BB69-23CF-44E3-9099-C40C66FF867C}">
                  <a14:compatExt spid="_x0000_s80959"/>
                </a:ext>
                <a:ext uri="{FF2B5EF4-FFF2-40B4-BE49-F238E27FC236}">
                  <a16:creationId xmlns:a16="http://schemas.microsoft.com/office/drawing/2014/main" id="{00000000-0008-0000-0500-00003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123825</xdr:rowOff>
        </xdr:from>
        <xdr:to>
          <xdr:col>1</xdr:col>
          <xdr:colOff>0</xdr:colOff>
          <xdr:row>106</xdr:row>
          <xdr:rowOff>38100</xdr:rowOff>
        </xdr:to>
        <xdr:sp macro="" textlink="">
          <xdr:nvSpPr>
            <xdr:cNvPr id="80960" name="Check Box 64" hidden="1">
              <a:extLst>
                <a:ext uri="{63B3BB69-23CF-44E3-9099-C40C66FF867C}">
                  <a14:compatExt spid="_x0000_s80960"/>
                </a:ext>
                <a:ext uri="{FF2B5EF4-FFF2-40B4-BE49-F238E27FC236}">
                  <a16:creationId xmlns:a16="http://schemas.microsoft.com/office/drawing/2014/main" id="{00000000-0008-0000-0500-00004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123825</xdr:rowOff>
        </xdr:from>
        <xdr:to>
          <xdr:col>1</xdr:col>
          <xdr:colOff>0</xdr:colOff>
          <xdr:row>107</xdr:row>
          <xdr:rowOff>38100</xdr:rowOff>
        </xdr:to>
        <xdr:sp macro="" textlink="">
          <xdr:nvSpPr>
            <xdr:cNvPr id="80961" name="Check Box 65" hidden="1">
              <a:extLst>
                <a:ext uri="{63B3BB69-23CF-44E3-9099-C40C66FF867C}">
                  <a14:compatExt spid="_x0000_s80961"/>
                </a:ext>
                <a:ext uri="{FF2B5EF4-FFF2-40B4-BE49-F238E27FC236}">
                  <a16:creationId xmlns:a16="http://schemas.microsoft.com/office/drawing/2014/main" id="{00000000-0008-0000-0500-00004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123825</xdr:rowOff>
        </xdr:from>
        <xdr:to>
          <xdr:col>1</xdr:col>
          <xdr:colOff>0</xdr:colOff>
          <xdr:row>108</xdr:row>
          <xdr:rowOff>38100</xdr:rowOff>
        </xdr:to>
        <xdr:sp macro="" textlink="">
          <xdr:nvSpPr>
            <xdr:cNvPr id="80962" name="Check Box 66" hidden="1">
              <a:extLst>
                <a:ext uri="{63B3BB69-23CF-44E3-9099-C40C66FF867C}">
                  <a14:compatExt spid="_x0000_s80962"/>
                </a:ext>
                <a:ext uri="{FF2B5EF4-FFF2-40B4-BE49-F238E27FC236}">
                  <a16:creationId xmlns:a16="http://schemas.microsoft.com/office/drawing/2014/main" id="{00000000-0008-0000-0500-00004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123825</xdr:rowOff>
        </xdr:from>
        <xdr:to>
          <xdr:col>1</xdr:col>
          <xdr:colOff>0</xdr:colOff>
          <xdr:row>109</xdr:row>
          <xdr:rowOff>38100</xdr:rowOff>
        </xdr:to>
        <xdr:sp macro="" textlink="">
          <xdr:nvSpPr>
            <xdr:cNvPr id="80963" name="Check Box 67" hidden="1">
              <a:extLst>
                <a:ext uri="{63B3BB69-23CF-44E3-9099-C40C66FF867C}">
                  <a14:compatExt spid="_x0000_s80963"/>
                </a:ext>
                <a:ext uri="{FF2B5EF4-FFF2-40B4-BE49-F238E27FC236}">
                  <a16:creationId xmlns:a16="http://schemas.microsoft.com/office/drawing/2014/main" id="{00000000-0008-0000-0500-00004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108</xdr:row>
          <xdr:rowOff>123825</xdr:rowOff>
        </xdr:from>
        <xdr:to>
          <xdr:col>1</xdr:col>
          <xdr:colOff>0</xdr:colOff>
          <xdr:row>110</xdr:row>
          <xdr:rowOff>38100</xdr:rowOff>
        </xdr:to>
        <xdr:sp macro="" textlink="">
          <xdr:nvSpPr>
            <xdr:cNvPr id="80964" name="Check Box 68" hidden="1">
              <a:extLst>
                <a:ext uri="{63B3BB69-23CF-44E3-9099-C40C66FF867C}">
                  <a14:compatExt spid="_x0000_s80964"/>
                </a:ext>
                <a:ext uri="{FF2B5EF4-FFF2-40B4-BE49-F238E27FC236}">
                  <a16:creationId xmlns:a16="http://schemas.microsoft.com/office/drawing/2014/main" id="{00000000-0008-0000-0500-00004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109</xdr:row>
          <xdr:rowOff>123825</xdr:rowOff>
        </xdr:from>
        <xdr:to>
          <xdr:col>1</xdr:col>
          <xdr:colOff>0</xdr:colOff>
          <xdr:row>111</xdr:row>
          <xdr:rowOff>38100</xdr:rowOff>
        </xdr:to>
        <xdr:sp macro="" textlink="">
          <xdr:nvSpPr>
            <xdr:cNvPr id="80965" name="Check Box 69" hidden="1">
              <a:extLst>
                <a:ext uri="{63B3BB69-23CF-44E3-9099-C40C66FF867C}">
                  <a14:compatExt spid="_x0000_s80965"/>
                </a:ext>
                <a:ext uri="{FF2B5EF4-FFF2-40B4-BE49-F238E27FC236}">
                  <a16:creationId xmlns:a16="http://schemas.microsoft.com/office/drawing/2014/main" id="{00000000-0008-0000-0500-00004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110</xdr:row>
          <xdr:rowOff>123825</xdr:rowOff>
        </xdr:from>
        <xdr:to>
          <xdr:col>1</xdr:col>
          <xdr:colOff>0</xdr:colOff>
          <xdr:row>112</xdr:row>
          <xdr:rowOff>38100</xdr:rowOff>
        </xdr:to>
        <xdr:sp macro="" textlink="">
          <xdr:nvSpPr>
            <xdr:cNvPr id="80966" name="Check Box 70" hidden="1">
              <a:extLst>
                <a:ext uri="{63B3BB69-23CF-44E3-9099-C40C66FF867C}">
                  <a14:compatExt spid="_x0000_s80966"/>
                </a:ext>
                <a:ext uri="{FF2B5EF4-FFF2-40B4-BE49-F238E27FC236}">
                  <a16:creationId xmlns:a16="http://schemas.microsoft.com/office/drawing/2014/main" id="{00000000-0008-0000-0500-00004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111</xdr:row>
          <xdr:rowOff>123825</xdr:rowOff>
        </xdr:from>
        <xdr:to>
          <xdr:col>1</xdr:col>
          <xdr:colOff>0</xdr:colOff>
          <xdr:row>113</xdr:row>
          <xdr:rowOff>38100</xdr:rowOff>
        </xdr:to>
        <xdr:sp macro="" textlink="">
          <xdr:nvSpPr>
            <xdr:cNvPr id="80967" name="Check Box 71" hidden="1">
              <a:extLst>
                <a:ext uri="{63B3BB69-23CF-44E3-9099-C40C66FF867C}">
                  <a14:compatExt spid="_x0000_s80967"/>
                </a:ext>
                <a:ext uri="{FF2B5EF4-FFF2-40B4-BE49-F238E27FC236}">
                  <a16:creationId xmlns:a16="http://schemas.microsoft.com/office/drawing/2014/main" id="{00000000-0008-0000-0500-00004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112</xdr:row>
          <xdr:rowOff>123825</xdr:rowOff>
        </xdr:from>
        <xdr:to>
          <xdr:col>1</xdr:col>
          <xdr:colOff>0</xdr:colOff>
          <xdr:row>114</xdr:row>
          <xdr:rowOff>38100</xdr:rowOff>
        </xdr:to>
        <xdr:sp macro="" textlink="">
          <xdr:nvSpPr>
            <xdr:cNvPr id="80968" name="Check Box 72" hidden="1">
              <a:extLst>
                <a:ext uri="{63B3BB69-23CF-44E3-9099-C40C66FF867C}">
                  <a14:compatExt spid="_x0000_s80968"/>
                </a:ext>
                <a:ext uri="{FF2B5EF4-FFF2-40B4-BE49-F238E27FC236}">
                  <a16:creationId xmlns:a16="http://schemas.microsoft.com/office/drawing/2014/main" id="{00000000-0008-0000-0500-00004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113</xdr:row>
          <xdr:rowOff>123825</xdr:rowOff>
        </xdr:from>
        <xdr:to>
          <xdr:col>1</xdr:col>
          <xdr:colOff>0</xdr:colOff>
          <xdr:row>115</xdr:row>
          <xdr:rowOff>38100</xdr:rowOff>
        </xdr:to>
        <xdr:sp macro="" textlink="">
          <xdr:nvSpPr>
            <xdr:cNvPr id="80969" name="Check Box 73" hidden="1">
              <a:extLst>
                <a:ext uri="{63B3BB69-23CF-44E3-9099-C40C66FF867C}">
                  <a14:compatExt spid="_x0000_s80969"/>
                </a:ext>
                <a:ext uri="{FF2B5EF4-FFF2-40B4-BE49-F238E27FC236}">
                  <a16:creationId xmlns:a16="http://schemas.microsoft.com/office/drawing/2014/main" id="{00000000-0008-0000-0500-00004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114</xdr:row>
          <xdr:rowOff>123825</xdr:rowOff>
        </xdr:from>
        <xdr:to>
          <xdr:col>1</xdr:col>
          <xdr:colOff>0</xdr:colOff>
          <xdr:row>116</xdr:row>
          <xdr:rowOff>38100</xdr:rowOff>
        </xdr:to>
        <xdr:sp macro="" textlink="">
          <xdr:nvSpPr>
            <xdr:cNvPr id="80970" name="Check Box 74" hidden="1">
              <a:extLst>
                <a:ext uri="{63B3BB69-23CF-44E3-9099-C40C66FF867C}">
                  <a14:compatExt spid="_x0000_s80970"/>
                </a:ext>
                <a:ext uri="{FF2B5EF4-FFF2-40B4-BE49-F238E27FC236}">
                  <a16:creationId xmlns:a16="http://schemas.microsoft.com/office/drawing/2014/main" id="{00000000-0008-0000-0500-00004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115</xdr:row>
          <xdr:rowOff>123825</xdr:rowOff>
        </xdr:from>
        <xdr:to>
          <xdr:col>1</xdr:col>
          <xdr:colOff>0</xdr:colOff>
          <xdr:row>117</xdr:row>
          <xdr:rowOff>38100</xdr:rowOff>
        </xdr:to>
        <xdr:sp macro="" textlink="">
          <xdr:nvSpPr>
            <xdr:cNvPr id="80971" name="Check Box 75" hidden="1">
              <a:extLst>
                <a:ext uri="{63B3BB69-23CF-44E3-9099-C40C66FF867C}">
                  <a14:compatExt spid="_x0000_s80971"/>
                </a:ext>
                <a:ext uri="{FF2B5EF4-FFF2-40B4-BE49-F238E27FC236}">
                  <a16:creationId xmlns:a16="http://schemas.microsoft.com/office/drawing/2014/main" id="{00000000-0008-0000-0500-00004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116</xdr:row>
          <xdr:rowOff>123825</xdr:rowOff>
        </xdr:from>
        <xdr:to>
          <xdr:col>1</xdr:col>
          <xdr:colOff>0</xdr:colOff>
          <xdr:row>118</xdr:row>
          <xdr:rowOff>38100</xdr:rowOff>
        </xdr:to>
        <xdr:sp macro="" textlink="">
          <xdr:nvSpPr>
            <xdr:cNvPr id="80972" name="Check Box 76" hidden="1">
              <a:extLst>
                <a:ext uri="{63B3BB69-23CF-44E3-9099-C40C66FF867C}">
                  <a14:compatExt spid="_x0000_s80972"/>
                </a:ext>
                <a:ext uri="{FF2B5EF4-FFF2-40B4-BE49-F238E27FC236}">
                  <a16:creationId xmlns:a16="http://schemas.microsoft.com/office/drawing/2014/main" id="{00000000-0008-0000-0500-00004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117</xdr:row>
          <xdr:rowOff>123825</xdr:rowOff>
        </xdr:from>
        <xdr:to>
          <xdr:col>1</xdr:col>
          <xdr:colOff>0</xdr:colOff>
          <xdr:row>119</xdr:row>
          <xdr:rowOff>38100</xdr:rowOff>
        </xdr:to>
        <xdr:sp macro="" textlink="">
          <xdr:nvSpPr>
            <xdr:cNvPr id="80973" name="Check Box 77" hidden="1">
              <a:extLst>
                <a:ext uri="{63B3BB69-23CF-44E3-9099-C40C66FF867C}">
                  <a14:compatExt spid="_x0000_s80973"/>
                </a:ext>
                <a:ext uri="{FF2B5EF4-FFF2-40B4-BE49-F238E27FC236}">
                  <a16:creationId xmlns:a16="http://schemas.microsoft.com/office/drawing/2014/main" id="{00000000-0008-0000-0500-00004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118</xdr:row>
          <xdr:rowOff>123825</xdr:rowOff>
        </xdr:from>
        <xdr:to>
          <xdr:col>1</xdr:col>
          <xdr:colOff>0</xdr:colOff>
          <xdr:row>120</xdr:row>
          <xdr:rowOff>38100</xdr:rowOff>
        </xdr:to>
        <xdr:sp macro="" textlink="">
          <xdr:nvSpPr>
            <xdr:cNvPr id="80974" name="Check Box 78" hidden="1">
              <a:extLst>
                <a:ext uri="{63B3BB69-23CF-44E3-9099-C40C66FF867C}">
                  <a14:compatExt spid="_x0000_s80974"/>
                </a:ext>
                <a:ext uri="{FF2B5EF4-FFF2-40B4-BE49-F238E27FC236}">
                  <a16:creationId xmlns:a16="http://schemas.microsoft.com/office/drawing/2014/main" id="{00000000-0008-0000-0500-00004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119</xdr:row>
          <xdr:rowOff>123825</xdr:rowOff>
        </xdr:from>
        <xdr:to>
          <xdr:col>1</xdr:col>
          <xdr:colOff>0</xdr:colOff>
          <xdr:row>121</xdr:row>
          <xdr:rowOff>38100</xdr:rowOff>
        </xdr:to>
        <xdr:sp macro="" textlink="">
          <xdr:nvSpPr>
            <xdr:cNvPr id="80975" name="Check Box 79" hidden="1">
              <a:extLst>
                <a:ext uri="{63B3BB69-23CF-44E3-9099-C40C66FF867C}">
                  <a14:compatExt spid="_x0000_s80975"/>
                </a:ext>
                <a:ext uri="{FF2B5EF4-FFF2-40B4-BE49-F238E27FC236}">
                  <a16:creationId xmlns:a16="http://schemas.microsoft.com/office/drawing/2014/main" id="{00000000-0008-0000-0500-00004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120</xdr:row>
          <xdr:rowOff>123825</xdr:rowOff>
        </xdr:from>
        <xdr:to>
          <xdr:col>1</xdr:col>
          <xdr:colOff>0</xdr:colOff>
          <xdr:row>122</xdr:row>
          <xdr:rowOff>38100</xdr:rowOff>
        </xdr:to>
        <xdr:sp macro="" textlink="">
          <xdr:nvSpPr>
            <xdr:cNvPr id="80976" name="Check Box 80" hidden="1">
              <a:extLst>
                <a:ext uri="{63B3BB69-23CF-44E3-9099-C40C66FF867C}">
                  <a14:compatExt spid="_x0000_s80976"/>
                </a:ext>
                <a:ext uri="{FF2B5EF4-FFF2-40B4-BE49-F238E27FC236}">
                  <a16:creationId xmlns:a16="http://schemas.microsoft.com/office/drawing/2014/main" id="{00000000-0008-0000-0500-00005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121</xdr:row>
          <xdr:rowOff>123825</xdr:rowOff>
        </xdr:from>
        <xdr:to>
          <xdr:col>1</xdr:col>
          <xdr:colOff>0</xdr:colOff>
          <xdr:row>123</xdr:row>
          <xdr:rowOff>38100</xdr:rowOff>
        </xdr:to>
        <xdr:sp macro="" textlink="">
          <xdr:nvSpPr>
            <xdr:cNvPr id="80977" name="Check Box 81" hidden="1">
              <a:extLst>
                <a:ext uri="{63B3BB69-23CF-44E3-9099-C40C66FF867C}">
                  <a14:compatExt spid="_x0000_s80977"/>
                </a:ext>
                <a:ext uri="{FF2B5EF4-FFF2-40B4-BE49-F238E27FC236}">
                  <a16:creationId xmlns:a16="http://schemas.microsoft.com/office/drawing/2014/main" id="{00000000-0008-0000-0500-00005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122</xdr:row>
          <xdr:rowOff>123825</xdr:rowOff>
        </xdr:from>
        <xdr:to>
          <xdr:col>1</xdr:col>
          <xdr:colOff>0</xdr:colOff>
          <xdr:row>124</xdr:row>
          <xdr:rowOff>38100</xdr:rowOff>
        </xdr:to>
        <xdr:sp macro="" textlink="">
          <xdr:nvSpPr>
            <xdr:cNvPr id="80978" name="Check Box 82" hidden="1">
              <a:extLst>
                <a:ext uri="{63B3BB69-23CF-44E3-9099-C40C66FF867C}">
                  <a14:compatExt spid="_x0000_s80978"/>
                </a:ext>
                <a:ext uri="{FF2B5EF4-FFF2-40B4-BE49-F238E27FC236}">
                  <a16:creationId xmlns:a16="http://schemas.microsoft.com/office/drawing/2014/main" id="{00000000-0008-0000-0500-00005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123</xdr:row>
          <xdr:rowOff>123825</xdr:rowOff>
        </xdr:from>
        <xdr:to>
          <xdr:col>1</xdr:col>
          <xdr:colOff>0</xdr:colOff>
          <xdr:row>125</xdr:row>
          <xdr:rowOff>38100</xdr:rowOff>
        </xdr:to>
        <xdr:sp macro="" textlink="">
          <xdr:nvSpPr>
            <xdr:cNvPr id="80979" name="Check Box 83" hidden="1">
              <a:extLst>
                <a:ext uri="{63B3BB69-23CF-44E3-9099-C40C66FF867C}">
                  <a14:compatExt spid="_x0000_s80979"/>
                </a:ext>
                <a:ext uri="{FF2B5EF4-FFF2-40B4-BE49-F238E27FC236}">
                  <a16:creationId xmlns:a16="http://schemas.microsoft.com/office/drawing/2014/main" id="{00000000-0008-0000-0500-00005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124</xdr:row>
          <xdr:rowOff>123825</xdr:rowOff>
        </xdr:from>
        <xdr:to>
          <xdr:col>1</xdr:col>
          <xdr:colOff>0</xdr:colOff>
          <xdr:row>126</xdr:row>
          <xdr:rowOff>38100</xdr:rowOff>
        </xdr:to>
        <xdr:sp macro="" textlink="">
          <xdr:nvSpPr>
            <xdr:cNvPr id="80980" name="Check Box 84" hidden="1">
              <a:extLst>
                <a:ext uri="{63B3BB69-23CF-44E3-9099-C40C66FF867C}">
                  <a14:compatExt spid="_x0000_s80980"/>
                </a:ext>
                <a:ext uri="{FF2B5EF4-FFF2-40B4-BE49-F238E27FC236}">
                  <a16:creationId xmlns:a16="http://schemas.microsoft.com/office/drawing/2014/main" id="{00000000-0008-0000-0500-00005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125</xdr:row>
          <xdr:rowOff>123825</xdr:rowOff>
        </xdr:from>
        <xdr:to>
          <xdr:col>1</xdr:col>
          <xdr:colOff>0</xdr:colOff>
          <xdr:row>127</xdr:row>
          <xdr:rowOff>38100</xdr:rowOff>
        </xdr:to>
        <xdr:sp macro="" textlink="">
          <xdr:nvSpPr>
            <xdr:cNvPr id="80981" name="Check Box 85" hidden="1">
              <a:extLst>
                <a:ext uri="{63B3BB69-23CF-44E3-9099-C40C66FF867C}">
                  <a14:compatExt spid="_x0000_s80981"/>
                </a:ext>
                <a:ext uri="{FF2B5EF4-FFF2-40B4-BE49-F238E27FC236}">
                  <a16:creationId xmlns:a16="http://schemas.microsoft.com/office/drawing/2014/main" id="{00000000-0008-0000-0500-00005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126</xdr:row>
          <xdr:rowOff>123825</xdr:rowOff>
        </xdr:from>
        <xdr:to>
          <xdr:col>1</xdr:col>
          <xdr:colOff>0</xdr:colOff>
          <xdr:row>128</xdr:row>
          <xdr:rowOff>38100</xdr:rowOff>
        </xdr:to>
        <xdr:sp macro="" textlink="">
          <xdr:nvSpPr>
            <xdr:cNvPr id="80982" name="Check Box 86" hidden="1">
              <a:extLst>
                <a:ext uri="{63B3BB69-23CF-44E3-9099-C40C66FF867C}">
                  <a14:compatExt spid="_x0000_s80982"/>
                </a:ext>
                <a:ext uri="{FF2B5EF4-FFF2-40B4-BE49-F238E27FC236}">
                  <a16:creationId xmlns:a16="http://schemas.microsoft.com/office/drawing/2014/main" id="{00000000-0008-0000-0500-00005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127</xdr:row>
          <xdr:rowOff>123825</xdr:rowOff>
        </xdr:from>
        <xdr:to>
          <xdr:col>1</xdr:col>
          <xdr:colOff>0</xdr:colOff>
          <xdr:row>129</xdr:row>
          <xdr:rowOff>38100</xdr:rowOff>
        </xdr:to>
        <xdr:sp macro="" textlink="">
          <xdr:nvSpPr>
            <xdr:cNvPr id="80983" name="Check Box 87" hidden="1">
              <a:extLst>
                <a:ext uri="{63B3BB69-23CF-44E3-9099-C40C66FF867C}">
                  <a14:compatExt spid="_x0000_s80983"/>
                </a:ext>
                <a:ext uri="{FF2B5EF4-FFF2-40B4-BE49-F238E27FC236}">
                  <a16:creationId xmlns:a16="http://schemas.microsoft.com/office/drawing/2014/main" id="{00000000-0008-0000-0500-00005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128</xdr:row>
          <xdr:rowOff>123825</xdr:rowOff>
        </xdr:from>
        <xdr:to>
          <xdr:col>1</xdr:col>
          <xdr:colOff>0</xdr:colOff>
          <xdr:row>130</xdr:row>
          <xdr:rowOff>38100</xdr:rowOff>
        </xdr:to>
        <xdr:sp macro="" textlink="">
          <xdr:nvSpPr>
            <xdr:cNvPr id="80984" name="Check Box 88" hidden="1">
              <a:extLst>
                <a:ext uri="{63B3BB69-23CF-44E3-9099-C40C66FF867C}">
                  <a14:compatExt spid="_x0000_s80984"/>
                </a:ext>
                <a:ext uri="{FF2B5EF4-FFF2-40B4-BE49-F238E27FC236}">
                  <a16:creationId xmlns:a16="http://schemas.microsoft.com/office/drawing/2014/main" id="{00000000-0008-0000-0500-00005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129</xdr:row>
          <xdr:rowOff>123825</xdr:rowOff>
        </xdr:from>
        <xdr:to>
          <xdr:col>1</xdr:col>
          <xdr:colOff>0</xdr:colOff>
          <xdr:row>131</xdr:row>
          <xdr:rowOff>38100</xdr:rowOff>
        </xdr:to>
        <xdr:sp macro="" textlink="">
          <xdr:nvSpPr>
            <xdr:cNvPr id="80985" name="Check Box 89" hidden="1">
              <a:extLst>
                <a:ext uri="{63B3BB69-23CF-44E3-9099-C40C66FF867C}">
                  <a14:compatExt spid="_x0000_s80985"/>
                </a:ext>
                <a:ext uri="{FF2B5EF4-FFF2-40B4-BE49-F238E27FC236}">
                  <a16:creationId xmlns:a16="http://schemas.microsoft.com/office/drawing/2014/main" id="{00000000-0008-0000-0500-00005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130</xdr:row>
          <xdr:rowOff>123825</xdr:rowOff>
        </xdr:from>
        <xdr:to>
          <xdr:col>1</xdr:col>
          <xdr:colOff>0</xdr:colOff>
          <xdr:row>132</xdr:row>
          <xdr:rowOff>38100</xdr:rowOff>
        </xdr:to>
        <xdr:sp macro="" textlink="">
          <xdr:nvSpPr>
            <xdr:cNvPr id="80986" name="Check Box 90" hidden="1">
              <a:extLst>
                <a:ext uri="{63B3BB69-23CF-44E3-9099-C40C66FF867C}">
                  <a14:compatExt spid="_x0000_s80986"/>
                </a:ext>
                <a:ext uri="{FF2B5EF4-FFF2-40B4-BE49-F238E27FC236}">
                  <a16:creationId xmlns:a16="http://schemas.microsoft.com/office/drawing/2014/main" id="{00000000-0008-0000-0500-00005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131</xdr:row>
          <xdr:rowOff>123825</xdr:rowOff>
        </xdr:from>
        <xdr:to>
          <xdr:col>1</xdr:col>
          <xdr:colOff>0</xdr:colOff>
          <xdr:row>133</xdr:row>
          <xdr:rowOff>38100</xdr:rowOff>
        </xdr:to>
        <xdr:sp macro="" textlink="">
          <xdr:nvSpPr>
            <xdr:cNvPr id="80987" name="Check Box 91" hidden="1">
              <a:extLst>
                <a:ext uri="{63B3BB69-23CF-44E3-9099-C40C66FF867C}">
                  <a14:compatExt spid="_x0000_s80987"/>
                </a:ext>
                <a:ext uri="{FF2B5EF4-FFF2-40B4-BE49-F238E27FC236}">
                  <a16:creationId xmlns:a16="http://schemas.microsoft.com/office/drawing/2014/main" id="{00000000-0008-0000-0500-00005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132</xdr:row>
          <xdr:rowOff>123825</xdr:rowOff>
        </xdr:from>
        <xdr:to>
          <xdr:col>1</xdr:col>
          <xdr:colOff>0</xdr:colOff>
          <xdr:row>134</xdr:row>
          <xdr:rowOff>38100</xdr:rowOff>
        </xdr:to>
        <xdr:sp macro="" textlink="">
          <xdr:nvSpPr>
            <xdr:cNvPr id="80988" name="Check Box 92" hidden="1">
              <a:extLst>
                <a:ext uri="{63B3BB69-23CF-44E3-9099-C40C66FF867C}">
                  <a14:compatExt spid="_x0000_s80988"/>
                </a:ext>
                <a:ext uri="{FF2B5EF4-FFF2-40B4-BE49-F238E27FC236}">
                  <a16:creationId xmlns:a16="http://schemas.microsoft.com/office/drawing/2014/main" id="{00000000-0008-0000-0500-00005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133</xdr:row>
          <xdr:rowOff>123825</xdr:rowOff>
        </xdr:from>
        <xdr:to>
          <xdr:col>1</xdr:col>
          <xdr:colOff>0</xdr:colOff>
          <xdr:row>135</xdr:row>
          <xdr:rowOff>38100</xdr:rowOff>
        </xdr:to>
        <xdr:sp macro="" textlink="">
          <xdr:nvSpPr>
            <xdr:cNvPr id="80989" name="Check Box 93" hidden="1">
              <a:extLst>
                <a:ext uri="{63B3BB69-23CF-44E3-9099-C40C66FF867C}">
                  <a14:compatExt spid="_x0000_s80989"/>
                </a:ext>
                <a:ext uri="{FF2B5EF4-FFF2-40B4-BE49-F238E27FC236}">
                  <a16:creationId xmlns:a16="http://schemas.microsoft.com/office/drawing/2014/main" id="{00000000-0008-0000-0500-00005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134</xdr:row>
          <xdr:rowOff>123825</xdr:rowOff>
        </xdr:from>
        <xdr:to>
          <xdr:col>1</xdr:col>
          <xdr:colOff>0</xdr:colOff>
          <xdr:row>136</xdr:row>
          <xdr:rowOff>38100</xdr:rowOff>
        </xdr:to>
        <xdr:sp macro="" textlink="">
          <xdr:nvSpPr>
            <xdr:cNvPr id="80990" name="Check Box 94" hidden="1">
              <a:extLst>
                <a:ext uri="{63B3BB69-23CF-44E3-9099-C40C66FF867C}">
                  <a14:compatExt spid="_x0000_s80990"/>
                </a:ext>
                <a:ext uri="{FF2B5EF4-FFF2-40B4-BE49-F238E27FC236}">
                  <a16:creationId xmlns:a16="http://schemas.microsoft.com/office/drawing/2014/main" id="{00000000-0008-0000-0500-00005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135</xdr:row>
          <xdr:rowOff>123825</xdr:rowOff>
        </xdr:from>
        <xdr:to>
          <xdr:col>1</xdr:col>
          <xdr:colOff>0</xdr:colOff>
          <xdr:row>137</xdr:row>
          <xdr:rowOff>38100</xdr:rowOff>
        </xdr:to>
        <xdr:sp macro="" textlink="">
          <xdr:nvSpPr>
            <xdr:cNvPr id="80991" name="Check Box 95" hidden="1">
              <a:extLst>
                <a:ext uri="{63B3BB69-23CF-44E3-9099-C40C66FF867C}">
                  <a14:compatExt spid="_x0000_s80991"/>
                </a:ext>
                <a:ext uri="{FF2B5EF4-FFF2-40B4-BE49-F238E27FC236}">
                  <a16:creationId xmlns:a16="http://schemas.microsoft.com/office/drawing/2014/main" id="{00000000-0008-0000-0500-00005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136</xdr:row>
          <xdr:rowOff>123825</xdr:rowOff>
        </xdr:from>
        <xdr:to>
          <xdr:col>1</xdr:col>
          <xdr:colOff>0</xdr:colOff>
          <xdr:row>138</xdr:row>
          <xdr:rowOff>38100</xdr:rowOff>
        </xdr:to>
        <xdr:sp macro="" textlink="">
          <xdr:nvSpPr>
            <xdr:cNvPr id="80992" name="Check Box 96" hidden="1">
              <a:extLst>
                <a:ext uri="{63B3BB69-23CF-44E3-9099-C40C66FF867C}">
                  <a14:compatExt spid="_x0000_s80992"/>
                </a:ext>
                <a:ext uri="{FF2B5EF4-FFF2-40B4-BE49-F238E27FC236}">
                  <a16:creationId xmlns:a16="http://schemas.microsoft.com/office/drawing/2014/main" id="{00000000-0008-0000-0500-00006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137</xdr:row>
          <xdr:rowOff>123825</xdr:rowOff>
        </xdr:from>
        <xdr:to>
          <xdr:col>1</xdr:col>
          <xdr:colOff>0</xdr:colOff>
          <xdr:row>139</xdr:row>
          <xdr:rowOff>38100</xdr:rowOff>
        </xdr:to>
        <xdr:sp macro="" textlink="">
          <xdr:nvSpPr>
            <xdr:cNvPr id="80993" name="Check Box 97" hidden="1">
              <a:extLst>
                <a:ext uri="{63B3BB69-23CF-44E3-9099-C40C66FF867C}">
                  <a14:compatExt spid="_x0000_s80993"/>
                </a:ext>
                <a:ext uri="{FF2B5EF4-FFF2-40B4-BE49-F238E27FC236}">
                  <a16:creationId xmlns:a16="http://schemas.microsoft.com/office/drawing/2014/main" id="{00000000-0008-0000-0500-00006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138</xdr:row>
          <xdr:rowOff>123825</xdr:rowOff>
        </xdr:from>
        <xdr:to>
          <xdr:col>1</xdr:col>
          <xdr:colOff>0</xdr:colOff>
          <xdr:row>140</xdr:row>
          <xdr:rowOff>38100</xdr:rowOff>
        </xdr:to>
        <xdr:sp macro="" textlink="">
          <xdr:nvSpPr>
            <xdr:cNvPr id="80994" name="Check Box 98" hidden="1">
              <a:extLst>
                <a:ext uri="{63B3BB69-23CF-44E3-9099-C40C66FF867C}">
                  <a14:compatExt spid="_x0000_s80994"/>
                </a:ext>
                <a:ext uri="{FF2B5EF4-FFF2-40B4-BE49-F238E27FC236}">
                  <a16:creationId xmlns:a16="http://schemas.microsoft.com/office/drawing/2014/main" id="{00000000-0008-0000-0500-00006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139</xdr:row>
          <xdr:rowOff>123825</xdr:rowOff>
        </xdr:from>
        <xdr:to>
          <xdr:col>1</xdr:col>
          <xdr:colOff>0</xdr:colOff>
          <xdr:row>141</xdr:row>
          <xdr:rowOff>38100</xdr:rowOff>
        </xdr:to>
        <xdr:sp macro="" textlink="">
          <xdr:nvSpPr>
            <xdr:cNvPr id="80995" name="Check Box 99" hidden="1">
              <a:extLst>
                <a:ext uri="{63B3BB69-23CF-44E3-9099-C40C66FF867C}">
                  <a14:compatExt spid="_x0000_s80995"/>
                </a:ext>
                <a:ext uri="{FF2B5EF4-FFF2-40B4-BE49-F238E27FC236}">
                  <a16:creationId xmlns:a16="http://schemas.microsoft.com/office/drawing/2014/main" id="{00000000-0008-0000-0500-00006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140</xdr:row>
          <xdr:rowOff>123825</xdr:rowOff>
        </xdr:from>
        <xdr:to>
          <xdr:col>1</xdr:col>
          <xdr:colOff>0</xdr:colOff>
          <xdr:row>142</xdr:row>
          <xdr:rowOff>38100</xdr:rowOff>
        </xdr:to>
        <xdr:sp macro="" textlink="">
          <xdr:nvSpPr>
            <xdr:cNvPr id="80996" name="Check Box 100" hidden="1">
              <a:extLst>
                <a:ext uri="{63B3BB69-23CF-44E3-9099-C40C66FF867C}">
                  <a14:compatExt spid="_x0000_s80996"/>
                </a:ext>
                <a:ext uri="{FF2B5EF4-FFF2-40B4-BE49-F238E27FC236}">
                  <a16:creationId xmlns:a16="http://schemas.microsoft.com/office/drawing/2014/main" id="{00000000-0008-0000-0500-00006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141</xdr:row>
          <xdr:rowOff>123825</xdr:rowOff>
        </xdr:from>
        <xdr:to>
          <xdr:col>1</xdr:col>
          <xdr:colOff>0</xdr:colOff>
          <xdr:row>143</xdr:row>
          <xdr:rowOff>38100</xdr:rowOff>
        </xdr:to>
        <xdr:sp macro="" textlink="">
          <xdr:nvSpPr>
            <xdr:cNvPr id="80997" name="Check Box 101" hidden="1">
              <a:extLst>
                <a:ext uri="{63B3BB69-23CF-44E3-9099-C40C66FF867C}">
                  <a14:compatExt spid="_x0000_s80997"/>
                </a:ext>
                <a:ext uri="{FF2B5EF4-FFF2-40B4-BE49-F238E27FC236}">
                  <a16:creationId xmlns:a16="http://schemas.microsoft.com/office/drawing/2014/main" id="{00000000-0008-0000-0500-00006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142</xdr:row>
          <xdr:rowOff>123825</xdr:rowOff>
        </xdr:from>
        <xdr:to>
          <xdr:col>1</xdr:col>
          <xdr:colOff>0</xdr:colOff>
          <xdr:row>144</xdr:row>
          <xdr:rowOff>38100</xdr:rowOff>
        </xdr:to>
        <xdr:sp macro="" textlink="">
          <xdr:nvSpPr>
            <xdr:cNvPr id="80998" name="Check Box 102" hidden="1">
              <a:extLst>
                <a:ext uri="{63B3BB69-23CF-44E3-9099-C40C66FF867C}">
                  <a14:compatExt spid="_x0000_s80998"/>
                </a:ext>
                <a:ext uri="{FF2B5EF4-FFF2-40B4-BE49-F238E27FC236}">
                  <a16:creationId xmlns:a16="http://schemas.microsoft.com/office/drawing/2014/main" id="{00000000-0008-0000-0500-00006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143</xdr:row>
          <xdr:rowOff>123825</xdr:rowOff>
        </xdr:from>
        <xdr:to>
          <xdr:col>1</xdr:col>
          <xdr:colOff>0</xdr:colOff>
          <xdr:row>145</xdr:row>
          <xdr:rowOff>38100</xdr:rowOff>
        </xdr:to>
        <xdr:sp macro="" textlink="">
          <xdr:nvSpPr>
            <xdr:cNvPr id="80999" name="Check Box 103" hidden="1">
              <a:extLst>
                <a:ext uri="{63B3BB69-23CF-44E3-9099-C40C66FF867C}">
                  <a14:compatExt spid="_x0000_s80999"/>
                </a:ext>
                <a:ext uri="{FF2B5EF4-FFF2-40B4-BE49-F238E27FC236}">
                  <a16:creationId xmlns:a16="http://schemas.microsoft.com/office/drawing/2014/main" id="{00000000-0008-0000-0500-00006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144</xdr:row>
          <xdr:rowOff>123825</xdr:rowOff>
        </xdr:from>
        <xdr:to>
          <xdr:col>1</xdr:col>
          <xdr:colOff>0</xdr:colOff>
          <xdr:row>146</xdr:row>
          <xdr:rowOff>38100</xdr:rowOff>
        </xdr:to>
        <xdr:sp macro="" textlink="">
          <xdr:nvSpPr>
            <xdr:cNvPr id="81000" name="Check Box 104" hidden="1">
              <a:extLst>
                <a:ext uri="{63B3BB69-23CF-44E3-9099-C40C66FF867C}">
                  <a14:compatExt spid="_x0000_s81000"/>
                </a:ext>
                <a:ext uri="{FF2B5EF4-FFF2-40B4-BE49-F238E27FC236}">
                  <a16:creationId xmlns:a16="http://schemas.microsoft.com/office/drawing/2014/main" id="{00000000-0008-0000-0500-00006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145</xdr:row>
          <xdr:rowOff>123825</xdr:rowOff>
        </xdr:from>
        <xdr:to>
          <xdr:col>1</xdr:col>
          <xdr:colOff>0</xdr:colOff>
          <xdr:row>147</xdr:row>
          <xdr:rowOff>38100</xdr:rowOff>
        </xdr:to>
        <xdr:sp macro="" textlink="">
          <xdr:nvSpPr>
            <xdr:cNvPr id="81001" name="Check Box 105" hidden="1">
              <a:extLst>
                <a:ext uri="{63B3BB69-23CF-44E3-9099-C40C66FF867C}">
                  <a14:compatExt spid="_x0000_s81001"/>
                </a:ext>
                <a:ext uri="{FF2B5EF4-FFF2-40B4-BE49-F238E27FC236}">
                  <a16:creationId xmlns:a16="http://schemas.microsoft.com/office/drawing/2014/main" id="{00000000-0008-0000-0500-00006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146</xdr:row>
          <xdr:rowOff>123825</xdr:rowOff>
        </xdr:from>
        <xdr:to>
          <xdr:col>1</xdr:col>
          <xdr:colOff>0</xdr:colOff>
          <xdr:row>148</xdr:row>
          <xdr:rowOff>38100</xdr:rowOff>
        </xdr:to>
        <xdr:sp macro="" textlink="">
          <xdr:nvSpPr>
            <xdr:cNvPr id="81002" name="Check Box 106" hidden="1">
              <a:extLst>
                <a:ext uri="{63B3BB69-23CF-44E3-9099-C40C66FF867C}">
                  <a14:compatExt spid="_x0000_s81002"/>
                </a:ext>
                <a:ext uri="{FF2B5EF4-FFF2-40B4-BE49-F238E27FC236}">
                  <a16:creationId xmlns:a16="http://schemas.microsoft.com/office/drawing/2014/main" id="{00000000-0008-0000-0500-00006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147</xdr:row>
          <xdr:rowOff>123825</xdr:rowOff>
        </xdr:from>
        <xdr:to>
          <xdr:col>1</xdr:col>
          <xdr:colOff>0</xdr:colOff>
          <xdr:row>149</xdr:row>
          <xdr:rowOff>38100</xdr:rowOff>
        </xdr:to>
        <xdr:sp macro="" textlink="">
          <xdr:nvSpPr>
            <xdr:cNvPr id="81003" name="Check Box 107" hidden="1">
              <a:extLst>
                <a:ext uri="{63B3BB69-23CF-44E3-9099-C40C66FF867C}">
                  <a14:compatExt spid="_x0000_s81003"/>
                </a:ext>
                <a:ext uri="{FF2B5EF4-FFF2-40B4-BE49-F238E27FC236}">
                  <a16:creationId xmlns:a16="http://schemas.microsoft.com/office/drawing/2014/main" id="{00000000-0008-0000-0500-00006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148</xdr:row>
          <xdr:rowOff>123825</xdr:rowOff>
        </xdr:from>
        <xdr:to>
          <xdr:col>1</xdr:col>
          <xdr:colOff>0</xdr:colOff>
          <xdr:row>150</xdr:row>
          <xdr:rowOff>38100</xdr:rowOff>
        </xdr:to>
        <xdr:sp macro="" textlink="">
          <xdr:nvSpPr>
            <xdr:cNvPr id="81004" name="Check Box 108" hidden="1">
              <a:extLst>
                <a:ext uri="{63B3BB69-23CF-44E3-9099-C40C66FF867C}">
                  <a14:compatExt spid="_x0000_s81004"/>
                </a:ext>
                <a:ext uri="{FF2B5EF4-FFF2-40B4-BE49-F238E27FC236}">
                  <a16:creationId xmlns:a16="http://schemas.microsoft.com/office/drawing/2014/main" id="{00000000-0008-0000-0500-00006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232</xdr:row>
          <xdr:rowOff>123825</xdr:rowOff>
        </xdr:from>
        <xdr:to>
          <xdr:col>1</xdr:col>
          <xdr:colOff>0</xdr:colOff>
          <xdr:row>234</xdr:row>
          <xdr:rowOff>38100</xdr:rowOff>
        </xdr:to>
        <xdr:sp macro="" textlink="">
          <xdr:nvSpPr>
            <xdr:cNvPr id="81005" name="Check Box 109" hidden="1">
              <a:extLst>
                <a:ext uri="{63B3BB69-23CF-44E3-9099-C40C66FF867C}">
                  <a14:compatExt spid="_x0000_s81005"/>
                </a:ext>
                <a:ext uri="{FF2B5EF4-FFF2-40B4-BE49-F238E27FC236}">
                  <a16:creationId xmlns:a16="http://schemas.microsoft.com/office/drawing/2014/main" id="{00000000-0008-0000-0500-00006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233</xdr:row>
          <xdr:rowOff>123825</xdr:rowOff>
        </xdr:from>
        <xdr:to>
          <xdr:col>1</xdr:col>
          <xdr:colOff>0</xdr:colOff>
          <xdr:row>235</xdr:row>
          <xdr:rowOff>38100</xdr:rowOff>
        </xdr:to>
        <xdr:sp macro="" textlink="">
          <xdr:nvSpPr>
            <xdr:cNvPr id="81006" name="Check Box 110" hidden="1">
              <a:extLst>
                <a:ext uri="{63B3BB69-23CF-44E3-9099-C40C66FF867C}">
                  <a14:compatExt spid="_x0000_s81006"/>
                </a:ext>
                <a:ext uri="{FF2B5EF4-FFF2-40B4-BE49-F238E27FC236}">
                  <a16:creationId xmlns:a16="http://schemas.microsoft.com/office/drawing/2014/main" id="{00000000-0008-0000-0500-00006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234</xdr:row>
          <xdr:rowOff>123825</xdr:rowOff>
        </xdr:from>
        <xdr:to>
          <xdr:col>1</xdr:col>
          <xdr:colOff>0</xdr:colOff>
          <xdr:row>236</xdr:row>
          <xdr:rowOff>38100</xdr:rowOff>
        </xdr:to>
        <xdr:sp macro="" textlink="">
          <xdr:nvSpPr>
            <xdr:cNvPr id="81007" name="Check Box 111" hidden="1">
              <a:extLst>
                <a:ext uri="{63B3BB69-23CF-44E3-9099-C40C66FF867C}">
                  <a14:compatExt spid="_x0000_s81007"/>
                </a:ext>
                <a:ext uri="{FF2B5EF4-FFF2-40B4-BE49-F238E27FC236}">
                  <a16:creationId xmlns:a16="http://schemas.microsoft.com/office/drawing/2014/main" id="{00000000-0008-0000-0500-00006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235</xdr:row>
          <xdr:rowOff>123825</xdr:rowOff>
        </xdr:from>
        <xdr:to>
          <xdr:col>1</xdr:col>
          <xdr:colOff>0</xdr:colOff>
          <xdr:row>237</xdr:row>
          <xdr:rowOff>38100</xdr:rowOff>
        </xdr:to>
        <xdr:sp macro="" textlink="">
          <xdr:nvSpPr>
            <xdr:cNvPr id="81008" name="Check Box 112" hidden="1">
              <a:extLst>
                <a:ext uri="{63B3BB69-23CF-44E3-9099-C40C66FF867C}">
                  <a14:compatExt spid="_x0000_s81008"/>
                </a:ext>
                <a:ext uri="{FF2B5EF4-FFF2-40B4-BE49-F238E27FC236}">
                  <a16:creationId xmlns:a16="http://schemas.microsoft.com/office/drawing/2014/main" id="{00000000-0008-0000-0500-00007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236</xdr:row>
          <xdr:rowOff>123825</xdr:rowOff>
        </xdr:from>
        <xdr:to>
          <xdr:col>1</xdr:col>
          <xdr:colOff>0</xdr:colOff>
          <xdr:row>238</xdr:row>
          <xdr:rowOff>38100</xdr:rowOff>
        </xdr:to>
        <xdr:sp macro="" textlink="">
          <xdr:nvSpPr>
            <xdr:cNvPr id="81009" name="Check Box 113" hidden="1">
              <a:extLst>
                <a:ext uri="{63B3BB69-23CF-44E3-9099-C40C66FF867C}">
                  <a14:compatExt spid="_x0000_s81009"/>
                </a:ext>
                <a:ext uri="{FF2B5EF4-FFF2-40B4-BE49-F238E27FC236}">
                  <a16:creationId xmlns:a16="http://schemas.microsoft.com/office/drawing/2014/main" id="{00000000-0008-0000-0500-00007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237</xdr:row>
          <xdr:rowOff>123825</xdr:rowOff>
        </xdr:from>
        <xdr:to>
          <xdr:col>1</xdr:col>
          <xdr:colOff>0</xdr:colOff>
          <xdr:row>239</xdr:row>
          <xdr:rowOff>38100</xdr:rowOff>
        </xdr:to>
        <xdr:sp macro="" textlink="">
          <xdr:nvSpPr>
            <xdr:cNvPr id="81010" name="Check Box 114" hidden="1">
              <a:extLst>
                <a:ext uri="{63B3BB69-23CF-44E3-9099-C40C66FF867C}">
                  <a14:compatExt spid="_x0000_s81010"/>
                </a:ext>
                <a:ext uri="{FF2B5EF4-FFF2-40B4-BE49-F238E27FC236}">
                  <a16:creationId xmlns:a16="http://schemas.microsoft.com/office/drawing/2014/main" id="{00000000-0008-0000-0500-00007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238</xdr:row>
          <xdr:rowOff>123825</xdr:rowOff>
        </xdr:from>
        <xdr:to>
          <xdr:col>1</xdr:col>
          <xdr:colOff>0</xdr:colOff>
          <xdr:row>240</xdr:row>
          <xdr:rowOff>38100</xdr:rowOff>
        </xdr:to>
        <xdr:sp macro="" textlink="">
          <xdr:nvSpPr>
            <xdr:cNvPr id="81011" name="Check Box 115" hidden="1">
              <a:extLst>
                <a:ext uri="{63B3BB69-23CF-44E3-9099-C40C66FF867C}">
                  <a14:compatExt spid="_x0000_s81011"/>
                </a:ext>
                <a:ext uri="{FF2B5EF4-FFF2-40B4-BE49-F238E27FC236}">
                  <a16:creationId xmlns:a16="http://schemas.microsoft.com/office/drawing/2014/main" id="{00000000-0008-0000-0500-00007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239</xdr:row>
          <xdr:rowOff>123825</xdr:rowOff>
        </xdr:from>
        <xdr:to>
          <xdr:col>1</xdr:col>
          <xdr:colOff>0</xdr:colOff>
          <xdr:row>241</xdr:row>
          <xdr:rowOff>38100</xdr:rowOff>
        </xdr:to>
        <xdr:sp macro="" textlink="">
          <xdr:nvSpPr>
            <xdr:cNvPr id="81012" name="Check Box 116" hidden="1">
              <a:extLst>
                <a:ext uri="{63B3BB69-23CF-44E3-9099-C40C66FF867C}">
                  <a14:compatExt spid="_x0000_s81012"/>
                </a:ext>
                <a:ext uri="{FF2B5EF4-FFF2-40B4-BE49-F238E27FC236}">
                  <a16:creationId xmlns:a16="http://schemas.microsoft.com/office/drawing/2014/main" id="{00000000-0008-0000-0500-00007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240</xdr:row>
          <xdr:rowOff>123825</xdr:rowOff>
        </xdr:from>
        <xdr:to>
          <xdr:col>1</xdr:col>
          <xdr:colOff>0</xdr:colOff>
          <xdr:row>242</xdr:row>
          <xdr:rowOff>38100</xdr:rowOff>
        </xdr:to>
        <xdr:sp macro="" textlink="">
          <xdr:nvSpPr>
            <xdr:cNvPr id="81013" name="Check Box 117" hidden="1">
              <a:extLst>
                <a:ext uri="{63B3BB69-23CF-44E3-9099-C40C66FF867C}">
                  <a14:compatExt spid="_x0000_s81013"/>
                </a:ext>
                <a:ext uri="{FF2B5EF4-FFF2-40B4-BE49-F238E27FC236}">
                  <a16:creationId xmlns:a16="http://schemas.microsoft.com/office/drawing/2014/main" id="{00000000-0008-0000-0500-00007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241</xdr:row>
          <xdr:rowOff>123825</xdr:rowOff>
        </xdr:from>
        <xdr:to>
          <xdr:col>1</xdr:col>
          <xdr:colOff>0</xdr:colOff>
          <xdr:row>243</xdr:row>
          <xdr:rowOff>38100</xdr:rowOff>
        </xdr:to>
        <xdr:sp macro="" textlink="">
          <xdr:nvSpPr>
            <xdr:cNvPr id="81014" name="Check Box 118" hidden="1">
              <a:extLst>
                <a:ext uri="{63B3BB69-23CF-44E3-9099-C40C66FF867C}">
                  <a14:compatExt spid="_x0000_s81014"/>
                </a:ext>
                <a:ext uri="{FF2B5EF4-FFF2-40B4-BE49-F238E27FC236}">
                  <a16:creationId xmlns:a16="http://schemas.microsoft.com/office/drawing/2014/main" id="{00000000-0008-0000-0500-00007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242</xdr:row>
          <xdr:rowOff>123825</xdr:rowOff>
        </xdr:from>
        <xdr:to>
          <xdr:col>1</xdr:col>
          <xdr:colOff>0</xdr:colOff>
          <xdr:row>244</xdr:row>
          <xdr:rowOff>38100</xdr:rowOff>
        </xdr:to>
        <xdr:sp macro="" textlink="">
          <xdr:nvSpPr>
            <xdr:cNvPr id="81015" name="Check Box 119" hidden="1">
              <a:extLst>
                <a:ext uri="{63B3BB69-23CF-44E3-9099-C40C66FF867C}">
                  <a14:compatExt spid="_x0000_s81015"/>
                </a:ext>
                <a:ext uri="{FF2B5EF4-FFF2-40B4-BE49-F238E27FC236}">
                  <a16:creationId xmlns:a16="http://schemas.microsoft.com/office/drawing/2014/main" id="{00000000-0008-0000-0500-00007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243</xdr:row>
          <xdr:rowOff>123825</xdr:rowOff>
        </xdr:from>
        <xdr:to>
          <xdr:col>1</xdr:col>
          <xdr:colOff>0</xdr:colOff>
          <xdr:row>245</xdr:row>
          <xdr:rowOff>38100</xdr:rowOff>
        </xdr:to>
        <xdr:sp macro="" textlink="">
          <xdr:nvSpPr>
            <xdr:cNvPr id="81016" name="Check Box 120" hidden="1">
              <a:extLst>
                <a:ext uri="{63B3BB69-23CF-44E3-9099-C40C66FF867C}">
                  <a14:compatExt spid="_x0000_s81016"/>
                </a:ext>
                <a:ext uri="{FF2B5EF4-FFF2-40B4-BE49-F238E27FC236}">
                  <a16:creationId xmlns:a16="http://schemas.microsoft.com/office/drawing/2014/main" id="{00000000-0008-0000-0500-00007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244</xdr:row>
          <xdr:rowOff>123825</xdr:rowOff>
        </xdr:from>
        <xdr:to>
          <xdr:col>1</xdr:col>
          <xdr:colOff>0</xdr:colOff>
          <xdr:row>246</xdr:row>
          <xdr:rowOff>38100</xdr:rowOff>
        </xdr:to>
        <xdr:sp macro="" textlink="">
          <xdr:nvSpPr>
            <xdr:cNvPr id="81017" name="Check Box 121" hidden="1">
              <a:extLst>
                <a:ext uri="{63B3BB69-23CF-44E3-9099-C40C66FF867C}">
                  <a14:compatExt spid="_x0000_s81017"/>
                </a:ext>
                <a:ext uri="{FF2B5EF4-FFF2-40B4-BE49-F238E27FC236}">
                  <a16:creationId xmlns:a16="http://schemas.microsoft.com/office/drawing/2014/main" id="{00000000-0008-0000-0500-00007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245</xdr:row>
          <xdr:rowOff>123825</xdr:rowOff>
        </xdr:from>
        <xdr:to>
          <xdr:col>1</xdr:col>
          <xdr:colOff>0</xdr:colOff>
          <xdr:row>247</xdr:row>
          <xdr:rowOff>38100</xdr:rowOff>
        </xdr:to>
        <xdr:sp macro="" textlink="">
          <xdr:nvSpPr>
            <xdr:cNvPr id="81018" name="Check Box 122" hidden="1">
              <a:extLst>
                <a:ext uri="{63B3BB69-23CF-44E3-9099-C40C66FF867C}">
                  <a14:compatExt spid="_x0000_s81018"/>
                </a:ext>
                <a:ext uri="{FF2B5EF4-FFF2-40B4-BE49-F238E27FC236}">
                  <a16:creationId xmlns:a16="http://schemas.microsoft.com/office/drawing/2014/main" id="{00000000-0008-0000-0500-00007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246</xdr:row>
          <xdr:rowOff>123825</xdr:rowOff>
        </xdr:from>
        <xdr:to>
          <xdr:col>1</xdr:col>
          <xdr:colOff>0</xdr:colOff>
          <xdr:row>248</xdr:row>
          <xdr:rowOff>38100</xdr:rowOff>
        </xdr:to>
        <xdr:sp macro="" textlink="">
          <xdr:nvSpPr>
            <xdr:cNvPr id="81019" name="Check Box 123" hidden="1">
              <a:extLst>
                <a:ext uri="{63B3BB69-23CF-44E3-9099-C40C66FF867C}">
                  <a14:compatExt spid="_x0000_s81019"/>
                </a:ext>
                <a:ext uri="{FF2B5EF4-FFF2-40B4-BE49-F238E27FC236}">
                  <a16:creationId xmlns:a16="http://schemas.microsoft.com/office/drawing/2014/main" id="{00000000-0008-0000-0500-00007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247</xdr:row>
          <xdr:rowOff>123825</xdr:rowOff>
        </xdr:from>
        <xdr:to>
          <xdr:col>1</xdr:col>
          <xdr:colOff>0</xdr:colOff>
          <xdr:row>249</xdr:row>
          <xdr:rowOff>38100</xdr:rowOff>
        </xdr:to>
        <xdr:sp macro="" textlink="">
          <xdr:nvSpPr>
            <xdr:cNvPr id="81020" name="Check Box 124" hidden="1">
              <a:extLst>
                <a:ext uri="{63B3BB69-23CF-44E3-9099-C40C66FF867C}">
                  <a14:compatExt spid="_x0000_s81020"/>
                </a:ext>
                <a:ext uri="{FF2B5EF4-FFF2-40B4-BE49-F238E27FC236}">
                  <a16:creationId xmlns:a16="http://schemas.microsoft.com/office/drawing/2014/main" id="{00000000-0008-0000-0500-00007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248</xdr:row>
          <xdr:rowOff>123825</xdr:rowOff>
        </xdr:from>
        <xdr:to>
          <xdr:col>1</xdr:col>
          <xdr:colOff>0</xdr:colOff>
          <xdr:row>250</xdr:row>
          <xdr:rowOff>38100</xdr:rowOff>
        </xdr:to>
        <xdr:sp macro="" textlink="">
          <xdr:nvSpPr>
            <xdr:cNvPr id="81021" name="Check Box 125" hidden="1">
              <a:extLst>
                <a:ext uri="{63B3BB69-23CF-44E3-9099-C40C66FF867C}">
                  <a14:compatExt spid="_x0000_s81021"/>
                </a:ext>
                <a:ext uri="{FF2B5EF4-FFF2-40B4-BE49-F238E27FC236}">
                  <a16:creationId xmlns:a16="http://schemas.microsoft.com/office/drawing/2014/main" id="{00000000-0008-0000-0500-00007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249</xdr:row>
          <xdr:rowOff>123825</xdr:rowOff>
        </xdr:from>
        <xdr:to>
          <xdr:col>1</xdr:col>
          <xdr:colOff>0</xdr:colOff>
          <xdr:row>251</xdr:row>
          <xdr:rowOff>38100</xdr:rowOff>
        </xdr:to>
        <xdr:sp macro="" textlink="">
          <xdr:nvSpPr>
            <xdr:cNvPr id="81022" name="Check Box 126" hidden="1">
              <a:extLst>
                <a:ext uri="{63B3BB69-23CF-44E3-9099-C40C66FF867C}">
                  <a14:compatExt spid="_x0000_s81022"/>
                </a:ext>
                <a:ext uri="{FF2B5EF4-FFF2-40B4-BE49-F238E27FC236}">
                  <a16:creationId xmlns:a16="http://schemas.microsoft.com/office/drawing/2014/main" id="{00000000-0008-0000-0500-00007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250</xdr:row>
          <xdr:rowOff>123825</xdr:rowOff>
        </xdr:from>
        <xdr:to>
          <xdr:col>1</xdr:col>
          <xdr:colOff>0</xdr:colOff>
          <xdr:row>252</xdr:row>
          <xdr:rowOff>38100</xdr:rowOff>
        </xdr:to>
        <xdr:sp macro="" textlink="">
          <xdr:nvSpPr>
            <xdr:cNvPr id="81023" name="Check Box 127" hidden="1">
              <a:extLst>
                <a:ext uri="{63B3BB69-23CF-44E3-9099-C40C66FF867C}">
                  <a14:compatExt spid="_x0000_s81023"/>
                </a:ext>
                <a:ext uri="{FF2B5EF4-FFF2-40B4-BE49-F238E27FC236}">
                  <a16:creationId xmlns:a16="http://schemas.microsoft.com/office/drawing/2014/main" id="{00000000-0008-0000-0500-00007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251</xdr:row>
          <xdr:rowOff>123825</xdr:rowOff>
        </xdr:from>
        <xdr:to>
          <xdr:col>1</xdr:col>
          <xdr:colOff>0</xdr:colOff>
          <xdr:row>253</xdr:row>
          <xdr:rowOff>38100</xdr:rowOff>
        </xdr:to>
        <xdr:sp macro="" textlink="">
          <xdr:nvSpPr>
            <xdr:cNvPr id="81024" name="Check Box 128" hidden="1">
              <a:extLst>
                <a:ext uri="{63B3BB69-23CF-44E3-9099-C40C66FF867C}">
                  <a14:compatExt spid="_x0000_s81024"/>
                </a:ext>
                <a:ext uri="{FF2B5EF4-FFF2-40B4-BE49-F238E27FC236}">
                  <a16:creationId xmlns:a16="http://schemas.microsoft.com/office/drawing/2014/main" id="{00000000-0008-0000-0500-00008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252</xdr:row>
          <xdr:rowOff>123825</xdr:rowOff>
        </xdr:from>
        <xdr:to>
          <xdr:col>1</xdr:col>
          <xdr:colOff>0</xdr:colOff>
          <xdr:row>254</xdr:row>
          <xdr:rowOff>38100</xdr:rowOff>
        </xdr:to>
        <xdr:sp macro="" textlink="">
          <xdr:nvSpPr>
            <xdr:cNvPr id="81025" name="Check Box 129" hidden="1">
              <a:extLst>
                <a:ext uri="{63B3BB69-23CF-44E3-9099-C40C66FF867C}">
                  <a14:compatExt spid="_x0000_s81025"/>
                </a:ext>
                <a:ext uri="{FF2B5EF4-FFF2-40B4-BE49-F238E27FC236}">
                  <a16:creationId xmlns:a16="http://schemas.microsoft.com/office/drawing/2014/main" id="{00000000-0008-0000-0500-00008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253</xdr:row>
          <xdr:rowOff>123825</xdr:rowOff>
        </xdr:from>
        <xdr:to>
          <xdr:col>1</xdr:col>
          <xdr:colOff>0</xdr:colOff>
          <xdr:row>255</xdr:row>
          <xdr:rowOff>38100</xdr:rowOff>
        </xdr:to>
        <xdr:sp macro="" textlink="">
          <xdr:nvSpPr>
            <xdr:cNvPr id="81026" name="Check Box 130" hidden="1">
              <a:extLst>
                <a:ext uri="{63B3BB69-23CF-44E3-9099-C40C66FF867C}">
                  <a14:compatExt spid="_x0000_s81026"/>
                </a:ext>
                <a:ext uri="{FF2B5EF4-FFF2-40B4-BE49-F238E27FC236}">
                  <a16:creationId xmlns:a16="http://schemas.microsoft.com/office/drawing/2014/main" id="{00000000-0008-0000-0500-00008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254</xdr:row>
          <xdr:rowOff>123825</xdr:rowOff>
        </xdr:from>
        <xdr:to>
          <xdr:col>1</xdr:col>
          <xdr:colOff>0</xdr:colOff>
          <xdr:row>256</xdr:row>
          <xdr:rowOff>38100</xdr:rowOff>
        </xdr:to>
        <xdr:sp macro="" textlink="">
          <xdr:nvSpPr>
            <xdr:cNvPr id="81027" name="Check Box 131" hidden="1">
              <a:extLst>
                <a:ext uri="{63B3BB69-23CF-44E3-9099-C40C66FF867C}">
                  <a14:compatExt spid="_x0000_s81027"/>
                </a:ext>
                <a:ext uri="{FF2B5EF4-FFF2-40B4-BE49-F238E27FC236}">
                  <a16:creationId xmlns:a16="http://schemas.microsoft.com/office/drawing/2014/main" id="{00000000-0008-0000-0500-00008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255</xdr:row>
          <xdr:rowOff>123825</xdr:rowOff>
        </xdr:from>
        <xdr:to>
          <xdr:col>1</xdr:col>
          <xdr:colOff>0</xdr:colOff>
          <xdr:row>257</xdr:row>
          <xdr:rowOff>38100</xdr:rowOff>
        </xdr:to>
        <xdr:sp macro="" textlink="">
          <xdr:nvSpPr>
            <xdr:cNvPr id="81028" name="Check Box 132" hidden="1">
              <a:extLst>
                <a:ext uri="{63B3BB69-23CF-44E3-9099-C40C66FF867C}">
                  <a14:compatExt spid="_x0000_s81028"/>
                </a:ext>
                <a:ext uri="{FF2B5EF4-FFF2-40B4-BE49-F238E27FC236}">
                  <a16:creationId xmlns:a16="http://schemas.microsoft.com/office/drawing/2014/main" id="{00000000-0008-0000-0500-00008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256</xdr:row>
          <xdr:rowOff>123825</xdr:rowOff>
        </xdr:from>
        <xdr:to>
          <xdr:col>1</xdr:col>
          <xdr:colOff>0</xdr:colOff>
          <xdr:row>258</xdr:row>
          <xdr:rowOff>38100</xdr:rowOff>
        </xdr:to>
        <xdr:sp macro="" textlink="">
          <xdr:nvSpPr>
            <xdr:cNvPr id="81029" name="Check Box 133" hidden="1">
              <a:extLst>
                <a:ext uri="{63B3BB69-23CF-44E3-9099-C40C66FF867C}">
                  <a14:compatExt spid="_x0000_s81029"/>
                </a:ext>
                <a:ext uri="{FF2B5EF4-FFF2-40B4-BE49-F238E27FC236}">
                  <a16:creationId xmlns:a16="http://schemas.microsoft.com/office/drawing/2014/main" id="{00000000-0008-0000-0500-00008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257</xdr:row>
          <xdr:rowOff>123825</xdr:rowOff>
        </xdr:from>
        <xdr:to>
          <xdr:col>1</xdr:col>
          <xdr:colOff>0</xdr:colOff>
          <xdr:row>259</xdr:row>
          <xdr:rowOff>38100</xdr:rowOff>
        </xdr:to>
        <xdr:sp macro="" textlink="">
          <xdr:nvSpPr>
            <xdr:cNvPr id="81030" name="Check Box 134" hidden="1">
              <a:extLst>
                <a:ext uri="{63B3BB69-23CF-44E3-9099-C40C66FF867C}">
                  <a14:compatExt spid="_x0000_s81030"/>
                </a:ext>
                <a:ext uri="{FF2B5EF4-FFF2-40B4-BE49-F238E27FC236}">
                  <a16:creationId xmlns:a16="http://schemas.microsoft.com/office/drawing/2014/main" id="{00000000-0008-0000-0500-00008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258</xdr:row>
          <xdr:rowOff>123825</xdr:rowOff>
        </xdr:from>
        <xdr:to>
          <xdr:col>1</xdr:col>
          <xdr:colOff>0</xdr:colOff>
          <xdr:row>260</xdr:row>
          <xdr:rowOff>38100</xdr:rowOff>
        </xdr:to>
        <xdr:sp macro="" textlink="">
          <xdr:nvSpPr>
            <xdr:cNvPr id="81031" name="Check Box 135" hidden="1">
              <a:extLst>
                <a:ext uri="{63B3BB69-23CF-44E3-9099-C40C66FF867C}">
                  <a14:compatExt spid="_x0000_s81031"/>
                </a:ext>
                <a:ext uri="{FF2B5EF4-FFF2-40B4-BE49-F238E27FC236}">
                  <a16:creationId xmlns:a16="http://schemas.microsoft.com/office/drawing/2014/main" id="{00000000-0008-0000-0500-00008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259</xdr:row>
          <xdr:rowOff>123825</xdr:rowOff>
        </xdr:from>
        <xdr:to>
          <xdr:col>1</xdr:col>
          <xdr:colOff>0</xdr:colOff>
          <xdr:row>261</xdr:row>
          <xdr:rowOff>38100</xdr:rowOff>
        </xdr:to>
        <xdr:sp macro="" textlink="">
          <xdr:nvSpPr>
            <xdr:cNvPr id="81032" name="Check Box 136" hidden="1">
              <a:extLst>
                <a:ext uri="{63B3BB69-23CF-44E3-9099-C40C66FF867C}">
                  <a14:compatExt spid="_x0000_s81032"/>
                </a:ext>
                <a:ext uri="{FF2B5EF4-FFF2-40B4-BE49-F238E27FC236}">
                  <a16:creationId xmlns:a16="http://schemas.microsoft.com/office/drawing/2014/main" id="{00000000-0008-0000-0500-00008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260</xdr:row>
          <xdr:rowOff>123825</xdr:rowOff>
        </xdr:from>
        <xdr:to>
          <xdr:col>1</xdr:col>
          <xdr:colOff>0</xdr:colOff>
          <xdr:row>262</xdr:row>
          <xdr:rowOff>38100</xdr:rowOff>
        </xdr:to>
        <xdr:sp macro="" textlink="">
          <xdr:nvSpPr>
            <xdr:cNvPr id="81033" name="Check Box 137" hidden="1">
              <a:extLst>
                <a:ext uri="{63B3BB69-23CF-44E3-9099-C40C66FF867C}">
                  <a14:compatExt spid="_x0000_s81033"/>
                </a:ext>
                <a:ext uri="{FF2B5EF4-FFF2-40B4-BE49-F238E27FC236}">
                  <a16:creationId xmlns:a16="http://schemas.microsoft.com/office/drawing/2014/main" id="{00000000-0008-0000-0500-00008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261</xdr:row>
          <xdr:rowOff>123825</xdr:rowOff>
        </xdr:from>
        <xdr:to>
          <xdr:col>1</xdr:col>
          <xdr:colOff>0</xdr:colOff>
          <xdr:row>263</xdr:row>
          <xdr:rowOff>38100</xdr:rowOff>
        </xdr:to>
        <xdr:sp macro="" textlink="">
          <xdr:nvSpPr>
            <xdr:cNvPr id="81034" name="Check Box 138" hidden="1">
              <a:extLst>
                <a:ext uri="{63B3BB69-23CF-44E3-9099-C40C66FF867C}">
                  <a14:compatExt spid="_x0000_s81034"/>
                </a:ext>
                <a:ext uri="{FF2B5EF4-FFF2-40B4-BE49-F238E27FC236}">
                  <a16:creationId xmlns:a16="http://schemas.microsoft.com/office/drawing/2014/main" id="{00000000-0008-0000-0500-00008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262</xdr:row>
          <xdr:rowOff>123825</xdr:rowOff>
        </xdr:from>
        <xdr:to>
          <xdr:col>1</xdr:col>
          <xdr:colOff>0</xdr:colOff>
          <xdr:row>264</xdr:row>
          <xdr:rowOff>38100</xdr:rowOff>
        </xdr:to>
        <xdr:sp macro="" textlink="">
          <xdr:nvSpPr>
            <xdr:cNvPr id="81035" name="Check Box 139" hidden="1">
              <a:extLst>
                <a:ext uri="{63B3BB69-23CF-44E3-9099-C40C66FF867C}">
                  <a14:compatExt spid="_x0000_s81035"/>
                </a:ext>
                <a:ext uri="{FF2B5EF4-FFF2-40B4-BE49-F238E27FC236}">
                  <a16:creationId xmlns:a16="http://schemas.microsoft.com/office/drawing/2014/main" id="{00000000-0008-0000-0500-00008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263</xdr:row>
          <xdr:rowOff>123825</xdr:rowOff>
        </xdr:from>
        <xdr:to>
          <xdr:col>1</xdr:col>
          <xdr:colOff>0</xdr:colOff>
          <xdr:row>265</xdr:row>
          <xdr:rowOff>38100</xdr:rowOff>
        </xdr:to>
        <xdr:sp macro="" textlink="">
          <xdr:nvSpPr>
            <xdr:cNvPr id="81036" name="Check Box 140" hidden="1">
              <a:extLst>
                <a:ext uri="{63B3BB69-23CF-44E3-9099-C40C66FF867C}">
                  <a14:compatExt spid="_x0000_s81036"/>
                </a:ext>
                <a:ext uri="{FF2B5EF4-FFF2-40B4-BE49-F238E27FC236}">
                  <a16:creationId xmlns:a16="http://schemas.microsoft.com/office/drawing/2014/main" id="{00000000-0008-0000-0500-00008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264</xdr:row>
          <xdr:rowOff>123825</xdr:rowOff>
        </xdr:from>
        <xdr:to>
          <xdr:col>1</xdr:col>
          <xdr:colOff>0</xdr:colOff>
          <xdr:row>266</xdr:row>
          <xdr:rowOff>38100</xdr:rowOff>
        </xdr:to>
        <xdr:sp macro="" textlink="">
          <xdr:nvSpPr>
            <xdr:cNvPr id="81037" name="Check Box 141" hidden="1">
              <a:extLst>
                <a:ext uri="{63B3BB69-23CF-44E3-9099-C40C66FF867C}">
                  <a14:compatExt spid="_x0000_s81037"/>
                </a:ext>
                <a:ext uri="{FF2B5EF4-FFF2-40B4-BE49-F238E27FC236}">
                  <a16:creationId xmlns:a16="http://schemas.microsoft.com/office/drawing/2014/main" id="{00000000-0008-0000-0500-00008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265</xdr:row>
          <xdr:rowOff>123825</xdr:rowOff>
        </xdr:from>
        <xdr:to>
          <xdr:col>1</xdr:col>
          <xdr:colOff>0</xdr:colOff>
          <xdr:row>267</xdr:row>
          <xdr:rowOff>38100</xdr:rowOff>
        </xdr:to>
        <xdr:sp macro="" textlink="">
          <xdr:nvSpPr>
            <xdr:cNvPr id="81038" name="Check Box 142" hidden="1">
              <a:extLst>
                <a:ext uri="{63B3BB69-23CF-44E3-9099-C40C66FF867C}">
                  <a14:compatExt spid="_x0000_s81038"/>
                </a:ext>
                <a:ext uri="{FF2B5EF4-FFF2-40B4-BE49-F238E27FC236}">
                  <a16:creationId xmlns:a16="http://schemas.microsoft.com/office/drawing/2014/main" id="{00000000-0008-0000-0500-00008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266</xdr:row>
          <xdr:rowOff>123825</xdr:rowOff>
        </xdr:from>
        <xdr:to>
          <xdr:col>1</xdr:col>
          <xdr:colOff>0</xdr:colOff>
          <xdr:row>268</xdr:row>
          <xdr:rowOff>38100</xdr:rowOff>
        </xdr:to>
        <xdr:sp macro="" textlink="">
          <xdr:nvSpPr>
            <xdr:cNvPr id="81039" name="Check Box 143" hidden="1">
              <a:extLst>
                <a:ext uri="{63B3BB69-23CF-44E3-9099-C40C66FF867C}">
                  <a14:compatExt spid="_x0000_s81039"/>
                </a:ext>
                <a:ext uri="{FF2B5EF4-FFF2-40B4-BE49-F238E27FC236}">
                  <a16:creationId xmlns:a16="http://schemas.microsoft.com/office/drawing/2014/main" id="{00000000-0008-0000-0500-00008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267</xdr:row>
          <xdr:rowOff>123825</xdr:rowOff>
        </xdr:from>
        <xdr:to>
          <xdr:col>1</xdr:col>
          <xdr:colOff>0</xdr:colOff>
          <xdr:row>269</xdr:row>
          <xdr:rowOff>38100</xdr:rowOff>
        </xdr:to>
        <xdr:sp macro="" textlink="">
          <xdr:nvSpPr>
            <xdr:cNvPr id="81040" name="Check Box 144" hidden="1">
              <a:extLst>
                <a:ext uri="{63B3BB69-23CF-44E3-9099-C40C66FF867C}">
                  <a14:compatExt spid="_x0000_s81040"/>
                </a:ext>
                <a:ext uri="{FF2B5EF4-FFF2-40B4-BE49-F238E27FC236}">
                  <a16:creationId xmlns:a16="http://schemas.microsoft.com/office/drawing/2014/main" id="{00000000-0008-0000-0500-00009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268</xdr:row>
          <xdr:rowOff>123825</xdr:rowOff>
        </xdr:from>
        <xdr:to>
          <xdr:col>1</xdr:col>
          <xdr:colOff>0</xdr:colOff>
          <xdr:row>270</xdr:row>
          <xdr:rowOff>38100</xdr:rowOff>
        </xdr:to>
        <xdr:sp macro="" textlink="">
          <xdr:nvSpPr>
            <xdr:cNvPr id="81041" name="Check Box 145" hidden="1">
              <a:extLst>
                <a:ext uri="{63B3BB69-23CF-44E3-9099-C40C66FF867C}">
                  <a14:compatExt spid="_x0000_s81041"/>
                </a:ext>
                <a:ext uri="{FF2B5EF4-FFF2-40B4-BE49-F238E27FC236}">
                  <a16:creationId xmlns:a16="http://schemas.microsoft.com/office/drawing/2014/main" id="{00000000-0008-0000-0500-00009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269</xdr:row>
          <xdr:rowOff>123825</xdr:rowOff>
        </xdr:from>
        <xdr:to>
          <xdr:col>1</xdr:col>
          <xdr:colOff>0</xdr:colOff>
          <xdr:row>271</xdr:row>
          <xdr:rowOff>38100</xdr:rowOff>
        </xdr:to>
        <xdr:sp macro="" textlink="">
          <xdr:nvSpPr>
            <xdr:cNvPr id="81042" name="Check Box 146" hidden="1">
              <a:extLst>
                <a:ext uri="{63B3BB69-23CF-44E3-9099-C40C66FF867C}">
                  <a14:compatExt spid="_x0000_s81042"/>
                </a:ext>
                <a:ext uri="{FF2B5EF4-FFF2-40B4-BE49-F238E27FC236}">
                  <a16:creationId xmlns:a16="http://schemas.microsoft.com/office/drawing/2014/main" id="{00000000-0008-0000-0500-00009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270</xdr:row>
          <xdr:rowOff>123825</xdr:rowOff>
        </xdr:from>
        <xdr:to>
          <xdr:col>1</xdr:col>
          <xdr:colOff>0</xdr:colOff>
          <xdr:row>272</xdr:row>
          <xdr:rowOff>38100</xdr:rowOff>
        </xdr:to>
        <xdr:sp macro="" textlink="">
          <xdr:nvSpPr>
            <xdr:cNvPr id="81043" name="Check Box 147" hidden="1">
              <a:extLst>
                <a:ext uri="{63B3BB69-23CF-44E3-9099-C40C66FF867C}">
                  <a14:compatExt spid="_x0000_s81043"/>
                </a:ext>
                <a:ext uri="{FF2B5EF4-FFF2-40B4-BE49-F238E27FC236}">
                  <a16:creationId xmlns:a16="http://schemas.microsoft.com/office/drawing/2014/main" id="{00000000-0008-0000-0500-00009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271</xdr:row>
          <xdr:rowOff>123825</xdr:rowOff>
        </xdr:from>
        <xdr:to>
          <xdr:col>1</xdr:col>
          <xdr:colOff>0</xdr:colOff>
          <xdr:row>273</xdr:row>
          <xdr:rowOff>38100</xdr:rowOff>
        </xdr:to>
        <xdr:sp macro="" textlink="">
          <xdr:nvSpPr>
            <xdr:cNvPr id="81044" name="Check Box 148" hidden="1">
              <a:extLst>
                <a:ext uri="{63B3BB69-23CF-44E3-9099-C40C66FF867C}">
                  <a14:compatExt spid="_x0000_s81044"/>
                </a:ext>
                <a:ext uri="{FF2B5EF4-FFF2-40B4-BE49-F238E27FC236}">
                  <a16:creationId xmlns:a16="http://schemas.microsoft.com/office/drawing/2014/main" id="{00000000-0008-0000-0500-00009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272</xdr:row>
          <xdr:rowOff>123825</xdr:rowOff>
        </xdr:from>
        <xdr:to>
          <xdr:col>1</xdr:col>
          <xdr:colOff>0</xdr:colOff>
          <xdr:row>274</xdr:row>
          <xdr:rowOff>38100</xdr:rowOff>
        </xdr:to>
        <xdr:sp macro="" textlink="">
          <xdr:nvSpPr>
            <xdr:cNvPr id="81045" name="Check Box 149" hidden="1">
              <a:extLst>
                <a:ext uri="{63B3BB69-23CF-44E3-9099-C40C66FF867C}">
                  <a14:compatExt spid="_x0000_s81045"/>
                </a:ext>
                <a:ext uri="{FF2B5EF4-FFF2-40B4-BE49-F238E27FC236}">
                  <a16:creationId xmlns:a16="http://schemas.microsoft.com/office/drawing/2014/main" id="{00000000-0008-0000-0500-00009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273</xdr:row>
          <xdr:rowOff>123825</xdr:rowOff>
        </xdr:from>
        <xdr:to>
          <xdr:col>1</xdr:col>
          <xdr:colOff>0</xdr:colOff>
          <xdr:row>275</xdr:row>
          <xdr:rowOff>38100</xdr:rowOff>
        </xdr:to>
        <xdr:sp macro="" textlink="">
          <xdr:nvSpPr>
            <xdr:cNvPr id="81046" name="Check Box 150" hidden="1">
              <a:extLst>
                <a:ext uri="{63B3BB69-23CF-44E3-9099-C40C66FF867C}">
                  <a14:compatExt spid="_x0000_s81046"/>
                </a:ext>
                <a:ext uri="{FF2B5EF4-FFF2-40B4-BE49-F238E27FC236}">
                  <a16:creationId xmlns:a16="http://schemas.microsoft.com/office/drawing/2014/main" id="{00000000-0008-0000-0500-00009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274</xdr:row>
          <xdr:rowOff>123825</xdr:rowOff>
        </xdr:from>
        <xdr:to>
          <xdr:col>1</xdr:col>
          <xdr:colOff>0</xdr:colOff>
          <xdr:row>276</xdr:row>
          <xdr:rowOff>38100</xdr:rowOff>
        </xdr:to>
        <xdr:sp macro="" textlink="">
          <xdr:nvSpPr>
            <xdr:cNvPr id="81047" name="Check Box 151" hidden="1">
              <a:extLst>
                <a:ext uri="{63B3BB69-23CF-44E3-9099-C40C66FF867C}">
                  <a14:compatExt spid="_x0000_s81047"/>
                </a:ext>
                <a:ext uri="{FF2B5EF4-FFF2-40B4-BE49-F238E27FC236}">
                  <a16:creationId xmlns:a16="http://schemas.microsoft.com/office/drawing/2014/main" id="{00000000-0008-0000-0500-00009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275</xdr:row>
          <xdr:rowOff>123825</xdr:rowOff>
        </xdr:from>
        <xdr:to>
          <xdr:col>1</xdr:col>
          <xdr:colOff>0</xdr:colOff>
          <xdr:row>277</xdr:row>
          <xdr:rowOff>38100</xdr:rowOff>
        </xdr:to>
        <xdr:sp macro="" textlink="">
          <xdr:nvSpPr>
            <xdr:cNvPr id="81048" name="Check Box 152" hidden="1">
              <a:extLst>
                <a:ext uri="{63B3BB69-23CF-44E3-9099-C40C66FF867C}">
                  <a14:compatExt spid="_x0000_s81048"/>
                </a:ext>
                <a:ext uri="{FF2B5EF4-FFF2-40B4-BE49-F238E27FC236}">
                  <a16:creationId xmlns:a16="http://schemas.microsoft.com/office/drawing/2014/main" id="{00000000-0008-0000-0500-00009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276</xdr:row>
          <xdr:rowOff>123825</xdr:rowOff>
        </xdr:from>
        <xdr:to>
          <xdr:col>1</xdr:col>
          <xdr:colOff>0</xdr:colOff>
          <xdr:row>278</xdr:row>
          <xdr:rowOff>38100</xdr:rowOff>
        </xdr:to>
        <xdr:sp macro="" textlink="">
          <xdr:nvSpPr>
            <xdr:cNvPr id="81049" name="Check Box 153" hidden="1">
              <a:extLst>
                <a:ext uri="{63B3BB69-23CF-44E3-9099-C40C66FF867C}">
                  <a14:compatExt spid="_x0000_s81049"/>
                </a:ext>
                <a:ext uri="{FF2B5EF4-FFF2-40B4-BE49-F238E27FC236}">
                  <a16:creationId xmlns:a16="http://schemas.microsoft.com/office/drawing/2014/main" id="{00000000-0008-0000-0500-00009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277</xdr:row>
          <xdr:rowOff>123825</xdr:rowOff>
        </xdr:from>
        <xdr:to>
          <xdr:col>1</xdr:col>
          <xdr:colOff>0</xdr:colOff>
          <xdr:row>279</xdr:row>
          <xdr:rowOff>38100</xdr:rowOff>
        </xdr:to>
        <xdr:sp macro="" textlink="">
          <xdr:nvSpPr>
            <xdr:cNvPr id="81050" name="Check Box 154" hidden="1">
              <a:extLst>
                <a:ext uri="{63B3BB69-23CF-44E3-9099-C40C66FF867C}">
                  <a14:compatExt spid="_x0000_s81050"/>
                </a:ext>
                <a:ext uri="{FF2B5EF4-FFF2-40B4-BE49-F238E27FC236}">
                  <a16:creationId xmlns:a16="http://schemas.microsoft.com/office/drawing/2014/main" id="{00000000-0008-0000-0500-00009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278</xdr:row>
          <xdr:rowOff>123825</xdr:rowOff>
        </xdr:from>
        <xdr:to>
          <xdr:col>1</xdr:col>
          <xdr:colOff>0</xdr:colOff>
          <xdr:row>280</xdr:row>
          <xdr:rowOff>38100</xdr:rowOff>
        </xdr:to>
        <xdr:sp macro="" textlink="">
          <xdr:nvSpPr>
            <xdr:cNvPr id="81051" name="Check Box 155" hidden="1">
              <a:extLst>
                <a:ext uri="{63B3BB69-23CF-44E3-9099-C40C66FF867C}">
                  <a14:compatExt spid="_x0000_s81051"/>
                </a:ext>
                <a:ext uri="{FF2B5EF4-FFF2-40B4-BE49-F238E27FC236}">
                  <a16:creationId xmlns:a16="http://schemas.microsoft.com/office/drawing/2014/main" id="{00000000-0008-0000-0500-00009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279</xdr:row>
          <xdr:rowOff>123825</xdr:rowOff>
        </xdr:from>
        <xdr:to>
          <xdr:col>1</xdr:col>
          <xdr:colOff>0</xdr:colOff>
          <xdr:row>281</xdr:row>
          <xdr:rowOff>38100</xdr:rowOff>
        </xdr:to>
        <xdr:sp macro="" textlink="">
          <xdr:nvSpPr>
            <xdr:cNvPr id="81052" name="Check Box 156" hidden="1">
              <a:extLst>
                <a:ext uri="{63B3BB69-23CF-44E3-9099-C40C66FF867C}">
                  <a14:compatExt spid="_x0000_s81052"/>
                </a:ext>
                <a:ext uri="{FF2B5EF4-FFF2-40B4-BE49-F238E27FC236}">
                  <a16:creationId xmlns:a16="http://schemas.microsoft.com/office/drawing/2014/main" id="{00000000-0008-0000-0500-00009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280</xdr:row>
          <xdr:rowOff>123825</xdr:rowOff>
        </xdr:from>
        <xdr:to>
          <xdr:col>1</xdr:col>
          <xdr:colOff>0</xdr:colOff>
          <xdr:row>282</xdr:row>
          <xdr:rowOff>38100</xdr:rowOff>
        </xdr:to>
        <xdr:sp macro="" textlink="">
          <xdr:nvSpPr>
            <xdr:cNvPr id="81053" name="Check Box 157" hidden="1">
              <a:extLst>
                <a:ext uri="{63B3BB69-23CF-44E3-9099-C40C66FF867C}">
                  <a14:compatExt spid="_x0000_s81053"/>
                </a:ext>
                <a:ext uri="{FF2B5EF4-FFF2-40B4-BE49-F238E27FC236}">
                  <a16:creationId xmlns:a16="http://schemas.microsoft.com/office/drawing/2014/main" id="{00000000-0008-0000-0500-00009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281</xdr:row>
          <xdr:rowOff>123825</xdr:rowOff>
        </xdr:from>
        <xdr:to>
          <xdr:col>1</xdr:col>
          <xdr:colOff>0</xdr:colOff>
          <xdr:row>283</xdr:row>
          <xdr:rowOff>38100</xdr:rowOff>
        </xdr:to>
        <xdr:sp macro="" textlink="">
          <xdr:nvSpPr>
            <xdr:cNvPr id="81054" name="Check Box 158" hidden="1">
              <a:extLst>
                <a:ext uri="{63B3BB69-23CF-44E3-9099-C40C66FF867C}">
                  <a14:compatExt spid="_x0000_s81054"/>
                </a:ext>
                <a:ext uri="{FF2B5EF4-FFF2-40B4-BE49-F238E27FC236}">
                  <a16:creationId xmlns:a16="http://schemas.microsoft.com/office/drawing/2014/main" id="{00000000-0008-0000-0500-00009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282</xdr:row>
          <xdr:rowOff>123825</xdr:rowOff>
        </xdr:from>
        <xdr:to>
          <xdr:col>1</xdr:col>
          <xdr:colOff>0</xdr:colOff>
          <xdr:row>284</xdr:row>
          <xdr:rowOff>38100</xdr:rowOff>
        </xdr:to>
        <xdr:sp macro="" textlink="">
          <xdr:nvSpPr>
            <xdr:cNvPr id="81055" name="Check Box 159" hidden="1">
              <a:extLst>
                <a:ext uri="{63B3BB69-23CF-44E3-9099-C40C66FF867C}">
                  <a14:compatExt spid="_x0000_s81055"/>
                </a:ext>
                <a:ext uri="{FF2B5EF4-FFF2-40B4-BE49-F238E27FC236}">
                  <a16:creationId xmlns:a16="http://schemas.microsoft.com/office/drawing/2014/main" id="{00000000-0008-0000-0500-00009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51</xdr:row>
          <xdr:rowOff>9525</xdr:rowOff>
        </xdr:from>
        <xdr:to>
          <xdr:col>5</xdr:col>
          <xdr:colOff>619125</xdr:colOff>
          <xdr:row>51</xdr:row>
          <xdr:rowOff>361950</xdr:rowOff>
        </xdr:to>
        <xdr:sp macro="" textlink="">
          <xdr:nvSpPr>
            <xdr:cNvPr id="81061" name="CommandButton" hidden="1">
              <a:extLst>
                <a:ext uri="{63B3BB69-23CF-44E3-9099-C40C66FF867C}">
                  <a14:compatExt spid="_x0000_s81061"/>
                </a:ext>
                <a:ext uri="{FF2B5EF4-FFF2-40B4-BE49-F238E27FC236}">
                  <a16:creationId xmlns:a16="http://schemas.microsoft.com/office/drawing/2014/main" id="{00000000-0008-0000-0500-0000A5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657225</xdr:colOff>
          <xdr:row>51</xdr:row>
          <xdr:rowOff>9525</xdr:rowOff>
        </xdr:from>
        <xdr:to>
          <xdr:col>7</xdr:col>
          <xdr:colOff>457200</xdr:colOff>
          <xdr:row>51</xdr:row>
          <xdr:rowOff>361950</xdr:rowOff>
        </xdr:to>
        <xdr:sp macro="" textlink="">
          <xdr:nvSpPr>
            <xdr:cNvPr id="81062" name="CommandButton" hidden="1">
              <a:extLst>
                <a:ext uri="{63B3BB69-23CF-44E3-9099-C40C66FF867C}">
                  <a14:compatExt spid="_x0000_s81062"/>
                </a:ext>
                <a:ext uri="{FF2B5EF4-FFF2-40B4-BE49-F238E27FC236}">
                  <a16:creationId xmlns:a16="http://schemas.microsoft.com/office/drawing/2014/main" id="{00000000-0008-0000-0500-0000A6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51</xdr:row>
          <xdr:rowOff>19050</xdr:rowOff>
        </xdr:from>
        <xdr:to>
          <xdr:col>10</xdr:col>
          <xdr:colOff>1019175</xdr:colOff>
          <xdr:row>51</xdr:row>
          <xdr:rowOff>361950</xdr:rowOff>
        </xdr:to>
        <xdr:sp macro="" textlink="">
          <xdr:nvSpPr>
            <xdr:cNvPr id="81072" name="Button 176" hidden="1">
              <a:extLst>
                <a:ext uri="{63B3BB69-23CF-44E3-9099-C40C66FF867C}">
                  <a14:compatExt spid="_x0000_s81072"/>
                </a:ext>
                <a:ext uri="{FF2B5EF4-FFF2-40B4-BE49-F238E27FC236}">
                  <a16:creationId xmlns:a16="http://schemas.microsoft.com/office/drawing/2014/main" id="{00000000-0008-0000-0500-0000B0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0</xdr:rowOff>
        </xdr:from>
        <xdr:to>
          <xdr:col>1</xdr:col>
          <xdr:colOff>66675</xdr:colOff>
          <xdr:row>101</xdr:row>
          <xdr:rowOff>0</xdr:rowOff>
        </xdr:to>
        <xdr:sp macro="" textlink="">
          <xdr:nvSpPr>
            <xdr:cNvPr id="81073" name="Check Box 177" hidden="1">
              <a:extLst>
                <a:ext uri="{63B3BB69-23CF-44E3-9099-C40C66FF867C}">
                  <a14:compatExt spid="_x0000_s81073"/>
                </a:ext>
                <a:ext uri="{FF2B5EF4-FFF2-40B4-BE49-F238E27FC236}">
                  <a16:creationId xmlns:a16="http://schemas.microsoft.com/office/drawing/2014/main" id="{00000000-0008-0000-0500-0000B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11</xdr:row>
          <xdr:rowOff>28575</xdr:rowOff>
        </xdr:from>
        <xdr:to>
          <xdr:col>6</xdr:col>
          <xdr:colOff>2571750</xdr:colOff>
          <xdr:row>13</xdr:row>
          <xdr:rowOff>104775</xdr:rowOff>
        </xdr:to>
        <xdr:sp macro="" textlink="">
          <xdr:nvSpPr>
            <xdr:cNvPr id="125953" name="CommandButton" hidden="1">
              <a:extLst>
                <a:ext uri="{63B3BB69-23CF-44E3-9099-C40C66FF867C}">
                  <a14:compatExt spid="_x0000_s125953"/>
                </a:ext>
                <a:ext uri="{FF2B5EF4-FFF2-40B4-BE49-F238E27FC236}">
                  <a16:creationId xmlns:a16="http://schemas.microsoft.com/office/drawing/2014/main" id="{00000000-0008-0000-0700-000001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Optimize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0</xdr:row>
          <xdr:rowOff>0</xdr:rowOff>
        </xdr:from>
        <xdr:to>
          <xdr:col>12</xdr:col>
          <xdr:colOff>733425</xdr:colOff>
          <xdr:row>1</xdr:row>
          <xdr:rowOff>123825</xdr:rowOff>
        </xdr:to>
        <xdr:sp macro="" textlink="">
          <xdr:nvSpPr>
            <xdr:cNvPr id="72705" name="cmdCreateLookup" hidden="1">
              <a:extLst>
                <a:ext uri="{63B3BB69-23CF-44E3-9099-C40C66FF867C}">
                  <a14:compatExt spid="_x0000_s72705"/>
                </a:ext>
                <a:ext uri="{FF2B5EF4-FFF2-40B4-BE49-F238E27FC236}">
                  <a16:creationId xmlns:a16="http://schemas.microsoft.com/office/drawing/2014/main" id="{00000000-0008-0000-1D00-000001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eb.archive.org/web/20081010043012/http:/elitistjerks.com:80/f47/t24301-rogue_pve_dp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16" Type="http://schemas.openxmlformats.org/officeDocument/2006/relationships/ctrlProp" Target="../ctrlProps/ctrlProp1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0.xml"/><Relationship Id="rId13" Type="http://schemas.openxmlformats.org/officeDocument/2006/relationships/ctrlProp" Target="../ctrlProps/ctrlProp85.xml"/><Relationship Id="rId3" Type="http://schemas.openxmlformats.org/officeDocument/2006/relationships/vmlDrawing" Target="../drawings/vmlDrawing3.vml"/><Relationship Id="rId7" Type="http://schemas.openxmlformats.org/officeDocument/2006/relationships/ctrlProp" Target="../ctrlProps/ctrlProp79.xml"/><Relationship Id="rId12" Type="http://schemas.openxmlformats.org/officeDocument/2006/relationships/ctrlProp" Target="../ctrlProps/ctrlProp84.xml"/><Relationship Id="rId2" Type="http://schemas.openxmlformats.org/officeDocument/2006/relationships/drawing" Target="../drawings/drawing2.xml"/><Relationship Id="rId16" Type="http://schemas.openxmlformats.org/officeDocument/2006/relationships/ctrlProp" Target="../ctrlProps/ctrlProp88.xml"/><Relationship Id="rId1" Type="http://schemas.openxmlformats.org/officeDocument/2006/relationships/printerSettings" Target="../printerSettings/printerSettings4.bin"/><Relationship Id="rId6" Type="http://schemas.openxmlformats.org/officeDocument/2006/relationships/ctrlProp" Target="../ctrlProps/ctrlProp78.xml"/><Relationship Id="rId11" Type="http://schemas.openxmlformats.org/officeDocument/2006/relationships/ctrlProp" Target="../ctrlProps/ctrlProp83.xml"/><Relationship Id="rId5" Type="http://schemas.openxmlformats.org/officeDocument/2006/relationships/ctrlProp" Target="../ctrlProps/ctrlProp77.xml"/><Relationship Id="rId15" Type="http://schemas.openxmlformats.org/officeDocument/2006/relationships/ctrlProp" Target="../ctrlProps/ctrlProp87.xml"/><Relationship Id="rId10" Type="http://schemas.openxmlformats.org/officeDocument/2006/relationships/ctrlProp" Target="../ctrlProps/ctrlProp82.xml"/><Relationship Id="rId4" Type="http://schemas.openxmlformats.org/officeDocument/2006/relationships/ctrlProp" Target="../ctrlProps/ctrlProp76.xml"/><Relationship Id="rId9" Type="http://schemas.openxmlformats.org/officeDocument/2006/relationships/ctrlProp" Target="../ctrlProps/ctrlProp81.xml"/><Relationship Id="rId14" Type="http://schemas.openxmlformats.org/officeDocument/2006/relationships/ctrlProp" Target="../ctrlProps/ctrlProp8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9.xml"/><Relationship Id="rId7" Type="http://schemas.openxmlformats.org/officeDocument/2006/relationships/ctrlProp" Target="../ctrlProps/ctrlProp93.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207.xml"/><Relationship Id="rId21" Type="http://schemas.openxmlformats.org/officeDocument/2006/relationships/ctrlProp" Target="../ctrlProps/ctrlProp111.xml"/><Relationship Id="rId42" Type="http://schemas.openxmlformats.org/officeDocument/2006/relationships/ctrlProp" Target="../ctrlProps/ctrlProp132.xml"/><Relationship Id="rId63" Type="http://schemas.openxmlformats.org/officeDocument/2006/relationships/ctrlProp" Target="../ctrlProps/ctrlProp153.xml"/><Relationship Id="rId84" Type="http://schemas.openxmlformats.org/officeDocument/2006/relationships/ctrlProp" Target="../ctrlProps/ctrlProp174.xml"/><Relationship Id="rId138" Type="http://schemas.openxmlformats.org/officeDocument/2006/relationships/ctrlProp" Target="../ctrlProps/ctrlProp228.xml"/><Relationship Id="rId107" Type="http://schemas.openxmlformats.org/officeDocument/2006/relationships/ctrlProp" Target="../ctrlProps/ctrlProp197.xml"/><Relationship Id="rId11" Type="http://schemas.openxmlformats.org/officeDocument/2006/relationships/ctrlProp" Target="../ctrlProps/ctrlProp101.xml"/><Relationship Id="rId32" Type="http://schemas.openxmlformats.org/officeDocument/2006/relationships/ctrlProp" Target="../ctrlProps/ctrlProp122.xml"/><Relationship Id="rId53" Type="http://schemas.openxmlformats.org/officeDocument/2006/relationships/ctrlProp" Target="../ctrlProps/ctrlProp143.xml"/><Relationship Id="rId74" Type="http://schemas.openxmlformats.org/officeDocument/2006/relationships/ctrlProp" Target="../ctrlProps/ctrlProp164.xml"/><Relationship Id="rId128" Type="http://schemas.openxmlformats.org/officeDocument/2006/relationships/ctrlProp" Target="../ctrlProps/ctrlProp218.xml"/><Relationship Id="rId149" Type="http://schemas.openxmlformats.org/officeDocument/2006/relationships/ctrlProp" Target="../ctrlProps/ctrlProp239.xml"/><Relationship Id="rId5" Type="http://schemas.openxmlformats.org/officeDocument/2006/relationships/ctrlProp" Target="../ctrlProps/ctrlProp95.xml"/><Relationship Id="rId95" Type="http://schemas.openxmlformats.org/officeDocument/2006/relationships/ctrlProp" Target="../ctrlProps/ctrlProp185.xml"/><Relationship Id="rId22" Type="http://schemas.openxmlformats.org/officeDocument/2006/relationships/ctrlProp" Target="../ctrlProps/ctrlProp112.xml"/><Relationship Id="rId27" Type="http://schemas.openxmlformats.org/officeDocument/2006/relationships/ctrlProp" Target="../ctrlProps/ctrlProp117.xml"/><Relationship Id="rId43" Type="http://schemas.openxmlformats.org/officeDocument/2006/relationships/ctrlProp" Target="../ctrlProps/ctrlProp133.xml"/><Relationship Id="rId48" Type="http://schemas.openxmlformats.org/officeDocument/2006/relationships/ctrlProp" Target="../ctrlProps/ctrlProp138.xml"/><Relationship Id="rId64" Type="http://schemas.openxmlformats.org/officeDocument/2006/relationships/ctrlProp" Target="../ctrlProps/ctrlProp154.xml"/><Relationship Id="rId69" Type="http://schemas.openxmlformats.org/officeDocument/2006/relationships/ctrlProp" Target="../ctrlProps/ctrlProp159.xml"/><Relationship Id="rId113" Type="http://schemas.openxmlformats.org/officeDocument/2006/relationships/ctrlProp" Target="../ctrlProps/ctrlProp203.xml"/><Relationship Id="rId118" Type="http://schemas.openxmlformats.org/officeDocument/2006/relationships/ctrlProp" Target="../ctrlProps/ctrlProp208.xml"/><Relationship Id="rId134" Type="http://schemas.openxmlformats.org/officeDocument/2006/relationships/ctrlProp" Target="../ctrlProps/ctrlProp224.xml"/><Relationship Id="rId139" Type="http://schemas.openxmlformats.org/officeDocument/2006/relationships/ctrlProp" Target="../ctrlProps/ctrlProp229.xml"/><Relationship Id="rId80" Type="http://schemas.openxmlformats.org/officeDocument/2006/relationships/ctrlProp" Target="../ctrlProps/ctrlProp170.xml"/><Relationship Id="rId85" Type="http://schemas.openxmlformats.org/officeDocument/2006/relationships/ctrlProp" Target="../ctrlProps/ctrlProp175.xml"/><Relationship Id="rId150" Type="http://schemas.openxmlformats.org/officeDocument/2006/relationships/ctrlProp" Target="../ctrlProps/ctrlProp240.xml"/><Relationship Id="rId12" Type="http://schemas.openxmlformats.org/officeDocument/2006/relationships/ctrlProp" Target="../ctrlProps/ctrlProp102.xml"/><Relationship Id="rId17" Type="http://schemas.openxmlformats.org/officeDocument/2006/relationships/ctrlProp" Target="../ctrlProps/ctrlProp107.xml"/><Relationship Id="rId33" Type="http://schemas.openxmlformats.org/officeDocument/2006/relationships/ctrlProp" Target="../ctrlProps/ctrlProp123.xml"/><Relationship Id="rId38" Type="http://schemas.openxmlformats.org/officeDocument/2006/relationships/ctrlProp" Target="../ctrlProps/ctrlProp128.xml"/><Relationship Id="rId59" Type="http://schemas.openxmlformats.org/officeDocument/2006/relationships/ctrlProp" Target="../ctrlProps/ctrlProp149.xml"/><Relationship Id="rId103" Type="http://schemas.openxmlformats.org/officeDocument/2006/relationships/ctrlProp" Target="../ctrlProps/ctrlProp193.xml"/><Relationship Id="rId108" Type="http://schemas.openxmlformats.org/officeDocument/2006/relationships/ctrlProp" Target="../ctrlProps/ctrlProp198.xml"/><Relationship Id="rId124" Type="http://schemas.openxmlformats.org/officeDocument/2006/relationships/ctrlProp" Target="../ctrlProps/ctrlProp214.xml"/><Relationship Id="rId129" Type="http://schemas.openxmlformats.org/officeDocument/2006/relationships/ctrlProp" Target="../ctrlProps/ctrlProp219.xml"/><Relationship Id="rId54" Type="http://schemas.openxmlformats.org/officeDocument/2006/relationships/ctrlProp" Target="../ctrlProps/ctrlProp144.xml"/><Relationship Id="rId70" Type="http://schemas.openxmlformats.org/officeDocument/2006/relationships/ctrlProp" Target="../ctrlProps/ctrlProp160.xml"/><Relationship Id="rId75" Type="http://schemas.openxmlformats.org/officeDocument/2006/relationships/ctrlProp" Target="../ctrlProps/ctrlProp165.xml"/><Relationship Id="rId91" Type="http://schemas.openxmlformats.org/officeDocument/2006/relationships/ctrlProp" Target="../ctrlProps/ctrlProp181.xml"/><Relationship Id="rId96" Type="http://schemas.openxmlformats.org/officeDocument/2006/relationships/ctrlProp" Target="../ctrlProps/ctrlProp186.xml"/><Relationship Id="rId140" Type="http://schemas.openxmlformats.org/officeDocument/2006/relationships/ctrlProp" Target="../ctrlProps/ctrlProp230.xml"/><Relationship Id="rId145" Type="http://schemas.openxmlformats.org/officeDocument/2006/relationships/ctrlProp" Target="../ctrlProps/ctrlProp235.xml"/><Relationship Id="rId1" Type="http://schemas.openxmlformats.org/officeDocument/2006/relationships/printerSettings" Target="../printerSettings/printerSettings5.bin"/><Relationship Id="rId6" Type="http://schemas.openxmlformats.org/officeDocument/2006/relationships/ctrlProp" Target="../ctrlProps/ctrlProp96.xml"/><Relationship Id="rId23" Type="http://schemas.openxmlformats.org/officeDocument/2006/relationships/ctrlProp" Target="../ctrlProps/ctrlProp113.xml"/><Relationship Id="rId28" Type="http://schemas.openxmlformats.org/officeDocument/2006/relationships/ctrlProp" Target="../ctrlProps/ctrlProp118.xml"/><Relationship Id="rId49" Type="http://schemas.openxmlformats.org/officeDocument/2006/relationships/ctrlProp" Target="../ctrlProps/ctrlProp139.xml"/><Relationship Id="rId114" Type="http://schemas.openxmlformats.org/officeDocument/2006/relationships/ctrlProp" Target="../ctrlProps/ctrlProp204.xml"/><Relationship Id="rId119" Type="http://schemas.openxmlformats.org/officeDocument/2006/relationships/ctrlProp" Target="../ctrlProps/ctrlProp209.xml"/><Relationship Id="rId44" Type="http://schemas.openxmlformats.org/officeDocument/2006/relationships/ctrlProp" Target="../ctrlProps/ctrlProp134.xml"/><Relationship Id="rId60" Type="http://schemas.openxmlformats.org/officeDocument/2006/relationships/ctrlProp" Target="../ctrlProps/ctrlProp150.xml"/><Relationship Id="rId65" Type="http://schemas.openxmlformats.org/officeDocument/2006/relationships/ctrlProp" Target="../ctrlProps/ctrlProp155.xml"/><Relationship Id="rId81" Type="http://schemas.openxmlformats.org/officeDocument/2006/relationships/ctrlProp" Target="../ctrlProps/ctrlProp171.xml"/><Relationship Id="rId86" Type="http://schemas.openxmlformats.org/officeDocument/2006/relationships/ctrlProp" Target="../ctrlProps/ctrlProp176.xml"/><Relationship Id="rId130" Type="http://schemas.openxmlformats.org/officeDocument/2006/relationships/ctrlProp" Target="../ctrlProps/ctrlProp220.xml"/><Relationship Id="rId135" Type="http://schemas.openxmlformats.org/officeDocument/2006/relationships/ctrlProp" Target="../ctrlProps/ctrlProp225.xml"/><Relationship Id="rId151" Type="http://schemas.openxmlformats.org/officeDocument/2006/relationships/ctrlProp" Target="../ctrlProps/ctrlProp241.xml"/><Relationship Id="rId13" Type="http://schemas.openxmlformats.org/officeDocument/2006/relationships/ctrlProp" Target="../ctrlProps/ctrlProp103.xml"/><Relationship Id="rId18" Type="http://schemas.openxmlformats.org/officeDocument/2006/relationships/ctrlProp" Target="../ctrlProps/ctrlProp108.xml"/><Relationship Id="rId39" Type="http://schemas.openxmlformats.org/officeDocument/2006/relationships/ctrlProp" Target="../ctrlProps/ctrlProp129.xml"/><Relationship Id="rId109" Type="http://schemas.openxmlformats.org/officeDocument/2006/relationships/ctrlProp" Target="../ctrlProps/ctrlProp199.xml"/><Relationship Id="rId34" Type="http://schemas.openxmlformats.org/officeDocument/2006/relationships/ctrlProp" Target="../ctrlProps/ctrlProp124.xml"/><Relationship Id="rId50" Type="http://schemas.openxmlformats.org/officeDocument/2006/relationships/ctrlProp" Target="../ctrlProps/ctrlProp140.xml"/><Relationship Id="rId55" Type="http://schemas.openxmlformats.org/officeDocument/2006/relationships/ctrlProp" Target="../ctrlProps/ctrlProp145.xml"/><Relationship Id="rId76" Type="http://schemas.openxmlformats.org/officeDocument/2006/relationships/ctrlProp" Target="../ctrlProps/ctrlProp166.xml"/><Relationship Id="rId97" Type="http://schemas.openxmlformats.org/officeDocument/2006/relationships/ctrlProp" Target="../ctrlProps/ctrlProp187.xml"/><Relationship Id="rId104" Type="http://schemas.openxmlformats.org/officeDocument/2006/relationships/ctrlProp" Target="../ctrlProps/ctrlProp194.xml"/><Relationship Id="rId120" Type="http://schemas.openxmlformats.org/officeDocument/2006/relationships/ctrlProp" Target="../ctrlProps/ctrlProp210.xml"/><Relationship Id="rId125" Type="http://schemas.openxmlformats.org/officeDocument/2006/relationships/ctrlProp" Target="../ctrlProps/ctrlProp215.xml"/><Relationship Id="rId141" Type="http://schemas.openxmlformats.org/officeDocument/2006/relationships/ctrlProp" Target="../ctrlProps/ctrlProp231.xml"/><Relationship Id="rId146" Type="http://schemas.openxmlformats.org/officeDocument/2006/relationships/ctrlProp" Target="../ctrlProps/ctrlProp236.xml"/><Relationship Id="rId7" Type="http://schemas.openxmlformats.org/officeDocument/2006/relationships/ctrlProp" Target="../ctrlProps/ctrlProp97.xml"/><Relationship Id="rId71" Type="http://schemas.openxmlformats.org/officeDocument/2006/relationships/ctrlProp" Target="../ctrlProps/ctrlProp161.xml"/><Relationship Id="rId92" Type="http://schemas.openxmlformats.org/officeDocument/2006/relationships/ctrlProp" Target="../ctrlProps/ctrlProp182.xml"/><Relationship Id="rId2" Type="http://schemas.openxmlformats.org/officeDocument/2006/relationships/drawing" Target="../drawings/drawing4.xml"/><Relationship Id="rId29" Type="http://schemas.openxmlformats.org/officeDocument/2006/relationships/ctrlProp" Target="../ctrlProps/ctrlProp119.xml"/><Relationship Id="rId24" Type="http://schemas.openxmlformats.org/officeDocument/2006/relationships/ctrlProp" Target="../ctrlProps/ctrlProp114.xml"/><Relationship Id="rId40" Type="http://schemas.openxmlformats.org/officeDocument/2006/relationships/ctrlProp" Target="../ctrlProps/ctrlProp130.xml"/><Relationship Id="rId45" Type="http://schemas.openxmlformats.org/officeDocument/2006/relationships/ctrlProp" Target="../ctrlProps/ctrlProp135.xml"/><Relationship Id="rId66" Type="http://schemas.openxmlformats.org/officeDocument/2006/relationships/ctrlProp" Target="../ctrlProps/ctrlProp156.xml"/><Relationship Id="rId87" Type="http://schemas.openxmlformats.org/officeDocument/2006/relationships/ctrlProp" Target="../ctrlProps/ctrlProp177.xml"/><Relationship Id="rId110" Type="http://schemas.openxmlformats.org/officeDocument/2006/relationships/ctrlProp" Target="../ctrlProps/ctrlProp200.xml"/><Relationship Id="rId115" Type="http://schemas.openxmlformats.org/officeDocument/2006/relationships/ctrlProp" Target="../ctrlProps/ctrlProp205.xml"/><Relationship Id="rId131" Type="http://schemas.openxmlformats.org/officeDocument/2006/relationships/ctrlProp" Target="../ctrlProps/ctrlProp221.xml"/><Relationship Id="rId136" Type="http://schemas.openxmlformats.org/officeDocument/2006/relationships/ctrlProp" Target="../ctrlProps/ctrlProp226.xml"/><Relationship Id="rId61" Type="http://schemas.openxmlformats.org/officeDocument/2006/relationships/ctrlProp" Target="../ctrlProps/ctrlProp151.xml"/><Relationship Id="rId82" Type="http://schemas.openxmlformats.org/officeDocument/2006/relationships/ctrlProp" Target="../ctrlProps/ctrlProp172.xml"/><Relationship Id="rId152" Type="http://schemas.openxmlformats.org/officeDocument/2006/relationships/ctrlProp" Target="../ctrlProps/ctrlProp242.xml"/><Relationship Id="rId19" Type="http://schemas.openxmlformats.org/officeDocument/2006/relationships/ctrlProp" Target="../ctrlProps/ctrlProp109.xml"/><Relationship Id="rId14" Type="http://schemas.openxmlformats.org/officeDocument/2006/relationships/ctrlProp" Target="../ctrlProps/ctrlProp104.xml"/><Relationship Id="rId30" Type="http://schemas.openxmlformats.org/officeDocument/2006/relationships/ctrlProp" Target="../ctrlProps/ctrlProp120.xml"/><Relationship Id="rId35" Type="http://schemas.openxmlformats.org/officeDocument/2006/relationships/ctrlProp" Target="../ctrlProps/ctrlProp125.xml"/><Relationship Id="rId56" Type="http://schemas.openxmlformats.org/officeDocument/2006/relationships/ctrlProp" Target="../ctrlProps/ctrlProp146.xml"/><Relationship Id="rId77" Type="http://schemas.openxmlformats.org/officeDocument/2006/relationships/ctrlProp" Target="../ctrlProps/ctrlProp167.xml"/><Relationship Id="rId100" Type="http://schemas.openxmlformats.org/officeDocument/2006/relationships/ctrlProp" Target="../ctrlProps/ctrlProp190.xml"/><Relationship Id="rId105" Type="http://schemas.openxmlformats.org/officeDocument/2006/relationships/ctrlProp" Target="../ctrlProps/ctrlProp195.xml"/><Relationship Id="rId126" Type="http://schemas.openxmlformats.org/officeDocument/2006/relationships/ctrlProp" Target="../ctrlProps/ctrlProp216.xml"/><Relationship Id="rId147" Type="http://schemas.openxmlformats.org/officeDocument/2006/relationships/ctrlProp" Target="../ctrlProps/ctrlProp237.xml"/><Relationship Id="rId8" Type="http://schemas.openxmlformats.org/officeDocument/2006/relationships/ctrlProp" Target="../ctrlProps/ctrlProp98.xml"/><Relationship Id="rId51" Type="http://schemas.openxmlformats.org/officeDocument/2006/relationships/ctrlProp" Target="../ctrlProps/ctrlProp141.xml"/><Relationship Id="rId72" Type="http://schemas.openxmlformats.org/officeDocument/2006/relationships/ctrlProp" Target="../ctrlProps/ctrlProp162.xml"/><Relationship Id="rId93" Type="http://schemas.openxmlformats.org/officeDocument/2006/relationships/ctrlProp" Target="../ctrlProps/ctrlProp183.xml"/><Relationship Id="rId98" Type="http://schemas.openxmlformats.org/officeDocument/2006/relationships/ctrlProp" Target="../ctrlProps/ctrlProp188.xml"/><Relationship Id="rId121" Type="http://schemas.openxmlformats.org/officeDocument/2006/relationships/ctrlProp" Target="../ctrlProps/ctrlProp211.xml"/><Relationship Id="rId142" Type="http://schemas.openxmlformats.org/officeDocument/2006/relationships/ctrlProp" Target="../ctrlProps/ctrlProp232.xml"/><Relationship Id="rId3" Type="http://schemas.openxmlformats.org/officeDocument/2006/relationships/vmlDrawing" Target="../drawings/vmlDrawing5.vml"/><Relationship Id="rId25" Type="http://schemas.openxmlformats.org/officeDocument/2006/relationships/ctrlProp" Target="../ctrlProps/ctrlProp115.xml"/><Relationship Id="rId46" Type="http://schemas.openxmlformats.org/officeDocument/2006/relationships/ctrlProp" Target="../ctrlProps/ctrlProp136.xml"/><Relationship Id="rId67" Type="http://schemas.openxmlformats.org/officeDocument/2006/relationships/ctrlProp" Target="../ctrlProps/ctrlProp157.xml"/><Relationship Id="rId116" Type="http://schemas.openxmlformats.org/officeDocument/2006/relationships/ctrlProp" Target="../ctrlProps/ctrlProp206.xml"/><Relationship Id="rId137" Type="http://schemas.openxmlformats.org/officeDocument/2006/relationships/ctrlProp" Target="../ctrlProps/ctrlProp227.xml"/><Relationship Id="rId20" Type="http://schemas.openxmlformats.org/officeDocument/2006/relationships/ctrlProp" Target="../ctrlProps/ctrlProp110.xml"/><Relationship Id="rId41" Type="http://schemas.openxmlformats.org/officeDocument/2006/relationships/ctrlProp" Target="../ctrlProps/ctrlProp131.xml"/><Relationship Id="rId62" Type="http://schemas.openxmlformats.org/officeDocument/2006/relationships/ctrlProp" Target="../ctrlProps/ctrlProp152.xml"/><Relationship Id="rId83" Type="http://schemas.openxmlformats.org/officeDocument/2006/relationships/ctrlProp" Target="../ctrlProps/ctrlProp173.xml"/><Relationship Id="rId88" Type="http://schemas.openxmlformats.org/officeDocument/2006/relationships/ctrlProp" Target="../ctrlProps/ctrlProp178.xml"/><Relationship Id="rId111" Type="http://schemas.openxmlformats.org/officeDocument/2006/relationships/ctrlProp" Target="../ctrlProps/ctrlProp201.xml"/><Relationship Id="rId132" Type="http://schemas.openxmlformats.org/officeDocument/2006/relationships/ctrlProp" Target="../ctrlProps/ctrlProp222.xml"/><Relationship Id="rId15" Type="http://schemas.openxmlformats.org/officeDocument/2006/relationships/ctrlProp" Target="../ctrlProps/ctrlProp105.xml"/><Relationship Id="rId36" Type="http://schemas.openxmlformats.org/officeDocument/2006/relationships/ctrlProp" Target="../ctrlProps/ctrlProp126.xml"/><Relationship Id="rId57" Type="http://schemas.openxmlformats.org/officeDocument/2006/relationships/ctrlProp" Target="../ctrlProps/ctrlProp147.xml"/><Relationship Id="rId106" Type="http://schemas.openxmlformats.org/officeDocument/2006/relationships/ctrlProp" Target="../ctrlProps/ctrlProp196.xml"/><Relationship Id="rId127" Type="http://schemas.openxmlformats.org/officeDocument/2006/relationships/ctrlProp" Target="../ctrlProps/ctrlProp217.xml"/><Relationship Id="rId10" Type="http://schemas.openxmlformats.org/officeDocument/2006/relationships/ctrlProp" Target="../ctrlProps/ctrlProp100.xml"/><Relationship Id="rId31" Type="http://schemas.openxmlformats.org/officeDocument/2006/relationships/ctrlProp" Target="../ctrlProps/ctrlProp121.xml"/><Relationship Id="rId52" Type="http://schemas.openxmlformats.org/officeDocument/2006/relationships/ctrlProp" Target="../ctrlProps/ctrlProp142.xml"/><Relationship Id="rId73" Type="http://schemas.openxmlformats.org/officeDocument/2006/relationships/ctrlProp" Target="../ctrlProps/ctrlProp163.xml"/><Relationship Id="rId78" Type="http://schemas.openxmlformats.org/officeDocument/2006/relationships/ctrlProp" Target="../ctrlProps/ctrlProp168.xml"/><Relationship Id="rId94" Type="http://schemas.openxmlformats.org/officeDocument/2006/relationships/ctrlProp" Target="../ctrlProps/ctrlProp184.xml"/><Relationship Id="rId99" Type="http://schemas.openxmlformats.org/officeDocument/2006/relationships/ctrlProp" Target="../ctrlProps/ctrlProp189.xml"/><Relationship Id="rId101" Type="http://schemas.openxmlformats.org/officeDocument/2006/relationships/ctrlProp" Target="../ctrlProps/ctrlProp191.xml"/><Relationship Id="rId122" Type="http://schemas.openxmlformats.org/officeDocument/2006/relationships/ctrlProp" Target="../ctrlProps/ctrlProp212.xml"/><Relationship Id="rId143" Type="http://schemas.openxmlformats.org/officeDocument/2006/relationships/ctrlProp" Target="../ctrlProps/ctrlProp233.xml"/><Relationship Id="rId148" Type="http://schemas.openxmlformats.org/officeDocument/2006/relationships/ctrlProp" Target="../ctrlProps/ctrlProp238.xml"/><Relationship Id="rId4" Type="http://schemas.openxmlformats.org/officeDocument/2006/relationships/ctrlProp" Target="../ctrlProps/ctrlProp94.xml"/><Relationship Id="rId9" Type="http://schemas.openxmlformats.org/officeDocument/2006/relationships/ctrlProp" Target="../ctrlProps/ctrlProp99.xml"/><Relationship Id="rId26" Type="http://schemas.openxmlformats.org/officeDocument/2006/relationships/ctrlProp" Target="../ctrlProps/ctrlProp116.xml"/><Relationship Id="rId47" Type="http://schemas.openxmlformats.org/officeDocument/2006/relationships/ctrlProp" Target="../ctrlProps/ctrlProp137.xml"/><Relationship Id="rId68" Type="http://schemas.openxmlformats.org/officeDocument/2006/relationships/ctrlProp" Target="../ctrlProps/ctrlProp158.xml"/><Relationship Id="rId89" Type="http://schemas.openxmlformats.org/officeDocument/2006/relationships/ctrlProp" Target="../ctrlProps/ctrlProp179.xml"/><Relationship Id="rId112" Type="http://schemas.openxmlformats.org/officeDocument/2006/relationships/ctrlProp" Target="../ctrlProps/ctrlProp202.xml"/><Relationship Id="rId133" Type="http://schemas.openxmlformats.org/officeDocument/2006/relationships/ctrlProp" Target="../ctrlProps/ctrlProp223.xml"/><Relationship Id="rId16" Type="http://schemas.openxmlformats.org/officeDocument/2006/relationships/ctrlProp" Target="../ctrlProps/ctrlProp106.xml"/><Relationship Id="rId37" Type="http://schemas.openxmlformats.org/officeDocument/2006/relationships/ctrlProp" Target="../ctrlProps/ctrlProp127.xml"/><Relationship Id="rId58" Type="http://schemas.openxmlformats.org/officeDocument/2006/relationships/ctrlProp" Target="../ctrlProps/ctrlProp148.xml"/><Relationship Id="rId79" Type="http://schemas.openxmlformats.org/officeDocument/2006/relationships/ctrlProp" Target="../ctrlProps/ctrlProp169.xml"/><Relationship Id="rId102" Type="http://schemas.openxmlformats.org/officeDocument/2006/relationships/ctrlProp" Target="../ctrlProps/ctrlProp192.xml"/><Relationship Id="rId123" Type="http://schemas.openxmlformats.org/officeDocument/2006/relationships/ctrlProp" Target="../ctrlProps/ctrlProp213.xml"/><Relationship Id="rId144" Type="http://schemas.openxmlformats.org/officeDocument/2006/relationships/ctrlProp" Target="../ctrlProps/ctrlProp234.xml"/><Relationship Id="rId90" Type="http://schemas.openxmlformats.org/officeDocument/2006/relationships/ctrlProp" Target="../ctrlProps/ctrlProp18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24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2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IV161"/>
  <sheetViews>
    <sheetView tabSelected="1" workbookViewId="0">
      <selection activeCell="B2" sqref="B2:C2"/>
    </sheetView>
  </sheetViews>
  <sheetFormatPr defaultColWidth="11.42578125" defaultRowHeight="12.75"/>
  <cols>
    <col min="1" max="1" width="11.42578125" style="1" customWidth="1"/>
    <col min="2" max="2" width="58.42578125" style="1" customWidth="1"/>
    <col min="3" max="3" width="57" style="2" customWidth="1"/>
    <col min="4" max="16384" width="11.42578125" style="1"/>
  </cols>
  <sheetData>
    <row r="1" spans="1:256" ht="13.5" thickBot="1"/>
    <row r="2" spans="1:256" ht="16.5" thickBot="1">
      <c r="B2" s="1396" t="s">
        <v>3032</v>
      </c>
      <c r="C2" s="1396"/>
      <c r="D2" s="3"/>
      <c r="E2" s="3"/>
      <c r="F2" s="3"/>
      <c r="G2" s="3"/>
      <c r="H2" s="3"/>
      <c r="I2" s="3"/>
      <c r="J2" s="3"/>
      <c r="K2" s="3"/>
      <c r="L2" s="3"/>
    </row>
    <row r="4" spans="1:256">
      <c r="B4" s="4" t="s">
        <v>935</v>
      </c>
    </row>
    <row r="5" spans="1:256">
      <c r="B5" s="2" t="s">
        <v>936</v>
      </c>
    </row>
    <row r="6" spans="1:256">
      <c r="B6" s="2" t="s">
        <v>1896</v>
      </c>
    </row>
    <row r="7" spans="1:256">
      <c r="B7" s="2" t="s">
        <v>3033</v>
      </c>
    </row>
    <row r="8" spans="1:256">
      <c r="B8" s="2" t="s">
        <v>148</v>
      </c>
    </row>
    <row r="9" spans="1:256" ht="13.5" thickBot="1"/>
    <row r="10" spans="1:256" ht="16.5" thickBot="1">
      <c r="A10"/>
      <c r="B10" s="1394" t="s">
        <v>934</v>
      </c>
      <c r="C10" s="1395"/>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ht="13.5" thickBot="1"/>
    <row r="12" spans="1:256" ht="18.75" thickBot="1">
      <c r="B12" s="1386" t="s">
        <v>3244</v>
      </c>
      <c r="C12" s="1387" t="s">
        <v>1897</v>
      </c>
    </row>
    <row r="13" spans="1:256">
      <c r="B13" s="1392" t="s">
        <v>2326</v>
      </c>
      <c r="C13" s="1388" t="s">
        <v>3228</v>
      </c>
    </row>
    <row r="14" spans="1:256" ht="22.5">
      <c r="B14" s="1392"/>
      <c r="C14" s="1388" t="s">
        <v>3229</v>
      </c>
    </row>
    <row r="15" spans="1:256" ht="22.5">
      <c r="B15" s="1392"/>
      <c r="C15" s="1388" t="s">
        <v>3230</v>
      </c>
    </row>
    <row r="16" spans="1:256">
      <c r="B16" s="1392"/>
      <c r="C16" s="1388" t="s">
        <v>3231</v>
      </c>
    </row>
    <row r="17" spans="2:3">
      <c r="B17" s="1392"/>
      <c r="C17" s="1388" t="s">
        <v>1899</v>
      </c>
    </row>
    <row r="18" spans="2:3" ht="35.25" customHeight="1">
      <c r="B18" s="1392"/>
      <c r="C18" s="1389" t="s">
        <v>3232</v>
      </c>
    </row>
    <row r="19" spans="2:3" ht="22.5">
      <c r="B19" s="1392"/>
      <c r="C19" s="1388" t="s">
        <v>3233</v>
      </c>
    </row>
    <row r="20" spans="2:3" ht="56.25">
      <c r="B20" s="1392"/>
      <c r="C20" s="1388" t="s">
        <v>3234</v>
      </c>
    </row>
    <row r="21" spans="2:3">
      <c r="B21" s="1393" t="s">
        <v>1898</v>
      </c>
      <c r="C21" s="1382" t="s">
        <v>3242</v>
      </c>
    </row>
    <row r="22" spans="2:3" ht="22.5">
      <c r="B22" s="1393"/>
      <c r="C22" s="1381" t="s">
        <v>3235</v>
      </c>
    </row>
    <row r="23" spans="2:3" ht="33.75">
      <c r="B23" s="1393"/>
      <c r="C23" s="1381" t="s">
        <v>3236</v>
      </c>
    </row>
    <row r="24" spans="2:3" ht="22.5">
      <c r="B24" s="1390" t="s">
        <v>3239</v>
      </c>
      <c r="C24" s="1388" t="s">
        <v>3243</v>
      </c>
    </row>
    <row r="25" spans="2:3" ht="27" customHeight="1">
      <c r="B25" s="1383" t="s">
        <v>3240</v>
      </c>
      <c r="C25" s="1381" t="s">
        <v>3241</v>
      </c>
    </row>
    <row r="26" spans="2:3" ht="22.5">
      <c r="B26" s="1390" t="s">
        <v>2327</v>
      </c>
      <c r="C26" s="1388" t="s">
        <v>3237</v>
      </c>
    </row>
    <row r="27" spans="2:3" ht="23.25" thickBot="1">
      <c r="B27" s="1384" t="s">
        <v>3044</v>
      </c>
      <c r="C27" s="1385" t="s">
        <v>3238</v>
      </c>
    </row>
    <row r="31" spans="2:3">
      <c r="B31" s="5" t="s">
        <v>1758</v>
      </c>
    </row>
    <row r="32" spans="2:3">
      <c r="B32" s="7" t="s">
        <v>1759</v>
      </c>
    </row>
    <row r="33" spans="2:2">
      <c r="B33" s="6" t="s">
        <v>3206</v>
      </c>
    </row>
    <row r="34" spans="2:2">
      <c r="B34" s="6"/>
    </row>
    <row r="35" spans="2:2">
      <c r="B35" s="7" t="s">
        <v>3207</v>
      </c>
    </row>
    <row r="36" spans="2:2">
      <c r="B36" s="6" t="s">
        <v>3208</v>
      </c>
    </row>
    <row r="37" spans="2:2">
      <c r="B37" s="6"/>
    </row>
    <row r="38" spans="2:2">
      <c r="B38" s="7" t="s">
        <v>1756</v>
      </c>
    </row>
    <row r="39" spans="2:2">
      <c r="B39" s="6" t="s">
        <v>3209</v>
      </c>
    </row>
    <row r="40" spans="2:2">
      <c r="B40" s="6" t="s">
        <v>3210</v>
      </c>
    </row>
    <row r="41" spans="2:2">
      <c r="B41" s="6" t="s">
        <v>3211</v>
      </c>
    </row>
    <row r="42" spans="2:2">
      <c r="B42" s="6"/>
    </row>
    <row r="43" spans="2:2">
      <c r="B43" s="7" t="s">
        <v>3212</v>
      </c>
    </row>
    <row r="44" spans="2:2">
      <c r="B44" s="6" t="s">
        <v>3213</v>
      </c>
    </row>
    <row r="45" spans="2:2">
      <c r="B45" s="6" t="s">
        <v>3214</v>
      </c>
    </row>
    <row r="46" spans="2:2">
      <c r="B46" s="6"/>
    </row>
    <row r="47" spans="2:2">
      <c r="B47" s="7" t="s">
        <v>3215</v>
      </c>
    </row>
    <row r="48" spans="2:2">
      <c r="B48" s="6" t="s">
        <v>3216</v>
      </c>
    </row>
    <row r="49" spans="2:5">
      <c r="B49" s="6"/>
    </row>
    <row r="50" spans="2:5">
      <c r="B50" s="7" t="s">
        <v>997</v>
      </c>
    </row>
    <row r="51" spans="2:5">
      <c r="B51" s="6" t="s">
        <v>3218</v>
      </c>
    </row>
    <row r="52" spans="2:5">
      <c r="B52" s="6"/>
    </row>
    <row r="53" spans="2:5">
      <c r="B53" s="7" t="s">
        <v>3219</v>
      </c>
    </row>
    <row r="54" spans="2:5">
      <c r="B54" s="6" t="s">
        <v>3220</v>
      </c>
    </row>
    <row r="55" spans="2:5">
      <c r="B55" s="6" t="s">
        <v>3221</v>
      </c>
    </row>
    <row r="56" spans="2:5">
      <c r="B56" s="6"/>
    </row>
    <row r="57" spans="2:5">
      <c r="B57" s="7" t="s">
        <v>3222</v>
      </c>
    </row>
    <row r="58" spans="2:5">
      <c r="B58" s="6" t="s">
        <v>3224</v>
      </c>
    </row>
    <row r="59" spans="2:5">
      <c r="B59" s="6" t="s">
        <v>3223</v>
      </c>
    </row>
    <row r="60" spans="2:5">
      <c r="B60" s="6"/>
    </row>
    <row r="61" spans="2:5">
      <c r="B61" s="7" t="s">
        <v>3225</v>
      </c>
    </row>
    <row r="62" spans="2:5">
      <c r="B62" s="6" t="s">
        <v>3226</v>
      </c>
    </row>
    <row r="63" spans="2:5">
      <c r="B63" s="6"/>
    </row>
    <row r="64" spans="2:5">
      <c r="B64" s="1391" t="s">
        <v>3227</v>
      </c>
      <c r="C64" s="1391"/>
      <c r="D64" s="1391"/>
      <c r="E64" s="1391"/>
    </row>
    <row r="66" spans="1:2">
      <c r="B66" s="5" t="s">
        <v>8</v>
      </c>
    </row>
    <row r="67" spans="1:2">
      <c r="A67" s="6"/>
      <c r="B67" s="6" t="s">
        <v>9</v>
      </c>
    </row>
    <row r="68" spans="1:2">
      <c r="A68" s="6"/>
      <c r="B68" s="6" t="s">
        <v>3159</v>
      </c>
    </row>
    <row r="69" spans="1:2">
      <c r="A69" s="6"/>
      <c r="B69" s="6" t="s">
        <v>3160</v>
      </c>
    </row>
    <row r="70" spans="1:2">
      <c r="A70" s="6"/>
      <c r="B70" s="6" t="s">
        <v>2244</v>
      </c>
    </row>
    <row r="71" spans="1:2">
      <c r="A71" s="6"/>
      <c r="B71" s="6" t="s">
        <v>3204</v>
      </c>
    </row>
    <row r="72" spans="1:2">
      <c r="A72" s="6"/>
      <c r="B72" s="6" t="s">
        <v>3203</v>
      </c>
    </row>
    <row r="73" spans="1:2">
      <c r="A73" s="6"/>
    </row>
    <row r="74" spans="1:2">
      <c r="B74" s="4" t="s">
        <v>3161</v>
      </c>
    </row>
    <row r="75" spans="1:2">
      <c r="A75" s="2"/>
      <c r="B75" s="2" t="s">
        <v>3162</v>
      </c>
    </row>
    <row r="76" spans="1:2">
      <c r="A76" s="2"/>
      <c r="B76" s="2" t="s">
        <v>3164</v>
      </c>
    </row>
    <row r="77" spans="1:2">
      <c r="A77" s="2"/>
    </row>
    <row r="78" spans="1:2">
      <c r="A78" s="2"/>
      <c r="B78" s="4" t="s">
        <v>3165</v>
      </c>
    </row>
    <row r="79" spans="1:2">
      <c r="A79" s="2"/>
      <c r="B79" s="2" t="s">
        <v>3246</v>
      </c>
    </row>
    <row r="80" spans="1:2">
      <c r="A80" s="2"/>
      <c r="B80" s="2" t="s">
        <v>3202</v>
      </c>
    </row>
    <row r="81" spans="2:2">
      <c r="B81" s="2" t="s">
        <v>3201</v>
      </c>
    </row>
    <row r="82" spans="2:2">
      <c r="B82" s="2" t="s">
        <v>3166</v>
      </c>
    </row>
    <row r="83" spans="2:2">
      <c r="B83" s="2" t="s">
        <v>3217</v>
      </c>
    </row>
    <row r="84" spans="2:2">
      <c r="B84" s="2"/>
    </row>
    <row r="85" spans="2:2">
      <c r="B85" s="2"/>
    </row>
    <row r="86" spans="2:2">
      <c r="B86" s="2"/>
    </row>
    <row r="87" spans="2:2">
      <c r="B87" s="2"/>
    </row>
    <row r="88" spans="2:2">
      <c r="B88" s="2"/>
    </row>
    <row r="89" spans="2:2">
      <c r="B89" s="2"/>
    </row>
    <row r="90" spans="2:2">
      <c r="B90" s="2"/>
    </row>
    <row r="91" spans="2:2">
      <c r="B91" s="2"/>
    </row>
    <row r="92" spans="2:2">
      <c r="B92" s="2"/>
    </row>
    <row r="93" spans="2:2">
      <c r="B93" s="2"/>
    </row>
    <row r="94" spans="2:2">
      <c r="B94" s="2"/>
    </row>
    <row r="95" spans="2:2">
      <c r="B95" s="2"/>
    </row>
    <row r="96" spans="2:2">
      <c r="B96" s="2"/>
    </row>
    <row r="97" spans="2:2">
      <c r="B97" s="2"/>
    </row>
    <row r="98" spans="2:2">
      <c r="B98" s="2"/>
    </row>
    <row r="99" spans="2:2">
      <c r="B99" s="2"/>
    </row>
    <row r="100" spans="2:2">
      <c r="B100" s="2"/>
    </row>
    <row r="101" spans="2:2">
      <c r="B101" s="2"/>
    </row>
    <row r="102" spans="2:2">
      <c r="B102" s="2"/>
    </row>
    <row r="103" spans="2:2">
      <c r="B103" s="2"/>
    </row>
    <row r="104" spans="2:2">
      <c r="B104" s="2"/>
    </row>
    <row r="105" spans="2:2">
      <c r="B105" s="2"/>
    </row>
    <row r="106" spans="2:2">
      <c r="B106" s="2"/>
    </row>
    <row r="107" spans="2:2">
      <c r="B107" s="2"/>
    </row>
    <row r="108" spans="2:2">
      <c r="B108" s="2"/>
    </row>
    <row r="109" spans="2:2">
      <c r="B109" s="2"/>
    </row>
    <row r="110" spans="2:2">
      <c r="B110" s="2"/>
    </row>
    <row r="111" spans="2:2">
      <c r="B111" s="2"/>
    </row>
    <row r="112" spans="2:2">
      <c r="B112" s="2"/>
    </row>
    <row r="113" spans="2:2">
      <c r="B113" s="2"/>
    </row>
    <row r="114" spans="2:2">
      <c r="B114" s="2"/>
    </row>
    <row r="115" spans="2:2">
      <c r="B115" s="2"/>
    </row>
    <row r="116" spans="2:2">
      <c r="B116" s="2"/>
    </row>
    <row r="117" spans="2:2">
      <c r="B117" s="2"/>
    </row>
    <row r="118" spans="2:2">
      <c r="B118" s="2"/>
    </row>
    <row r="119" spans="2:2">
      <c r="B119" s="2"/>
    </row>
    <row r="120" spans="2:2">
      <c r="B120" s="2"/>
    </row>
    <row r="121" spans="2:2">
      <c r="B121" s="2"/>
    </row>
    <row r="122" spans="2:2">
      <c r="B122" s="2"/>
    </row>
    <row r="123" spans="2:2">
      <c r="B123" s="2"/>
    </row>
    <row r="124" spans="2:2">
      <c r="B124" s="2"/>
    </row>
    <row r="125" spans="2:2">
      <c r="B125" s="2"/>
    </row>
    <row r="126" spans="2:2">
      <c r="B126" s="2"/>
    </row>
    <row r="127" spans="2:2">
      <c r="B127" s="2"/>
    </row>
    <row r="128" spans="2:2">
      <c r="B128" s="2"/>
    </row>
    <row r="129" spans="2:2">
      <c r="B129" s="2"/>
    </row>
    <row r="130" spans="2:2">
      <c r="B130" s="2"/>
    </row>
    <row r="131" spans="2:2">
      <c r="B131" s="2"/>
    </row>
    <row r="132" spans="2:2">
      <c r="B132" s="2"/>
    </row>
    <row r="133" spans="2:2">
      <c r="B133" s="2"/>
    </row>
    <row r="134" spans="2:2">
      <c r="B134" s="2"/>
    </row>
    <row r="135" spans="2:2">
      <c r="B135" s="2"/>
    </row>
    <row r="136" spans="2:2">
      <c r="B136" s="2"/>
    </row>
    <row r="137" spans="2:2">
      <c r="B137" s="2"/>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sheetData>
  <mergeCells count="5">
    <mergeCell ref="B64:E64"/>
    <mergeCell ref="B13:B20"/>
    <mergeCell ref="B21:B23"/>
    <mergeCell ref="B10:C10"/>
    <mergeCell ref="B2:C2"/>
  </mergeCells>
  <phoneticPr fontId="2" type="noConversion"/>
  <hyperlinks>
    <hyperlink ref="B64" r:id="rId1" display="A: Check out this guide by Vulajin: https://web.archive.org/web/20081010043012/http://elitistjerks.com:80/f47/t24301-rogue_pve_dps/" xr:uid="{CB99172C-25EE-4913-8D3C-E31E4C901771}"/>
  </hyperlinks>
  <pageMargins left="0.70000000000000007" right="0.70000000000000007" top="0.78749999999999998" bottom="0.78749999999999998" header="0.51180555555555562" footer="0.51180555555555562"/>
  <pageSetup paperSize="9" firstPageNumber="0" orientation="portrait" horizontalDpi="300" verticalDpi="30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IV774"/>
  <sheetViews>
    <sheetView workbookViewId="0">
      <selection activeCell="A2" sqref="A2"/>
    </sheetView>
  </sheetViews>
  <sheetFormatPr defaultColWidth="11.42578125" defaultRowHeight="11.25"/>
  <cols>
    <col min="1" max="1" width="10.140625" style="9" customWidth="1"/>
    <col min="2" max="2" width="64.5703125" style="9" bestFit="1" customWidth="1"/>
    <col min="3" max="7" width="11.42578125" style="2" customWidth="1"/>
    <col min="8" max="8" width="11.42578125" style="8" customWidth="1"/>
    <col min="9" max="16384" width="11.42578125" style="2"/>
  </cols>
  <sheetData>
    <row r="2" spans="1:2">
      <c r="A2" s="9" t="s">
        <v>2329</v>
      </c>
    </row>
    <row r="3" spans="1:2">
      <c r="A3" s="9" t="s">
        <v>3248</v>
      </c>
      <c r="B3" s="9" t="s">
        <v>2330</v>
      </c>
    </row>
    <row r="4" spans="1:2">
      <c r="A4" s="9" t="s">
        <v>2215</v>
      </c>
      <c r="B4" s="9" t="s">
        <v>3249</v>
      </c>
    </row>
    <row r="5" spans="1:2">
      <c r="A5" s="9" t="s">
        <v>1857</v>
      </c>
      <c r="B5" s="9" t="s">
        <v>3247</v>
      </c>
    </row>
    <row r="6" spans="1:2">
      <c r="B6" s="9" t="s">
        <v>3251</v>
      </c>
    </row>
    <row r="8" spans="1:2">
      <c r="A8" s="9" t="s">
        <v>3205</v>
      </c>
      <c r="B8" s="9" t="s">
        <v>2330</v>
      </c>
    </row>
    <row r="9" spans="1:2">
      <c r="A9" s="9" t="s">
        <v>2215</v>
      </c>
      <c r="B9" s="9" t="s">
        <v>3009</v>
      </c>
    </row>
    <row r="10" spans="1:2">
      <c r="B10" s="9" t="s">
        <v>3008</v>
      </c>
    </row>
    <row r="11" spans="1:2">
      <c r="B11" s="48" t="s">
        <v>2406</v>
      </c>
    </row>
    <row r="12" spans="1:2">
      <c r="B12" s="651" t="s">
        <v>2413</v>
      </c>
    </row>
    <row r="13" spans="1:2">
      <c r="B13" s="651" t="s">
        <v>2991</v>
      </c>
    </row>
    <row r="14" spans="1:2">
      <c r="B14" s="651" t="s">
        <v>2862</v>
      </c>
    </row>
    <row r="15" spans="1:2">
      <c r="B15" s="651" t="s">
        <v>3023</v>
      </c>
    </row>
    <row r="16" spans="1:2">
      <c r="B16" s="651" t="s">
        <v>3038</v>
      </c>
    </row>
    <row r="17" spans="1:2">
      <c r="A17" s="2"/>
      <c r="B17" s="651" t="s">
        <v>2869</v>
      </c>
    </row>
    <row r="18" spans="1:2">
      <c r="A18" s="2"/>
      <c r="B18" s="651" t="s">
        <v>3039</v>
      </c>
    </row>
    <row r="19" spans="1:2">
      <c r="B19" s="651" t="s">
        <v>2888</v>
      </c>
    </row>
    <row r="20" spans="1:2">
      <c r="A20" s="9" t="s">
        <v>1584</v>
      </c>
      <c r="B20" s="9" t="s">
        <v>2331</v>
      </c>
    </row>
    <row r="21" spans="1:2">
      <c r="B21" s="9" t="s">
        <v>2407</v>
      </c>
    </row>
    <row r="22" spans="1:2">
      <c r="B22" s="9" t="s">
        <v>2425</v>
      </c>
    </row>
    <row r="23" spans="1:2">
      <c r="B23" s="9" t="s">
        <v>2863</v>
      </c>
    </row>
    <row r="24" spans="1:2">
      <c r="B24" s="9" t="s">
        <v>2879</v>
      </c>
    </row>
    <row r="25" spans="1:2">
      <c r="B25" s="9" t="s">
        <v>2882</v>
      </c>
    </row>
    <row r="26" spans="1:2">
      <c r="B26" s="9" t="s">
        <v>2987</v>
      </c>
    </row>
    <row r="27" spans="1:2">
      <c r="B27" s="9" t="s">
        <v>2988</v>
      </c>
    </row>
    <row r="28" spans="1:2">
      <c r="B28" s="9" t="s">
        <v>3018</v>
      </c>
    </row>
    <row r="29" spans="1:2">
      <c r="B29" s="9" t="s">
        <v>3019</v>
      </c>
    </row>
    <row r="30" spans="1:2">
      <c r="B30" s="9" t="s">
        <v>3020</v>
      </c>
    </row>
    <row r="31" spans="1:2">
      <c r="B31" s="9" t="s">
        <v>2989</v>
      </c>
    </row>
    <row r="32" spans="1:2">
      <c r="A32" s="9" t="s">
        <v>1857</v>
      </c>
      <c r="B32" s="9" t="s">
        <v>2990</v>
      </c>
    </row>
    <row r="33" spans="1:2">
      <c r="B33" s="9" t="s">
        <v>2867</v>
      </c>
    </row>
    <row r="34" spans="1:2">
      <c r="A34" s="9" t="s">
        <v>2071</v>
      </c>
      <c r="B34" s="9" t="s">
        <v>2333</v>
      </c>
    </row>
    <row r="35" spans="1:2">
      <c r="B35" s="9" t="s">
        <v>2424</v>
      </c>
    </row>
    <row r="37" spans="1:2">
      <c r="A37" s="9" t="s">
        <v>1851</v>
      </c>
    </row>
    <row r="38" spans="1:2">
      <c r="A38" s="9" t="s">
        <v>2332</v>
      </c>
    </row>
    <row r="39" spans="1:2">
      <c r="A39" s="9" t="s">
        <v>311</v>
      </c>
      <c r="B39" s="9" t="s">
        <v>2041</v>
      </c>
    </row>
    <row r="40" spans="1:2">
      <c r="A40" s="9" t="s">
        <v>2215</v>
      </c>
      <c r="B40" s="9" t="s">
        <v>1443</v>
      </c>
    </row>
    <row r="41" spans="1:2">
      <c r="B41" s="9" t="s">
        <v>1442</v>
      </c>
    </row>
    <row r="42" spans="1:2">
      <c r="B42" s="9" t="s">
        <v>65</v>
      </c>
    </row>
    <row r="43" spans="1:2">
      <c r="B43" s="9" t="s">
        <v>62</v>
      </c>
    </row>
    <row r="44" spans="1:2">
      <c r="B44" s="9" t="s">
        <v>60</v>
      </c>
    </row>
    <row r="45" spans="1:2">
      <c r="B45" s="9" t="s">
        <v>61</v>
      </c>
    </row>
    <row r="46" spans="1:2">
      <c r="B46" s="9" t="s">
        <v>64</v>
      </c>
    </row>
    <row r="47" spans="1:2">
      <c r="B47" s="9" t="s">
        <v>1730</v>
      </c>
    </row>
    <row r="48" spans="1:2">
      <c r="B48" s="9" t="s">
        <v>69</v>
      </c>
    </row>
    <row r="49" spans="1:2">
      <c r="B49" s="2" t="s">
        <v>2163</v>
      </c>
    </row>
    <row r="50" spans="1:2">
      <c r="B50" s="2" t="s">
        <v>2164</v>
      </c>
    </row>
    <row r="51" spans="1:2">
      <c r="B51" s="2" t="s">
        <v>67</v>
      </c>
    </row>
    <row r="52" spans="1:2">
      <c r="B52" s="9" t="s">
        <v>68</v>
      </c>
    </row>
    <row r="53" spans="1:2">
      <c r="B53" s="9" t="s">
        <v>1729</v>
      </c>
    </row>
    <row r="54" spans="1:2">
      <c r="B54" s="9" t="s">
        <v>73</v>
      </c>
    </row>
    <row r="55" spans="1:2">
      <c r="B55" s="9" t="s">
        <v>2165</v>
      </c>
    </row>
    <row r="56" spans="1:2">
      <c r="B56" s="9" t="s">
        <v>70</v>
      </c>
    </row>
    <row r="57" spans="1:2">
      <c r="B57" s="9" t="s">
        <v>2160</v>
      </c>
    </row>
    <row r="58" spans="1:2">
      <c r="B58" s="9" t="s">
        <v>790</v>
      </c>
    </row>
    <row r="59" spans="1:2">
      <c r="A59" s="9" t="s">
        <v>1857</v>
      </c>
      <c r="B59" s="9" t="s">
        <v>71</v>
      </c>
    </row>
    <row r="60" spans="1:2">
      <c r="B60" s="9" t="s">
        <v>1444</v>
      </c>
    </row>
    <row r="61" spans="1:2">
      <c r="B61" s="9" t="s">
        <v>66</v>
      </c>
    </row>
    <row r="62" spans="1:2">
      <c r="B62" s="9" t="s">
        <v>1731</v>
      </c>
    </row>
    <row r="63" spans="1:2">
      <c r="B63" s="9" t="s">
        <v>305</v>
      </c>
    </row>
    <row r="64" spans="1:2">
      <c r="B64" s="9" t="s">
        <v>788</v>
      </c>
    </row>
    <row r="65" spans="1:2">
      <c r="B65" s="9" t="s">
        <v>789</v>
      </c>
    </row>
    <row r="66" spans="1:2">
      <c r="B66" s="9" t="s">
        <v>1558</v>
      </c>
    </row>
    <row r="67" spans="1:2">
      <c r="B67" s="9" t="s">
        <v>1757</v>
      </c>
    </row>
    <row r="68" spans="1:2">
      <c r="B68" s="9" t="s">
        <v>309</v>
      </c>
    </row>
    <row r="69" spans="1:2">
      <c r="B69" s="9" t="s">
        <v>310</v>
      </c>
    </row>
    <row r="71" spans="1:2">
      <c r="A71" s="9" t="s">
        <v>2203</v>
      </c>
      <c r="B71" s="9" t="s">
        <v>791</v>
      </c>
    </row>
    <row r="72" spans="1:2">
      <c r="A72" s="9" t="s">
        <v>2215</v>
      </c>
      <c r="B72" s="9" t="s">
        <v>1988</v>
      </c>
    </row>
    <row r="73" spans="1:2">
      <c r="A73" s="2"/>
      <c r="B73" s="9" t="s">
        <v>1834</v>
      </c>
    </row>
    <row r="74" spans="1:2">
      <c r="B74" s="9" t="s">
        <v>408</v>
      </c>
    </row>
    <row r="75" spans="1:2">
      <c r="B75" s="9" t="s">
        <v>1733</v>
      </c>
    </row>
    <row r="76" spans="1:2">
      <c r="A76" s="9" t="s">
        <v>1584</v>
      </c>
      <c r="B76" s="9" t="s">
        <v>1238</v>
      </c>
    </row>
    <row r="77" spans="1:2">
      <c r="B77" s="9" t="s">
        <v>1677</v>
      </c>
    </row>
    <row r="78" spans="1:2">
      <c r="B78" s="9" t="s">
        <v>603</v>
      </c>
    </row>
    <row r="79" spans="1:2">
      <c r="B79" s="9" t="s">
        <v>2204</v>
      </c>
    </row>
    <row r="80" spans="1:2">
      <c r="B80" s="9" t="s">
        <v>37</v>
      </c>
    </row>
    <row r="81" spans="1:2">
      <c r="B81" s="9" t="s">
        <v>2007</v>
      </c>
    </row>
    <row r="82" spans="1:2">
      <c r="B82" s="9" t="s">
        <v>2237</v>
      </c>
    </row>
    <row r="83" spans="1:2">
      <c r="B83" s="9" t="s">
        <v>2236</v>
      </c>
    </row>
    <row r="84" spans="1:2">
      <c r="B84" s="9" t="s">
        <v>2240</v>
      </c>
    </row>
    <row r="85" spans="1:2">
      <c r="A85" s="9" t="s">
        <v>1857</v>
      </c>
      <c r="B85" s="9" t="s">
        <v>1237</v>
      </c>
    </row>
    <row r="86" spans="1:2">
      <c r="B86" s="9" t="s">
        <v>1239</v>
      </c>
    </row>
    <row r="87" spans="1:2">
      <c r="B87" s="9" t="s">
        <v>1240</v>
      </c>
    </row>
    <row r="88" spans="1:2">
      <c r="B88" s="9" t="s">
        <v>1241</v>
      </c>
    </row>
    <row r="89" spans="1:2">
      <c r="B89" s="9" t="s">
        <v>441</v>
      </c>
    </row>
    <row r="90" spans="1:2">
      <c r="B90" s="9" t="s">
        <v>406</v>
      </c>
    </row>
    <row r="91" spans="1:2">
      <c r="B91" s="9" t="s">
        <v>2013</v>
      </c>
    </row>
    <row r="92" spans="1:2">
      <c r="B92" s="9" t="s">
        <v>2314</v>
      </c>
    </row>
    <row r="93" spans="1:2">
      <c r="B93" s="9" t="s">
        <v>2315</v>
      </c>
    </row>
    <row r="94" spans="1:2">
      <c r="B94" s="9" t="s">
        <v>1250</v>
      </c>
    </row>
    <row r="95" spans="1:2">
      <c r="B95" s="9" t="s">
        <v>1732</v>
      </c>
    </row>
    <row r="96" spans="1:2">
      <c r="B96" s="9" t="s">
        <v>1910</v>
      </c>
    </row>
    <row r="97" spans="1:2">
      <c r="B97" s="9" t="s">
        <v>1911</v>
      </c>
    </row>
    <row r="98" spans="1:2">
      <c r="B98" s="9" t="s">
        <v>2234</v>
      </c>
    </row>
    <row r="99" spans="1:2">
      <c r="B99" s="9" t="s">
        <v>1111</v>
      </c>
    </row>
    <row r="100" spans="1:2">
      <c r="B100" s="9" t="s">
        <v>1112</v>
      </c>
    </row>
    <row r="102" spans="1:2">
      <c r="A102" s="9" t="s">
        <v>624</v>
      </c>
      <c r="B102" s="9" t="s">
        <v>791</v>
      </c>
    </row>
    <row r="103" spans="1:2">
      <c r="A103" s="9" t="s">
        <v>2215</v>
      </c>
      <c r="B103" s="9" t="s">
        <v>623</v>
      </c>
    </row>
    <row r="104" spans="1:2">
      <c r="A104" s="9" t="s">
        <v>1584</v>
      </c>
      <c r="B104" s="9" t="s">
        <v>431</v>
      </c>
    </row>
    <row r="105" spans="1:2">
      <c r="B105" s="9" t="s">
        <v>2267</v>
      </c>
    </row>
    <row r="106" spans="1:2">
      <c r="B106" s="9" t="s">
        <v>2059</v>
      </c>
    </row>
    <row r="107" spans="1:2">
      <c r="B107" s="9" t="s">
        <v>2063</v>
      </c>
    </row>
    <row r="108" spans="1:2">
      <c r="B108" s="9" t="s">
        <v>622</v>
      </c>
    </row>
    <row r="109" spans="1:2">
      <c r="B109" s="9" t="s">
        <v>625</v>
      </c>
    </row>
    <row r="110" spans="1:2">
      <c r="A110" s="9" t="s">
        <v>1857</v>
      </c>
      <c r="B110" s="9" t="s">
        <v>1880</v>
      </c>
    </row>
    <row r="111" spans="1:2">
      <c r="B111" s="9" t="s">
        <v>1881</v>
      </c>
    </row>
    <row r="112" spans="1:2">
      <c r="B112" s="9" t="s">
        <v>430</v>
      </c>
    </row>
    <row r="113" spans="1:2">
      <c r="B113" s="9" t="s">
        <v>2265</v>
      </c>
    </row>
    <row r="115" spans="1:2">
      <c r="A115" s="9" t="s">
        <v>1744</v>
      </c>
      <c r="B115" s="9" t="s">
        <v>791</v>
      </c>
    </row>
    <row r="116" spans="1:2">
      <c r="A116" s="9" t="s">
        <v>2215</v>
      </c>
      <c r="B116" s="9" t="s">
        <v>1875</v>
      </c>
    </row>
    <row r="117" spans="1:2">
      <c r="A117" s="2"/>
      <c r="B117" s="9" t="s">
        <v>83</v>
      </c>
    </row>
    <row r="118" spans="1:2">
      <c r="A118" s="2"/>
      <c r="B118" s="9" t="s">
        <v>1261</v>
      </c>
    </row>
    <row r="119" spans="1:2">
      <c r="B119" s="9" t="s">
        <v>79</v>
      </c>
    </row>
    <row r="120" spans="1:2">
      <c r="B120" s="9" t="s">
        <v>1860</v>
      </c>
    </row>
    <row r="121" spans="1:2">
      <c r="B121" s="9" t="s">
        <v>1865</v>
      </c>
    </row>
    <row r="122" spans="1:2">
      <c r="B122" s="9" t="s">
        <v>1861</v>
      </c>
    </row>
    <row r="123" spans="1:2">
      <c r="B123" s="9" t="s">
        <v>1866</v>
      </c>
    </row>
    <row r="124" spans="1:2">
      <c r="B124" s="9" t="s">
        <v>85</v>
      </c>
    </row>
    <row r="125" spans="1:2">
      <c r="B125" s="9" t="s">
        <v>1868</v>
      </c>
    </row>
    <row r="126" spans="1:2">
      <c r="A126" s="2"/>
      <c r="B126" s="9" t="s">
        <v>77</v>
      </c>
    </row>
    <row r="127" spans="1:2">
      <c r="B127" s="9" t="s">
        <v>78</v>
      </c>
    </row>
    <row r="128" spans="1:2">
      <c r="B128" s="9" t="s">
        <v>1262</v>
      </c>
    </row>
    <row r="129" spans="2:2">
      <c r="B129" s="9" t="s">
        <v>1263</v>
      </c>
    </row>
    <row r="130" spans="2:2">
      <c r="B130" s="9" t="s">
        <v>82</v>
      </c>
    </row>
    <row r="131" spans="2:2">
      <c r="B131" s="9" t="s">
        <v>1260</v>
      </c>
    </row>
    <row r="132" spans="2:2">
      <c r="B132" s="9" t="s">
        <v>1554</v>
      </c>
    </row>
    <row r="133" spans="2:2">
      <c r="B133" s="9" t="s">
        <v>1555</v>
      </c>
    </row>
    <row r="134" spans="2:2">
      <c r="B134" s="9" t="s">
        <v>1862</v>
      </c>
    </row>
    <row r="135" spans="2:2">
      <c r="B135" s="9" t="s">
        <v>1871</v>
      </c>
    </row>
    <row r="136" spans="2:2">
      <c r="B136" s="9" t="s">
        <v>1874</v>
      </c>
    </row>
    <row r="137" spans="2:2">
      <c r="B137" s="9" t="s">
        <v>1870</v>
      </c>
    </row>
    <row r="138" spans="2:2">
      <c r="B138" s="9" t="s">
        <v>28</v>
      </c>
    </row>
    <row r="139" spans="2:2">
      <c r="B139" s="9" t="s">
        <v>38</v>
      </c>
    </row>
    <row r="140" spans="2:2">
      <c r="B140" s="9" t="s">
        <v>39</v>
      </c>
    </row>
    <row r="141" spans="2:2">
      <c r="B141" s="9" t="s">
        <v>1743</v>
      </c>
    </row>
    <row r="142" spans="2:2">
      <c r="B142" s="9" t="s">
        <v>103</v>
      </c>
    </row>
    <row r="143" spans="2:2">
      <c r="B143" s="9" t="s">
        <v>106</v>
      </c>
    </row>
    <row r="144" spans="2:2">
      <c r="B144" s="9" t="s">
        <v>1559</v>
      </c>
    </row>
    <row r="145" spans="1:2">
      <c r="A145" s="9" t="s">
        <v>1584</v>
      </c>
      <c r="B145" s="9" t="s">
        <v>1592</v>
      </c>
    </row>
    <row r="146" spans="1:2">
      <c r="B146" s="9" t="s">
        <v>865</v>
      </c>
    </row>
    <row r="147" spans="1:2">
      <c r="B147" s="9" t="s">
        <v>2296</v>
      </c>
    </row>
    <row r="148" spans="1:2">
      <c r="B148" s="9" t="s">
        <v>421</v>
      </c>
    </row>
    <row r="149" spans="1:2">
      <c r="B149" s="9" t="s">
        <v>959</v>
      </c>
    </row>
    <row r="150" spans="1:2">
      <c r="B150" s="9" t="s">
        <v>1136</v>
      </c>
    </row>
    <row r="151" spans="1:2">
      <c r="B151" s="9" t="s">
        <v>866</v>
      </c>
    </row>
    <row r="152" spans="1:2">
      <c r="B152" s="9" t="s">
        <v>94</v>
      </c>
    </row>
    <row r="153" spans="1:2">
      <c r="B153" s="9" t="s">
        <v>96</v>
      </c>
    </row>
    <row r="154" spans="1:2">
      <c r="B154" s="9" t="s">
        <v>1560</v>
      </c>
    </row>
    <row r="155" spans="1:2">
      <c r="A155" s="9" t="s">
        <v>1857</v>
      </c>
      <c r="B155" s="9" t="s">
        <v>1623</v>
      </c>
    </row>
    <row r="156" spans="1:2">
      <c r="B156" s="9" t="s">
        <v>2015</v>
      </c>
    </row>
    <row r="157" spans="1:2">
      <c r="B157" s="9" t="s">
        <v>2016</v>
      </c>
    </row>
    <row r="158" spans="1:2">
      <c r="B158" s="9" t="s">
        <v>99</v>
      </c>
    </row>
    <row r="159" spans="1:2">
      <c r="A159" s="9" t="s">
        <v>2071</v>
      </c>
      <c r="B159" s="9" t="s">
        <v>811</v>
      </c>
    </row>
    <row r="162" spans="1:2">
      <c r="A162" s="9" t="s">
        <v>810</v>
      </c>
      <c r="B162" s="9" t="s">
        <v>791</v>
      </c>
    </row>
    <row r="163" spans="1:2">
      <c r="A163" s="9" t="s">
        <v>1584</v>
      </c>
      <c r="B163" s="9" t="s">
        <v>2261</v>
      </c>
    </row>
    <row r="164" spans="1:2">
      <c r="B164" s="9" t="s">
        <v>2262</v>
      </c>
    </row>
    <row r="165" spans="1:2">
      <c r="B165" s="9" t="s">
        <v>451</v>
      </c>
    </row>
    <row r="166" spans="1:2">
      <c r="A166" s="9" t="s">
        <v>1857</v>
      </c>
      <c r="B166" s="9" t="s">
        <v>2258</v>
      </c>
    </row>
    <row r="167" spans="1:2">
      <c r="B167" s="9" t="s">
        <v>2228</v>
      </c>
    </row>
    <row r="168" spans="1:2">
      <c r="B168" s="9" t="s">
        <v>2259</v>
      </c>
    </row>
    <row r="169" spans="1:2">
      <c r="B169" s="9" t="s">
        <v>2260</v>
      </c>
    </row>
    <row r="172" spans="1:2">
      <c r="A172" s="9" t="s">
        <v>877</v>
      </c>
      <c r="B172" s="9" t="s">
        <v>791</v>
      </c>
    </row>
    <row r="173" spans="1:2">
      <c r="A173" s="9" t="s">
        <v>2215</v>
      </c>
      <c r="B173" s="9" t="s">
        <v>698</v>
      </c>
    </row>
    <row r="174" spans="1:2">
      <c r="B174" s="9" t="s">
        <v>154</v>
      </c>
    </row>
    <row r="175" spans="1:2">
      <c r="B175" s="9" t="s">
        <v>153</v>
      </c>
    </row>
    <row r="176" spans="1:2">
      <c r="B176" s="9" t="s">
        <v>875</v>
      </c>
    </row>
    <row r="177" spans="1:2">
      <c r="A177" s="9" t="s">
        <v>1584</v>
      </c>
      <c r="B177" s="9" t="s">
        <v>156</v>
      </c>
    </row>
    <row r="178" spans="1:2">
      <c r="B178" s="9" t="s">
        <v>849</v>
      </c>
    </row>
    <row r="179" spans="1:2">
      <c r="B179" s="9" t="s">
        <v>876</v>
      </c>
    </row>
    <row r="180" spans="1:2">
      <c r="A180" s="9" t="s">
        <v>1857</v>
      </c>
      <c r="B180" s="9" t="s">
        <v>995</v>
      </c>
    </row>
    <row r="181" spans="1:2">
      <c r="B181" s="9" t="s">
        <v>697</v>
      </c>
    </row>
    <row r="182" spans="1:2">
      <c r="B182" s="9" t="s">
        <v>157</v>
      </c>
    </row>
    <row r="183" spans="1:2">
      <c r="B183" s="9" t="s">
        <v>149</v>
      </c>
    </row>
    <row r="184" spans="1:2">
      <c r="B184" s="9" t="s">
        <v>150</v>
      </c>
    </row>
    <row r="185" spans="1:2">
      <c r="B185" s="9" t="s">
        <v>151</v>
      </c>
    </row>
    <row r="186" spans="1:2">
      <c r="B186" s="9" t="s">
        <v>848</v>
      </c>
    </row>
    <row r="187" spans="1:2">
      <c r="B187" s="9" t="s">
        <v>852</v>
      </c>
    </row>
    <row r="188" spans="1:2">
      <c r="B188" s="9" t="s">
        <v>879</v>
      </c>
    </row>
    <row r="189" spans="1:2">
      <c r="A189" s="9" t="s">
        <v>2071</v>
      </c>
      <c r="B189" s="9" t="s">
        <v>152</v>
      </c>
    </row>
    <row r="191" spans="1:2">
      <c r="A191" s="9" t="s">
        <v>1595</v>
      </c>
      <c r="B191" s="9" t="s">
        <v>791</v>
      </c>
    </row>
    <row r="192" spans="1:2">
      <c r="A192" s="9" t="s">
        <v>1584</v>
      </c>
      <c r="B192" s="9" t="s">
        <v>2040</v>
      </c>
    </row>
    <row r="193" spans="1:2">
      <c r="B193" s="9" t="s">
        <v>313</v>
      </c>
    </row>
    <row r="194" spans="1:2">
      <c r="B194" s="9" t="s">
        <v>314</v>
      </c>
    </row>
    <row r="195" spans="1:2">
      <c r="A195" s="9" t="s">
        <v>1857</v>
      </c>
      <c r="B195" s="9" t="s">
        <v>312</v>
      </c>
    </row>
    <row r="196" spans="1:2">
      <c r="B196" s="9" t="s">
        <v>315</v>
      </c>
    </row>
    <row r="197" spans="1:2">
      <c r="B197" s="9" t="s">
        <v>2039</v>
      </c>
    </row>
    <row r="199" spans="1:2">
      <c r="A199" s="9" t="s">
        <v>1606</v>
      </c>
      <c r="B199" s="9" t="s">
        <v>791</v>
      </c>
    </row>
    <row r="200" spans="1:2">
      <c r="A200" s="9" t="s">
        <v>2215</v>
      </c>
      <c r="B200" s="9" t="s">
        <v>835</v>
      </c>
    </row>
    <row r="201" spans="1:2">
      <c r="B201" s="9" t="s">
        <v>1140</v>
      </c>
    </row>
    <row r="202" spans="1:2">
      <c r="A202" s="9" t="s">
        <v>1584</v>
      </c>
      <c r="B202" s="9" t="s">
        <v>832</v>
      </c>
    </row>
    <row r="203" spans="1:2">
      <c r="B203" s="9" t="s">
        <v>1266</v>
      </c>
    </row>
    <row r="204" spans="1:2">
      <c r="B204" s="9" t="s">
        <v>1488</v>
      </c>
    </row>
    <row r="205" spans="1:2">
      <c r="B205" s="9" t="s">
        <v>1557</v>
      </c>
    </row>
    <row r="206" spans="1:2">
      <c r="B206" s="9" t="s">
        <v>1322</v>
      </c>
    </row>
    <row r="207" spans="1:2">
      <c r="B207" s="9" t="s">
        <v>1489</v>
      </c>
    </row>
    <row r="208" spans="1:2">
      <c r="B208" s="9" t="s">
        <v>1323</v>
      </c>
    </row>
    <row r="209" spans="1:2">
      <c r="B209" s="9" t="s">
        <v>1139</v>
      </c>
    </row>
    <row r="210" spans="1:2">
      <c r="B210" s="9" t="s">
        <v>1490</v>
      </c>
    </row>
    <row r="211" spans="1:2">
      <c r="B211" s="9" t="s">
        <v>1491</v>
      </c>
    </row>
    <row r="212" spans="1:2">
      <c r="B212" s="9" t="s">
        <v>1492</v>
      </c>
    </row>
    <row r="213" spans="1:2">
      <c r="A213" s="9" t="s">
        <v>1857</v>
      </c>
      <c r="B213" s="9" t="s">
        <v>833</v>
      </c>
    </row>
    <row r="214" spans="1:2">
      <c r="B214" s="9" t="s">
        <v>614</v>
      </c>
    </row>
    <row r="215" spans="1:2">
      <c r="B215" s="9" t="s">
        <v>588</v>
      </c>
    </row>
    <row r="216" spans="1:2">
      <c r="B216" s="9" t="s">
        <v>731</v>
      </c>
    </row>
    <row r="217" spans="1:2">
      <c r="B217" s="9" t="s">
        <v>938</v>
      </c>
    </row>
    <row r="218" spans="1:2">
      <c r="A218" s="9" t="s">
        <v>2071</v>
      </c>
      <c r="B218" s="9" t="s">
        <v>266</v>
      </c>
    </row>
    <row r="220" spans="1:2">
      <c r="A220" s="9" t="s">
        <v>1416</v>
      </c>
      <c r="B220" s="9" t="s">
        <v>791</v>
      </c>
    </row>
    <row r="221" spans="1:2">
      <c r="A221" s="9" t="s">
        <v>2215</v>
      </c>
      <c r="B221" s="9" t="s">
        <v>438</v>
      </c>
    </row>
    <row r="222" spans="1:2">
      <c r="B222" s="9" t="s">
        <v>1417</v>
      </c>
    </row>
    <row r="223" spans="1:2">
      <c r="B223" s="9" t="s">
        <v>306</v>
      </c>
    </row>
    <row r="224" spans="1:2">
      <c r="B224" s="9" t="s">
        <v>1355</v>
      </c>
    </row>
    <row r="225" spans="1:2">
      <c r="A225" s="9" t="s">
        <v>1584</v>
      </c>
      <c r="B225" s="9" t="s">
        <v>656</v>
      </c>
    </row>
    <row r="226" spans="1:2">
      <c r="B226" s="9" t="s">
        <v>631</v>
      </c>
    </row>
    <row r="227" spans="1:2">
      <c r="B227" s="9" t="s">
        <v>1351</v>
      </c>
    </row>
    <row r="228" spans="1:2">
      <c r="A228" s="2"/>
      <c r="B228" s="9" t="s">
        <v>627</v>
      </c>
    </row>
    <row r="229" spans="1:2">
      <c r="B229" s="9" t="s">
        <v>626</v>
      </c>
    </row>
    <row r="230" spans="1:2">
      <c r="B230" s="9" t="s">
        <v>628</v>
      </c>
    </row>
    <row r="231" spans="1:2">
      <c r="A231" s="9" t="s">
        <v>1857</v>
      </c>
      <c r="B231" s="9" t="s">
        <v>16</v>
      </c>
    </row>
    <row r="232" spans="1:2">
      <c r="B232" s="9" t="s">
        <v>1621</v>
      </c>
    </row>
    <row r="233" spans="1:2">
      <c r="B233" s="9" t="s">
        <v>1256</v>
      </c>
    </row>
    <row r="234" spans="1:2">
      <c r="B234" s="9" t="s">
        <v>1257</v>
      </c>
    </row>
    <row r="235" spans="1:2">
      <c r="B235" s="9" t="s">
        <v>1258</v>
      </c>
    </row>
    <row r="236" spans="1:2">
      <c r="B236" s="9" t="s">
        <v>1209</v>
      </c>
    </row>
    <row r="237" spans="1:2">
      <c r="B237" s="9" t="s">
        <v>1210</v>
      </c>
    </row>
    <row r="238" spans="1:2">
      <c r="B238" s="9" t="s">
        <v>1418</v>
      </c>
    </row>
    <row r="239" spans="1:2">
      <c r="A239" s="9" t="s">
        <v>2071</v>
      </c>
      <c r="B239" s="9" t="s">
        <v>2017</v>
      </c>
    </row>
    <row r="240" spans="1:2">
      <c r="B240" s="9" t="s">
        <v>2018</v>
      </c>
    </row>
    <row r="242" spans="1:2">
      <c r="A242" s="9" t="s">
        <v>1571</v>
      </c>
      <c r="B242" s="9" t="s">
        <v>791</v>
      </c>
    </row>
    <row r="243" spans="1:2">
      <c r="A243" s="9" t="s">
        <v>2215</v>
      </c>
      <c r="B243" s="9" t="s">
        <v>2094</v>
      </c>
    </row>
    <row r="244" spans="1:2">
      <c r="B244" s="9" t="s">
        <v>10</v>
      </c>
    </row>
    <row r="245" spans="1:2">
      <c r="B245" s="9" t="s">
        <v>130</v>
      </c>
    </row>
    <row r="246" spans="1:2">
      <c r="B246" s="9" t="s">
        <v>1884</v>
      </c>
    </row>
    <row r="247" spans="1:2">
      <c r="B247" s="9" t="s">
        <v>1569</v>
      </c>
    </row>
    <row r="248" spans="1:2">
      <c r="A248" s="2"/>
      <c r="B248" s="9" t="s">
        <v>1635</v>
      </c>
    </row>
    <row r="249" spans="1:2">
      <c r="A249" s="2"/>
      <c r="B249" s="9" t="s">
        <v>425</v>
      </c>
    </row>
    <row r="250" spans="1:2">
      <c r="A250" s="2"/>
      <c r="B250" s="9" t="s">
        <v>11</v>
      </c>
    </row>
    <row r="251" spans="1:2">
      <c r="B251" s="9" t="s">
        <v>2027</v>
      </c>
    </row>
    <row r="252" spans="1:2">
      <c r="B252" s="9" t="s">
        <v>2028</v>
      </c>
    </row>
    <row r="253" spans="1:2">
      <c r="B253" s="9" t="s">
        <v>426</v>
      </c>
    </row>
    <row r="254" spans="1:2">
      <c r="A254" s="2"/>
      <c r="B254" s="9" t="s">
        <v>1141</v>
      </c>
    </row>
    <row r="255" spans="1:2">
      <c r="B255" s="9" t="s">
        <v>1142</v>
      </c>
    </row>
    <row r="256" spans="1:2">
      <c r="B256" s="9" t="s">
        <v>1885</v>
      </c>
    </row>
    <row r="257" spans="1:2">
      <c r="B257" s="9" t="s">
        <v>1893</v>
      </c>
    </row>
    <row r="258" spans="1:2">
      <c r="B258" s="9" t="s">
        <v>1347</v>
      </c>
    </row>
    <row r="259" spans="1:2">
      <c r="B259" s="9" t="s">
        <v>1678</v>
      </c>
    </row>
    <row r="260" spans="1:2">
      <c r="B260" s="9" t="s">
        <v>1886</v>
      </c>
    </row>
    <row r="261" spans="1:2">
      <c r="B261" s="9" t="s">
        <v>12</v>
      </c>
    </row>
    <row r="262" spans="1:2">
      <c r="B262" s="9" t="s">
        <v>701</v>
      </c>
    </row>
    <row r="263" spans="1:2">
      <c r="A263" s="2"/>
      <c r="B263" s="9" t="s">
        <v>1028</v>
      </c>
    </row>
    <row r="264" spans="1:2">
      <c r="A264" s="2"/>
      <c r="B264" s="9" t="s">
        <v>1636</v>
      </c>
    </row>
    <row r="265" spans="1:2">
      <c r="A265" s="2"/>
      <c r="B265" s="9" t="s">
        <v>1143</v>
      </c>
    </row>
    <row r="266" spans="1:2">
      <c r="B266" s="9" t="s">
        <v>880</v>
      </c>
    </row>
    <row r="267" spans="1:2">
      <c r="B267" s="9" t="s">
        <v>129</v>
      </c>
    </row>
    <row r="268" spans="1:2">
      <c r="B268" s="9" t="s">
        <v>1887</v>
      </c>
    </row>
    <row r="269" spans="1:2">
      <c r="B269" s="9" t="s">
        <v>427</v>
      </c>
    </row>
    <row r="270" spans="1:2">
      <c r="B270" s="9" t="s">
        <v>1888</v>
      </c>
    </row>
    <row r="271" spans="1:2">
      <c r="B271" s="9" t="s">
        <v>1892</v>
      </c>
    </row>
    <row r="272" spans="1:2">
      <c r="B272" s="9" t="s">
        <v>428</v>
      </c>
    </row>
    <row r="273" spans="1:2">
      <c r="B273" s="9" t="s">
        <v>1890</v>
      </c>
    </row>
    <row r="274" spans="1:2">
      <c r="B274" s="9" t="s">
        <v>1891</v>
      </c>
    </row>
    <row r="275" spans="1:2">
      <c r="B275" s="9" t="s">
        <v>429</v>
      </c>
    </row>
    <row r="276" spans="1:2">
      <c r="B276" s="9" t="s">
        <v>1882</v>
      </c>
    </row>
    <row r="277" spans="1:2">
      <c r="B277" s="9" t="s">
        <v>1883</v>
      </c>
    </row>
    <row r="278" spans="1:2">
      <c r="A278" s="9" t="s">
        <v>1857</v>
      </c>
      <c r="B278" s="9" t="s">
        <v>422</v>
      </c>
    </row>
    <row r="279" spans="1:2">
      <c r="B279" s="9" t="s">
        <v>252</v>
      </c>
    </row>
    <row r="280" spans="1:2">
      <c r="B280" s="9" t="s">
        <v>254</v>
      </c>
    </row>
    <row r="281" spans="1:2">
      <c r="B281" s="9" t="s">
        <v>307</v>
      </c>
    </row>
    <row r="282" spans="1:2">
      <c r="B282" s="9" t="s">
        <v>1570</v>
      </c>
    </row>
    <row r="283" spans="1:2">
      <c r="B283" s="9" t="s">
        <v>1572</v>
      </c>
    </row>
    <row r="284" spans="1:2">
      <c r="A284" s="9" t="s">
        <v>423</v>
      </c>
      <c r="B284" s="9" t="s">
        <v>424</v>
      </c>
    </row>
    <row r="285" spans="1:2">
      <c r="B285" s="9" t="s">
        <v>253</v>
      </c>
    </row>
    <row r="286" spans="1:2">
      <c r="B286" s="9" t="s">
        <v>1568</v>
      </c>
    </row>
    <row r="288" spans="1:2">
      <c r="A288" s="9" t="s">
        <v>458</v>
      </c>
      <c r="B288" s="9" t="s">
        <v>791</v>
      </c>
    </row>
    <row r="289" spans="1:2">
      <c r="A289" s="9" t="s">
        <v>2215</v>
      </c>
      <c r="B289" s="9" t="s">
        <v>990</v>
      </c>
    </row>
    <row r="290" spans="1:2">
      <c r="A290" s="2"/>
      <c r="B290" s="9" t="s">
        <v>967</v>
      </c>
    </row>
    <row r="291" spans="1:2">
      <c r="B291" s="9" t="s">
        <v>971</v>
      </c>
    </row>
    <row r="292" spans="1:2">
      <c r="B292" s="9" t="s">
        <v>860</v>
      </c>
    </row>
    <row r="293" spans="1:2">
      <c r="B293" s="9" t="s">
        <v>708</v>
      </c>
    </row>
    <row r="294" spans="1:2">
      <c r="B294" s="9" t="s">
        <v>988</v>
      </c>
    </row>
    <row r="295" spans="1:2">
      <c r="A295" s="2"/>
      <c r="B295" s="9" t="s">
        <v>966</v>
      </c>
    </row>
    <row r="296" spans="1:2">
      <c r="A296" s="2"/>
      <c r="B296" s="9" t="s">
        <v>986</v>
      </c>
    </row>
    <row r="297" spans="1:2">
      <c r="A297" s="2"/>
      <c r="B297" s="9" t="s">
        <v>965</v>
      </c>
    </row>
    <row r="298" spans="1:2">
      <c r="A298" s="2"/>
      <c r="B298" s="9" t="s">
        <v>987</v>
      </c>
    </row>
    <row r="299" spans="1:2">
      <c r="A299" s="2"/>
      <c r="B299" s="9" t="s">
        <v>707</v>
      </c>
    </row>
    <row r="300" spans="1:2">
      <c r="A300" s="2"/>
      <c r="B300" s="9" t="s">
        <v>969</v>
      </c>
    </row>
    <row r="301" spans="1:2">
      <c r="A301" s="2"/>
      <c r="B301" s="9" t="s">
        <v>979</v>
      </c>
    </row>
    <row r="302" spans="1:2">
      <c r="A302" s="2"/>
      <c r="B302" s="9" t="s">
        <v>978</v>
      </c>
    </row>
    <row r="303" spans="1:2">
      <c r="A303" s="2"/>
      <c r="B303" s="9" t="s">
        <v>870</v>
      </c>
    </row>
    <row r="304" spans="1:2">
      <c r="A304" s="2"/>
      <c r="B304" s="9" t="s">
        <v>972</v>
      </c>
    </row>
    <row r="305" spans="1:2">
      <c r="A305" s="2"/>
      <c r="B305" s="9" t="s">
        <v>960</v>
      </c>
    </row>
    <row r="306" spans="1:2">
      <c r="A306" s="2"/>
      <c r="B306" s="9" t="s">
        <v>970</v>
      </c>
    </row>
    <row r="307" spans="1:2">
      <c r="A307" s="2"/>
      <c r="B307" s="9" t="s">
        <v>872</v>
      </c>
    </row>
    <row r="308" spans="1:2">
      <c r="A308" s="2"/>
      <c r="B308" s="9" t="s">
        <v>968</v>
      </c>
    </row>
    <row r="309" spans="1:2">
      <c r="A309" s="2"/>
      <c r="B309" s="9" t="s">
        <v>993</v>
      </c>
    </row>
    <row r="310" spans="1:2">
      <c r="A310" s="2"/>
      <c r="B310" s="9" t="s">
        <v>704</v>
      </c>
    </row>
    <row r="311" spans="1:2">
      <c r="A311" s="2"/>
      <c r="B311" s="9" t="s">
        <v>705</v>
      </c>
    </row>
    <row r="312" spans="1:2">
      <c r="A312" s="2"/>
      <c r="B312" s="9" t="s">
        <v>703</v>
      </c>
    </row>
    <row r="313" spans="1:2">
      <c r="A313" s="2"/>
      <c r="B313" s="9" t="s">
        <v>702</v>
      </c>
    </row>
    <row r="314" spans="1:2">
      <c r="A314" s="2"/>
      <c r="B314" s="9" t="s">
        <v>706</v>
      </c>
    </row>
    <row r="315" spans="1:2">
      <c r="A315" s="2"/>
      <c r="B315" s="9" t="s">
        <v>980</v>
      </c>
    </row>
    <row r="316" spans="1:2">
      <c r="A316" s="2"/>
      <c r="B316" s="9" t="s">
        <v>964</v>
      </c>
    </row>
    <row r="317" spans="1:2">
      <c r="A317" s="2"/>
      <c r="B317" s="9" t="s">
        <v>991</v>
      </c>
    </row>
    <row r="318" spans="1:2">
      <c r="A318" s="2"/>
      <c r="B318" s="9" t="s">
        <v>975</v>
      </c>
    </row>
    <row r="319" spans="1:2">
      <c r="A319" s="2"/>
      <c r="B319" s="9" t="s">
        <v>976</v>
      </c>
    </row>
    <row r="320" spans="1:2">
      <c r="A320" s="2"/>
      <c r="B320" s="9" t="s">
        <v>989</v>
      </c>
    </row>
    <row r="321" spans="1:2">
      <c r="B321" s="9" t="s">
        <v>873</v>
      </c>
    </row>
    <row r="322" spans="1:2">
      <c r="B322" s="9" t="s">
        <v>981</v>
      </c>
    </row>
    <row r="323" spans="1:2">
      <c r="B323" s="9" t="s">
        <v>982</v>
      </c>
    </row>
    <row r="324" spans="1:2">
      <c r="B324" s="9" t="s">
        <v>983</v>
      </c>
    </row>
    <row r="325" spans="1:2">
      <c r="B325" s="9" t="s">
        <v>992</v>
      </c>
    </row>
    <row r="326" spans="1:2">
      <c r="B326" s="9" t="s">
        <v>973</v>
      </c>
    </row>
    <row r="327" spans="1:2">
      <c r="B327" s="9" t="s">
        <v>984</v>
      </c>
    </row>
    <row r="328" spans="1:2">
      <c r="B328" s="9" t="s">
        <v>974</v>
      </c>
    </row>
    <row r="329" spans="1:2">
      <c r="B329" s="9" t="s">
        <v>1267</v>
      </c>
    </row>
    <row r="330" spans="1:2">
      <c r="A330" s="9" t="s">
        <v>1584</v>
      </c>
      <c r="B330" s="9" t="s">
        <v>610</v>
      </c>
    </row>
    <row r="331" spans="1:2">
      <c r="B331" s="9" t="s">
        <v>611</v>
      </c>
    </row>
    <row r="332" spans="1:2">
      <c r="B332" s="9" t="s">
        <v>612</v>
      </c>
    </row>
    <row r="333" spans="1:2">
      <c r="B333" s="9" t="s">
        <v>939</v>
      </c>
    </row>
    <row r="334" spans="1:2">
      <c r="A334" s="9" t="s">
        <v>1857</v>
      </c>
      <c r="B334" s="9" t="s">
        <v>715</v>
      </c>
    </row>
    <row r="335" spans="1:2">
      <c r="B335" s="9" t="s">
        <v>994</v>
      </c>
    </row>
    <row r="336" spans="1:2">
      <c r="B336" s="9" t="s">
        <v>956</v>
      </c>
    </row>
    <row r="337" spans="1:2">
      <c r="B337" s="9" t="s">
        <v>1605</v>
      </c>
    </row>
    <row r="338" spans="1:2">
      <c r="B338" s="9" t="s">
        <v>1963</v>
      </c>
    </row>
    <row r="339" spans="1:2">
      <c r="B339" s="9" t="s">
        <v>613</v>
      </c>
    </row>
    <row r="340" spans="1:2">
      <c r="A340" s="9" t="s">
        <v>856</v>
      </c>
      <c r="B340" s="9" t="s">
        <v>857</v>
      </c>
    </row>
    <row r="341" spans="1:2">
      <c r="B341" s="9" t="s">
        <v>1399</v>
      </c>
    </row>
    <row r="342" spans="1:2">
      <c r="B342" s="9" t="s">
        <v>858</v>
      </c>
    </row>
    <row r="343" spans="1:2">
      <c r="B343" s="9" t="s">
        <v>859</v>
      </c>
    </row>
    <row r="344" spans="1:2">
      <c r="B344" s="9" t="s">
        <v>1151</v>
      </c>
    </row>
    <row r="346" spans="1:2">
      <c r="A346" s="9" t="s">
        <v>189</v>
      </c>
      <c r="B346" s="9" t="s">
        <v>791</v>
      </c>
    </row>
    <row r="347" spans="1:2">
      <c r="A347" s="9" t="s">
        <v>2215</v>
      </c>
      <c r="B347" s="9" t="s">
        <v>1291</v>
      </c>
    </row>
    <row r="348" spans="1:2">
      <c r="A348" s="2"/>
      <c r="B348" s="9" t="s">
        <v>1292</v>
      </c>
    </row>
    <row r="349" spans="1:2">
      <c r="A349" s="2"/>
      <c r="B349" s="9" t="s">
        <v>812</v>
      </c>
    </row>
    <row r="350" spans="1:2">
      <c r="A350" s="2"/>
      <c r="B350" s="9" t="s">
        <v>1358</v>
      </c>
    </row>
    <row r="351" spans="1:2">
      <c r="A351" s="2"/>
      <c r="B351" s="9" t="s">
        <v>188</v>
      </c>
    </row>
    <row r="352" spans="1:2">
      <c r="A352" s="2" t="s">
        <v>1584</v>
      </c>
      <c r="B352" s="9" t="s">
        <v>1912</v>
      </c>
    </row>
    <row r="353" spans="1:2">
      <c r="A353" s="2"/>
      <c r="B353" s="9" t="s">
        <v>1130</v>
      </c>
    </row>
    <row r="354" spans="1:2">
      <c r="A354" s="2"/>
      <c r="B354" s="9" t="s">
        <v>190</v>
      </c>
    </row>
    <row r="355" spans="1:2">
      <c r="A355" s="2"/>
      <c r="B355" s="9" t="s">
        <v>561</v>
      </c>
    </row>
    <row r="356" spans="1:2">
      <c r="A356" s="2"/>
      <c r="B356" s="9" t="s">
        <v>1631</v>
      </c>
    </row>
    <row r="357" spans="1:2">
      <c r="A357" s="2"/>
      <c r="B357" s="9" t="s">
        <v>1637</v>
      </c>
    </row>
    <row r="358" spans="1:2">
      <c r="A358" s="2"/>
      <c r="B358" s="9" t="s">
        <v>1742</v>
      </c>
    </row>
    <row r="359" spans="1:2">
      <c r="A359" s="2"/>
      <c r="B359" s="9" t="s">
        <v>1632</v>
      </c>
    </row>
    <row r="360" spans="1:2">
      <c r="A360" s="2"/>
      <c r="B360" s="9" t="s">
        <v>1633</v>
      </c>
    </row>
    <row r="361" spans="1:2">
      <c r="A361" s="2"/>
      <c r="B361" s="9" t="s">
        <v>1741</v>
      </c>
    </row>
    <row r="362" spans="1:2">
      <c r="A362" s="2"/>
      <c r="B362" s="9" t="s">
        <v>1634</v>
      </c>
    </row>
    <row r="363" spans="1:2">
      <c r="A363" s="2"/>
      <c r="B363" s="9" t="s">
        <v>45</v>
      </c>
    </row>
    <row r="364" spans="1:2">
      <c r="A364" s="2"/>
      <c r="B364" s="9" t="s">
        <v>52</v>
      </c>
    </row>
    <row r="365" spans="1:2">
      <c r="A365" s="2"/>
      <c r="B365" s="9" t="s">
        <v>1638</v>
      </c>
    </row>
    <row r="366" spans="1:2">
      <c r="A366" s="2" t="s">
        <v>1857</v>
      </c>
      <c r="B366" s="9" t="s">
        <v>1293</v>
      </c>
    </row>
    <row r="367" spans="1:2">
      <c r="A367" s="2"/>
      <c r="B367" s="9" t="s">
        <v>1294</v>
      </c>
    </row>
    <row r="368" spans="1:2">
      <c r="A368" s="2"/>
      <c r="B368" s="9" t="s">
        <v>1131</v>
      </c>
    </row>
    <row r="369" spans="1:2">
      <c r="A369" s="2"/>
      <c r="B369" s="9" t="s">
        <v>1653</v>
      </c>
    </row>
    <row r="370" spans="1:2">
      <c r="A370" s="2"/>
      <c r="B370" s="9" t="s">
        <v>114</v>
      </c>
    </row>
    <row r="371" spans="1:2">
      <c r="A371" s="2"/>
      <c r="B371" s="9" t="s">
        <v>607</v>
      </c>
    </row>
    <row r="372" spans="1:2">
      <c r="A372" s="2"/>
      <c r="B372" s="9" t="s">
        <v>40</v>
      </c>
    </row>
    <row r="373" spans="1:2">
      <c r="A373" s="2"/>
      <c r="B373" s="9" t="s">
        <v>42</v>
      </c>
    </row>
    <row r="374" spans="1:2">
      <c r="A374" s="2"/>
      <c r="B374" s="9" t="s">
        <v>41</v>
      </c>
    </row>
    <row r="375" spans="1:2">
      <c r="A375" s="2" t="s">
        <v>2071</v>
      </c>
      <c r="B375" s="9" t="s">
        <v>43</v>
      </c>
    </row>
    <row r="376" spans="1:2">
      <c r="A376" s="2"/>
      <c r="B376" s="9" t="s">
        <v>51</v>
      </c>
    </row>
    <row r="377" spans="1:2">
      <c r="B377" s="9" t="s">
        <v>1619</v>
      </c>
    </row>
    <row r="378" spans="1:2">
      <c r="B378" s="9" t="s">
        <v>1620</v>
      </c>
    </row>
    <row r="379" spans="1:2">
      <c r="B379" s="9" t="s">
        <v>2069</v>
      </c>
    </row>
    <row r="381" spans="1:2">
      <c r="A381" s="9" t="s">
        <v>1856</v>
      </c>
      <c r="B381" s="9" t="s">
        <v>791</v>
      </c>
    </row>
    <row r="382" spans="1:2">
      <c r="A382" s="9" t="s">
        <v>2215</v>
      </c>
      <c r="B382" s="9" t="s">
        <v>2216</v>
      </c>
    </row>
    <row r="383" spans="1:2">
      <c r="A383" s="9" t="s">
        <v>1857</v>
      </c>
      <c r="B383" s="9" t="s">
        <v>2218</v>
      </c>
    </row>
    <row r="384" spans="1:2">
      <c r="B384" s="9" t="s">
        <v>498</v>
      </c>
    </row>
    <row r="385" spans="1:2">
      <c r="B385" s="9" t="s">
        <v>2217</v>
      </c>
    </row>
    <row r="386" spans="1:2">
      <c r="B386" s="9" t="s">
        <v>996</v>
      </c>
    </row>
    <row r="387" spans="1:2">
      <c r="B387" s="9" t="s">
        <v>1340</v>
      </c>
    </row>
    <row r="388" spans="1:2">
      <c r="B388" s="9" t="s">
        <v>2213</v>
      </c>
    </row>
    <row r="389" spans="1:2">
      <c r="B389" s="9" t="s">
        <v>2219</v>
      </c>
    </row>
    <row r="391" spans="1:2">
      <c r="A391" s="9" t="s">
        <v>1354</v>
      </c>
      <c r="B391" s="9" t="s">
        <v>791</v>
      </c>
    </row>
    <row r="392" spans="1:2">
      <c r="A392" s="9" t="s">
        <v>2248</v>
      </c>
      <c r="B392" s="9" t="s">
        <v>792</v>
      </c>
    </row>
    <row r="393" spans="1:2">
      <c r="A393" s="9" t="s">
        <v>2179</v>
      </c>
      <c r="B393" s="9" t="s">
        <v>1425</v>
      </c>
    </row>
    <row r="394" spans="1:2">
      <c r="B394" s="9" t="s">
        <v>1426</v>
      </c>
    </row>
    <row r="395" spans="1:2">
      <c r="B395" s="9" t="s">
        <v>489</v>
      </c>
    </row>
    <row r="396" spans="1:2">
      <c r="B396" s="9" t="s">
        <v>490</v>
      </c>
    </row>
    <row r="397" spans="1:2">
      <c r="B397" s="9" t="s">
        <v>1337</v>
      </c>
    </row>
    <row r="398" spans="1:2">
      <c r="B398" s="9" t="s">
        <v>874</v>
      </c>
    </row>
    <row r="399" spans="1:2">
      <c r="A399" s="9" t="s">
        <v>2247</v>
      </c>
      <c r="B399" s="9" t="s">
        <v>261</v>
      </c>
    </row>
    <row r="400" spans="1:2">
      <c r="B400" s="9" t="s">
        <v>262</v>
      </c>
    </row>
    <row r="401" spans="1:2">
      <c r="B401" s="9" t="s">
        <v>853</v>
      </c>
    </row>
    <row r="403" spans="1:2">
      <c r="A403" s="9" t="s">
        <v>1965</v>
      </c>
      <c r="B403" s="9" t="s">
        <v>791</v>
      </c>
    </row>
    <row r="404" spans="1:2">
      <c r="A404" s="9" t="s">
        <v>2248</v>
      </c>
      <c r="B404" s="9" t="s">
        <v>535</v>
      </c>
    </row>
    <row r="405" spans="1:2">
      <c r="B405" s="9" t="s">
        <v>890</v>
      </c>
    </row>
    <row r="406" spans="1:2">
      <c r="B406" s="9" t="s">
        <v>891</v>
      </c>
    </row>
    <row r="407" spans="1:2">
      <c r="B407" s="9" t="s">
        <v>1594</v>
      </c>
    </row>
    <row r="408" spans="1:2">
      <c r="A408" s="9" t="s">
        <v>2247</v>
      </c>
      <c r="B408" s="9" t="s">
        <v>1855</v>
      </c>
    </row>
    <row r="409" spans="1:2">
      <c r="A409" s="9" t="s">
        <v>2179</v>
      </c>
      <c r="B409" s="9" t="s">
        <v>1964</v>
      </c>
    </row>
    <row r="410" spans="1:2">
      <c r="B410" s="9" t="s">
        <v>796</v>
      </c>
    </row>
    <row r="411" spans="1:2">
      <c r="B411" s="9" t="s">
        <v>7</v>
      </c>
    </row>
    <row r="412" spans="1:2">
      <c r="B412" s="9" t="s">
        <v>897</v>
      </c>
    </row>
    <row r="413" spans="1:2">
      <c r="B413" s="9" t="s">
        <v>2182</v>
      </c>
    </row>
    <row r="414" spans="1:2">
      <c r="B414" s="9" t="s">
        <v>2183</v>
      </c>
    </row>
    <row r="415" spans="1:2">
      <c r="B415" s="9" t="s">
        <v>2184</v>
      </c>
    </row>
    <row r="416" spans="1:2">
      <c r="B416" s="9" t="s">
        <v>1561</v>
      </c>
    </row>
    <row r="417" spans="1:2">
      <c r="B417" s="9" t="s">
        <v>1854</v>
      </c>
    </row>
    <row r="418" spans="1:2">
      <c r="A418" s="9" t="s">
        <v>1566</v>
      </c>
      <c r="B418" s="9" t="s">
        <v>1562</v>
      </c>
    </row>
    <row r="420" spans="1:2">
      <c r="A420" s="9" t="s">
        <v>501</v>
      </c>
      <c r="B420" s="9" t="s">
        <v>791</v>
      </c>
    </row>
    <row r="421" spans="1:2">
      <c r="A421" s="9" t="s">
        <v>2248</v>
      </c>
      <c r="B421" s="9" t="s">
        <v>1926</v>
      </c>
    </row>
    <row r="422" spans="1:2">
      <c r="B422" s="9" t="s">
        <v>453</v>
      </c>
    </row>
    <row r="423" spans="1:2">
      <c r="B423" s="6" t="s">
        <v>1927</v>
      </c>
    </row>
    <row r="424" spans="1:2">
      <c r="A424" s="9" t="s">
        <v>452</v>
      </c>
      <c r="B424" s="6" t="s">
        <v>908</v>
      </c>
    </row>
    <row r="425" spans="1:2">
      <c r="A425" s="9" t="s">
        <v>2179</v>
      </c>
      <c r="B425" s="9" t="s">
        <v>502</v>
      </c>
    </row>
    <row r="426" spans="1:2">
      <c r="B426" s="9" t="s">
        <v>503</v>
      </c>
    </row>
    <row r="427" spans="1:2">
      <c r="B427" s="9" t="s">
        <v>504</v>
      </c>
    </row>
    <row r="428" spans="1:2">
      <c r="B428" s="9" t="s">
        <v>907</v>
      </c>
    </row>
    <row r="429" spans="1:2">
      <c r="B429" s="9" t="s">
        <v>1925</v>
      </c>
    </row>
    <row r="430" spans="1:2">
      <c r="B430" s="9" t="s">
        <v>906</v>
      </c>
    </row>
    <row r="432" spans="1:2">
      <c r="A432" s="9" t="s">
        <v>1478</v>
      </c>
      <c r="B432" s="9" t="s">
        <v>791</v>
      </c>
    </row>
    <row r="433" spans="1:2">
      <c r="A433" s="9" t="s">
        <v>2247</v>
      </c>
      <c r="B433" s="9" t="s">
        <v>1659</v>
      </c>
    </row>
    <row r="434" spans="1:2">
      <c r="B434" s="9" t="s">
        <v>1008</v>
      </c>
    </row>
    <row r="435" spans="1:2">
      <c r="A435" s="9" t="s">
        <v>2248</v>
      </c>
      <c r="B435" s="9" t="s">
        <v>1007</v>
      </c>
    </row>
    <row r="436" spans="1:2">
      <c r="B436" s="9" t="s">
        <v>1207</v>
      </c>
    </row>
    <row r="437" spans="1:2">
      <c r="B437" s="9" t="s">
        <v>1230</v>
      </c>
    </row>
    <row r="438" spans="1:2">
      <c r="B438" s="9" t="s">
        <v>1231</v>
      </c>
    </row>
    <row r="439" spans="1:2">
      <c r="B439" s="9" t="s">
        <v>1408</v>
      </c>
    </row>
    <row r="440" spans="1:2">
      <c r="B440" s="9" t="s">
        <v>1494</v>
      </c>
    </row>
    <row r="441" spans="1:2">
      <c r="B441" s="9" t="s">
        <v>1497</v>
      </c>
    </row>
    <row r="442" spans="1:2">
      <c r="B442" s="9" t="s">
        <v>1504</v>
      </c>
    </row>
    <row r="443" spans="1:2">
      <c r="B443" s="9" t="s">
        <v>1505</v>
      </c>
    </row>
    <row r="444" spans="1:2">
      <c r="B444" s="9" t="s">
        <v>1506</v>
      </c>
    </row>
    <row r="445" spans="1:2">
      <c r="B445" s="9" t="s">
        <v>1507</v>
      </c>
    </row>
    <row r="446" spans="1:2">
      <c r="B446" s="9" t="s">
        <v>1508</v>
      </c>
    </row>
    <row r="447" spans="1:2">
      <c r="B447" s="9" t="s">
        <v>1509</v>
      </c>
    </row>
    <row r="448" spans="1:2">
      <c r="A448" s="9" t="s">
        <v>1566</v>
      </c>
      <c r="B448" s="9" t="s">
        <v>1914</v>
      </c>
    </row>
    <row r="449" spans="1:2">
      <c r="B449" s="9" t="s">
        <v>1510</v>
      </c>
    </row>
    <row r="450" spans="1:2">
      <c r="A450" s="9" t="s">
        <v>2179</v>
      </c>
      <c r="B450" s="9" t="s">
        <v>1482</v>
      </c>
    </row>
    <row r="451" spans="1:2">
      <c r="B451" s="9" t="s">
        <v>1483</v>
      </c>
    </row>
    <row r="452" spans="1:2">
      <c r="B452" s="9" t="s">
        <v>1468</v>
      </c>
    </row>
    <row r="453" spans="1:2">
      <c r="B453" s="9" t="s">
        <v>136</v>
      </c>
    </row>
    <row r="455" spans="1:2">
      <c r="A455" s="9" t="s">
        <v>1479</v>
      </c>
      <c r="B455" s="9" t="s">
        <v>1480</v>
      </c>
    </row>
    <row r="456" spans="1:2">
      <c r="A456" s="9" t="s">
        <v>2248</v>
      </c>
      <c r="B456" s="9" t="s">
        <v>1481</v>
      </c>
    </row>
    <row r="458" spans="1:2">
      <c r="A458" s="9" t="s">
        <v>1062</v>
      </c>
      <c r="B458" s="9" t="s">
        <v>791</v>
      </c>
    </row>
    <row r="459" spans="1:2">
      <c r="A459" s="9" t="s">
        <v>2247</v>
      </c>
      <c r="B459" s="9" t="s">
        <v>1058</v>
      </c>
    </row>
    <row r="460" spans="1:2">
      <c r="A460" s="9" t="s">
        <v>2179</v>
      </c>
      <c r="B460" s="9" t="s">
        <v>283</v>
      </c>
    </row>
    <row r="461" spans="1:2">
      <c r="B461" s="9" t="s">
        <v>284</v>
      </c>
    </row>
    <row r="462" spans="1:2">
      <c r="B462" s="9" t="s">
        <v>285</v>
      </c>
    </row>
    <row r="463" spans="1:2">
      <c r="B463" s="9" t="s">
        <v>286</v>
      </c>
    </row>
    <row r="464" spans="1:2">
      <c r="B464" s="9" t="s">
        <v>287</v>
      </c>
    </row>
    <row r="465" spans="1:2">
      <c r="B465" s="9" t="s">
        <v>288</v>
      </c>
    </row>
    <row r="466" spans="1:2">
      <c r="B466" s="9" t="s">
        <v>289</v>
      </c>
    </row>
    <row r="467" spans="1:2">
      <c r="B467" s="9" t="s">
        <v>1024</v>
      </c>
    </row>
    <row r="468" spans="1:2">
      <c r="B468" s="9" t="s">
        <v>758</v>
      </c>
    </row>
    <row r="469" spans="1:2">
      <c r="B469" s="9" t="s">
        <v>759</v>
      </c>
    </row>
    <row r="470" spans="1:2">
      <c r="B470" s="9" t="s">
        <v>1059</v>
      </c>
    </row>
    <row r="471" spans="1:2">
      <c r="B471" s="9" t="s">
        <v>1061</v>
      </c>
    </row>
    <row r="472" spans="1:2">
      <c r="B472" s="9" t="s">
        <v>1060</v>
      </c>
    </row>
    <row r="474" spans="1:2">
      <c r="A474" s="9" t="s">
        <v>1126</v>
      </c>
      <c r="B474" s="9" t="s">
        <v>791</v>
      </c>
    </row>
    <row r="475" spans="1:2">
      <c r="A475" s="9" t="s">
        <v>2179</v>
      </c>
      <c r="B475" s="9" t="s">
        <v>1127</v>
      </c>
    </row>
    <row r="476" spans="1:2">
      <c r="B476" s="9" t="s">
        <v>1128</v>
      </c>
    </row>
    <row r="477" spans="1:2">
      <c r="A477" s="9" t="s">
        <v>2248</v>
      </c>
      <c r="B477" s="9" t="s">
        <v>1129</v>
      </c>
    </row>
    <row r="478" spans="1:2">
      <c r="B478" s="9" t="s">
        <v>868</v>
      </c>
    </row>
    <row r="480" spans="1:2">
      <c r="A480" s="9" t="s">
        <v>2264</v>
      </c>
      <c r="B480" s="9" t="s">
        <v>791</v>
      </c>
    </row>
    <row r="481" spans="1:256">
      <c r="A481" s="9" t="s">
        <v>2247</v>
      </c>
      <c r="B481" s="9" t="s">
        <v>160</v>
      </c>
    </row>
    <row r="483" spans="1:256">
      <c r="A483" s="9" t="s">
        <v>2263</v>
      </c>
      <c r="B483" s="9" t="s">
        <v>791</v>
      </c>
    </row>
    <row r="484" spans="1:256">
      <c r="A484" s="9" t="s">
        <v>2247</v>
      </c>
      <c r="B484" s="9" t="s">
        <v>1769</v>
      </c>
    </row>
    <row r="485" spans="1:256">
      <c r="B485" s="9" t="s">
        <v>1960</v>
      </c>
    </row>
    <row r="486" spans="1:256">
      <c r="A486" s="9" t="s">
        <v>2248</v>
      </c>
      <c r="B486" s="9" t="s">
        <v>165</v>
      </c>
    </row>
    <row r="487" spans="1:256">
      <c r="A487" s="9" t="s">
        <v>1566</v>
      </c>
      <c r="B487" s="9" t="s">
        <v>162</v>
      </c>
    </row>
    <row r="488" spans="1:256">
      <c r="B488" s="9" t="s">
        <v>1770</v>
      </c>
    </row>
    <row r="489" spans="1:256">
      <c r="A489" s="9" t="s">
        <v>2179</v>
      </c>
      <c r="B489" s="9" t="s">
        <v>531</v>
      </c>
    </row>
    <row r="490" spans="1:256">
      <c r="B490" s="9" t="s">
        <v>530</v>
      </c>
    </row>
    <row r="491" spans="1:256">
      <c r="B491" s="9" t="s">
        <v>230</v>
      </c>
    </row>
    <row r="492" spans="1:256">
      <c r="B492" s="9" t="s">
        <v>166</v>
      </c>
    </row>
    <row r="493" spans="1:256">
      <c r="B493" s="10" t="s">
        <v>1771</v>
      </c>
    </row>
    <row r="494" spans="1:256">
      <c r="B494" s="9" t="s">
        <v>1957</v>
      </c>
    </row>
    <row r="495" spans="1:256">
      <c r="B495" s="10" t="s">
        <v>1958</v>
      </c>
    </row>
    <row r="496" spans="1:256">
      <c r="B496" s="10" t="s">
        <v>1959</v>
      </c>
      <c r="C496" s="9"/>
      <c r="D496" s="9"/>
      <c r="E496" s="9"/>
      <c r="F496" s="9"/>
      <c r="G496" s="9"/>
      <c r="H496" s="9"/>
      <c r="I496" s="9"/>
      <c r="J496" s="9"/>
      <c r="K496" s="9"/>
      <c r="L496" s="9"/>
      <c r="M496" s="9"/>
      <c r="N496" s="9"/>
      <c r="O496" s="9"/>
      <c r="P496" s="9"/>
      <c r="Q496" s="9"/>
      <c r="R496" s="9"/>
      <c r="S496" s="9"/>
      <c r="T496" s="9"/>
      <c r="U496" s="9"/>
      <c r="V496" s="9"/>
      <c r="W496" s="9"/>
      <c r="X496" s="9"/>
      <c r="Y496" s="9"/>
      <c r="Z496" s="9"/>
      <c r="AA496" s="9"/>
      <c r="AB496" s="9"/>
      <c r="AC496" s="9"/>
      <c r="AD496" s="9"/>
      <c r="AE496" s="9"/>
      <c r="AF496" s="9"/>
      <c r="AG496" s="9"/>
      <c r="AH496" s="9"/>
      <c r="AI496" s="9"/>
      <c r="AJ496" s="9"/>
      <c r="AK496" s="9"/>
      <c r="AL496" s="9"/>
      <c r="AM496" s="9"/>
      <c r="AN496" s="9"/>
      <c r="AO496" s="9"/>
      <c r="AP496" s="9"/>
      <c r="AQ496" s="9"/>
      <c r="AR496" s="9"/>
      <c r="AS496" s="9"/>
      <c r="AT496" s="9"/>
      <c r="AU496" s="9"/>
      <c r="AV496" s="9"/>
      <c r="AW496" s="9"/>
      <c r="AX496" s="9"/>
      <c r="AY496" s="9"/>
      <c r="AZ496" s="9"/>
      <c r="BA496" s="9"/>
      <c r="BB496" s="9"/>
      <c r="BC496" s="9"/>
      <c r="BD496" s="9"/>
      <c r="BE496" s="9"/>
      <c r="BF496" s="9"/>
      <c r="BG496" s="9"/>
      <c r="BH496" s="9"/>
      <c r="BI496" s="9"/>
      <c r="BJ496" s="9"/>
      <c r="BK496" s="9"/>
      <c r="BL496" s="9"/>
      <c r="BM496" s="9"/>
      <c r="BN496" s="9"/>
      <c r="BO496" s="9"/>
      <c r="BP496" s="9"/>
      <c r="BQ496" s="9"/>
      <c r="BR496" s="9"/>
      <c r="BS496" s="9"/>
      <c r="BT496" s="9"/>
      <c r="BU496" s="9"/>
      <c r="BV496" s="9"/>
      <c r="BW496" s="9"/>
      <c r="BX496" s="9"/>
      <c r="BY496" s="9"/>
      <c r="BZ496" s="9"/>
      <c r="CA496" s="9"/>
      <c r="CB496" s="9"/>
      <c r="CC496" s="9"/>
      <c r="CD496" s="9"/>
      <c r="CE496" s="9"/>
      <c r="CF496" s="9"/>
      <c r="CG496" s="9"/>
      <c r="CH496" s="9"/>
      <c r="CI496" s="9"/>
      <c r="CJ496" s="9"/>
      <c r="CK496" s="9"/>
      <c r="CL496" s="9"/>
      <c r="CM496" s="9"/>
      <c r="CN496" s="9"/>
      <c r="CO496" s="9"/>
      <c r="CP496" s="9"/>
      <c r="CQ496" s="9"/>
      <c r="CR496" s="9"/>
      <c r="CS496" s="9"/>
      <c r="CT496" s="9"/>
      <c r="CU496" s="9"/>
      <c r="CV496" s="9"/>
      <c r="CW496" s="9"/>
      <c r="CX496" s="9"/>
      <c r="CY496" s="9"/>
      <c r="CZ496" s="9"/>
      <c r="DA496" s="9"/>
      <c r="DB496" s="9"/>
      <c r="DC496" s="9"/>
      <c r="DD496" s="9"/>
      <c r="DE496" s="9"/>
      <c r="DF496" s="9"/>
      <c r="DG496" s="9"/>
      <c r="DH496" s="9"/>
      <c r="DI496" s="9"/>
      <c r="DJ496" s="9"/>
      <c r="DK496" s="9"/>
      <c r="DL496" s="9"/>
      <c r="DM496" s="9"/>
      <c r="DN496" s="9"/>
      <c r="DO496" s="9"/>
      <c r="DP496" s="9"/>
      <c r="DQ496" s="9"/>
      <c r="DR496" s="9"/>
      <c r="DS496" s="9"/>
      <c r="DT496" s="9"/>
      <c r="DU496" s="9"/>
      <c r="DV496" s="9"/>
      <c r="DW496" s="9"/>
      <c r="DX496" s="9"/>
      <c r="DY496" s="9"/>
      <c r="DZ496" s="9"/>
      <c r="EA496" s="9"/>
      <c r="EB496" s="9"/>
      <c r="EC496" s="9"/>
      <c r="ED496" s="9"/>
      <c r="EE496" s="9"/>
      <c r="EF496" s="9"/>
      <c r="EG496" s="9"/>
      <c r="EH496" s="9"/>
      <c r="EI496" s="9"/>
      <c r="EJ496" s="9"/>
      <c r="EK496" s="9"/>
      <c r="EL496" s="9"/>
      <c r="EM496" s="9"/>
      <c r="EN496" s="9"/>
      <c r="EO496" s="9"/>
      <c r="EP496" s="9"/>
      <c r="EQ496" s="9"/>
      <c r="ER496" s="9"/>
      <c r="ES496" s="9"/>
      <c r="ET496" s="9"/>
      <c r="EU496" s="9"/>
      <c r="EV496" s="9"/>
      <c r="EW496" s="9"/>
      <c r="EX496" s="9"/>
      <c r="EY496" s="9"/>
      <c r="EZ496" s="9"/>
      <c r="FA496" s="9"/>
      <c r="FB496" s="9"/>
      <c r="FC496" s="9"/>
      <c r="FD496" s="9"/>
      <c r="FE496" s="9"/>
      <c r="FF496" s="9"/>
      <c r="FG496" s="9"/>
      <c r="FH496" s="9"/>
      <c r="FI496" s="9"/>
      <c r="FJ496" s="9"/>
      <c r="FK496" s="9"/>
      <c r="FL496" s="9"/>
      <c r="FM496" s="9"/>
      <c r="FN496" s="9"/>
      <c r="FO496" s="9"/>
      <c r="FP496" s="9"/>
      <c r="FQ496" s="9"/>
      <c r="FR496" s="9"/>
      <c r="FS496" s="9"/>
      <c r="FT496" s="9"/>
      <c r="FU496" s="9"/>
      <c r="FV496" s="9"/>
      <c r="FW496" s="9"/>
      <c r="FX496" s="9"/>
      <c r="FY496" s="9"/>
      <c r="FZ496" s="9"/>
      <c r="GA496" s="9"/>
      <c r="GB496" s="9"/>
      <c r="GC496" s="9"/>
      <c r="GD496" s="9"/>
      <c r="GE496" s="9"/>
      <c r="GF496" s="9"/>
      <c r="GG496" s="9"/>
      <c r="GH496" s="9"/>
      <c r="GI496" s="9"/>
      <c r="GJ496" s="9"/>
      <c r="GK496" s="9"/>
      <c r="GL496" s="9"/>
      <c r="GM496" s="9"/>
      <c r="GN496" s="9"/>
      <c r="GO496" s="9"/>
      <c r="GP496" s="9"/>
      <c r="GQ496" s="9"/>
      <c r="GR496" s="9"/>
      <c r="GS496" s="9"/>
      <c r="GT496" s="9"/>
      <c r="GU496" s="9"/>
      <c r="GV496" s="9"/>
      <c r="GW496" s="9"/>
      <c r="GX496" s="9"/>
      <c r="GY496" s="9"/>
      <c r="GZ496" s="9"/>
      <c r="HA496" s="9"/>
      <c r="HB496" s="9"/>
      <c r="HC496" s="9"/>
      <c r="HD496" s="9"/>
      <c r="HE496" s="9"/>
      <c r="HF496" s="9"/>
      <c r="HG496" s="9"/>
      <c r="HH496" s="9"/>
      <c r="HI496" s="9"/>
      <c r="HJ496" s="9"/>
      <c r="HK496" s="9"/>
      <c r="HL496" s="9"/>
      <c r="HM496" s="9"/>
      <c r="HN496" s="9"/>
      <c r="HO496" s="9"/>
      <c r="HP496" s="9"/>
      <c r="HQ496" s="9"/>
      <c r="HR496" s="9"/>
      <c r="HS496" s="9"/>
      <c r="HT496" s="9"/>
      <c r="HU496" s="9"/>
      <c r="HV496" s="9"/>
      <c r="HW496" s="9"/>
      <c r="HX496" s="9"/>
      <c r="HY496" s="9"/>
      <c r="HZ496" s="9"/>
      <c r="IA496" s="9"/>
      <c r="IB496" s="9"/>
      <c r="IC496" s="9"/>
      <c r="ID496" s="9"/>
      <c r="IE496" s="9"/>
      <c r="IF496" s="9"/>
      <c r="IG496" s="9"/>
      <c r="IH496" s="9"/>
      <c r="II496" s="9"/>
      <c r="IJ496" s="9"/>
      <c r="IK496" s="9"/>
      <c r="IL496" s="9"/>
      <c r="IM496" s="9"/>
      <c r="IN496" s="9"/>
      <c r="IO496" s="9"/>
      <c r="IP496" s="9"/>
      <c r="IQ496" s="9"/>
      <c r="IR496" s="9"/>
      <c r="IS496" s="9"/>
      <c r="IT496" s="9"/>
      <c r="IU496" s="9"/>
      <c r="IV496" s="9"/>
    </row>
    <row r="497" spans="1:256">
      <c r="B497" s="10" t="s">
        <v>1961</v>
      </c>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9"/>
      <c r="AH497" s="9"/>
      <c r="AI497" s="9"/>
      <c r="AJ497" s="9"/>
      <c r="AK497" s="9"/>
      <c r="AL497" s="9"/>
      <c r="AM497" s="9"/>
      <c r="AN497" s="9"/>
      <c r="AO497" s="9"/>
      <c r="AP497" s="9"/>
      <c r="AQ497" s="9"/>
      <c r="AR497" s="9"/>
      <c r="AS497" s="9"/>
      <c r="AT497" s="9"/>
      <c r="AU497" s="9"/>
      <c r="AV497" s="9"/>
      <c r="AW497" s="9"/>
      <c r="AX497" s="9"/>
      <c r="AY497" s="9"/>
      <c r="AZ497" s="9"/>
      <c r="BA497" s="9"/>
      <c r="BB497" s="9"/>
      <c r="BC497" s="9"/>
      <c r="BD497" s="9"/>
      <c r="BE497" s="9"/>
      <c r="BF497" s="9"/>
      <c r="BG497" s="9"/>
      <c r="BH497" s="9"/>
      <c r="BI497" s="9"/>
      <c r="BJ497" s="9"/>
      <c r="BK497" s="9"/>
      <c r="BL497" s="9"/>
      <c r="BM497" s="9"/>
      <c r="BN497" s="9"/>
      <c r="BO497" s="9"/>
      <c r="BP497" s="9"/>
      <c r="BQ497" s="9"/>
      <c r="BR497" s="9"/>
      <c r="BS497" s="9"/>
      <c r="BT497" s="9"/>
      <c r="BU497" s="9"/>
      <c r="BV497" s="9"/>
      <c r="BW497" s="9"/>
      <c r="BX497" s="9"/>
      <c r="BY497" s="9"/>
      <c r="BZ497" s="9"/>
      <c r="CA497" s="9"/>
      <c r="CB497" s="9"/>
      <c r="CC497" s="9"/>
      <c r="CD497" s="9"/>
      <c r="CE497" s="9"/>
      <c r="CF497" s="9"/>
      <c r="CG497" s="9"/>
      <c r="CH497" s="9"/>
      <c r="CI497" s="9"/>
      <c r="CJ497" s="9"/>
      <c r="CK497" s="9"/>
      <c r="CL497" s="9"/>
      <c r="CM497" s="9"/>
      <c r="CN497" s="9"/>
      <c r="CO497" s="9"/>
      <c r="CP497" s="9"/>
      <c r="CQ497" s="9"/>
      <c r="CR497" s="9"/>
      <c r="CS497" s="9"/>
      <c r="CT497" s="9"/>
      <c r="CU497" s="9"/>
      <c r="CV497" s="9"/>
      <c r="CW497" s="9"/>
      <c r="CX497" s="9"/>
      <c r="CY497" s="9"/>
      <c r="CZ497" s="9"/>
      <c r="DA497" s="9"/>
      <c r="DB497" s="9"/>
      <c r="DC497" s="9"/>
      <c r="DD497" s="9"/>
      <c r="DE497" s="9"/>
      <c r="DF497" s="9"/>
      <c r="DG497" s="9"/>
      <c r="DH497" s="9"/>
      <c r="DI497" s="9"/>
      <c r="DJ497" s="9"/>
      <c r="DK497" s="9"/>
      <c r="DL497" s="9"/>
      <c r="DM497" s="9"/>
      <c r="DN497" s="9"/>
      <c r="DO497" s="9"/>
      <c r="DP497" s="9"/>
      <c r="DQ497" s="9"/>
      <c r="DR497" s="9"/>
      <c r="DS497" s="9"/>
      <c r="DT497" s="9"/>
      <c r="DU497" s="9"/>
      <c r="DV497" s="9"/>
      <c r="DW497" s="9"/>
      <c r="DX497" s="9"/>
      <c r="DY497" s="9"/>
      <c r="DZ497" s="9"/>
      <c r="EA497" s="9"/>
      <c r="EB497" s="9"/>
      <c r="EC497" s="9"/>
      <c r="ED497" s="9"/>
      <c r="EE497" s="9"/>
      <c r="EF497" s="9"/>
      <c r="EG497" s="9"/>
      <c r="EH497" s="9"/>
      <c r="EI497" s="9"/>
      <c r="EJ497" s="9"/>
      <c r="EK497" s="9"/>
      <c r="EL497" s="9"/>
      <c r="EM497" s="9"/>
      <c r="EN497" s="9"/>
      <c r="EO497" s="9"/>
      <c r="EP497" s="9"/>
      <c r="EQ497" s="9"/>
      <c r="ER497" s="9"/>
      <c r="ES497" s="9"/>
      <c r="ET497" s="9"/>
      <c r="EU497" s="9"/>
      <c r="EV497" s="9"/>
      <c r="EW497" s="9"/>
      <c r="EX497" s="9"/>
      <c r="EY497" s="9"/>
      <c r="EZ497" s="9"/>
      <c r="FA497" s="9"/>
      <c r="FB497" s="9"/>
      <c r="FC497" s="9"/>
      <c r="FD497" s="9"/>
      <c r="FE497" s="9"/>
      <c r="FF497" s="9"/>
      <c r="FG497" s="9"/>
      <c r="FH497" s="9"/>
      <c r="FI497" s="9"/>
      <c r="FJ497" s="9"/>
      <c r="FK497" s="9"/>
      <c r="FL497" s="9"/>
      <c r="FM497" s="9"/>
      <c r="FN497" s="9"/>
      <c r="FO497" s="9"/>
      <c r="FP497" s="9"/>
      <c r="FQ497" s="9"/>
      <c r="FR497" s="9"/>
      <c r="FS497" s="9"/>
      <c r="FT497" s="9"/>
      <c r="FU497" s="9"/>
      <c r="FV497" s="9"/>
      <c r="FW497" s="9"/>
      <c r="FX497" s="9"/>
      <c r="FY497" s="9"/>
      <c r="FZ497" s="9"/>
      <c r="GA497" s="9"/>
      <c r="GB497" s="9"/>
      <c r="GC497" s="9"/>
      <c r="GD497" s="9"/>
      <c r="GE497" s="9"/>
      <c r="GF497" s="9"/>
      <c r="GG497" s="9"/>
      <c r="GH497" s="9"/>
      <c r="GI497" s="9"/>
      <c r="GJ497" s="9"/>
      <c r="GK497" s="9"/>
      <c r="GL497" s="9"/>
      <c r="GM497" s="9"/>
      <c r="GN497" s="9"/>
      <c r="GO497" s="9"/>
      <c r="GP497" s="9"/>
      <c r="GQ497" s="9"/>
      <c r="GR497" s="9"/>
      <c r="GS497" s="9"/>
      <c r="GT497" s="9"/>
      <c r="GU497" s="9"/>
      <c r="GV497" s="9"/>
      <c r="GW497" s="9"/>
      <c r="GX497" s="9"/>
      <c r="GY497" s="9"/>
      <c r="GZ497" s="9"/>
      <c r="HA497" s="9"/>
      <c r="HB497" s="9"/>
      <c r="HC497" s="9"/>
      <c r="HD497" s="9"/>
      <c r="HE497" s="9"/>
      <c r="HF497" s="9"/>
      <c r="HG497" s="9"/>
      <c r="HH497" s="9"/>
      <c r="HI497" s="9"/>
      <c r="HJ497" s="9"/>
      <c r="HK497" s="9"/>
      <c r="HL497" s="9"/>
      <c r="HM497" s="9"/>
      <c r="HN497" s="9"/>
      <c r="HO497" s="9"/>
      <c r="HP497" s="9"/>
      <c r="HQ497" s="9"/>
      <c r="HR497" s="9"/>
      <c r="HS497" s="9"/>
      <c r="HT497" s="9"/>
      <c r="HU497" s="9"/>
      <c r="HV497" s="9"/>
      <c r="HW497" s="9"/>
      <c r="HX497" s="9"/>
      <c r="HY497" s="9"/>
      <c r="HZ497" s="9"/>
      <c r="IA497" s="9"/>
      <c r="IB497" s="9"/>
      <c r="IC497" s="9"/>
      <c r="ID497" s="9"/>
      <c r="IE497" s="9"/>
      <c r="IF497" s="9"/>
      <c r="IG497" s="9"/>
      <c r="IH497" s="9"/>
      <c r="II497" s="9"/>
      <c r="IJ497" s="9"/>
      <c r="IK497" s="9"/>
      <c r="IL497" s="9"/>
      <c r="IM497" s="9"/>
      <c r="IN497" s="9"/>
      <c r="IO497" s="9"/>
      <c r="IP497" s="9"/>
      <c r="IQ497" s="9"/>
      <c r="IR497" s="9"/>
      <c r="IS497" s="9"/>
      <c r="IT497" s="9"/>
      <c r="IU497" s="9"/>
      <c r="IV497" s="9"/>
    </row>
    <row r="498" spans="1:256">
      <c r="B498" s="10" t="s">
        <v>1962</v>
      </c>
      <c r="C498" s="9"/>
      <c r="D498" s="9"/>
      <c r="E498" s="9"/>
      <c r="F498" s="9"/>
      <c r="G498" s="9"/>
      <c r="H498" s="9"/>
      <c r="I498" s="9"/>
      <c r="J498" s="9"/>
      <c r="K498" s="9"/>
      <c r="L498" s="9"/>
      <c r="M498" s="9"/>
      <c r="N498" s="9"/>
      <c r="O498" s="9"/>
      <c r="P498" s="9"/>
      <c r="Q498" s="9"/>
      <c r="R498" s="9"/>
      <c r="S498" s="9"/>
      <c r="T498" s="9"/>
      <c r="U498" s="9"/>
      <c r="V498" s="9"/>
      <c r="W498" s="9"/>
      <c r="X498" s="9"/>
      <c r="Y498" s="9"/>
      <c r="Z498" s="9"/>
      <c r="AA498" s="9"/>
      <c r="AB498" s="9"/>
      <c r="AC498" s="9"/>
      <c r="AD498" s="9"/>
      <c r="AE498" s="9"/>
      <c r="AF498" s="9"/>
      <c r="AG498" s="9"/>
      <c r="AH498" s="9"/>
      <c r="AI498" s="9"/>
      <c r="AJ498" s="9"/>
      <c r="AK498" s="9"/>
      <c r="AL498" s="9"/>
      <c r="AM498" s="9"/>
      <c r="AN498" s="9"/>
      <c r="AO498" s="9"/>
      <c r="AP498" s="9"/>
      <c r="AQ498" s="9"/>
      <c r="AR498" s="9"/>
      <c r="AS498" s="9"/>
      <c r="AT498" s="9"/>
      <c r="AU498" s="9"/>
      <c r="AV498" s="9"/>
      <c r="AW498" s="9"/>
      <c r="AX498" s="9"/>
      <c r="AY498" s="9"/>
      <c r="AZ498" s="9"/>
      <c r="BA498" s="9"/>
      <c r="BB498" s="9"/>
      <c r="BC498" s="9"/>
      <c r="BD498" s="9"/>
      <c r="BE498" s="9"/>
      <c r="BF498" s="9"/>
      <c r="BG498" s="9"/>
      <c r="BH498" s="9"/>
      <c r="BI498" s="9"/>
      <c r="BJ498" s="9"/>
      <c r="BK498" s="9"/>
      <c r="BL498" s="9"/>
      <c r="BM498" s="9"/>
      <c r="BN498" s="9"/>
      <c r="BO498" s="9"/>
      <c r="BP498" s="9"/>
      <c r="BQ498" s="9"/>
      <c r="BR498" s="9"/>
      <c r="BS498" s="9"/>
      <c r="BT498" s="9"/>
      <c r="BU498" s="9"/>
      <c r="BV498" s="9"/>
      <c r="BW498" s="9"/>
      <c r="BX498" s="9"/>
      <c r="BY498" s="9"/>
      <c r="BZ498" s="9"/>
      <c r="CA498" s="9"/>
      <c r="CB498" s="9"/>
      <c r="CC498" s="9"/>
      <c r="CD498" s="9"/>
      <c r="CE498" s="9"/>
      <c r="CF498" s="9"/>
      <c r="CG498" s="9"/>
      <c r="CH498" s="9"/>
      <c r="CI498" s="9"/>
      <c r="CJ498" s="9"/>
      <c r="CK498" s="9"/>
      <c r="CL498" s="9"/>
      <c r="CM498" s="9"/>
      <c r="CN498" s="9"/>
      <c r="CO498" s="9"/>
      <c r="CP498" s="9"/>
      <c r="CQ498" s="9"/>
      <c r="CR498" s="9"/>
      <c r="CS498" s="9"/>
      <c r="CT498" s="9"/>
      <c r="CU498" s="9"/>
      <c r="CV498" s="9"/>
      <c r="CW498" s="9"/>
      <c r="CX498" s="9"/>
      <c r="CY498" s="9"/>
      <c r="CZ498" s="9"/>
      <c r="DA498" s="9"/>
      <c r="DB498" s="9"/>
      <c r="DC498" s="9"/>
      <c r="DD498" s="9"/>
      <c r="DE498" s="9"/>
      <c r="DF498" s="9"/>
      <c r="DG498" s="9"/>
      <c r="DH498" s="9"/>
      <c r="DI498" s="9"/>
      <c r="DJ498" s="9"/>
      <c r="DK498" s="9"/>
      <c r="DL498" s="9"/>
      <c r="DM498" s="9"/>
      <c r="DN498" s="9"/>
      <c r="DO498" s="9"/>
      <c r="DP498" s="9"/>
      <c r="DQ498" s="9"/>
      <c r="DR498" s="9"/>
      <c r="DS498" s="9"/>
      <c r="DT498" s="9"/>
      <c r="DU498" s="9"/>
      <c r="DV498" s="9"/>
      <c r="DW498" s="9"/>
      <c r="DX498" s="9"/>
      <c r="DY498" s="9"/>
      <c r="DZ498" s="9"/>
      <c r="EA498" s="9"/>
      <c r="EB498" s="9"/>
      <c r="EC498" s="9"/>
      <c r="ED498" s="9"/>
      <c r="EE498" s="9"/>
      <c r="EF498" s="9"/>
      <c r="EG498" s="9"/>
      <c r="EH498" s="9"/>
      <c r="EI498" s="9"/>
      <c r="EJ498" s="9"/>
      <c r="EK498" s="9"/>
      <c r="EL498" s="9"/>
      <c r="EM498" s="9"/>
      <c r="EN498" s="9"/>
      <c r="EO498" s="9"/>
      <c r="EP498" s="9"/>
      <c r="EQ498" s="9"/>
      <c r="ER498" s="9"/>
      <c r="ES498" s="9"/>
      <c r="ET498" s="9"/>
      <c r="EU498" s="9"/>
      <c r="EV498" s="9"/>
      <c r="EW498" s="9"/>
      <c r="EX498" s="9"/>
      <c r="EY498" s="9"/>
      <c r="EZ498" s="9"/>
      <c r="FA498" s="9"/>
      <c r="FB498" s="9"/>
      <c r="FC498" s="9"/>
      <c r="FD498" s="9"/>
      <c r="FE498" s="9"/>
      <c r="FF498" s="9"/>
      <c r="FG498" s="9"/>
      <c r="FH498" s="9"/>
      <c r="FI498" s="9"/>
      <c r="FJ498" s="9"/>
      <c r="FK498" s="9"/>
      <c r="FL498" s="9"/>
      <c r="FM498" s="9"/>
      <c r="FN498" s="9"/>
      <c r="FO498" s="9"/>
      <c r="FP498" s="9"/>
      <c r="FQ498" s="9"/>
      <c r="FR498" s="9"/>
      <c r="FS498" s="9"/>
      <c r="FT498" s="9"/>
      <c r="FU498" s="9"/>
      <c r="FV498" s="9"/>
      <c r="FW498" s="9"/>
      <c r="FX498" s="9"/>
      <c r="FY498" s="9"/>
      <c r="FZ498" s="9"/>
      <c r="GA498" s="9"/>
      <c r="GB498" s="9"/>
      <c r="GC498" s="9"/>
      <c r="GD498" s="9"/>
      <c r="GE498" s="9"/>
      <c r="GF498" s="9"/>
      <c r="GG498" s="9"/>
      <c r="GH498" s="9"/>
      <c r="GI498" s="9"/>
      <c r="GJ498" s="9"/>
      <c r="GK498" s="9"/>
      <c r="GL498" s="9"/>
      <c r="GM498" s="9"/>
      <c r="GN498" s="9"/>
      <c r="GO498" s="9"/>
      <c r="GP498" s="9"/>
      <c r="GQ498" s="9"/>
      <c r="GR498" s="9"/>
      <c r="GS498" s="9"/>
      <c r="GT498" s="9"/>
      <c r="GU498" s="9"/>
      <c r="GV498" s="9"/>
      <c r="GW498" s="9"/>
      <c r="GX498" s="9"/>
      <c r="GY498" s="9"/>
      <c r="GZ498" s="9"/>
      <c r="HA498" s="9"/>
      <c r="HB498" s="9"/>
      <c r="HC498" s="9"/>
      <c r="HD498" s="9"/>
      <c r="HE498" s="9"/>
      <c r="HF498" s="9"/>
      <c r="HG498" s="9"/>
      <c r="HH498" s="9"/>
      <c r="HI498" s="9"/>
      <c r="HJ498" s="9"/>
      <c r="HK498" s="9"/>
      <c r="HL498" s="9"/>
      <c r="HM498" s="9"/>
      <c r="HN498" s="9"/>
      <c r="HO498" s="9"/>
      <c r="HP498" s="9"/>
      <c r="HQ498" s="9"/>
      <c r="HR498" s="9"/>
      <c r="HS498" s="9"/>
      <c r="HT498" s="9"/>
      <c r="HU498" s="9"/>
      <c r="HV498" s="9"/>
      <c r="HW498" s="9"/>
      <c r="HX498" s="9"/>
      <c r="HY498" s="9"/>
      <c r="HZ498" s="9"/>
      <c r="IA498" s="9"/>
      <c r="IB498" s="9"/>
      <c r="IC498" s="9"/>
      <c r="ID498" s="9"/>
      <c r="IE498" s="9"/>
      <c r="IF498" s="9"/>
      <c r="IG498" s="9"/>
      <c r="IH498" s="9"/>
      <c r="II498" s="9"/>
      <c r="IJ498" s="9"/>
      <c r="IK498" s="9"/>
      <c r="IL498" s="9"/>
      <c r="IM498" s="9"/>
      <c r="IN498" s="9"/>
      <c r="IO498" s="9"/>
      <c r="IP498" s="9"/>
      <c r="IQ498" s="9"/>
      <c r="IR498" s="9"/>
      <c r="IS498" s="9"/>
      <c r="IT498" s="9"/>
      <c r="IU498" s="9"/>
      <c r="IV498" s="9"/>
    </row>
    <row r="499" spans="1:256">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c r="AQ499" s="9"/>
      <c r="AR499" s="9"/>
      <c r="AS499" s="9"/>
      <c r="AT499" s="9"/>
      <c r="AU499" s="9"/>
      <c r="AV499" s="9"/>
      <c r="AW499" s="9"/>
      <c r="AX499" s="9"/>
      <c r="AY499" s="9"/>
      <c r="AZ499" s="9"/>
      <c r="BA499" s="9"/>
      <c r="BB499" s="9"/>
      <c r="BC499" s="9"/>
      <c r="BD499" s="9"/>
      <c r="BE499" s="9"/>
      <c r="BF499" s="9"/>
      <c r="BG499" s="9"/>
      <c r="BH499" s="9"/>
      <c r="BI499" s="9"/>
      <c r="BJ499" s="9"/>
      <c r="BK499" s="9"/>
      <c r="BL499" s="9"/>
      <c r="BM499" s="9"/>
      <c r="BN499" s="9"/>
      <c r="BO499" s="9"/>
      <c r="BP499" s="9"/>
      <c r="BQ499" s="9"/>
      <c r="BR499" s="9"/>
      <c r="BS499" s="9"/>
      <c r="BT499" s="9"/>
      <c r="BU499" s="9"/>
      <c r="BV499" s="9"/>
      <c r="BW499" s="9"/>
      <c r="BX499" s="9"/>
      <c r="BY499" s="9"/>
      <c r="BZ499" s="9"/>
      <c r="CA499" s="9"/>
      <c r="CB499" s="9"/>
      <c r="CC499" s="9"/>
      <c r="CD499" s="9"/>
      <c r="CE499" s="9"/>
      <c r="CF499" s="9"/>
      <c r="CG499" s="9"/>
      <c r="CH499" s="9"/>
      <c r="CI499" s="9"/>
      <c r="CJ499" s="9"/>
      <c r="CK499" s="9"/>
      <c r="CL499" s="9"/>
      <c r="CM499" s="9"/>
      <c r="CN499" s="9"/>
      <c r="CO499" s="9"/>
      <c r="CP499" s="9"/>
      <c r="CQ499" s="9"/>
      <c r="CR499" s="9"/>
      <c r="CS499" s="9"/>
      <c r="CT499" s="9"/>
      <c r="CU499" s="9"/>
      <c r="CV499" s="9"/>
      <c r="CW499" s="9"/>
      <c r="CX499" s="9"/>
      <c r="CY499" s="9"/>
      <c r="CZ499" s="9"/>
      <c r="DA499" s="9"/>
      <c r="DB499" s="9"/>
      <c r="DC499" s="9"/>
      <c r="DD499" s="9"/>
      <c r="DE499" s="9"/>
      <c r="DF499" s="9"/>
      <c r="DG499" s="9"/>
      <c r="DH499" s="9"/>
      <c r="DI499" s="9"/>
      <c r="DJ499" s="9"/>
      <c r="DK499" s="9"/>
      <c r="DL499" s="9"/>
      <c r="DM499" s="9"/>
      <c r="DN499" s="9"/>
      <c r="DO499" s="9"/>
      <c r="DP499" s="9"/>
      <c r="DQ499" s="9"/>
      <c r="DR499" s="9"/>
      <c r="DS499" s="9"/>
      <c r="DT499" s="9"/>
      <c r="DU499" s="9"/>
      <c r="DV499" s="9"/>
      <c r="DW499" s="9"/>
      <c r="DX499" s="9"/>
      <c r="DY499" s="9"/>
      <c r="DZ499" s="9"/>
      <c r="EA499" s="9"/>
      <c r="EB499" s="9"/>
      <c r="EC499" s="9"/>
      <c r="ED499" s="9"/>
      <c r="EE499" s="9"/>
      <c r="EF499" s="9"/>
      <c r="EG499" s="9"/>
      <c r="EH499" s="9"/>
      <c r="EI499" s="9"/>
      <c r="EJ499" s="9"/>
      <c r="EK499" s="9"/>
      <c r="EL499" s="9"/>
      <c r="EM499" s="9"/>
      <c r="EN499" s="9"/>
      <c r="EO499" s="9"/>
      <c r="EP499" s="9"/>
      <c r="EQ499" s="9"/>
      <c r="ER499" s="9"/>
      <c r="ES499" s="9"/>
      <c r="ET499" s="9"/>
      <c r="EU499" s="9"/>
      <c r="EV499" s="9"/>
      <c r="EW499" s="9"/>
      <c r="EX499" s="9"/>
      <c r="EY499" s="9"/>
      <c r="EZ499" s="9"/>
      <c r="FA499" s="9"/>
      <c r="FB499" s="9"/>
      <c r="FC499" s="9"/>
      <c r="FD499" s="9"/>
      <c r="FE499" s="9"/>
      <c r="FF499" s="9"/>
      <c r="FG499" s="9"/>
      <c r="FH499" s="9"/>
      <c r="FI499" s="9"/>
      <c r="FJ499" s="9"/>
      <c r="FK499" s="9"/>
      <c r="FL499" s="9"/>
      <c r="FM499" s="9"/>
      <c r="FN499" s="9"/>
      <c r="FO499" s="9"/>
      <c r="FP499" s="9"/>
      <c r="FQ499" s="9"/>
      <c r="FR499" s="9"/>
      <c r="FS499" s="9"/>
      <c r="FT499" s="9"/>
      <c r="FU499" s="9"/>
      <c r="FV499" s="9"/>
      <c r="FW499" s="9"/>
      <c r="FX499" s="9"/>
      <c r="FY499" s="9"/>
      <c r="FZ499" s="9"/>
      <c r="GA499" s="9"/>
      <c r="GB499" s="9"/>
      <c r="GC499" s="9"/>
      <c r="GD499" s="9"/>
      <c r="GE499" s="9"/>
      <c r="GF499" s="9"/>
      <c r="GG499" s="9"/>
      <c r="GH499" s="9"/>
      <c r="GI499" s="9"/>
      <c r="GJ499" s="9"/>
      <c r="GK499" s="9"/>
      <c r="GL499" s="9"/>
      <c r="GM499" s="9"/>
      <c r="GN499" s="9"/>
      <c r="GO499" s="9"/>
      <c r="GP499" s="9"/>
      <c r="GQ499" s="9"/>
      <c r="GR499" s="9"/>
      <c r="GS499" s="9"/>
      <c r="GT499" s="9"/>
      <c r="GU499" s="9"/>
      <c r="GV499" s="9"/>
      <c r="GW499" s="9"/>
      <c r="GX499" s="9"/>
      <c r="GY499" s="9"/>
      <c r="GZ499" s="9"/>
      <c r="HA499" s="9"/>
      <c r="HB499" s="9"/>
      <c r="HC499" s="9"/>
      <c r="HD499" s="9"/>
      <c r="HE499" s="9"/>
      <c r="HF499" s="9"/>
      <c r="HG499" s="9"/>
      <c r="HH499" s="9"/>
      <c r="HI499" s="9"/>
      <c r="HJ499" s="9"/>
      <c r="HK499" s="9"/>
      <c r="HL499" s="9"/>
      <c r="HM499" s="9"/>
      <c r="HN499" s="9"/>
      <c r="HO499" s="9"/>
      <c r="HP499" s="9"/>
      <c r="HQ499" s="9"/>
      <c r="HR499" s="9"/>
      <c r="HS499" s="9"/>
      <c r="HT499" s="9"/>
      <c r="HU499" s="9"/>
      <c r="HV499" s="9"/>
      <c r="HW499" s="9"/>
      <c r="HX499" s="9"/>
      <c r="HY499" s="9"/>
      <c r="HZ499" s="9"/>
      <c r="IA499" s="9"/>
      <c r="IB499" s="9"/>
      <c r="IC499" s="9"/>
      <c r="ID499" s="9"/>
      <c r="IE499" s="9"/>
      <c r="IF499" s="9"/>
      <c r="IG499" s="9"/>
      <c r="IH499" s="9"/>
      <c r="II499" s="9"/>
      <c r="IJ499" s="9"/>
      <c r="IK499" s="9"/>
      <c r="IL499" s="9"/>
      <c r="IM499" s="9"/>
      <c r="IN499" s="9"/>
      <c r="IO499" s="9"/>
      <c r="IP499" s="9"/>
      <c r="IQ499" s="9"/>
      <c r="IR499" s="9"/>
      <c r="IS499" s="9"/>
      <c r="IT499" s="9"/>
      <c r="IU499" s="9"/>
      <c r="IV499" s="9"/>
    </row>
    <row r="500" spans="1:256">
      <c r="A500" s="9" t="s">
        <v>824</v>
      </c>
      <c r="B500" s="9" t="s">
        <v>1672</v>
      </c>
      <c r="C500" s="9"/>
      <c r="D500" s="10"/>
      <c r="E500" s="9"/>
      <c r="F500" s="10"/>
      <c r="G500" s="9"/>
      <c r="H500" s="10"/>
      <c r="I500" s="9"/>
      <c r="J500" s="10"/>
      <c r="K500" s="9"/>
      <c r="L500" s="10"/>
      <c r="M500" s="9"/>
      <c r="N500" s="10"/>
      <c r="O500" s="9"/>
      <c r="P500" s="10"/>
      <c r="Q500" s="9"/>
      <c r="R500" s="10"/>
      <c r="S500" s="9"/>
      <c r="T500" s="10"/>
      <c r="U500" s="9"/>
      <c r="V500" s="10"/>
      <c r="W500" s="9"/>
      <c r="X500" s="10"/>
      <c r="Y500" s="9"/>
      <c r="Z500" s="10"/>
      <c r="AA500" s="9"/>
      <c r="AB500" s="10"/>
      <c r="AC500" s="9"/>
      <c r="AD500" s="10"/>
      <c r="AE500" s="9"/>
      <c r="AF500" s="10"/>
      <c r="AG500" s="9"/>
      <c r="AH500" s="10"/>
      <c r="AI500" s="9"/>
      <c r="AJ500" s="10"/>
      <c r="AK500" s="9"/>
      <c r="AL500" s="10"/>
      <c r="AM500" s="9"/>
      <c r="AN500" s="10"/>
      <c r="AO500" s="9"/>
      <c r="AP500" s="10"/>
      <c r="AQ500" s="9"/>
      <c r="AR500" s="10"/>
      <c r="AS500" s="9"/>
      <c r="AT500" s="10"/>
      <c r="AU500" s="9"/>
      <c r="AV500" s="10"/>
      <c r="AW500" s="9"/>
      <c r="AX500" s="10"/>
      <c r="AY500" s="9"/>
      <c r="AZ500" s="10"/>
      <c r="BA500" s="9"/>
      <c r="BB500" s="10"/>
      <c r="BC500" s="9"/>
      <c r="BD500" s="10"/>
      <c r="BE500" s="9"/>
      <c r="BF500" s="10"/>
      <c r="BG500" s="9"/>
      <c r="BH500" s="10"/>
      <c r="BI500" s="9"/>
      <c r="BJ500" s="10"/>
      <c r="BK500" s="9"/>
      <c r="BL500" s="10"/>
      <c r="BM500" s="9"/>
      <c r="BN500" s="10"/>
      <c r="BO500" s="9"/>
      <c r="BP500" s="10"/>
      <c r="BQ500" s="9"/>
      <c r="BR500" s="10"/>
      <c r="BS500" s="9"/>
      <c r="BT500" s="10"/>
      <c r="BU500" s="9"/>
      <c r="BV500" s="10"/>
      <c r="BW500" s="9"/>
      <c r="BX500" s="10"/>
      <c r="BY500" s="9"/>
      <c r="BZ500" s="10"/>
      <c r="CA500" s="9"/>
      <c r="CB500" s="10"/>
      <c r="CC500" s="9"/>
      <c r="CD500" s="10"/>
      <c r="CE500" s="9"/>
      <c r="CF500" s="10"/>
      <c r="CG500" s="9"/>
      <c r="CH500" s="10"/>
      <c r="CI500" s="9"/>
      <c r="CJ500" s="10"/>
      <c r="CK500" s="9"/>
      <c r="CL500" s="10"/>
      <c r="CM500" s="9"/>
      <c r="CN500" s="10"/>
      <c r="CO500" s="9"/>
      <c r="CP500" s="10"/>
      <c r="CQ500" s="9"/>
      <c r="CR500" s="10"/>
      <c r="CS500" s="9"/>
      <c r="CT500" s="10"/>
      <c r="CU500" s="9"/>
      <c r="CV500" s="10"/>
      <c r="CW500" s="9"/>
      <c r="CX500" s="10"/>
      <c r="CY500" s="9"/>
      <c r="CZ500" s="10"/>
      <c r="DA500" s="9"/>
      <c r="DB500" s="10"/>
      <c r="DC500" s="9"/>
      <c r="DD500" s="10"/>
      <c r="DE500" s="9"/>
      <c r="DF500" s="10"/>
      <c r="DG500" s="9"/>
      <c r="DH500" s="10"/>
      <c r="DI500" s="9"/>
      <c r="DJ500" s="10"/>
      <c r="DK500" s="9"/>
      <c r="DL500" s="10"/>
      <c r="DM500" s="9"/>
      <c r="DN500" s="10"/>
      <c r="DO500" s="9"/>
      <c r="DP500" s="10"/>
      <c r="DQ500" s="9"/>
      <c r="DR500" s="10"/>
      <c r="DS500" s="9"/>
      <c r="DT500" s="10"/>
      <c r="DU500" s="9"/>
      <c r="DV500" s="10"/>
      <c r="DW500" s="9"/>
      <c r="DX500" s="10"/>
      <c r="DY500" s="9"/>
      <c r="DZ500" s="10"/>
      <c r="EA500" s="9"/>
      <c r="EB500" s="10"/>
      <c r="EC500" s="9"/>
      <c r="ED500" s="10"/>
      <c r="EE500" s="9"/>
      <c r="EF500" s="10"/>
      <c r="EG500" s="9"/>
      <c r="EH500" s="10"/>
      <c r="EI500" s="9"/>
      <c r="EJ500" s="10"/>
      <c r="EK500" s="9"/>
      <c r="EL500" s="10"/>
      <c r="EM500" s="9"/>
      <c r="EN500" s="10"/>
      <c r="EO500" s="9"/>
      <c r="EP500" s="10"/>
      <c r="EQ500" s="9"/>
      <c r="ER500" s="10"/>
      <c r="ES500" s="9"/>
      <c r="ET500" s="10"/>
      <c r="EU500" s="9"/>
      <c r="EV500" s="10"/>
      <c r="EW500" s="9"/>
      <c r="EX500" s="10"/>
      <c r="EY500" s="9"/>
      <c r="EZ500" s="10"/>
      <c r="FA500" s="9"/>
      <c r="FB500" s="10"/>
      <c r="FC500" s="9"/>
      <c r="FD500" s="10"/>
      <c r="FE500" s="9"/>
      <c r="FF500" s="10"/>
      <c r="FG500" s="9"/>
      <c r="FH500" s="10"/>
      <c r="FI500" s="9"/>
      <c r="FJ500" s="10"/>
      <c r="FK500" s="9"/>
      <c r="FL500" s="10"/>
      <c r="FM500" s="9"/>
      <c r="FN500" s="10"/>
      <c r="FO500" s="9"/>
      <c r="FP500" s="10"/>
      <c r="FQ500" s="9"/>
      <c r="FR500" s="10"/>
      <c r="FS500" s="9"/>
      <c r="FT500" s="10"/>
      <c r="FU500" s="9"/>
      <c r="FV500" s="10"/>
      <c r="FW500" s="9"/>
      <c r="FX500" s="10"/>
      <c r="FY500" s="9"/>
      <c r="FZ500" s="10"/>
      <c r="GA500" s="9"/>
      <c r="GB500" s="10"/>
      <c r="GC500" s="9"/>
      <c r="GD500" s="10"/>
      <c r="GE500" s="9"/>
      <c r="GF500" s="10"/>
      <c r="GG500" s="9"/>
      <c r="GH500" s="10"/>
      <c r="GI500" s="9"/>
      <c r="GJ500" s="10"/>
      <c r="GK500" s="9"/>
      <c r="GL500" s="10"/>
      <c r="GM500" s="9"/>
      <c r="GN500" s="10"/>
      <c r="GO500" s="9"/>
      <c r="GP500" s="10"/>
      <c r="GQ500" s="9"/>
      <c r="GR500" s="10"/>
      <c r="GS500" s="9"/>
      <c r="GT500" s="10"/>
      <c r="GU500" s="9"/>
      <c r="GV500" s="10"/>
      <c r="GW500" s="9"/>
      <c r="GX500" s="10"/>
      <c r="GY500" s="9"/>
      <c r="GZ500" s="10"/>
      <c r="HA500" s="9"/>
      <c r="HB500" s="10"/>
      <c r="HC500" s="9"/>
      <c r="HD500" s="10"/>
      <c r="HE500" s="9"/>
      <c r="HF500" s="10"/>
      <c r="HG500" s="9"/>
      <c r="HH500" s="10"/>
      <c r="HI500" s="9"/>
      <c r="HJ500" s="10"/>
      <c r="HK500" s="9"/>
      <c r="HL500" s="10"/>
      <c r="HM500" s="9"/>
      <c r="HN500" s="10"/>
      <c r="HO500" s="9"/>
      <c r="HP500" s="10"/>
      <c r="HQ500" s="9"/>
      <c r="HR500" s="10"/>
      <c r="HS500" s="9"/>
      <c r="HT500" s="10"/>
      <c r="HU500" s="9"/>
      <c r="HV500" s="10"/>
      <c r="HW500" s="9"/>
      <c r="HX500" s="10"/>
      <c r="HY500" s="9"/>
      <c r="HZ500" s="10"/>
      <c r="IA500" s="9"/>
      <c r="IB500" s="10"/>
      <c r="IC500" s="9"/>
      <c r="ID500" s="10"/>
      <c r="IE500" s="9"/>
      <c r="IF500" s="10"/>
      <c r="IG500" s="9"/>
      <c r="IH500" s="10"/>
      <c r="II500" s="9"/>
      <c r="IJ500" s="10"/>
      <c r="IK500" s="9"/>
      <c r="IL500" s="10"/>
      <c r="IM500" s="9"/>
      <c r="IN500" s="10"/>
      <c r="IO500" s="9"/>
      <c r="IP500" s="10"/>
      <c r="IQ500" s="9"/>
      <c r="IR500" s="10"/>
      <c r="IS500" s="9"/>
      <c r="IT500" s="10"/>
      <c r="IU500" s="9"/>
      <c r="IV500" s="10"/>
    </row>
    <row r="501" spans="1:256">
      <c r="A501" s="9" t="s">
        <v>2247</v>
      </c>
      <c r="B501" s="9" t="s">
        <v>1673</v>
      </c>
      <c r="C501" s="9"/>
      <c r="D501" s="9"/>
      <c r="E501" s="9"/>
      <c r="F501" s="9"/>
      <c r="G501" s="9"/>
      <c r="H501" s="9"/>
      <c r="I501" s="9"/>
      <c r="J501" s="9"/>
      <c r="K501" s="9"/>
      <c r="L501" s="9"/>
      <c r="M501" s="9"/>
      <c r="N501" s="9"/>
      <c r="O501" s="9"/>
      <c r="P501" s="9"/>
      <c r="Q501" s="9"/>
      <c r="R501" s="9"/>
      <c r="S501" s="9"/>
      <c r="T501" s="9"/>
      <c r="U501" s="9"/>
      <c r="V501" s="9"/>
      <c r="W501" s="9"/>
      <c r="X501" s="9"/>
      <c r="Y501" s="9"/>
      <c r="Z501" s="9"/>
      <c r="AA501" s="9"/>
      <c r="AB501" s="9"/>
      <c r="AC501" s="9"/>
      <c r="AD501" s="9"/>
      <c r="AE501" s="9"/>
      <c r="AF501" s="9"/>
      <c r="AG501" s="9"/>
      <c r="AH501" s="9"/>
      <c r="AI501" s="9"/>
      <c r="AJ501" s="9"/>
      <c r="AK501" s="9"/>
      <c r="AL501" s="9"/>
      <c r="AM501" s="9"/>
      <c r="AN501" s="9"/>
      <c r="AO501" s="9"/>
      <c r="AP501" s="9"/>
      <c r="AQ501" s="9"/>
      <c r="AR501" s="9"/>
      <c r="AS501" s="9"/>
      <c r="AT501" s="9"/>
      <c r="AU501" s="9"/>
      <c r="AV501" s="9"/>
      <c r="AW501" s="9"/>
      <c r="AX501" s="9"/>
      <c r="AY501" s="9"/>
      <c r="AZ501" s="9"/>
      <c r="BA501" s="9"/>
      <c r="BB501" s="9"/>
      <c r="BC501" s="9"/>
      <c r="BD501" s="9"/>
      <c r="BE501" s="9"/>
      <c r="BF501" s="9"/>
      <c r="BG501" s="9"/>
      <c r="BH501" s="9"/>
      <c r="BI501" s="9"/>
      <c r="BJ501" s="9"/>
      <c r="BK501" s="9"/>
      <c r="BL501" s="9"/>
      <c r="BM501" s="9"/>
      <c r="BN501" s="9"/>
      <c r="BO501" s="9"/>
      <c r="BP501" s="9"/>
      <c r="BQ501" s="9"/>
      <c r="BR501" s="9"/>
      <c r="BS501" s="9"/>
      <c r="BT501" s="9"/>
      <c r="BU501" s="9"/>
      <c r="BV501" s="9"/>
      <c r="BW501" s="9"/>
      <c r="BX501" s="9"/>
      <c r="BY501" s="9"/>
      <c r="BZ501" s="9"/>
      <c r="CA501" s="9"/>
      <c r="CB501" s="9"/>
      <c r="CC501" s="9"/>
      <c r="CD501" s="9"/>
      <c r="CE501" s="9"/>
      <c r="CF501" s="9"/>
      <c r="CG501" s="9"/>
      <c r="CH501" s="9"/>
      <c r="CI501" s="9"/>
      <c r="CJ501" s="9"/>
      <c r="CK501" s="9"/>
      <c r="CL501" s="9"/>
      <c r="CM501" s="9"/>
      <c r="CN501" s="9"/>
      <c r="CO501" s="9"/>
      <c r="CP501" s="9"/>
      <c r="CQ501" s="9"/>
      <c r="CR501" s="9"/>
      <c r="CS501" s="9"/>
      <c r="CT501" s="9"/>
      <c r="CU501" s="9"/>
      <c r="CV501" s="9"/>
      <c r="CW501" s="9"/>
      <c r="CX501" s="9"/>
      <c r="CY501" s="9"/>
      <c r="CZ501" s="9"/>
      <c r="DA501" s="9"/>
      <c r="DB501" s="9"/>
      <c r="DC501" s="9"/>
      <c r="DD501" s="9"/>
      <c r="DE501" s="9"/>
      <c r="DF501" s="9"/>
      <c r="DG501" s="9"/>
      <c r="DH501" s="9"/>
      <c r="DI501" s="9"/>
      <c r="DJ501" s="9"/>
      <c r="DK501" s="9"/>
      <c r="DL501" s="9"/>
      <c r="DM501" s="9"/>
      <c r="DN501" s="9"/>
      <c r="DO501" s="9"/>
      <c r="DP501" s="9"/>
      <c r="DQ501" s="9"/>
      <c r="DR501" s="9"/>
      <c r="DS501" s="9"/>
      <c r="DT501" s="9"/>
      <c r="DU501" s="9"/>
      <c r="DV501" s="9"/>
      <c r="DW501" s="9"/>
      <c r="DX501" s="9"/>
      <c r="DY501" s="9"/>
      <c r="DZ501" s="9"/>
      <c r="EA501" s="9"/>
      <c r="EB501" s="9"/>
      <c r="EC501" s="9"/>
      <c r="ED501" s="9"/>
      <c r="EE501" s="9"/>
      <c r="EF501" s="9"/>
      <c r="EG501" s="9"/>
      <c r="EH501" s="9"/>
      <c r="EI501" s="9"/>
      <c r="EJ501" s="9"/>
      <c r="EK501" s="9"/>
      <c r="EL501" s="9"/>
      <c r="EM501" s="9"/>
      <c r="EN501" s="9"/>
      <c r="EO501" s="9"/>
      <c r="EP501" s="9"/>
      <c r="EQ501" s="9"/>
      <c r="ER501" s="9"/>
      <c r="ES501" s="9"/>
      <c r="ET501" s="9"/>
      <c r="EU501" s="9"/>
      <c r="EV501" s="9"/>
      <c r="EW501" s="9"/>
      <c r="EX501" s="9"/>
      <c r="EY501" s="9"/>
      <c r="EZ501" s="9"/>
      <c r="FA501" s="9"/>
      <c r="FB501" s="9"/>
      <c r="FC501" s="9"/>
      <c r="FD501" s="9"/>
      <c r="FE501" s="9"/>
      <c r="FF501" s="9"/>
      <c r="FG501" s="9"/>
      <c r="FH501" s="9"/>
      <c r="FI501" s="9"/>
      <c r="FJ501" s="9"/>
      <c r="FK501" s="9"/>
      <c r="FL501" s="9"/>
      <c r="FM501" s="9"/>
      <c r="FN501" s="9"/>
      <c r="FO501" s="9"/>
      <c r="FP501" s="9"/>
      <c r="FQ501" s="9"/>
      <c r="FR501" s="9"/>
      <c r="FS501" s="9"/>
      <c r="FT501" s="9"/>
      <c r="FU501" s="9"/>
      <c r="FV501" s="9"/>
      <c r="FW501" s="9"/>
      <c r="FX501" s="9"/>
      <c r="FY501" s="9"/>
      <c r="FZ501" s="9"/>
      <c r="GA501" s="9"/>
      <c r="GB501" s="9"/>
      <c r="GC501" s="9"/>
      <c r="GD501" s="9"/>
      <c r="GE501" s="9"/>
      <c r="GF501" s="9"/>
      <c r="GG501" s="9"/>
      <c r="GH501" s="9"/>
      <c r="GI501" s="9"/>
      <c r="GJ501" s="9"/>
      <c r="GK501" s="9"/>
      <c r="GL501" s="9"/>
      <c r="GM501" s="9"/>
      <c r="GN501" s="9"/>
      <c r="GO501" s="9"/>
      <c r="GP501" s="9"/>
      <c r="GQ501" s="9"/>
      <c r="GR501" s="9"/>
      <c r="GS501" s="9"/>
      <c r="GT501" s="9"/>
      <c r="GU501" s="9"/>
      <c r="GV501" s="9"/>
      <c r="GW501" s="9"/>
      <c r="GX501" s="9"/>
      <c r="GY501" s="9"/>
      <c r="GZ501" s="9"/>
      <c r="HA501" s="9"/>
      <c r="HB501" s="9"/>
      <c r="HC501" s="9"/>
      <c r="HD501" s="9"/>
      <c r="HE501" s="9"/>
      <c r="HF501" s="9"/>
      <c r="HG501" s="9"/>
      <c r="HH501" s="9"/>
      <c r="HI501" s="9"/>
      <c r="HJ501" s="9"/>
      <c r="HK501" s="9"/>
      <c r="HL501" s="9"/>
      <c r="HM501" s="9"/>
      <c r="HN501" s="9"/>
      <c r="HO501" s="9"/>
      <c r="HP501" s="9"/>
      <c r="HQ501" s="9"/>
      <c r="HR501" s="9"/>
      <c r="HS501" s="9"/>
      <c r="HT501" s="9"/>
      <c r="HU501" s="9"/>
      <c r="HV501" s="9"/>
      <c r="HW501" s="9"/>
      <c r="HX501" s="9"/>
      <c r="HY501" s="9"/>
      <c r="HZ501" s="9"/>
      <c r="IA501" s="9"/>
      <c r="IB501" s="9"/>
      <c r="IC501" s="9"/>
      <c r="ID501" s="9"/>
      <c r="IE501" s="9"/>
      <c r="IF501" s="9"/>
      <c r="IG501" s="9"/>
      <c r="IH501" s="9"/>
      <c r="II501" s="9"/>
      <c r="IJ501" s="9"/>
      <c r="IK501" s="9"/>
      <c r="IL501" s="9"/>
      <c r="IM501" s="9"/>
      <c r="IN501" s="9"/>
      <c r="IO501" s="9"/>
      <c r="IP501" s="9"/>
      <c r="IQ501" s="9"/>
      <c r="IR501" s="9"/>
      <c r="IS501" s="9"/>
      <c r="IT501" s="9"/>
      <c r="IU501" s="9"/>
      <c r="IV501" s="9"/>
    </row>
    <row r="502" spans="1:256">
      <c r="B502" s="9" t="s">
        <v>1242</v>
      </c>
      <c r="C502" s="9"/>
      <c r="D502" s="10"/>
      <c r="E502" s="9"/>
      <c r="F502" s="10"/>
      <c r="G502" s="9"/>
      <c r="H502" s="10"/>
      <c r="I502" s="9"/>
      <c r="J502" s="10"/>
      <c r="K502" s="9"/>
      <c r="L502" s="10"/>
      <c r="M502" s="9"/>
      <c r="N502" s="10"/>
      <c r="O502" s="9"/>
      <c r="P502" s="10"/>
      <c r="Q502" s="9"/>
      <c r="R502" s="10"/>
      <c r="S502" s="9"/>
      <c r="T502" s="10"/>
      <c r="U502" s="9"/>
      <c r="V502" s="10"/>
      <c r="W502" s="9"/>
      <c r="X502" s="10"/>
      <c r="Y502" s="9"/>
      <c r="Z502" s="10"/>
      <c r="AA502" s="9"/>
      <c r="AB502" s="10"/>
      <c r="AC502" s="9"/>
      <c r="AD502" s="10"/>
      <c r="AE502" s="9"/>
      <c r="AF502" s="10"/>
      <c r="AG502" s="9"/>
      <c r="AH502" s="10"/>
      <c r="AI502" s="9"/>
      <c r="AJ502" s="10"/>
      <c r="AK502" s="9"/>
      <c r="AL502" s="10"/>
      <c r="AM502" s="9"/>
      <c r="AN502" s="10"/>
      <c r="AO502" s="9"/>
      <c r="AP502" s="10"/>
      <c r="AQ502" s="9"/>
      <c r="AR502" s="10"/>
      <c r="AS502" s="9"/>
      <c r="AT502" s="10"/>
      <c r="AU502" s="9"/>
      <c r="AV502" s="10"/>
      <c r="AW502" s="9"/>
      <c r="AX502" s="10"/>
      <c r="AY502" s="9"/>
      <c r="AZ502" s="10"/>
      <c r="BA502" s="9"/>
      <c r="BB502" s="10"/>
      <c r="BC502" s="9"/>
      <c r="BD502" s="10"/>
      <c r="BE502" s="9"/>
      <c r="BF502" s="10"/>
      <c r="BG502" s="9"/>
      <c r="BH502" s="10"/>
      <c r="BI502" s="9"/>
      <c r="BJ502" s="10"/>
      <c r="BK502" s="9"/>
      <c r="BL502" s="10"/>
      <c r="BM502" s="9"/>
      <c r="BN502" s="10"/>
      <c r="BO502" s="9"/>
      <c r="BP502" s="10"/>
      <c r="BQ502" s="9"/>
      <c r="BR502" s="10"/>
      <c r="BS502" s="9"/>
      <c r="BT502" s="10"/>
      <c r="BU502" s="9"/>
      <c r="BV502" s="10"/>
      <c r="BW502" s="9"/>
      <c r="BX502" s="10"/>
      <c r="BY502" s="9"/>
      <c r="BZ502" s="10"/>
      <c r="CA502" s="9"/>
      <c r="CB502" s="10"/>
      <c r="CC502" s="9"/>
      <c r="CD502" s="10"/>
      <c r="CE502" s="9"/>
      <c r="CF502" s="10"/>
      <c r="CG502" s="9"/>
      <c r="CH502" s="10"/>
      <c r="CI502" s="9"/>
      <c r="CJ502" s="10"/>
      <c r="CK502" s="9"/>
      <c r="CL502" s="10"/>
      <c r="CM502" s="9"/>
      <c r="CN502" s="10"/>
      <c r="CO502" s="9"/>
      <c r="CP502" s="10"/>
      <c r="CQ502" s="9"/>
      <c r="CR502" s="10"/>
      <c r="CS502" s="9"/>
      <c r="CT502" s="10"/>
      <c r="CU502" s="9"/>
      <c r="CV502" s="10"/>
      <c r="CW502" s="9"/>
      <c r="CX502" s="10"/>
      <c r="CY502" s="9"/>
      <c r="CZ502" s="10"/>
      <c r="DA502" s="9"/>
      <c r="DB502" s="10"/>
      <c r="DC502" s="9"/>
      <c r="DD502" s="10"/>
      <c r="DE502" s="9"/>
      <c r="DF502" s="10"/>
      <c r="DG502" s="9"/>
      <c r="DH502" s="10"/>
      <c r="DI502" s="9"/>
      <c r="DJ502" s="10"/>
      <c r="DK502" s="9"/>
      <c r="DL502" s="10"/>
      <c r="DM502" s="9"/>
      <c r="DN502" s="10"/>
      <c r="DO502" s="9"/>
      <c r="DP502" s="10"/>
      <c r="DQ502" s="9"/>
      <c r="DR502" s="10"/>
      <c r="DS502" s="9"/>
      <c r="DT502" s="10"/>
      <c r="DU502" s="9"/>
      <c r="DV502" s="10"/>
      <c r="DW502" s="9"/>
      <c r="DX502" s="10"/>
      <c r="DY502" s="9"/>
      <c r="DZ502" s="10"/>
      <c r="EA502" s="9"/>
      <c r="EB502" s="10"/>
      <c r="EC502" s="9"/>
      <c r="ED502" s="10"/>
      <c r="EE502" s="9"/>
      <c r="EF502" s="10"/>
      <c r="EG502" s="9"/>
      <c r="EH502" s="10"/>
      <c r="EI502" s="9"/>
      <c r="EJ502" s="10"/>
      <c r="EK502" s="9"/>
      <c r="EL502" s="10"/>
      <c r="EM502" s="9"/>
      <c r="EN502" s="10"/>
      <c r="EO502" s="9"/>
      <c r="EP502" s="10"/>
      <c r="EQ502" s="9"/>
      <c r="ER502" s="10"/>
      <c r="ES502" s="9"/>
      <c r="ET502" s="10"/>
      <c r="EU502" s="9"/>
      <c r="EV502" s="10"/>
      <c r="EW502" s="9"/>
      <c r="EX502" s="10"/>
      <c r="EY502" s="9"/>
      <c r="EZ502" s="10"/>
      <c r="FA502" s="9"/>
      <c r="FB502" s="10"/>
      <c r="FC502" s="9"/>
      <c r="FD502" s="10"/>
      <c r="FE502" s="9"/>
      <c r="FF502" s="10"/>
      <c r="FG502" s="9"/>
      <c r="FH502" s="10"/>
      <c r="FI502" s="9"/>
      <c r="FJ502" s="10"/>
      <c r="FK502" s="9"/>
      <c r="FL502" s="10"/>
      <c r="FM502" s="9"/>
      <c r="FN502" s="10"/>
      <c r="FO502" s="9"/>
      <c r="FP502" s="10"/>
      <c r="FQ502" s="9"/>
      <c r="FR502" s="10"/>
      <c r="FS502" s="9"/>
      <c r="FT502" s="10"/>
      <c r="FU502" s="9"/>
      <c r="FV502" s="10"/>
      <c r="FW502" s="9"/>
      <c r="FX502" s="10"/>
      <c r="FY502" s="9"/>
      <c r="FZ502" s="10"/>
      <c r="GA502" s="9"/>
      <c r="GB502" s="10"/>
      <c r="GC502" s="9"/>
      <c r="GD502" s="10"/>
      <c r="GE502" s="9"/>
      <c r="GF502" s="10"/>
      <c r="GG502" s="9"/>
      <c r="GH502" s="10"/>
      <c r="GI502" s="9"/>
      <c r="GJ502" s="10"/>
      <c r="GK502" s="9"/>
      <c r="GL502" s="10"/>
      <c r="GM502" s="9"/>
      <c r="GN502" s="10"/>
      <c r="GO502" s="9"/>
      <c r="GP502" s="10"/>
      <c r="GQ502" s="9"/>
      <c r="GR502" s="10"/>
      <c r="GS502" s="9"/>
      <c r="GT502" s="10"/>
      <c r="GU502" s="9"/>
      <c r="GV502" s="10"/>
      <c r="GW502" s="9"/>
      <c r="GX502" s="10"/>
      <c r="GY502" s="9"/>
      <c r="GZ502" s="10"/>
      <c r="HA502" s="9"/>
      <c r="HB502" s="10"/>
      <c r="HC502" s="9"/>
      <c r="HD502" s="10"/>
      <c r="HE502" s="9"/>
      <c r="HF502" s="10"/>
      <c r="HG502" s="9"/>
      <c r="HH502" s="10"/>
      <c r="HI502" s="9"/>
      <c r="HJ502" s="10"/>
      <c r="HK502" s="9"/>
      <c r="HL502" s="10"/>
      <c r="HM502" s="9"/>
      <c r="HN502" s="10"/>
      <c r="HO502" s="9"/>
      <c r="HP502" s="10"/>
      <c r="HQ502" s="9"/>
      <c r="HR502" s="10"/>
      <c r="HS502" s="9"/>
      <c r="HT502" s="10"/>
      <c r="HU502" s="9"/>
      <c r="HV502" s="10"/>
      <c r="HW502" s="9"/>
      <c r="HX502" s="10"/>
      <c r="HY502" s="9"/>
      <c r="HZ502" s="10"/>
      <c r="IA502" s="9"/>
      <c r="IB502" s="10"/>
      <c r="IC502" s="9"/>
      <c r="ID502" s="10"/>
      <c r="IE502" s="9"/>
      <c r="IF502" s="10"/>
      <c r="IG502" s="9"/>
      <c r="IH502" s="10"/>
      <c r="II502" s="9"/>
      <c r="IJ502" s="10"/>
      <c r="IK502" s="9"/>
      <c r="IL502" s="10"/>
      <c r="IM502" s="9"/>
      <c r="IN502" s="10"/>
      <c r="IO502" s="9"/>
      <c r="IP502" s="10"/>
      <c r="IQ502" s="9"/>
      <c r="IR502" s="10"/>
      <c r="IS502" s="9"/>
      <c r="IT502" s="10"/>
      <c r="IU502" s="9"/>
      <c r="IV502" s="10"/>
    </row>
    <row r="503" spans="1:256">
      <c r="B503" s="9" t="s">
        <v>2176</v>
      </c>
      <c r="C503" s="9"/>
      <c r="D503" s="10"/>
      <c r="E503" s="9"/>
      <c r="F503" s="10"/>
      <c r="G503" s="9"/>
      <c r="H503" s="10"/>
      <c r="I503" s="9"/>
      <c r="J503" s="10"/>
      <c r="K503" s="9"/>
      <c r="L503" s="10"/>
      <c r="M503" s="9"/>
      <c r="N503" s="10"/>
      <c r="O503" s="9"/>
      <c r="P503" s="10"/>
      <c r="Q503" s="9"/>
      <c r="R503" s="10"/>
      <c r="S503" s="9"/>
      <c r="T503" s="10"/>
      <c r="U503" s="9"/>
      <c r="V503" s="10"/>
      <c r="W503" s="9"/>
      <c r="X503" s="10"/>
      <c r="Y503" s="9"/>
      <c r="Z503" s="10"/>
      <c r="AA503" s="9"/>
      <c r="AB503" s="10"/>
      <c r="AC503" s="9"/>
      <c r="AD503" s="10"/>
      <c r="AE503" s="9"/>
      <c r="AF503" s="10"/>
      <c r="AG503" s="9"/>
      <c r="AH503" s="10"/>
      <c r="AI503" s="9"/>
      <c r="AJ503" s="10"/>
      <c r="AK503" s="9"/>
      <c r="AL503" s="10"/>
      <c r="AM503" s="9"/>
      <c r="AN503" s="10"/>
      <c r="AO503" s="9"/>
      <c r="AP503" s="10"/>
      <c r="AQ503" s="9"/>
      <c r="AR503" s="10"/>
      <c r="AS503" s="9"/>
      <c r="AT503" s="10"/>
      <c r="AU503" s="9"/>
      <c r="AV503" s="10"/>
      <c r="AW503" s="9"/>
      <c r="AX503" s="10"/>
      <c r="AY503" s="9"/>
      <c r="AZ503" s="10"/>
      <c r="BA503" s="9"/>
      <c r="BB503" s="10"/>
      <c r="BC503" s="9"/>
      <c r="BD503" s="10"/>
      <c r="BE503" s="9"/>
      <c r="BF503" s="10"/>
      <c r="BG503" s="9"/>
      <c r="BH503" s="10"/>
      <c r="BI503" s="9"/>
      <c r="BJ503" s="10"/>
      <c r="BK503" s="9"/>
      <c r="BL503" s="10"/>
      <c r="BM503" s="9"/>
      <c r="BN503" s="10"/>
      <c r="BO503" s="9"/>
      <c r="BP503" s="10"/>
      <c r="BQ503" s="9"/>
      <c r="BR503" s="10"/>
      <c r="BS503" s="9"/>
      <c r="BT503" s="10"/>
      <c r="BU503" s="9"/>
      <c r="BV503" s="10"/>
      <c r="BW503" s="9"/>
      <c r="BX503" s="10"/>
      <c r="BY503" s="9"/>
      <c r="BZ503" s="10"/>
      <c r="CA503" s="9"/>
      <c r="CB503" s="10"/>
      <c r="CC503" s="9"/>
      <c r="CD503" s="10"/>
      <c r="CE503" s="9"/>
      <c r="CF503" s="10"/>
      <c r="CG503" s="9"/>
      <c r="CH503" s="10"/>
      <c r="CI503" s="9"/>
      <c r="CJ503" s="10"/>
      <c r="CK503" s="9"/>
      <c r="CL503" s="10"/>
      <c r="CM503" s="9"/>
      <c r="CN503" s="10"/>
      <c r="CO503" s="9"/>
      <c r="CP503" s="10"/>
      <c r="CQ503" s="9"/>
      <c r="CR503" s="10"/>
      <c r="CS503" s="9"/>
      <c r="CT503" s="10"/>
      <c r="CU503" s="9"/>
      <c r="CV503" s="10"/>
      <c r="CW503" s="9"/>
      <c r="CX503" s="10"/>
      <c r="CY503" s="9"/>
      <c r="CZ503" s="10"/>
      <c r="DA503" s="9"/>
      <c r="DB503" s="10"/>
      <c r="DC503" s="9"/>
      <c r="DD503" s="10"/>
      <c r="DE503" s="9"/>
      <c r="DF503" s="10"/>
      <c r="DG503" s="9"/>
      <c r="DH503" s="10"/>
      <c r="DI503" s="9"/>
      <c r="DJ503" s="10"/>
      <c r="DK503" s="9"/>
      <c r="DL503" s="10"/>
      <c r="DM503" s="9"/>
      <c r="DN503" s="10"/>
      <c r="DO503" s="9"/>
      <c r="DP503" s="10"/>
      <c r="DQ503" s="9"/>
      <c r="DR503" s="10"/>
      <c r="DS503" s="9"/>
      <c r="DT503" s="10"/>
      <c r="DU503" s="9"/>
      <c r="DV503" s="10"/>
      <c r="DW503" s="9"/>
      <c r="DX503" s="10"/>
      <c r="DY503" s="9"/>
      <c r="DZ503" s="10"/>
      <c r="EA503" s="9"/>
      <c r="EB503" s="10"/>
      <c r="EC503" s="9"/>
      <c r="ED503" s="10"/>
      <c r="EE503" s="9"/>
      <c r="EF503" s="10"/>
      <c r="EG503" s="9"/>
      <c r="EH503" s="10"/>
      <c r="EI503" s="9"/>
      <c r="EJ503" s="10"/>
      <c r="EK503" s="9"/>
      <c r="EL503" s="10"/>
      <c r="EM503" s="9"/>
      <c r="EN503" s="10"/>
      <c r="EO503" s="9"/>
      <c r="EP503" s="10"/>
      <c r="EQ503" s="9"/>
      <c r="ER503" s="10"/>
      <c r="ES503" s="9"/>
      <c r="ET503" s="10"/>
      <c r="EU503" s="9"/>
      <c r="EV503" s="10"/>
      <c r="EW503" s="9"/>
      <c r="EX503" s="10"/>
      <c r="EY503" s="9"/>
      <c r="EZ503" s="10"/>
      <c r="FA503" s="9"/>
      <c r="FB503" s="10"/>
      <c r="FC503" s="9"/>
      <c r="FD503" s="10"/>
      <c r="FE503" s="9"/>
      <c r="FF503" s="10"/>
      <c r="FG503" s="9"/>
      <c r="FH503" s="10"/>
      <c r="FI503" s="9"/>
      <c r="FJ503" s="10"/>
      <c r="FK503" s="9"/>
      <c r="FL503" s="10"/>
      <c r="FM503" s="9"/>
      <c r="FN503" s="10"/>
      <c r="FO503" s="9"/>
      <c r="FP503" s="10"/>
      <c r="FQ503" s="9"/>
      <c r="FR503" s="10"/>
      <c r="FS503" s="9"/>
      <c r="FT503" s="10"/>
      <c r="FU503" s="9"/>
      <c r="FV503" s="10"/>
      <c r="FW503" s="9"/>
      <c r="FX503" s="10"/>
      <c r="FY503" s="9"/>
      <c r="FZ503" s="10"/>
      <c r="GA503" s="9"/>
      <c r="GB503" s="10"/>
      <c r="GC503" s="9"/>
      <c r="GD503" s="10"/>
      <c r="GE503" s="9"/>
      <c r="GF503" s="10"/>
      <c r="GG503" s="9"/>
      <c r="GH503" s="10"/>
      <c r="GI503" s="9"/>
      <c r="GJ503" s="10"/>
      <c r="GK503" s="9"/>
      <c r="GL503" s="10"/>
      <c r="GM503" s="9"/>
      <c r="GN503" s="10"/>
      <c r="GO503" s="9"/>
      <c r="GP503" s="10"/>
      <c r="GQ503" s="9"/>
      <c r="GR503" s="10"/>
      <c r="GS503" s="9"/>
      <c r="GT503" s="10"/>
      <c r="GU503" s="9"/>
      <c r="GV503" s="10"/>
      <c r="GW503" s="9"/>
      <c r="GX503" s="10"/>
      <c r="GY503" s="9"/>
      <c r="GZ503" s="10"/>
      <c r="HA503" s="9"/>
      <c r="HB503" s="10"/>
      <c r="HC503" s="9"/>
      <c r="HD503" s="10"/>
      <c r="HE503" s="9"/>
      <c r="HF503" s="10"/>
      <c r="HG503" s="9"/>
      <c r="HH503" s="10"/>
      <c r="HI503" s="9"/>
      <c r="HJ503" s="10"/>
      <c r="HK503" s="9"/>
      <c r="HL503" s="10"/>
      <c r="HM503" s="9"/>
      <c r="HN503" s="10"/>
      <c r="HO503" s="9"/>
      <c r="HP503" s="10"/>
      <c r="HQ503" s="9"/>
      <c r="HR503" s="10"/>
      <c r="HS503" s="9"/>
      <c r="HT503" s="10"/>
      <c r="HU503" s="9"/>
      <c r="HV503" s="10"/>
      <c r="HW503" s="9"/>
      <c r="HX503" s="10"/>
      <c r="HY503" s="9"/>
      <c r="HZ503" s="10"/>
      <c r="IA503" s="9"/>
      <c r="IB503" s="10"/>
      <c r="IC503" s="9"/>
      <c r="ID503" s="10"/>
      <c r="IE503" s="9"/>
      <c r="IF503" s="10"/>
      <c r="IG503" s="9"/>
      <c r="IH503" s="10"/>
      <c r="II503" s="9"/>
      <c r="IJ503" s="10"/>
      <c r="IK503" s="9"/>
      <c r="IL503" s="10"/>
      <c r="IM503" s="9"/>
      <c r="IN503" s="10"/>
      <c r="IO503" s="9"/>
      <c r="IP503" s="10"/>
      <c r="IQ503" s="9"/>
      <c r="IR503" s="10"/>
      <c r="IS503" s="9"/>
      <c r="IT503" s="10"/>
      <c r="IU503" s="9"/>
      <c r="IV503" s="10"/>
    </row>
    <row r="504" spans="1:256">
      <c r="B504" s="10" t="s">
        <v>2177</v>
      </c>
      <c r="C504" s="9"/>
      <c r="D504" s="10"/>
      <c r="E504" s="9"/>
      <c r="F504" s="10"/>
      <c r="G504" s="9"/>
      <c r="H504" s="10"/>
      <c r="I504" s="9"/>
      <c r="J504" s="10"/>
      <c r="K504" s="9"/>
      <c r="L504" s="10"/>
      <c r="M504" s="9"/>
      <c r="N504" s="10"/>
      <c r="O504" s="9"/>
      <c r="P504" s="10"/>
      <c r="Q504" s="9"/>
      <c r="R504" s="10"/>
      <c r="S504" s="9"/>
      <c r="T504" s="10"/>
      <c r="U504" s="9"/>
      <c r="V504" s="10"/>
      <c r="W504" s="9"/>
      <c r="X504" s="10"/>
      <c r="Y504" s="9"/>
      <c r="Z504" s="10"/>
      <c r="AA504" s="9"/>
      <c r="AB504" s="10"/>
      <c r="AC504" s="9"/>
      <c r="AD504" s="10"/>
      <c r="AE504" s="9"/>
      <c r="AF504" s="10"/>
      <c r="AG504" s="9"/>
      <c r="AH504" s="10"/>
      <c r="AI504" s="9"/>
      <c r="AJ504" s="10"/>
      <c r="AK504" s="9"/>
      <c r="AL504" s="10"/>
      <c r="AM504" s="9"/>
      <c r="AN504" s="10"/>
      <c r="AO504" s="9"/>
      <c r="AP504" s="10"/>
      <c r="AQ504" s="9"/>
      <c r="AR504" s="10"/>
      <c r="AS504" s="9"/>
      <c r="AT504" s="10"/>
      <c r="AU504" s="9"/>
      <c r="AV504" s="10"/>
      <c r="AW504" s="9"/>
      <c r="AX504" s="10"/>
      <c r="AY504" s="9"/>
      <c r="AZ504" s="10"/>
      <c r="BA504" s="9"/>
      <c r="BB504" s="10"/>
      <c r="BC504" s="9"/>
      <c r="BD504" s="10"/>
      <c r="BE504" s="9"/>
      <c r="BF504" s="10"/>
      <c r="BG504" s="9"/>
      <c r="BH504" s="10"/>
      <c r="BI504" s="9"/>
      <c r="BJ504" s="10"/>
      <c r="BK504" s="9"/>
      <c r="BL504" s="10"/>
      <c r="BM504" s="9"/>
      <c r="BN504" s="10"/>
      <c r="BO504" s="9"/>
      <c r="BP504" s="10"/>
      <c r="BQ504" s="9"/>
      <c r="BR504" s="10"/>
      <c r="BS504" s="9"/>
      <c r="BT504" s="10"/>
      <c r="BU504" s="9"/>
      <c r="BV504" s="10"/>
      <c r="BW504" s="9"/>
      <c r="BX504" s="10"/>
      <c r="BY504" s="9"/>
      <c r="BZ504" s="10"/>
      <c r="CA504" s="9"/>
      <c r="CB504" s="10"/>
      <c r="CC504" s="9"/>
      <c r="CD504" s="10"/>
      <c r="CE504" s="9"/>
      <c r="CF504" s="10"/>
      <c r="CG504" s="9"/>
      <c r="CH504" s="10"/>
      <c r="CI504" s="9"/>
      <c r="CJ504" s="10"/>
      <c r="CK504" s="9"/>
      <c r="CL504" s="10"/>
      <c r="CM504" s="9"/>
      <c r="CN504" s="10"/>
      <c r="CO504" s="9"/>
      <c r="CP504" s="10"/>
      <c r="CQ504" s="9"/>
      <c r="CR504" s="10"/>
      <c r="CS504" s="9"/>
      <c r="CT504" s="10"/>
      <c r="CU504" s="9"/>
      <c r="CV504" s="10"/>
      <c r="CW504" s="9"/>
      <c r="CX504" s="10"/>
      <c r="CY504" s="9"/>
      <c r="CZ504" s="10"/>
      <c r="DA504" s="9"/>
      <c r="DB504" s="10"/>
      <c r="DC504" s="9"/>
      <c r="DD504" s="10"/>
      <c r="DE504" s="9"/>
      <c r="DF504" s="10"/>
      <c r="DG504" s="9"/>
      <c r="DH504" s="10"/>
      <c r="DI504" s="9"/>
      <c r="DJ504" s="10"/>
      <c r="DK504" s="9"/>
      <c r="DL504" s="10"/>
      <c r="DM504" s="9"/>
      <c r="DN504" s="10"/>
      <c r="DO504" s="9"/>
      <c r="DP504" s="10"/>
      <c r="DQ504" s="9"/>
      <c r="DR504" s="10"/>
      <c r="DS504" s="9"/>
      <c r="DT504" s="10"/>
      <c r="DU504" s="9"/>
      <c r="DV504" s="10"/>
      <c r="DW504" s="9"/>
      <c r="DX504" s="10"/>
      <c r="DY504" s="9"/>
      <c r="DZ504" s="10"/>
      <c r="EA504" s="9"/>
      <c r="EB504" s="10"/>
      <c r="EC504" s="9"/>
      <c r="ED504" s="10"/>
      <c r="EE504" s="9"/>
      <c r="EF504" s="10"/>
      <c r="EG504" s="9"/>
      <c r="EH504" s="10"/>
      <c r="EI504" s="9"/>
      <c r="EJ504" s="10"/>
      <c r="EK504" s="9"/>
      <c r="EL504" s="10"/>
      <c r="EM504" s="9"/>
      <c r="EN504" s="10"/>
      <c r="EO504" s="9"/>
      <c r="EP504" s="10"/>
      <c r="EQ504" s="9"/>
      <c r="ER504" s="10"/>
      <c r="ES504" s="9"/>
      <c r="ET504" s="10"/>
      <c r="EU504" s="9"/>
      <c r="EV504" s="10"/>
      <c r="EW504" s="9"/>
      <c r="EX504" s="10"/>
      <c r="EY504" s="9"/>
      <c r="EZ504" s="10"/>
      <c r="FA504" s="9"/>
      <c r="FB504" s="10"/>
      <c r="FC504" s="9"/>
      <c r="FD504" s="10"/>
      <c r="FE504" s="9"/>
      <c r="FF504" s="10"/>
      <c r="FG504" s="9"/>
      <c r="FH504" s="10"/>
      <c r="FI504" s="9"/>
      <c r="FJ504" s="10"/>
      <c r="FK504" s="9"/>
      <c r="FL504" s="10"/>
      <c r="FM504" s="9"/>
      <c r="FN504" s="10"/>
      <c r="FO504" s="9"/>
      <c r="FP504" s="10"/>
      <c r="FQ504" s="9"/>
      <c r="FR504" s="10"/>
      <c r="FS504" s="9"/>
      <c r="FT504" s="10"/>
      <c r="FU504" s="9"/>
      <c r="FV504" s="10"/>
      <c r="FW504" s="9"/>
      <c r="FX504" s="10"/>
      <c r="FY504" s="9"/>
      <c r="FZ504" s="10"/>
      <c r="GA504" s="9"/>
      <c r="GB504" s="10"/>
      <c r="GC504" s="9"/>
      <c r="GD504" s="10"/>
      <c r="GE504" s="9"/>
      <c r="GF504" s="10"/>
      <c r="GG504" s="9"/>
      <c r="GH504" s="10"/>
      <c r="GI504" s="9"/>
      <c r="GJ504" s="10"/>
      <c r="GK504" s="9"/>
      <c r="GL504" s="10"/>
      <c r="GM504" s="9"/>
      <c r="GN504" s="10"/>
      <c r="GO504" s="9"/>
      <c r="GP504" s="10"/>
      <c r="GQ504" s="9"/>
      <c r="GR504" s="10"/>
      <c r="GS504" s="9"/>
      <c r="GT504" s="10"/>
      <c r="GU504" s="9"/>
      <c r="GV504" s="10"/>
      <c r="GW504" s="9"/>
      <c r="GX504" s="10"/>
      <c r="GY504" s="9"/>
      <c r="GZ504" s="10"/>
      <c r="HA504" s="9"/>
      <c r="HB504" s="10"/>
      <c r="HC504" s="9"/>
      <c r="HD504" s="10"/>
      <c r="HE504" s="9"/>
      <c r="HF504" s="10"/>
      <c r="HG504" s="9"/>
      <c r="HH504" s="10"/>
      <c r="HI504" s="9"/>
      <c r="HJ504" s="10"/>
      <c r="HK504" s="9"/>
      <c r="HL504" s="10"/>
      <c r="HM504" s="9"/>
      <c r="HN504" s="10"/>
      <c r="HO504" s="9"/>
      <c r="HP504" s="10"/>
      <c r="HQ504" s="9"/>
      <c r="HR504" s="10"/>
      <c r="HS504" s="9"/>
      <c r="HT504" s="10"/>
      <c r="HU504" s="9"/>
      <c r="HV504" s="10"/>
      <c r="HW504" s="9"/>
      <c r="HX504" s="10"/>
      <c r="HY504" s="9"/>
      <c r="HZ504" s="10"/>
      <c r="IA504" s="9"/>
      <c r="IB504" s="10"/>
      <c r="IC504" s="9"/>
      <c r="ID504" s="10"/>
      <c r="IE504" s="9"/>
      <c r="IF504" s="10"/>
      <c r="IG504" s="9"/>
      <c r="IH504" s="10"/>
      <c r="II504" s="9"/>
      <c r="IJ504" s="10"/>
      <c r="IK504" s="9"/>
      <c r="IL504" s="10"/>
      <c r="IM504" s="9"/>
      <c r="IN504" s="10"/>
      <c r="IO504" s="9"/>
      <c r="IP504" s="10"/>
      <c r="IQ504" s="9"/>
      <c r="IR504" s="10"/>
      <c r="IS504" s="9"/>
      <c r="IT504" s="10"/>
      <c r="IU504" s="9"/>
      <c r="IV504" s="10"/>
    </row>
    <row r="505" spans="1:256">
      <c r="A505" s="9" t="s">
        <v>2248</v>
      </c>
      <c r="B505" s="9" t="s">
        <v>2178</v>
      </c>
    </row>
    <row r="506" spans="1:256">
      <c r="A506" s="9" t="s">
        <v>2179</v>
      </c>
      <c r="B506" s="10" t="s">
        <v>2180</v>
      </c>
    </row>
    <row r="507" spans="1:256">
      <c r="B507" s="10" t="s">
        <v>2181</v>
      </c>
    </row>
    <row r="508" spans="1:256">
      <c r="B508" s="10"/>
    </row>
    <row r="509" spans="1:256">
      <c r="A509" s="9" t="s">
        <v>1671</v>
      </c>
    </row>
    <row r="510" spans="1:256">
      <c r="A510" s="9" t="s">
        <v>2247</v>
      </c>
      <c r="B510" s="9" t="s">
        <v>1670</v>
      </c>
    </row>
    <row r="511" spans="1:256">
      <c r="B511" s="9" t="s">
        <v>2211</v>
      </c>
      <c r="J511" s="10"/>
    </row>
    <row r="512" spans="1:256">
      <c r="A512" s="9" t="s">
        <v>2248</v>
      </c>
      <c r="B512" s="9" t="s">
        <v>161</v>
      </c>
    </row>
    <row r="514" spans="1:2">
      <c r="A514" s="9" t="s">
        <v>1580</v>
      </c>
      <c r="B514" s="9" t="s">
        <v>1581</v>
      </c>
    </row>
    <row r="515" spans="1:2">
      <c r="A515" s="9" t="s">
        <v>1584</v>
      </c>
      <c r="B515" s="9" t="s">
        <v>1585</v>
      </c>
    </row>
    <row r="516" spans="1:2">
      <c r="B516" s="9" t="s">
        <v>1583</v>
      </c>
    </row>
    <row r="517" spans="1:2">
      <c r="B517" s="9" t="s">
        <v>1427</v>
      </c>
    </row>
    <row r="518" spans="1:2">
      <c r="B518" s="9" t="s">
        <v>1716</v>
      </c>
    </row>
    <row r="519" spans="1:2">
      <c r="B519" s="9" t="s">
        <v>1717</v>
      </c>
    </row>
    <row r="520" spans="1:2">
      <c r="B520" s="9" t="s">
        <v>219</v>
      </c>
    </row>
    <row r="521" spans="1:2">
      <c r="B521" s="9" t="s">
        <v>220</v>
      </c>
    </row>
    <row r="522" spans="1:2">
      <c r="B522" s="9" t="s">
        <v>221</v>
      </c>
    </row>
    <row r="524" spans="1:2">
      <c r="A524" s="9" t="s">
        <v>726</v>
      </c>
    </row>
    <row r="525" spans="1:2">
      <c r="A525" s="9" t="s">
        <v>2247</v>
      </c>
      <c r="B525" s="10" t="s">
        <v>725</v>
      </c>
    </row>
    <row r="526" spans="1:2">
      <c r="B526" s="9" t="s">
        <v>937</v>
      </c>
    </row>
    <row r="527" spans="1:2">
      <c r="A527" s="9" t="s">
        <v>1566</v>
      </c>
      <c r="B527" s="9" t="s">
        <v>544</v>
      </c>
    </row>
    <row r="528" spans="1:2">
      <c r="A528" s="9" t="s">
        <v>2248</v>
      </c>
      <c r="B528" s="286" t="s">
        <v>1438</v>
      </c>
    </row>
    <row r="529" spans="1:6">
      <c r="B529" s="10" t="s">
        <v>282</v>
      </c>
    </row>
    <row r="530" spans="1:6">
      <c r="B530" s="10" t="s">
        <v>278</v>
      </c>
    </row>
    <row r="531" spans="1:6">
      <c r="B531" s="10" t="s">
        <v>1760</v>
      </c>
    </row>
    <row r="532" spans="1:6">
      <c r="B532" s="10" t="s">
        <v>1530</v>
      </c>
    </row>
    <row r="533" spans="1:6">
      <c r="B533" s="10" t="s">
        <v>545</v>
      </c>
    </row>
    <row r="534" spans="1:6">
      <c r="B534" s="48" t="s">
        <v>1430</v>
      </c>
    </row>
    <row r="535" spans="1:6">
      <c r="B535" s="126" t="s">
        <v>1429</v>
      </c>
    </row>
    <row r="536" spans="1:6">
      <c r="B536" s="10" t="s">
        <v>280</v>
      </c>
    </row>
    <row r="537" spans="1:6">
      <c r="B537" s="10" t="s">
        <v>548</v>
      </c>
    </row>
    <row r="538" spans="1:6">
      <c r="B538" s="10" t="s">
        <v>281</v>
      </c>
    </row>
    <row r="539" spans="1:6">
      <c r="B539" s="10" t="s">
        <v>1432</v>
      </c>
    </row>
    <row r="540" spans="1:6">
      <c r="B540" s="10" t="s">
        <v>1431</v>
      </c>
    </row>
    <row r="541" spans="1:6">
      <c r="B541" s="10" t="s">
        <v>1531</v>
      </c>
    </row>
    <row r="542" spans="1:6">
      <c r="A542" s="2"/>
      <c r="B542" s="10" t="s">
        <v>279</v>
      </c>
    </row>
    <row r="543" spans="1:6">
      <c r="A543" s="2"/>
      <c r="B543" s="10" t="s">
        <v>727</v>
      </c>
      <c r="F543" s="287"/>
    </row>
    <row r="544" spans="1:6">
      <c r="A544" s="2"/>
      <c r="B544" s="10" t="s">
        <v>546</v>
      </c>
    </row>
    <row r="545" spans="1:2">
      <c r="A545" s="2"/>
      <c r="B545" s="10" t="s">
        <v>1433</v>
      </c>
    </row>
    <row r="546" spans="1:2">
      <c r="A546" s="2"/>
      <c r="B546" s="10" t="s">
        <v>1302</v>
      </c>
    </row>
    <row r="547" spans="1:2">
      <c r="A547" s="2"/>
      <c r="B547" s="10" t="s">
        <v>1437</v>
      </c>
    </row>
    <row r="548" spans="1:2">
      <c r="A548" s="2"/>
      <c r="B548" s="10" t="s">
        <v>277</v>
      </c>
    </row>
    <row r="549" spans="1:2">
      <c r="A549" s="2"/>
      <c r="B549" s="10" t="s">
        <v>1434</v>
      </c>
    </row>
    <row r="550" spans="1:2">
      <c r="A550" s="2"/>
      <c r="B550" s="10" t="s">
        <v>1435</v>
      </c>
    </row>
    <row r="551" spans="1:2">
      <c r="A551" s="2"/>
      <c r="B551" s="10" t="s">
        <v>1436</v>
      </c>
    </row>
    <row r="552" spans="1:2">
      <c r="A552" s="2"/>
      <c r="B552" s="10" t="s">
        <v>1763</v>
      </c>
    </row>
    <row r="553" spans="1:2">
      <c r="A553" s="2"/>
      <c r="B553" s="10" t="s">
        <v>1528</v>
      </c>
    </row>
    <row r="554" spans="1:2">
      <c r="A554" s="2"/>
      <c r="B554" s="10" t="s">
        <v>1525</v>
      </c>
    </row>
    <row r="555" spans="1:2">
      <c r="A555" s="2"/>
      <c r="B555" s="10" t="s">
        <v>1529</v>
      </c>
    </row>
    <row r="556" spans="1:2">
      <c r="A556" s="2"/>
      <c r="B556" s="10" t="s">
        <v>1526</v>
      </c>
    </row>
    <row r="557" spans="1:2">
      <c r="A557" s="2"/>
      <c r="B557" s="10" t="s">
        <v>1527</v>
      </c>
    </row>
    <row r="558" spans="1:2">
      <c r="A558" s="2"/>
      <c r="B558" s="10" t="s">
        <v>1762</v>
      </c>
    </row>
    <row r="559" spans="1:2">
      <c r="A559" s="2"/>
      <c r="B559" s="10" t="s">
        <v>1421</v>
      </c>
    </row>
    <row r="560" spans="1:2">
      <c r="A560" s="2"/>
      <c r="B560" s="10" t="s">
        <v>1766</v>
      </c>
    </row>
    <row r="561" spans="1:2">
      <c r="A561" s="2"/>
      <c r="B561" s="10" t="s">
        <v>1761</v>
      </c>
    </row>
    <row r="562" spans="1:2">
      <c r="A562" s="2"/>
      <c r="B562" s="10" t="s">
        <v>1767</v>
      </c>
    </row>
    <row r="563" spans="1:2">
      <c r="A563" s="2"/>
      <c r="B563" s="10" t="s">
        <v>1765</v>
      </c>
    </row>
    <row r="564" spans="1:2">
      <c r="A564" s="2"/>
      <c r="B564" s="10" t="s">
        <v>1764</v>
      </c>
    </row>
    <row r="565" spans="1:2">
      <c r="A565" s="2"/>
      <c r="B565" s="10" t="s">
        <v>1768</v>
      </c>
    </row>
    <row r="566" spans="1:2">
      <c r="A566" s="2"/>
      <c r="B566" s="10" t="s">
        <v>547</v>
      </c>
    </row>
    <row r="567" spans="1:2">
      <c r="A567" s="2"/>
      <c r="B567" s="10" t="s">
        <v>159</v>
      </c>
    </row>
    <row r="568" spans="1:2">
      <c r="A568" s="2"/>
      <c r="B568" s="10" t="s">
        <v>1422</v>
      </c>
    </row>
    <row r="569" spans="1:2">
      <c r="A569" s="2"/>
      <c r="B569" s="10" t="s">
        <v>1423</v>
      </c>
    </row>
    <row r="570" spans="1:2">
      <c r="A570" s="2"/>
      <c r="B570" s="10" t="s">
        <v>1424</v>
      </c>
    </row>
    <row r="571" spans="1:2">
      <c r="A571" s="2"/>
      <c r="B571" s="10" t="s">
        <v>158</v>
      </c>
    </row>
    <row r="572" spans="1:2">
      <c r="A572" s="2"/>
      <c r="B572" s="10"/>
    </row>
    <row r="573" spans="1:2">
      <c r="A573" s="2"/>
      <c r="B573" s="10"/>
    </row>
    <row r="574" spans="1:2">
      <c r="A574" s="2"/>
      <c r="B574" s="286" t="s">
        <v>543</v>
      </c>
    </row>
    <row r="575" spans="1:2">
      <c r="B575" s="287" t="s">
        <v>549</v>
      </c>
    </row>
    <row r="577" spans="1:2">
      <c r="A577" s="9" t="s">
        <v>1031</v>
      </c>
    </row>
    <row r="578" spans="1:2">
      <c r="A578" s="9" t="s">
        <v>276</v>
      </c>
      <c r="B578" s="9" t="s">
        <v>963</v>
      </c>
    </row>
    <row r="579" spans="1:2">
      <c r="A579" s="9" t="s">
        <v>273</v>
      </c>
      <c r="B579" s="9" t="s">
        <v>963</v>
      </c>
    </row>
    <row r="580" spans="1:2">
      <c r="A580" s="9" t="s">
        <v>1343</v>
      </c>
      <c r="B580" s="9" t="s">
        <v>963</v>
      </c>
    </row>
    <row r="581" spans="1:2">
      <c r="A581" s="9" t="s">
        <v>1565</v>
      </c>
      <c r="B581" s="9" t="s">
        <v>963</v>
      </c>
    </row>
    <row r="582" spans="1:2">
      <c r="A582" s="9" t="s">
        <v>1900</v>
      </c>
      <c r="B582" s="9" t="s">
        <v>2246</v>
      </c>
    </row>
    <row r="583" spans="1:2">
      <c r="A583" s="9" t="s">
        <v>1664</v>
      </c>
      <c r="B583" s="9" t="s">
        <v>2246</v>
      </c>
    </row>
    <row r="584" spans="1:2">
      <c r="A584" s="9" t="s">
        <v>1918</v>
      </c>
      <c r="B584" s="9" t="s">
        <v>2246</v>
      </c>
    </row>
    <row r="585" spans="1:2">
      <c r="A585" s="9" t="s">
        <v>2230</v>
      </c>
      <c r="B585" s="9" t="s">
        <v>963</v>
      </c>
    </row>
    <row r="586" spans="1:2">
      <c r="A586" s="9" t="s">
        <v>807</v>
      </c>
      <c r="B586" s="9" t="s">
        <v>963</v>
      </c>
    </row>
    <row r="587" spans="1:2">
      <c r="A587" s="9" t="s">
        <v>805</v>
      </c>
      <c r="B587" s="9" t="s">
        <v>963</v>
      </c>
    </row>
    <row r="588" spans="1:2">
      <c r="A588" s="9" t="s">
        <v>2074</v>
      </c>
      <c r="B588" s="9" t="s">
        <v>963</v>
      </c>
    </row>
    <row r="589" spans="1:2">
      <c r="A589" s="9" t="s">
        <v>1853</v>
      </c>
      <c r="B589" s="10" t="s">
        <v>963</v>
      </c>
    </row>
    <row r="590" spans="1:2">
      <c r="A590" s="9" t="s">
        <v>1852</v>
      </c>
      <c r="B590" s="9" t="s">
        <v>2246</v>
      </c>
    </row>
    <row r="591" spans="1:2">
      <c r="A591" s="9" t="s">
        <v>1470</v>
      </c>
      <c r="B591" s="9" t="s">
        <v>2246</v>
      </c>
    </row>
    <row r="592" spans="1:2">
      <c r="A592" s="9" t="s">
        <v>820</v>
      </c>
      <c r="B592" s="9" t="s">
        <v>963</v>
      </c>
    </row>
    <row r="593" spans="1:8">
      <c r="A593" s="9" t="s">
        <v>931</v>
      </c>
      <c r="B593" s="9" t="s">
        <v>2246</v>
      </c>
    </row>
    <row r="594" spans="1:8">
      <c r="A594" s="9" t="s">
        <v>930</v>
      </c>
      <c r="B594" s="9" t="s">
        <v>963</v>
      </c>
    </row>
    <row r="595" spans="1:8">
      <c r="A595" s="9" t="s">
        <v>2245</v>
      </c>
      <c r="B595" s="9" t="s">
        <v>963</v>
      </c>
    </row>
    <row r="596" spans="1:8">
      <c r="A596" s="9" t="s">
        <v>2250</v>
      </c>
      <c r="B596" s="9" t="s">
        <v>2246</v>
      </c>
    </row>
    <row r="597" spans="1:8">
      <c r="A597" s="9" t="s">
        <v>2095</v>
      </c>
      <c r="B597" s="9" t="s">
        <v>963</v>
      </c>
    </row>
    <row r="598" spans="1:8">
      <c r="A598" s="9" t="s">
        <v>2096</v>
      </c>
      <c r="B598" s="9" t="s">
        <v>963</v>
      </c>
    </row>
    <row r="599" spans="1:8">
      <c r="A599" s="9" t="s">
        <v>2097</v>
      </c>
      <c r="B599" s="9" t="s">
        <v>963</v>
      </c>
    </row>
    <row r="600" spans="1:8">
      <c r="A600" s="9" t="s">
        <v>2098</v>
      </c>
      <c r="B600" s="9" t="s">
        <v>963</v>
      </c>
    </row>
    <row r="601" spans="1:8">
      <c r="A601" s="9" t="s">
        <v>2099</v>
      </c>
      <c r="B601" s="9" t="s">
        <v>963</v>
      </c>
      <c r="G601" s="10"/>
    </row>
    <row r="602" spans="1:8">
      <c r="A602" s="9" t="s">
        <v>2101</v>
      </c>
      <c r="B602" s="9" t="s">
        <v>2100</v>
      </c>
      <c r="G602" s="10"/>
    </row>
    <row r="603" spans="1:8">
      <c r="A603" s="9" t="s">
        <v>2102</v>
      </c>
      <c r="B603" s="9" t="s">
        <v>2246</v>
      </c>
      <c r="H603" s="2"/>
    </row>
    <row r="604" spans="1:8">
      <c r="A604" s="9" t="s">
        <v>2103</v>
      </c>
      <c r="B604" s="9" t="s">
        <v>2246</v>
      </c>
      <c r="H604" s="2"/>
    </row>
    <row r="605" spans="1:8">
      <c r="A605" s="9" t="s">
        <v>2105</v>
      </c>
      <c r="B605" s="9" t="s">
        <v>2104</v>
      </c>
      <c r="H605" s="2"/>
    </row>
    <row r="606" spans="1:8">
      <c r="A606" s="9" t="s">
        <v>2106</v>
      </c>
      <c r="B606" s="9" t="s">
        <v>963</v>
      </c>
      <c r="H606" s="2"/>
    </row>
    <row r="607" spans="1:8">
      <c r="A607" s="9" t="s">
        <v>2107</v>
      </c>
      <c r="B607" s="9" t="s">
        <v>2246</v>
      </c>
      <c r="H607" s="2"/>
    </row>
    <row r="608" spans="1:8">
      <c r="A608" s="9" t="s">
        <v>2108</v>
      </c>
      <c r="B608" s="9" t="s">
        <v>963</v>
      </c>
    </row>
    <row r="609" spans="1:8">
      <c r="A609" s="9" t="s">
        <v>2109</v>
      </c>
      <c r="B609" s="9" t="s">
        <v>2246</v>
      </c>
      <c r="H609" s="2"/>
    </row>
    <row r="610" spans="1:8">
      <c r="A610" s="9" t="s">
        <v>2110</v>
      </c>
      <c r="B610" s="9" t="s">
        <v>963</v>
      </c>
      <c r="H610" s="2"/>
    </row>
    <row r="611" spans="1:8">
      <c r="A611" s="9" t="s">
        <v>2111</v>
      </c>
      <c r="B611" s="9" t="s">
        <v>963</v>
      </c>
    </row>
    <row r="612" spans="1:8">
      <c r="A612" s="9" t="s">
        <v>2113</v>
      </c>
      <c r="B612" s="9" t="s">
        <v>2112</v>
      </c>
      <c r="H612" s="2"/>
    </row>
    <row r="613" spans="1:8">
      <c r="A613" s="9" t="s">
        <v>2114</v>
      </c>
      <c r="B613" s="9" t="s">
        <v>2246</v>
      </c>
      <c r="G613" s="8"/>
      <c r="H613" s="2"/>
    </row>
    <row r="614" spans="1:8">
      <c r="A614" s="9" t="s">
        <v>2115</v>
      </c>
      <c r="B614" s="9" t="s">
        <v>2112</v>
      </c>
      <c r="H614" s="2"/>
    </row>
    <row r="615" spans="1:8">
      <c r="A615" s="9" t="s">
        <v>2116</v>
      </c>
      <c r="B615" s="9" t="s">
        <v>2246</v>
      </c>
      <c r="H615" s="2"/>
    </row>
    <row r="616" spans="1:8">
      <c r="A616" s="9" t="s">
        <v>2117</v>
      </c>
      <c r="B616" s="9" t="s">
        <v>2246</v>
      </c>
      <c r="H616" s="2"/>
    </row>
    <row r="617" spans="1:8">
      <c r="A617" s="9" t="s">
        <v>2118</v>
      </c>
      <c r="B617" s="9" t="s">
        <v>2112</v>
      </c>
    </row>
    <row r="618" spans="1:8">
      <c r="A618" s="9" t="s">
        <v>2119</v>
      </c>
      <c r="B618" s="9" t="s">
        <v>2246</v>
      </c>
      <c r="H618" s="2"/>
    </row>
    <row r="619" spans="1:8">
      <c r="A619" s="9" t="s">
        <v>2120</v>
      </c>
      <c r="B619" s="9" t="s">
        <v>2112</v>
      </c>
      <c r="H619" s="2"/>
    </row>
    <row r="620" spans="1:8">
      <c r="A620" s="9" t="s">
        <v>2121</v>
      </c>
      <c r="B620" s="9" t="s">
        <v>2246</v>
      </c>
      <c r="H620" s="2"/>
    </row>
    <row r="621" spans="1:8">
      <c r="A621" s="9" t="s">
        <v>2122</v>
      </c>
      <c r="B621" s="9" t="s">
        <v>2246</v>
      </c>
      <c r="H621" s="2"/>
    </row>
    <row r="622" spans="1:8">
      <c r="A622" s="9" t="s">
        <v>2123</v>
      </c>
      <c r="B622" s="9" t="s">
        <v>2246</v>
      </c>
      <c r="H622" s="2"/>
    </row>
    <row r="623" spans="1:8">
      <c r="A623" s="9" t="s">
        <v>2124</v>
      </c>
      <c r="B623" s="9" t="s">
        <v>2246</v>
      </c>
      <c r="H623" s="2"/>
    </row>
    <row r="624" spans="1:8">
      <c r="A624" s="9" t="s">
        <v>2126</v>
      </c>
      <c r="B624" s="9" t="s">
        <v>2125</v>
      </c>
      <c r="H624" s="2"/>
    </row>
    <row r="625" spans="1:8">
      <c r="A625" s="9" t="s">
        <v>2127</v>
      </c>
      <c r="B625" s="9" t="s">
        <v>2246</v>
      </c>
      <c r="H625" s="2"/>
    </row>
    <row r="626" spans="1:8">
      <c r="A626" s="9" t="s">
        <v>2128</v>
      </c>
      <c r="B626" s="9" t="s">
        <v>2125</v>
      </c>
      <c r="H626" s="2"/>
    </row>
    <row r="627" spans="1:8">
      <c r="A627" s="9" t="s">
        <v>2129</v>
      </c>
      <c r="B627" s="9" t="s">
        <v>2246</v>
      </c>
      <c r="H627" s="2"/>
    </row>
    <row r="628" spans="1:8">
      <c r="A628" s="9" t="s">
        <v>2130</v>
      </c>
      <c r="B628" s="9" t="s">
        <v>2246</v>
      </c>
      <c r="H628" s="2"/>
    </row>
    <row r="629" spans="1:8">
      <c r="A629" s="9" t="s">
        <v>2131</v>
      </c>
      <c r="B629" s="9" t="s">
        <v>2246</v>
      </c>
      <c r="H629" s="2"/>
    </row>
    <row r="630" spans="1:8">
      <c r="A630" s="9" t="s">
        <v>2132</v>
      </c>
      <c r="B630" s="9" t="s">
        <v>2125</v>
      </c>
      <c r="H630" s="2"/>
    </row>
    <row r="631" spans="1:8">
      <c r="A631" s="9" t="s">
        <v>2133</v>
      </c>
      <c r="B631" s="9" t="s">
        <v>2246</v>
      </c>
      <c r="H631" s="2"/>
    </row>
    <row r="632" spans="1:8">
      <c r="A632" s="9" t="s">
        <v>2134</v>
      </c>
      <c r="B632" s="9" t="s">
        <v>2246</v>
      </c>
      <c r="H632" s="2"/>
    </row>
    <row r="633" spans="1:8">
      <c r="A633" s="9" t="s">
        <v>2135</v>
      </c>
      <c r="B633" s="2"/>
    </row>
    <row r="634" spans="1:8">
      <c r="A634" s="9" t="s">
        <v>2136</v>
      </c>
      <c r="B634" s="2"/>
      <c r="H634" s="2"/>
    </row>
    <row r="635" spans="1:8">
      <c r="B635" s="2"/>
      <c r="H635" s="2"/>
    </row>
    <row r="636" spans="1:8">
      <c r="H636" s="2"/>
    </row>
    <row r="637" spans="1:8">
      <c r="H637" s="2"/>
    </row>
    <row r="638" spans="1:8">
      <c r="G638" s="11"/>
      <c r="H638" s="2"/>
    </row>
    <row r="639" spans="1:8">
      <c r="G639" s="11"/>
      <c r="H639" s="2"/>
    </row>
    <row r="640" spans="1:8">
      <c r="G640" s="11"/>
      <c r="H640" s="2"/>
    </row>
    <row r="641" spans="7:8">
      <c r="H641" s="2"/>
    </row>
    <row r="642" spans="7:8">
      <c r="H642" s="2"/>
    </row>
    <row r="643" spans="7:8">
      <c r="H643" s="2"/>
    </row>
    <row r="644" spans="7:8">
      <c r="H644" s="2"/>
    </row>
    <row r="645" spans="7:8">
      <c r="H645" s="2"/>
    </row>
    <row r="646" spans="7:8">
      <c r="H646" s="2"/>
    </row>
    <row r="647" spans="7:8">
      <c r="H647" s="2"/>
    </row>
    <row r="649" spans="7:8">
      <c r="H649" s="2"/>
    </row>
    <row r="650" spans="7:8">
      <c r="H650" s="2"/>
    </row>
    <row r="651" spans="7:8">
      <c r="H651" s="2"/>
    </row>
    <row r="653" spans="7:8">
      <c r="H653" s="2"/>
    </row>
    <row r="654" spans="7:8">
      <c r="G654" s="12"/>
      <c r="H654" s="2"/>
    </row>
    <row r="655" spans="7:8">
      <c r="G655" s="288"/>
      <c r="H655" s="2"/>
    </row>
    <row r="656" spans="7:8">
      <c r="G656" s="288"/>
      <c r="H656" s="2"/>
    </row>
    <row r="657" spans="7:8">
      <c r="G657" s="288"/>
      <c r="H657" s="2"/>
    </row>
    <row r="658" spans="7:8">
      <c r="G658" s="288"/>
      <c r="H658" s="2"/>
    </row>
    <row r="659" spans="7:8">
      <c r="G659" s="288"/>
      <c r="H659" s="2"/>
    </row>
    <row r="660" spans="7:8">
      <c r="H660" s="2"/>
    </row>
    <row r="661" spans="7:8">
      <c r="H661" s="2"/>
    </row>
    <row r="662" spans="7:8">
      <c r="H662" s="2"/>
    </row>
    <row r="663" spans="7:8">
      <c r="G663" s="12"/>
      <c r="H663" s="2"/>
    </row>
    <row r="664" spans="7:8">
      <c r="G664" s="12"/>
      <c r="H664" s="2"/>
    </row>
    <row r="665" spans="7:8">
      <c r="H665" s="2"/>
    </row>
    <row r="668" spans="7:8">
      <c r="G668" s="12"/>
    </row>
    <row r="677" spans="1:8">
      <c r="G677" s="9"/>
    </row>
    <row r="678" spans="1:8">
      <c r="G678" s="9"/>
    </row>
    <row r="679" spans="1:8">
      <c r="G679" s="9"/>
    </row>
    <row r="680" spans="1:8">
      <c r="B680" s="8"/>
      <c r="G680" s="9"/>
    </row>
    <row r="681" spans="1:8">
      <c r="A681" s="2"/>
      <c r="H681" s="2"/>
    </row>
    <row r="682" spans="1:8">
      <c r="A682" s="2"/>
      <c r="B682" s="13"/>
      <c r="H682" s="2"/>
    </row>
    <row r="683" spans="1:8">
      <c r="H683" s="2"/>
    </row>
    <row r="684" spans="1:8">
      <c r="B684" s="8"/>
      <c r="H684" s="2"/>
    </row>
    <row r="685" spans="1:8">
      <c r="H685" s="2"/>
    </row>
    <row r="686" spans="1:8">
      <c r="B686" s="8"/>
    </row>
    <row r="687" spans="1:8">
      <c r="H687" s="2"/>
    </row>
    <row r="688" spans="1:8">
      <c r="H688" s="2"/>
    </row>
    <row r="689" spans="7:8">
      <c r="H689" s="2"/>
    </row>
    <row r="690" spans="7:8">
      <c r="H690" s="2"/>
    </row>
    <row r="691" spans="7:8">
      <c r="H691" s="2"/>
    </row>
    <row r="692" spans="7:8">
      <c r="H692" s="2"/>
    </row>
    <row r="693" spans="7:8">
      <c r="H693" s="2"/>
    </row>
    <row r="694" spans="7:8">
      <c r="H694" s="2"/>
    </row>
    <row r="696" spans="7:8">
      <c r="H696" s="2"/>
    </row>
    <row r="697" spans="7:8">
      <c r="H697" s="2"/>
    </row>
    <row r="698" spans="7:8">
      <c r="H698" s="2"/>
    </row>
    <row r="699" spans="7:8">
      <c r="G699" s="9"/>
      <c r="H699" s="2"/>
    </row>
    <row r="700" spans="7:8">
      <c r="H700" s="2"/>
    </row>
    <row r="701" spans="7:8">
      <c r="H701" s="2"/>
    </row>
    <row r="703" spans="7:8">
      <c r="H703" s="2"/>
    </row>
    <row r="704" spans="7:8">
      <c r="H704" s="2"/>
    </row>
    <row r="705" spans="6:8">
      <c r="H705" s="2"/>
    </row>
    <row r="707" spans="6:8">
      <c r="H707" s="2"/>
    </row>
    <row r="708" spans="6:8">
      <c r="F708" s="9"/>
      <c r="G708" s="9"/>
      <c r="H708" s="2"/>
    </row>
    <row r="709" spans="6:8">
      <c r="F709" s="9"/>
      <c r="H709" s="2"/>
    </row>
    <row r="710" spans="6:8">
      <c r="F710" s="9"/>
      <c r="G710" s="9"/>
      <c r="H710" s="2"/>
    </row>
    <row r="711" spans="6:8">
      <c r="H711" s="2"/>
    </row>
    <row r="712" spans="6:8">
      <c r="H712" s="2"/>
    </row>
    <row r="713" spans="6:8">
      <c r="H713" s="2"/>
    </row>
    <row r="715" spans="6:8">
      <c r="H715" s="2"/>
    </row>
    <row r="716" spans="6:8">
      <c r="H716" s="2"/>
    </row>
    <row r="717" spans="6:8">
      <c r="H717" s="2"/>
    </row>
    <row r="718" spans="6:8">
      <c r="H718" s="2"/>
    </row>
    <row r="719" spans="6:8">
      <c r="H719" s="2"/>
    </row>
    <row r="720" spans="6:8">
      <c r="H720" s="2"/>
    </row>
    <row r="721" spans="5:8">
      <c r="H721" s="2"/>
    </row>
    <row r="722" spans="5:8">
      <c r="H722" s="2"/>
    </row>
    <row r="724" spans="5:8">
      <c r="H724" s="2"/>
    </row>
    <row r="725" spans="5:8">
      <c r="H725" s="2"/>
    </row>
    <row r="726" spans="5:8">
      <c r="H726" s="2"/>
    </row>
    <row r="727" spans="5:8">
      <c r="H727" s="2"/>
    </row>
    <row r="729" spans="5:8">
      <c r="F729" s="8"/>
      <c r="H729" s="2"/>
    </row>
    <row r="730" spans="5:8">
      <c r="E730" s="286"/>
      <c r="F730" s="8"/>
      <c r="H730" s="2"/>
    </row>
    <row r="731" spans="5:8">
      <c r="F731" s="8"/>
      <c r="H731" s="2"/>
    </row>
    <row r="732" spans="5:8">
      <c r="F732" s="8"/>
      <c r="H732" s="2"/>
    </row>
    <row r="733" spans="5:8">
      <c r="E733" s="286"/>
      <c r="F733" s="8"/>
      <c r="H733" s="2"/>
    </row>
    <row r="734" spans="5:8">
      <c r="F734" s="8"/>
      <c r="H734" s="2"/>
    </row>
    <row r="735" spans="5:8">
      <c r="F735" s="8"/>
      <c r="H735" s="2"/>
    </row>
    <row r="736" spans="5:8">
      <c r="F736" s="8"/>
      <c r="H736" s="2"/>
    </row>
    <row r="737" spans="1:8">
      <c r="F737" s="8"/>
      <c r="H737" s="2"/>
    </row>
    <row r="738" spans="1:8">
      <c r="F738" s="8"/>
      <c r="H738" s="2"/>
    </row>
    <row r="739" spans="1:8">
      <c r="F739" s="8"/>
      <c r="H739" s="2"/>
    </row>
    <row r="740" spans="1:8">
      <c r="F740" s="8"/>
      <c r="H740" s="2"/>
    </row>
    <row r="741" spans="1:8">
      <c r="A741" s="2"/>
      <c r="B741" s="2"/>
      <c r="F741" s="8"/>
      <c r="H741" s="2"/>
    </row>
    <row r="742" spans="1:8">
      <c r="A742" s="2"/>
      <c r="B742" s="2"/>
      <c r="F742" s="8"/>
      <c r="H742" s="2"/>
    </row>
    <row r="743" spans="1:8">
      <c r="A743" s="2"/>
      <c r="B743" s="2"/>
      <c r="F743" s="8"/>
      <c r="H743" s="2"/>
    </row>
    <row r="744" spans="1:8">
      <c r="A744" s="2"/>
      <c r="B744" s="2"/>
      <c r="F744" s="8"/>
      <c r="H744" s="2"/>
    </row>
    <row r="745" spans="1:8">
      <c r="A745" s="2"/>
      <c r="B745" s="2"/>
      <c r="F745" s="8"/>
      <c r="H745" s="2"/>
    </row>
    <row r="746" spans="1:8">
      <c r="A746" s="2"/>
      <c r="B746" s="2"/>
      <c r="F746" s="8"/>
      <c r="H746" s="2"/>
    </row>
    <row r="747" spans="1:8">
      <c r="A747" s="2"/>
      <c r="B747" s="2"/>
      <c r="F747" s="8"/>
      <c r="H747" s="2"/>
    </row>
    <row r="748" spans="1:8">
      <c r="A748" s="2"/>
      <c r="B748" s="2"/>
      <c r="F748" s="8"/>
      <c r="H748" s="2"/>
    </row>
    <row r="749" spans="1:8">
      <c r="A749" s="2"/>
      <c r="B749" s="2"/>
      <c r="F749" s="8"/>
      <c r="H749" s="2"/>
    </row>
    <row r="750" spans="1:8">
      <c r="A750" s="2"/>
      <c r="B750" s="2"/>
      <c r="F750" s="8"/>
      <c r="H750" s="2"/>
    </row>
    <row r="751" spans="1:8">
      <c r="A751" s="2"/>
      <c r="B751" s="2"/>
      <c r="F751" s="8"/>
      <c r="H751" s="2"/>
    </row>
    <row r="752" spans="1:8">
      <c r="A752" s="2"/>
      <c r="B752" s="2"/>
      <c r="F752" s="8"/>
      <c r="H752" s="2"/>
    </row>
    <row r="753" spans="1:8">
      <c r="A753" s="2"/>
      <c r="B753" s="2"/>
      <c r="E753" s="8"/>
      <c r="F753" s="8"/>
      <c r="H753" s="2"/>
    </row>
    <row r="754" spans="1:8">
      <c r="A754" s="2"/>
      <c r="B754" s="2"/>
      <c r="E754" s="8"/>
      <c r="F754" s="8"/>
      <c r="H754" s="2"/>
    </row>
    <row r="755" spans="1:8">
      <c r="A755" s="2"/>
      <c r="B755" s="2"/>
      <c r="E755" s="8"/>
      <c r="F755" s="8"/>
      <c r="H755" s="2"/>
    </row>
    <row r="756" spans="1:8">
      <c r="A756" s="2"/>
      <c r="B756" s="2"/>
      <c r="C756" s="8"/>
      <c r="E756" s="8"/>
      <c r="F756" s="8"/>
      <c r="H756" s="2"/>
    </row>
    <row r="757" spans="1:8">
      <c r="A757" s="2"/>
      <c r="B757" s="2"/>
      <c r="C757" s="8"/>
      <c r="E757" s="8"/>
      <c r="F757" s="8"/>
      <c r="H757" s="2"/>
    </row>
    <row r="758" spans="1:8">
      <c r="A758" s="2"/>
      <c r="B758" s="2"/>
      <c r="C758" s="8"/>
      <c r="E758" s="8"/>
      <c r="F758" s="8"/>
      <c r="H758" s="2"/>
    </row>
    <row r="759" spans="1:8">
      <c r="A759" s="2"/>
      <c r="B759" s="2"/>
      <c r="C759" s="8"/>
      <c r="D759" s="8"/>
      <c r="E759" s="8"/>
      <c r="F759" s="8"/>
      <c r="H759" s="2"/>
    </row>
    <row r="760" spans="1:8">
      <c r="A760" s="2"/>
      <c r="B760" s="2"/>
      <c r="C760" s="8"/>
      <c r="E760" s="8"/>
      <c r="F760" s="14"/>
      <c r="H760" s="2"/>
    </row>
    <row r="761" spans="1:8">
      <c r="A761" s="2"/>
      <c r="B761" s="2"/>
      <c r="C761" s="8"/>
      <c r="E761" s="8"/>
      <c r="F761" s="14"/>
      <c r="H761" s="2"/>
    </row>
    <row r="762" spans="1:8">
      <c r="A762" s="2"/>
      <c r="B762" s="2"/>
      <c r="C762" s="8"/>
      <c r="F762" s="14"/>
      <c r="H762" s="2"/>
    </row>
    <row r="763" spans="1:8">
      <c r="B763" s="2"/>
      <c r="C763" s="8"/>
      <c r="F763" s="8"/>
      <c r="H763" s="2"/>
    </row>
    <row r="764" spans="1:8">
      <c r="C764" s="8"/>
      <c r="F764" s="8"/>
      <c r="H764" s="2"/>
    </row>
    <row r="765" spans="1:8">
      <c r="F765" s="8"/>
      <c r="H765" s="2"/>
    </row>
    <row r="766" spans="1:8">
      <c r="F766" s="8"/>
      <c r="H766" s="2"/>
    </row>
    <row r="767" spans="1:8">
      <c r="F767" s="8"/>
      <c r="H767" s="2"/>
    </row>
    <row r="768" spans="1:8">
      <c r="F768" s="8"/>
      <c r="H768" s="2"/>
    </row>
    <row r="769" spans="4:8">
      <c r="F769" s="8"/>
      <c r="H769" s="2"/>
    </row>
    <row r="770" spans="4:8">
      <c r="F770" s="8"/>
      <c r="H770" s="2"/>
    </row>
    <row r="771" spans="4:8">
      <c r="D771" s="8"/>
      <c r="F771" s="8"/>
      <c r="H771" s="2"/>
    </row>
    <row r="772" spans="4:8">
      <c r="D772" s="8"/>
      <c r="F772" s="8"/>
      <c r="H772" s="2"/>
    </row>
    <row r="773" spans="4:8">
      <c r="D773" s="8"/>
      <c r="F773" s="8"/>
      <c r="H773" s="2"/>
    </row>
    <row r="774" spans="4:8">
      <c r="D774" s="8"/>
      <c r="F774" s="8"/>
      <c r="H774" s="2"/>
    </row>
  </sheetData>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F170"/>
  <sheetViews>
    <sheetView zoomScale="85" zoomScaleNormal="85" workbookViewId="0">
      <pane ySplit="9" topLeftCell="A10" activePane="bottomLeft" state="frozen"/>
      <selection pane="bottomLeft" activeCell="C6" sqref="C6"/>
    </sheetView>
  </sheetViews>
  <sheetFormatPr defaultRowHeight="12.75"/>
  <cols>
    <col min="1" max="1" width="40.7109375" style="15" customWidth="1"/>
    <col min="2" max="2" width="47" style="30" customWidth="1"/>
    <col min="3" max="3" width="11.5703125" style="31" customWidth="1"/>
    <col min="4" max="4" width="8.7109375" style="23" customWidth="1"/>
    <col min="5" max="5" width="5" style="23" customWidth="1"/>
    <col min="6" max="6" width="4.85546875" style="23" customWidth="1"/>
    <col min="7" max="7" width="5.5703125" style="24" customWidth="1"/>
    <col min="8" max="8" width="5" style="24" customWidth="1"/>
    <col min="9" max="9" width="5.5703125" style="23" customWidth="1"/>
    <col min="10" max="10" width="6.140625" style="23" customWidth="1"/>
    <col min="11" max="11" width="7.7109375" style="23" customWidth="1"/>
    <col min="12" max="13" width="10" style="20" bestFit="1" customWidth="1"/>
    <col min="14" max="15" width="7.7109375" style="20" customWidth="1"/>
    <col min="16" max="17" width="7.5703125" style="20" customWidth="1"/>
    <col min="18" max="18" width="8.28515625" style="20" bestFit="1" customWidth="1"/>
    <col min="19" max="19" width="10.85546875" style="20" customWidth="1"/>
    <col min="20" max="20" width="6.140625" style="15" customWidth="1"/>
    <col min="21" max="21" width="9.42578125" style="15" customWidth="1"/>
    <col min="22" max="22" width="8.85546875" style="15" customWidth="1"/>
    <col min="23" max="23" width="7" style="15" customWidth="1"/>
    <col min="24" max="24" width="8.5703125" style="15" customWidth="1"/>
    <col min="25" max="25" width="9.5703125" style="15" bestFit="1" customWidth="1"/>
    <col min="26" max="26" width="4.42578125" style="15" customWidth="1"/>
    <col min="27" max="31" width="9.140625" style="15"/>
    <col min="32" max="32" width="10.7109375" style="15" bestFit="1" customWidth="1"/>
    <col min="33" max="16384" width="9.140625" style="15"/>
  </cols>
  <sheetData>
    <row r="1" spans="1:32">
      <c r="A1" s="1397" t="s">
        <v>3084</v>
      </c>
      <c r="B1" s="1401"/>
      <c r="C1" s="1402"/>
      <c r="D1" s="1139" t="s">
        <v>271</v>
      </c>
      <c r="E1" s="1407" t="s">
        <v>2138</v>
      </c>
      <c r="F1" s="1408"/>
      <c r="G1" s="1408"/>
      <c r="H1" s="1408"/>
      <c r="I1" s="1408"/>
      <c r="J1" s="1408"/>
      <c r="K1" s="1409"/>
      <c r="L1" s="1400">
        <f>E143/20/100</f>
        <v>0.39383314060168295</v>
      </c>
      <c r="M1" s="1400"/>
      <c r="N1" s="105" t="s">
        <v>1215</v>
      </c>
      <c r="O1" s="18"/>
      <c r="P1" s="491"/>
      <c r="Q1" s="491"/>
      <c r="R1" s="491"/>
      <c r="S1" s="492"/>
      <c r="T1" s="1119"/>
      <c r="U1" s="1120" t="s">
        <v>3045</v>
      </c>
      <c r="V1" s="1121"/>
      <c r="W1" s="1121"/>
      <c r="X1" s="1122"/>
      <c r="Y1" s="1123"/>
      <c r="Z1" s="27"/>
      <c r="AD1" s="1340"/>
      <c r="AE1" s="1340"/>
      <c r="AF1" s="1340"/>
    </row>
    <row r="2" spans="1:32" ht="13.5" thickBot="1">
      <c r="A2" s="1398"/>
      <c r="B2" s="1110" t="s">
        <v>1138</v>
      </c>
      <c r="C2" s="1111">
        <f>SUM('Damage Calc'!J2:J7)</f>
        <v>1002.017991686008</v>
      </c>
      <c r="D2" s="1112">
        <f>C2/$C$6</f>
        <v>0.64430892978265919</v>
      </c>
      <c r="E2" s="1403" t="str">
        <f>cycle</f>
        <v>Cycle: 1s/5r   SnD Slack: 1.24</v>
      </c>
      <c r="F2" s="1404"/>
      <c r="G2" s="1404"/>
      <c r="H2" s="1404"/>
      <c r="I2" s="1404"/>
      <c r="J2" s="1404"/>
      <c r="K2" s="1405"/>
      <c r="L2" s="1400">
        <f>(K143/dorate)/100</f>
        <v>0</v>
      </c>
      <c r="M2" s="1400"/>
      <c r="N2" s="105" t="s">
        <v>264</v>
      </c>
      <c r="O2" s="484"/>
      <c r="P2" s="491"/>
      <c r="Q2" s="491"/>
      <c r="R2" s="491"/>
      <c r="S2" s="492"/>
      <c r="T2" s="590" t="s">
        <v>3155</v>
      </c>
      <c r="U2" s="591"/>
      <c r="V2" s="591"/>
      <c r="W2" s="592"/>
      <c r="X2" s="1124"/>
      <c r="Y2" s="1126"/>
      <c r="Z2" s="27"/>
      <c r="AD2" s="1340"/>
      <c r="AE2" s="1340"/>
      <c r="AF2" s="1340"/>
    </row>
    <row r="3" spans="1:32">
      <c r="A3" s="643"/>
      <c r="B3" s="1113" t="str">
        <f>instatklng&amp;" DPS"</f>
        <v>Sinister Strike DPS</v>
      </c>
      <c r="C3" s="1114">
        <f>'Damage Calc'!J8</f>
        <v>327.58159382962725</v>
      </c>
      <c r="D3" s="1115">
        <f>C3/$C$6</f>
        <v>0.21063867903382291</v>
      </c>
      <c r="E3" s="1410" t="s">
        <v>2137</v>
      </c>
      <c r="F3" s="1411"/>
      <c r="G3" s="1412" t="s">
        <v>771</v>
      </c>
      <c r="H3" s="1412"/>
      <c r="I3" s="1411" t="s">
        <v>768</v>
      </c>
      <c r="J3" s="1411"/>
      <c r="K3" s="1135" t="s">
        <v>770</v>
      </c>
      <c r="L3" s="1400">
        <f>(ROUNDDOWN(M143/defrating_def,0)*0.04)/100</f>
        <v>0</v>
      </c>
      <c r="M3" s="1400"/>
      <c r="N3" s="105" t="s">
        <v>1287</v>
      </c>
      <c r="O3" s="484"/>
      <c r="P3" s="18"/>
      <c r="Q3" s="18"/>
      <c r="R3" s="485"/>
      <c r="S3" s="486"/>
      <c r="T3" s="1130"/>
      <c r="U3" s="1125"/>
      <c r="V3" s="1125"/>
      <c r="W3" s="1125"/>
      <c r="X3" s="1125" t="s">
        <v>3075</v>
      </c>
      <c r="Y3" s="1127"/>
      <c r="Z3" s="1315"/>
      <c r="AD3" s="1340"/>
      <c r="AE3" s="1340"/>
      <c r="AF3" s="1340"/>
    </row>
    <row r="4" spans="1:32">
      <c r="A4" s="643"/>
      <c r="B4" s="1116" t="s">
        <v>2142</v>
      </c>
      <c r="C4" s="1117">
        <f>'Damage Calc'!J10+'Damage Calc'!J11+'Damage Calc'!J12</f>
        <v>119.18260098388045</v>
      </c>
      <c r="D4" s="1118">
        <f>C4/$C$6</f>
        <v>7.6635763754530198E-2</v>
      </c>
      <c r="E4" s="1413">
        <f>3524+INT(F143)*10</f>
        <v>9674</v>
      </c>
      <c r="F4" s="1414"/>
      <c r="G4" s="1431">
        <f>(1+'Gear &amp; Buffs'!$P$143/(hasterate*100))</f>
        <v>1.0808524183153847</v>
      </c>
      <c r="H4" s="1431"/>
      <c r="I4" s="1406">
        <f>ap</f>
        <v>3165.5289383329646</v>
      </c>
      <c r="J4" s="1406"/>
      <c r="K4" s="1136">
        <f>'Damage Calc'!$Q$42</f>
        <v>4010</v>
      </c>
      <c r="L4" s="1399">
        <f>-0.59/100</f>
        <v>-5.8999999999999999E-3</v>
      </c>
      <c r="M4" s="1399"/>
      <c r="N4" s="105" t="s">
        <v>393</v>
      </c>
      <c r="O4" s="484"/>
      <c r="P4" s="45"/>
      <c r="Q4" s="158"/>
      <c r="R4" s="45"/>
      <c r="S4" s="45"/>
      <c r="T4" s="1130"/>
      <c r="U4" s="1125"/>
      <c r="V4" s="1125"/>
      <c r="W4" s="1125"/>
      <c r="X4" s="1125" t="s">
        <v>1898</v>
      </c>
      <c r="Y4" s="1127" t="b">
        <v>1</v>
      </c>
      <c r="Z4" s="1315"/>
      <c r="AD4" s="1340"/>
      <c r="AE4" s="1340"/>
      <c r="AF4" s="1340"/>
    </row>
    <row r="5" spans="1:32" ht="13.5" thickBot="1">
      <c r="A5" s="643"/>
      <c r="B5" s="1113" t="s">
        <v>2143</v>
      </c>
      <c r="C5" s="1114">
        <f>'Damage Calc'!J13+'Damage Calc'!J14+'Damage Calc'!J15+'Damage Calc'!J9</f>
        <v>106.40034375660329</v>
      </c>
      <c r="D5" s="1115">
        <f>C5/$C$6</f>
        <v>6.84166274289877E-2</v>
      </c>
      <c r="E5" s="1419" t="s">
        <v>2140</v>
      </c>
      <c r="F5" s="1420"/>
      <c r="G5" s="1421" t="s">
        <v>2139</v>
      </c>
      <c r="H5" s="1421"/>
      <c r="I5" s="1420" t="s">
        <v>2141</v>
      </c>
      <c r="J5" s="1420"/>
      <c r="K5" s="1137" t="s">
        <v>2144</v>
      </c>
      <c r="L5" s="1399">
        <f>((CharLevel-BossLevel)*(0.2))/100</f>
        <v>-6.000000000000001E-3</v>
      </c>
      <c r="M5" s="1399"/>
      <c r="N5" s="483" t="s">
        <v>394</v>
      </c>
      <c r="O5" s="484"/>
      <c r="P5" s="18"/>
      <c r="Q5" s="485"/>
      <c r="R5" s="485"/>
      <c r="S5" s="487"/>
      <c r="T5" s="1130"/>
      <c r="U5" s="1125"/>
      <c r="V5" s="1125"/>
      <c r="W5" s="1125"/>
      <c r="X5" s="1125" t="s">
        <v>1915</v>
      </c>
      <c r="Y5" s="1127" t="b">
        <v>1</v>
      </c>
      <c r="Z5" s="1315"/>
      <c r="AD5" s="1340"/>
      <c r="AE5" s="1340"/>
      <c r="AF5" s="1340"/>
    </row>
    <row r="6" spans="1:32" ht="13.5" thickBot="1">
      <c r="A6" s="643"/>
      <c r="B6" s="1132" t="s">
        <v>2145</v>
      </c>
      <c r="C6" s="1133">
        <f>'Damage Calc'!J16</f>
        <v>1555.182530256119</v>
      </c>
      <c r="D6" s="1134">
        <f>D2+D3+D4+D5</f>
        <v>1</v>
      </c>
      <c r="E6" s="1418">
        <f>((E143/agicrit+G143/crrate)/100)+bwrath+(CharLevel-BossLevel)*bosscrit*5-IF(BossLevel*5-CharLevel*5&gt;10, 1.8%, 0)</f>
        <v>0.22111169225206101</v>
      </c>
      <c r="F6" s="1415"/>
      <c r="G6" s="1415">
        <f>'Damage Calc'!Q2+-'Gear &amp; Buffs'!I6</f>
        <v>0.26956097560975611</v>
      </c>
      <c r="H6" s="1415"/>
      <c r="I6" s="1415">
        <f>'Damage Calc'!B19</f>
        <v>4.3902439024390283E-4</v>
      </c>
      <c r="J6" s="1415"/>
      <c r="K6" s="1138">
        <f>'Damage Calc'!B20</f>
        <v>2.0000000000000004E-2</v>
      </c>
      <c r="L6" s="1430">
        <f>MAX((-0.59+E143/20+(K143/dorate)+(ROUNDDOWN(M143/defrating_def,0)*0.04))/100+0.2%*(CharLevel-BossLevel),0%)</f>
        <v>0.38193314060168293</v>
      </c>
      <c r="M6" s="1399"/>
      <c r="N6" s="105" t="s">
        <v>2144</v>
      </c>
      <c r="O6" s="488"/>
      <c r="P6" s="158"/>
      <c r="Q6" s="158"/>
      <c r="R6" s="158"/>
      <c r="S6" s="45"/>
      <c r="T6" s="1130"/>
      <c r="U6" s="1125"/>
      <c r="V6" s="1125"/>
      <c r="W6" s="1125"/>
      <c r="X6" s="1125" t="s">
        <v>74</v>
      </c>
      <c r="Y6" s="1127" t="b">
        <v>1</v>
      </c>
      <c r="Z6" s="1315"/>
      <c r="AD6" s="1340"/>
      <c r="AE6" s="1340"/>
      <c r="AF6" s="1340"/>
    </row>
    <row r="7" spans="1:32" ht="13.5" thickBot="1">
      <c r="A7" s="644"/>
      <c r="B7" s="285">
        <v>2</v>
      </c>
      <c r="C7" s="107">
        <v>1555.182530256119</v>
      </c>
      <c r="D7" s="493">
        <f>C7*0.71</f>
        <v>1104.1795964818443</v>
      </c>
      <c r="E7" s="44" t="s">
        <v>1177</v>
      </c>
      <c r="L7" s="1435">
        <f>Talents!H8</f>
        <v>0.4699331406016829</v>
      </c>
      <c r="M7" s="1436"/>
      <c r="N7" s="105" t="s">
        <v>1176</v>
      </c>
      <c r="O7" s="62"/>
      <c r="P7" s="489"/>
      <c r="Q7" s="489"/>
      <c r="R7" s="489"/>
      <c r="S7" s="489"/>
      <c r="T7" s="1131"/>
      <c r="U7" s="1128"/>
      <c r="V7" s="1128"/>
      <c r="W7" s="1128"/>
      <c r="X7" s="1128" t="s">
        <v>75</v>
      </c>
      <c r="Y7" s="1129" t="b">
        <v>1</v>
      </c>
      <c r="Z7" s="1315"/>
      <c r="AD7" s="1340"/>
      <c r="AE7" s="1340"/>
      <c r="AF7" s="1340"/>
    </row>
    <row r="8" spans="1:32" ht="22.5" customHeight="1" thickBot="1">
      <c r="A8" s="645"/>
      <c r="B8" s="34" t="s">
        <v>3083</v>
      </c>
      <c r="C8" s="1313">
        <f>C6-C7</f>
        <v>0</v>
      </c>
      <c r="D8" s="1314">
        <f>C8/$C$6</f>
        <v>0</v>
      </c>
      <c r="M8" s="35"/>
      <c r="N8" s="635"/>
      <c r="O8" s="636"/>
      <c r="R8" s="205" t="s">
        <v>274</v>
      </c>
      <c r="Y8" s="282" t="b">
        <v>1</v>
      </c>
      <c r="AD8" s="1340"/>
      <c r="AE8" s="1340"/>
      <c r="AF8" s="1340"/>
    </row>
    <row r="9" spans="1:32" ht="13.5" thickBot="1">
      <c r="A9" s="646"/>
      <c r="B9" s="642" t="s">
        <v>1213</v>
      </c>
      <c r="C9" s="639" t="s">
        <v>666</v>
      </c>
      <c r="D9" s="637" t="s">
        <v>1214</v>
      </c>
      <c r="E9" s="637" t="s">
        <v>1215</v>
      </c>
      <c r="F9" s="637" t="s">
        <v>1216</v>
      </c>
      <c r="G9" s="638" t="s">
        <v>2140</v>
      </c>
      <c r="H9" s="638" t="s">
        <v>2139</v>
      </c>
      <c r="I9" s="637" t="s">
        <v>768</v>
      </c>
      <c r="J9" s="637" t="s">
        <v>1217</v>
      </c>
      <c r="K9" s="637" t="s">
        <v>2144</v>
      </c>
      <c r="L9" s="639" t="s">
        <v>1582</v>
      </c>
      <c r="M9" s="639" t="s">
        <v>2166</v>
      </c>
      <c r="N9" s="639"/>
      <c r="O9" s="639"/>
      <c r="P9" s="639" t="s">
        <v>771</v>
      </c>
      <c r="Q9" s="640" t="s">
        <v>770</v>
      </c>
      <c r="R9" s="639" t="s">
        <v>1220</v>
      </c>
      <c r="S9" s="639" t="s">
        <v>1221</v>
      </c>
      <c r="T9" s="639" t="s">
        <v>1222</v>
      </c>
      <c r="U9" s="639" t="s">
        <v>1223</v>
      </c>
      <c r="V9" s="639" t="s">
        <v>764</v>
      </c>
      <c r="W9" s="637" t="s">
        <v>1224</v>
      </c>
      <c r="X9" s="637" t="s">
        <v>1225</v>
      </c>
      <c r="Y9" s="641" t="s">
        <v>1226</v>
      </c>
      <c r="AD9" s="1340"/>
      <c r="AE9" s="1340"/>
      <c r="AF9" s="1340"/>
    </row>
    <row r="10" spans="1:32">
      <c r="A10" s="612" t="s">
        <v>3047</v>
      </c>
      <c r="B10" s="611" t="s">
        <v>1381</v>
      </c>
      <c r="C10" s="1154" t="str">
        <f>VLOOKUP($B10,MHWeaponStats,lookSource,FALSE)</f>
        <v>BoE</v>
      </c>
      <c r="D10" s="613">
        <f>VLOOKUP($B10,MHWeaponStats,lookStr,FALSE)</f>
        <v>0</v>
      </c>
      <c r="E10" s="613">
        <f>VLOOKUP($B10,MHWeaponStats,lookAgi,FALSE)</f>
        <v>0</v>
      </c>
      <c r="F10" s="613">
        <f>VLOOKUP($B10,MHWeaponStats,lookSta,FALSE)</f>
        <v>0</v>
      </c>
      <c r="G10" s="614">
        <f>VLOOKUP($B10,MHWeaponStats,lookCrit,FALSE)</f>
        <v>0</v>
      </c>
      <c r="H10" s="614">
        <f>VLOOKUP($B10,MHWeaponStats,lookHit,FALSE)</f>
        <v>0</v>
      </c>
      <c r="I10" s="613">
        <f>VLOOKUP($B10,MHWeaponStats,lookAP,FALSE)</f>
        <v>0</v>
      </c>
      <c r="J10" s="614">
        <f>VLOOKUP($B10,MHWeaponStats,lookRes,FALSE)</f>
        <v>0</v>
      </c>
      <c r="K10" s="614">
        <f>VLOOKUP($B10,MHWeaponStats,lookDod,FALSE)</f>
        <v>0</v>
      </c>
      <c r="L10" s="615">
        <f>VLOOKUP($B10,MHWeaponStats,lookExp,FALSE)</f>
        <v>0</v>
      </c>
      <c r="M10" s="615">
        <f>VLOOKUP($B10,MHWeaponStats,lookDef,FALSE)</f>
        <v>0</v>
      </c>
      <c r="N10" s="1154"/>
      <c r="O10" s="615"/>
      <c r="P10" s="615">
        <f>VLOOKUP($B10,MHWeaponStats,lookHaste,FALSE)</f>
        <v>0</v>
      </c>
      <c r="Q10" s="615">
        <f>VLOOKUP($B10,MHWeaponStats,lookArmor,FALSE)</f>
        <v>0</v>
      </c>
      <c r="R10" s="615" t="str">
        <f>VLOOKUP($B10,MHWeaponStats,lookSoc,FALSE)</f>
        <v>0 0 0</v>
      </c>
      <c r="S10" s="615">
        <f>VLOOKUP($B10,MHWeaponStats,lookSet,FALSE)</f>
        <v>0</v>
      </c>
      <c r="T10" s="614">
        <f>(VLOOKUP($B$10,MHWeaponStats,lookMinDmg,FALSE)+T11+T12+IF(AND($B$28="Brutal Earthstorm Diamond (3dam/stun)",$C$28,Socket!$S$110),3,0)+IF($B$67="Striking (+2dmg)",2,0)+IF($B$69="Striking (+2dmg)",2,0))+IF(LEFT($B$32,22)="Braided Eternium Chain",5,0)+IF(OR(trinket1="Crystalforged Trinket",trinket2="Crystalforged Trinket"),7,0)+IF(AND(Hemorrhage=1,OR(Talents!$O$25="No",instatk&lt;&gt;"HEMO")),42*HDebuff,0)</f>
        <v>147</v>
      </c>
      <c r="U10" s="614">
        <f>(VLOOKUP($B$10,MHWeaponStats,lookMaxDmg,FALSE)+U11+U12+IF(AND($B$28="Brutal Earthstorm Diamond (3dam/stun)",$C$28,Socket!$S$110),3,0)+IF($B$67="Striking (+2dmg)",2,0)+IF($B$69="Striking (+2dmg)",2,0))+IF(LEFT($B$32,22)="Braided Eternium Chain",5,0)+IF(OR(trinket1="Crystalforged Trinket",trinket2="Crystalforged Trinket"),7,0)+IF(AND(Hemorrhage=1,OR(Talents!$O$25="No",instatk&lt;&gt;"HEMO")),42*HDebuff,0)</f>
        <v>275</v>
      </c>
      <c r="V10" s="614">
        <f>(VLOOKUP($B$10,MHWeaponStats,lookAvgDmg,FALSE)+V11+V12+IF(AND($B$28="Brutal Earthstorm Diamond (3dam/stun)",$C$28,Socket!$S$110),3,0)+IF($B$67="Striking (+2dmg)",2,0)+IF($B$69="Striking (+2dmg)",2,0))+IF(LEFT($B$32,22)="Braided Eternium Chain",5,0)+IF(OR(trinket1="Crystalforged Trinket",trinket2="Crystalforged Trinket"),7,0)+IF(AND(Hemorrhage=1,OR(Talents!$O$25="No",instatk&lt;&gt;"HEMO")),42*HDebuff,0)</f>
        <v>211</v>
      </c>
      <c r="W10" s="613">
        <f>VLOOKUP($B10,MHWeaponStats,lookSpeed,FALSE)</f>
        <v>2.6</v>
      </c>
      <c r="X10" s="613" t="str">
        <f>VLOOKUP($B10,MHWeaponStats,lookType,FALSE)</f>
        <v>Sword</v>
      </c>
      <c r="Y10" s="616">
        <f>Weapons!AT45</f>
        <v>0</v>
      </c>
      <c r="AB10" s="1343"/>
      <c r="AC10" s="1343" t="b">
        <f>Sockfit!$O$3</f>
        <v>0</v>
      </c>
      <c r="AD10" s="1343" t="str">
        <f>Sockfit!$P$3</f>
        <v>0000</v>
      </c>
      <c r="AE10" s="122"/>
      <c r="AF10" s="1340"/>
    </row>
    <row r="11" spans="1:32">
      <c r="A11" s="189" t="s">
        <v>1228</v>
      </c>
      <c r="B11" s="609" t="s">
        <v>1229</v>
      </c>
      <c r="C11" s="1308"/>
      <c r="D11" s="40">
        <f>VLOOKUP(B11,MHEnchantStats,3,FALSE)</f>
        <v>0</v>
      </c>
      <c r="E11" s="40">
        <f>VLOOKUP(B11,MHEnchantStats,4,FALSE)</f>
        <v>67.753947516836675</v>
      </c>
      <c r="F11" s="40">
        <f>VLOOKUP(B11,MHEnchantStats,5,FALSE)</f>
        <v>0</v>
      </c>
      <c r="G11" s="41">
        <f>VLOOKUP(B11,MHEnchantStats,6,FALSE)</f>
        <v>0</v>
      </c>
      <c r="H11" s="41">
        <f>VLOOKUP(B11,MHEnchantStats,7,FALSE)</f>
        <v>0</v>
      </c>
      <c r="I11" s="40">
        <f>VLOOKUP(B11,MHEnchantStats,8,FALSE)</f>
        <v>0</v>
      </c>
      <c r="J11" s="40">
        <v>0</v>
      </c>
      <c r="K11" s="41"/>
      <c r="L11" s="39"/>
      <c r="M11" s="39"/>
      <c r="N11" s="1155"/>
      <c r="O11" s="39"/>
      <c r="P11" s="39">
        <f>VLOOKUP(B11,MHEnchantStats,10,FALSE)</f>
        <v>17.807127231989124</v>
      </c>
      <c r="Q11" s="39">
        <f>VLOOKUP(B11,MHEnchantStats,9,FALSE)</f>
        <v>0</v>
      </c>
      <c r="R11" s="39"/>
      <c r="S11" s="39"/>
      <c r="T11" s="39">
        <f>VLOOKUP(B11,MHEnchantStats,11,FALSE)</f>
        <v>0</v>
      </c>
      <c r="U11" s="40">
        <f>VLOOKUP(B11,MHEnchantStats,12,FALSE)</f>
        <v>0</v>
      </c>
      <c r="V11" s="41">
        <f>VLOOKUP(B11,MHEnchantStats,13,FALSE)</f>
        <v>0</v>
      </c>
      <c r="W11" s="40">
        <v>0</v>
      </c>
      <c r="X11" s="40" t="str">
        <f>VLOOKUP(B11,MHEnchantStats,15,FALSE)</f>
        <v>Enchant</v>
      </c>
      <c r="Y11" s="42">
        <f>VLOOKUP(B11,MHEnchantStats,17,FALSE)</f>
        <v>0</v>
      </c>
      <c r="Z11" s="36"/>
      <c r="AB11" s="1343"/>
      <c r="AC11" s="1343" t="b">
        <f>Sockfit!$O$7</f>
        <v>0</v>
      </c>
      <c r="AD11" s="1343" t="str">
        <f>Sockfit!$P$7</f>
        <v>0000</v>
      </c>
      <c r="AE11" s="122"/>
      <c r="AF11" s="1340"/>
    </row>
    <row r="12" spans="1:32">
      <c r="A12" s="189" t="s">
        <v>520</v>
      </c>
      <c r="B12" s="609" t="s">
        <v>521</v>
      </c>
      <c r="C12" s="1308"/>
      <c r="D12" s="40">
        <f>VLOOKUP(B12,MHTempEnchantStats,3,FALSE)</f>
        <v>0</v>
      </c>
      <c r="E12" s="40">
        <f>VLOOKUP(B12,MHTempEnchantStats,4,FALSE)</f>
        <v>0</v>
      </c>
      <c r="F12" s="40">
        <f>VLOOKUP(B12,MHTempEnchantStats,5,FALSE)</f>
        <v>0</v>
      </c>
      <c r="G12" s="41">
        <f>VLOOKUP(B12,MHTempEnchantStats,6,FALSE)</f>
        <v>0</v>
      </c>
      <c r="H12" s="41">
        <f>VLOOKUP(B12,MHTempEnchantStats,7,FALSE)</f>
        <v>0</v>
      </c>
      <c r="I12" s="40">
        <f>VLOOKUP(B12,MHTempEnchantStats,8,FALSE)</f>
        <v>0</v>
      </c>
      <c r="J12" s="40">
        <v>0</v>
      </c>
      <c r="K12" s="41">
        <f>VLOOKUP(B12,MHTempEnchantStats,9,FALSE)</f>
        <v>0</v>
      </c>
      <c r="L12" s="39"/>
      <c r="M12" s="39"/>
      <c r="N12" s="1155"/>
      <c r="O12" s="39"/>
      <c r="P12" s="39"/>
      <c r="Q12" s="39"/>
      <c r="R12" s="39"/>
      <c r="S12" s="39"/>
      <c r="T12" s="39">
        <f>VLOOKUP(B12,MHTempEnchantStats,11,FALSE)</f>
        <v>0</v>
      </c>
      <c r="U12" s="40">
        <f>VLOOKUP(B12,MHTempEnchantStats,12,FALSE)</f>
        <v>0</v>
      </c>
      <c r="V12" s="41">
        <f>VLOOKUP(B12,MHTempEnchantStats,13,FALSE)</f>
        <v>0</v>
      </c>
      <c r="W12" s="40">
        <f>VLOOKUP(B12,MHTempEnchantStats,14,FALSE)</f>
        <v>0</v>
      </c>
      <c r="X12" s="40" t="str">
        <f>VLOOKUP(B12,MHTempEnchantStats,15,FALSE)</f>
        <v>Enchant</v>
      </c>
      <c r="Y12" s="42">
        <f>VLOOKUP(B12,MHTempEnchantStats,17,FALSE)</f>
        <v>0</v>
      </c>
      <c r="Z12" s="36"/>
      <c r="AB12" s="1343"/>
      <c r="AC12" s="1343" t="b">
        <f>Sockfit!$O$43</f>
        <v>0</v>
      </c>
      <c r="AD12" s="1343" t="str">
        <f>Sockfit!$P$43</f>
        <v>0000</v>
      </c>
      <c r="AE12" s="122"/>
      <c r="AF12" s="1340"/>
    </row>
    <row r="13" spans="1:32">
      <c r="A13" s="604" t="str">
        <f>IF(AC10,"+"&amp;MID(AD10,4,2)&amp;" "&amp;MID(AD10,1,2),MID($R$10,1,1)&amp;" Red "&amp;MID($R$10,3,1)&amp;" Blue "&amp;MID($R$10,5,1)&amp;" Yellow")</f>
        <v>0 Red 0 Blue 0 Yellow</v>
      </c>
      <c r="B13" s="599" t="s">
        <v>303</v>
      </c>
      <c r="C13" s="1309" t="b">
        <f>MID($R$10,1,1)+MID($R$10,3,1)+MID(R$10,5,1)&gt;=1</f>
        <v>0</v>
      </c>
      <c r="D13" s="600">
        <f>IF($C13,VLOOKUP($B13,GenSocketStats,lookStr,FALSE),0)</f>
        <v>0</v>
      </c>
      <c r="E13" s="600">
        <f>IF($C13,VLOOKUP($B13,GenSocketStats,lookAgi,FALSE),0)</f>
        <v>0</v>
      </c>
      <c r="F13" s="600">
        <f>IF($C13,VLOOKUP($B13,GenSocketStats,lookSta,FALSE),0)</f>
        <v>0</v>
      </c>
      <c r="G13" s="601">
        <f>IF($C13,VLOOKUP($B13,GenSocketStats,lookCrit,FALSE),0)</f>
        <v>0</v>
      </c>
      <c r="H13" s="601">
        <f>IF($C13,VLOOKUP($B13,GenSocketStats,lookHit,FALSE),0)</f>
        <v>0</v>
      </c>
      <c r="I13" s="600">
        <f>IF($C13,VLOOKUP($B13,GenSocketStats,lookAP,FALSE),0)</f>
        <v>0</v>
      </c>
      <c r="J13" s="600">
        <f>IF($C13,VLOOKUP($B13,GenSocketStats,lookRes,FALSE),0)</f>
        <v>0</v>
      </c>
      <c r="K13" s="601">
        <f>IF($C13,VLOOKUP($B13,GenSocketStats,lookDod,FALSE),0)</f>
        <v>0</v>
      </c>
      <c r="L13" s="600">
        <f>IF($C13,VLOOKUP($B13,GenSocketStats,lookExp,FALSE),0)</f>
        <v>0</v>
      </c>
      <c r="M13" s="600"/>
      <c r="N13" s="605"/>
      <c r="O13" s="600"/>
      <c r="P13" s="600">
        <f>IF($C13,VLOOKUP($B13,GenSocketStats,lookHaste,FALSE),0)</f>
        <v>0</v>
      </c>
      <c r="Q13" s="600">
        <f>IF($C13,VLOOKUP($B13,GenSocketStats,lookArmor,FALSE),0)</f>
        <v>0</v>
      </c>
      <c r="R13" s="600">
        <f>IF($C13,VLOOKUP($B13,GenSocketStats,lookSoc,FALSE),0)</f>
        <v>0</v>
      </c>
      <c r="S13" s="602">
        <f>IF($C13,VLOOKUP($B13,GenSocketStats,lookSet,FALSE),0)</f>
        <v>0</v>
      </c>
      <c r="T13" s="602"/>
      <c r="U13" s="600"/>
      <c r="V13" s="601"/>
      <c r="W13" s="600"/>
      <c r="X13" s="600"/>
      <c r="Y13" s="603"/>
      <c r="Z13" s="36"/>
      <c r="AB13" s="1343"/>
      <c r="AC13" s="1343" t="b">
        <f>Sockfit!$O$11</f>
        <v>1</v>
      </c>
      <c r="AD13" s="1343" t="str">
        <f>Sockfit!$P$11</f>
        <v>ag 4</v>
      </c>
      <c r="AE13" s="122"/>
      <c r="AF13" s="1340"/>
    </row>
    <row r="14" spans="1:32">
      <c r="A14" s="189"/>
      <c r="B14" s="599" t="s">
        <v>303</v>
      </c>
      <c r="C14" s="1309" t="b">
        <f>MID($R$10,1,1)+MID($R$10,3,1)+MID(R$10,5,1)&gt;=2</f>
        <v>0</v>
      </c>
      <c r="D14" s="600">
        <f>IF($C14,VLOOKUP($B14,GenSocketStats,lookStr,FALSE),0)</f>
        <v>0</v>
      </c>
      <c r="E14" s="600">
        <f>IF($C14,VLOOKUP($B14,GenSocketStats,lookAgi,FALSE),0)</f>
        <v>0</v>
      </c>
      <c r="F14" s="600">
        <f>IF($C14,VLOOKUP($B14,GenSocketStats,lookSta,FALSE),0)</f>
        <v>0</v>
      </c>
      <c r="G14" s="601">
        <f>IF($C14,VLOOKUP($B14,GenSocketStats,lookCrit,FALSE),0)</f>
        <v>0</v>
      </c>
      <c r="H14" s="601">
        <f>IF($C14,VLOOKUP($B14,GenSocketStats,lookHit,FALSE),0)</f>
        <v>0</v>
      </c>
      <c r="I14" s="600">
        <f>IF($C14,VLOOKUP($B14,GenSocketStats,lookAP,FALSE),0)</f>
        <v>0</v>
      </c>
      <c r="J14" s="600">
        <f>IF($C14,VLOOKUP($B14,GenSocketStats,lookRes,FALSE),0)</f>
        <v>0</v>
      </c>
      <c r="K14" s="601">
        <f>IF($C14,VLOOKUP($B14,GenSocketStats,lookDod,FALSE),0)</f>
        <v>0</v>
      </c>
      <c r="L14" s="600">
        <f>IF($C14,VLOOKUP($B14,GenSocketStats,lookExp,FALSE),0)</f>
        <v>0</v>
      </c>
      <c r="M14" s="600"/>
      <c r="N14" s="605"/>
      <c r="O14" s="600"/>
      <c r="P14" s="600">
        <f>IF($C14,VLOOKUP($B14,GenSocketStats,lookHaste,FALSE),0)</f>
        <v>0</v>
      </c>
      <c r="Q14" s="600">
        <f>IF($C14,VLOOKUP($B14,GenSocketStats,lookArmor,FALSE),0)</f>
        <v>0</v>
      </c>
      <c r="R14" s="600">
        <f>IF($C14,VLOOKUP($B14,GenSocketStats,lookSoc,FALSE),0)</f>
        <v>0</v>
      </c>
      <c r="S14" s="602">
        <f>IF($C14,VLOOKUP($B14,GenSocketStats,lookSet,FALSE),0)</f>
        <v>0</v>
      </c>
      <c r="T14" s="602"/>
      <c r="U14" s="600"/>
      <c r="V14" s="601"/>
      <c r="W14" s="600"/>
      <c r="X14" s="600"/>
      <c r="Y14" s="603"/>
      <c r="Z14" s="36"/>
      <c r="AA14" s="37"/>
      <c r="AB14" s="1343"/>
      <c r="AC14" s="1343" t="b">
        <f>Sockfit!$O$16</f>
        <v>0</v>
      </c>
      <c r="AD14" s="1343" t="str">
        <f>Sockfit!$P$16</f>
        <v>0000</v>
      </c>
      <c r="AE14" s="122"/>
      <c r="AF14" s="1341"/>
    </row>
    <row r="15" spans="1:32">
      <c r="A15" s="189"/>
      <c r="B15" s="599" t="s">
        <v>303</v>
      </c>
      <c r="C15" s="1309" t="b">
        <f>MID($R$10,1,1)+MID($R$10,3,1)+MID(R$10,5,1)&gt;=3</f>
        <v>0</v>
      </c>
      <c r="D15" s="600">
        <f>IF($C15,VLOOKUP($B15,GenSocketStats,lookStr,FALSE),0)</f>
        <v>0</v>
      </c>
      <c r="E15" s="600">
        <f>IF($C15,VLOOKUP($B15,GenSocketStats,lookAgi,FALSE),0)</f>
        <v>0</v>
      </c>
      <c r="F15" s="600">
        <f>IF($C15,VLOOKUP($B15,GenSocketStats,lookSta,FALSE),0)</f>
        <v>0</v>
      </c>
      <c r="G15" s="601">
        <f>IF($C15,VLOOKUP($B15,GenSocketStats,lookCrit,FALSE),0)</f>
        <v>0</v>
      </c>
      <c r="H15" s="601">
        <f>IF($C15,VLOOKUP($B15,GenSocketStats,lookHit,FALSE),0)</f>
        <v>0</v>
      </c>
      <c r="I15" s="600">
        <f>IF($C15,VLOOKUP($B15,GenSocketStats,lookAP,FALSE),0)</f>
        <v>0</v>
      </c>
      <c r="J15" s="600">
        <f>IF($C15,VLOOKUP($B15,GenSocketStats,lookRes,FALSE),0)</f>
        <v>0</v>
      </c>
      <c r="K15" s="601">
        <f>IF($C15,VLOOKUP($B15,GenSocketStats,lookDod,FALSE),0)</f>
        <v>0</v>
      </c>
      <c r="L15" s="600">
        <f>IF($C15,VLOOKUP($B15,GenSocketStats,lookExp,FALSE),0)</f>
        <v>0</v>
      </c>
      <c r="M15" s="600"/>
      <c r="N15" s="605"/>
      <c r="O15" s="600"/>
      <c r="P15" s="600">
        <f>IF($C15,VLOOKUP($B15,GenSocketStats,lookHaste,FALSE),0)</f>
        <v>0</v>
      </c>
      <c r="Q15" s="600">
        <f>IF($C15,VLOOKUP($B15,GenSocketStats,lookArmor,FALSE),0)</f>
        <v>0</v>
      </c>
      <c r="R15" s="600">
        <f>IF($C15,VLOOKUP($B15,GenSocketStats,lookSoc,FALSE),0)</f>
        <v>0</v>
      </c>
      <c r="S15" s="602">
        <f>IF($C15,VLOOKUP($B15,GenSocketStats,lookSet,FALSE),0)</f>
        <v>0</v>
      </c>
      <c r="T15" s="602"/>
      <c r="U15" s="600"/>
      <c r="V15" s="601"/>
      <c r="W15" s="600"/>
      <c r="X15" s="600"/>
      <c r="Y15" s="603"/>
      <c r="Z15" s="36"/>
      <c r="AA15" s="37"/>
      <c r="AB15" s="1343"/>
      <c r="AC15" s="1343" t="b">
        <f>Sockfit!$O$20</f>
        <v>0</v>
      </c>
      <c r="AD15" s="1343" t="str">
        <f>Sockfit!$P$20</f>
        <v>0000</v>
      </c>
      <c r="AE15" s="122"/>
      <c r="AF15" s="1341"/>
    </row>
    <row r="16" spans="1:32">
      <c r="A16" s="612" t="s">
        <v>3048</v>
      </c>
      <c r="B16" s="611" t="s">
        <v>1392</v>
      </c>
      <c r="C16" s="1154" t="str">
        <f>VLOOKUP($B16,OHWeaponStats,lookSource,FALSE)</f>
        <v>5 Man</v>
      </c>
      <c r="D16" s="613">
        <f>VLOOKUP($B16,OHWeaponStats,lookStr,FALSE)</f>
        <v>0</v>
      </c>
      <c r="E16" s="613">
        <f>VLOOKUP($B16,OHWeaponStats,lookAgi,FALSE)</f>
        <v>15</v>
      </c>
      <c r="F16" s="613">
        <f>VLOOKUP($B16,OHWeaponStats,lookSta,FALSE)</f>
        <v>0</v>
      </c>
      <c r="G16" s="614">
        <f>VLOOKUP($B16,OHWeaponStats,lookCrit,FALSE)</f>
        <v>0</v>
      </c>
      <c r="H16" s="614">
        <f>VLOOKUP($B16,OHWeaponStats,lookHit,FALSE)</f>
        <v>0</v>
      </c>
      <c r="I16" s="613">
        <f>VLOOKUP($B16,OHWeaponStats,lookAP,FALSE)</f>
        <v>26</v>
      </c>
      <c r="J16" s="614">
        <f>VLOOKUP($B16,OHWeaponStats,lookRes,FALSE)</f>
        <v>0</v>
      </c>
      <c r="K16" s="614">
        <f>VLOOKUP($B16,OHWeaponStats,lookDod,FALSE)</f>
        <v>0</v>
      </c>
      <c r="L16" s="615">
        <f>VLOOKUP($B16,OHWeaponStats,lookExp,FALSE)</f>
        <v>14</v>
      </c>
      <c r="M16" s="615">
        <f>VLOOKUP($B16,OHWeaponStats,lookDef,FALSE)</f>
        <v>0</v>
      </c>
      <c r="N16" s="1154"/>
      <c r="O16" s="615"/>
      <c r="P16" s="615">
        <f>VLOOKUP($B16,OHWeaponStats,lookHaste,FALSE)</f>
        <v>0</v>
      </c>
      <c r="Q16" s="615">
        <f>VLOOKUP($B16,OHWeaponStats,lookArmor,FALSE)</f>
        <v>0</v>
      </c>
      <c r="R16" s="615" t="str">
        <f>VLOOKUP($B16,OHWeaponStats,lookSoc,FALSE)</f>
        <v>0 0 0</v>
      </c>
      <c r="S16" s="615" t="str">
        <f>VLOOKUP($B16,OHWeaponStats,lookSet,FALSE)</f>
        <v>Latro's</v>
      </c>
      <c r="T16" s="614">
        <f>(VLOOKUP($B$16,OHWeaponStats,lookMinDmg,FALSE)+T17+T18+IF(AND($B$28="Brutal Earthstorm Diamond (3dam/stun)",$C$28,Socket!$S$110),3,0)+IF($B$67="Striking (+2dmg)",2,0)+IF($B$69="Striking (+2dmg)",2,0))+IF(LEFT($B$32,22)="Braided Eternium Chain",5,0)+IF(OR(trinket1="Crystalforged Trinket",trinket2="Crystalforged Trinket"),7,0)+IF(AND(Hemorrhage=1,OR(Talents!$O$25="No",instatk&lt;&gt;"HEMO")),42*HDebuff,0)</f>
        <v>70</v>
      </c>
      <c r="U16" s="614">
        <f>(VLOOKUP($B$16,OHWeaponStats,lookMaxDmg,FALSE)+U17+U18+IF(AND($B$28="Brutal Earthstorm Diamond (3dam/stun)",$C$28,Socket!$S$110),3,0)+IF($B$67="Striking (+2dmg)",2,0)+IF($B$69="Striking (+2dmg)",2,0))+IF(LEFT($B$32,22)="Braided Eternium Chain",5,0)+IF(OR(trinket1="Crystalforged Trinket",trinket2="Crystalforged Trinket"),7,0)+IF(AND(Hemorrhage=1,OR(Talents!$O$25="No",instatk&lt;&gt;"HEMO")),42*HDebuff,0)</f>
        <v>131</v>
      </c>
      <c r="V16" s="614">
        <f>(VLOOKUP($B$16,OHWeaponStats,lookAvgDmg,FALSE)+V17+V18+IF(AND($B$28="Brutal Earthstorm Diamond (3dam/stun)",$C$28,Socket!$S$110),3,0)+IF($B$67="Striking (+2dmg)",2,0)+IF($B$69="Striking (+2dmg)",2,0))+IF(LEFT($B$32,22)="Braided Eternium Chain",5,0)+IF(OR(trinket1="Crystalforged Trinket",trinket2="Crystalforged Trinket"),7,0)+IF(AND(Hemorrhage=1,OR(Talents!$O$25="No",instatk&lt;&gt;"HEMO")),42*HDebuff,0)</f>
        <v>100.5</v>
      </c>
      <c r="W16" s="613">
        <f>VLOOKUP($B16,OHWeaponStats,lookSpeed,FALSE)</f>
        <v>1.4</v>
      </c>
      <c r="X16" s="613" t="str">
        <f>VLOOKUP($B16,OHWeaponStats,lookType,FALSE)</f>
        <v>Sword</v>
      </c>
      <c r="Y16" s="616">
        <f>Weapons!AV45</f>
        <v>0</v>
      </c>
      <c r="Z16" s="36"/>
      <c r="AA16" s="31"/>
      <c r="AB16" s="1343"/>
      <c r="AC16" s="1343" t="b">
        <f>Sockfit!$O$22</f>
        <v>1</v>
      </c>
      <c r="AD16" s="1343" t="str">
        <f>Sockfit!$P$22</f>
        <v>ag 4</v>
      </c>
      <c r="AE16" s="122"/>
      <c r="AF16" s="1341"/>
    </row>
    <row r="17" spans="1:32">
      <c r="A17" s="189" t="s">
        <v>523</v>
      </c>
      <c r="B17" s="609" t="s">
        <v>1229</v>
      </c>
      <c r="C17" s="1308"/>
      <c r="D17" s="40">
        <f>VLOOKUP(B17,OHEnchantStats,3,FALSE)</f>
        <v>0</v>
      </c>
      <c r="E17" s="40">
        <f>VLOOKUP(B17,OHEnchantStats,4,FALSE)</f>
        <v>37.162426636543863</v>
      </c>
      <c r="F17" s="40">
        <f>VLOOKUP(B17,OHEnchantStats,5,FALSE)</f>
        <v>0</v>
      </c>
      <c r="G17" s="41">
        <f>VLOOKUP(B17,OHEnchantStats,6,FALSE)</f>
        <v>0</v>
      </c>
      <c r="H17" s="41">
        <f>VLOOKUP(B17,OHEnchantStats,7,FALSE)</f>
        <v>0</v>
      </c>
      <c r="I17" s="40">
        <f>VLOOKUP(B17,OHEnchantStats,8,FALSE)</f>
        <v>0</v>
      </c>
      <c r="J17" s="40">
        <v>0</v>
      </c>
      <c r="K17" s="41"/>
      <c r="L17" s="39"/>
      <c r="M17" s="39"/>
      <c r="N17" s="1155"/>
      <c r="O17" s="39"/>
      <c r="P17" s="39">
        <f>VLOOKUP(B17,OHEnchantStats,10,FALSE)</f>
        <v>9.7670480262711425</v>
      </c>
      <c r="Q17" s="39">
        <f>VLOOKUP(B17,OHEnchantStats,9,FALSE)</f>
        <v>0</v>
      </c>
      <c r="R17" s="39"/>
      <c r="S17" s="39"/>
      <c r="T17" s="39">
        <f>VLOOKUP(B17,OHEnchantStats,11,FALSE)</f>
        <v>0</v>
      </c>
      <c r="U17" s="40">
        <f>VLOOKUP(B17,OHEnchantStats,12,FALSE)</f>
        <v>0</v>
      </c>
      <c r="V17" s="41">
        <f>VLOOKUP(B17,OHEnchantStats,13,FALSE)</f>
        <v>0</v>
      </c>
      <c r="W17" s="40">
        <v>0</v>
      </c>
      <c r="X17" s="40" t="str">
        <f>VLOOKUP(B17,OHEnchantStats,15,FALSE)</f>
        <v>Enchant</v>
      </c>
      <c r="Y17" s="42">
        <f>VLOOKUP(B17,OHEnchantStats,17,FALSE)</f>
        <v>0</v>
      </c>
      <c r="Z17" s="36"/>
      <c r="AA17" s="38"/>
      <c r="AB17" s="1343"/>
      <c r="AC17" s="1343" t="b">
        <f>Sockfit!$O$26</f>
        <v>0</v>
      </c>
      <c r="AD17" s="1343" t="str">
        <f>Sockfit!$P$26</f>
        <v>0000</v>
      </c>
      <c r="AE17" s="122"/>
      <c r="AF17" s="1340"/>
    </row>
    <row r="18" spans="1:32">
      <c r="A18" s="189" t="s">
        <v>2205</v>
      </c>
      <c r="B18" s="609" t="s">
        <v>2206</v>
      </c>
      <c r="C18" s="1308"/>
      <c r="D18" s="40">
        <f>VLOOKUP(B18,OHTempEnchantStats,3,FALSE)</f>
        <v>0</v>
      </c>
      <c r="E18" s="40">
        <f>VLOOKUP(B18,OHTempEnchantStats,4,FALSE)</f>
        <v>0</v>
      </c>
      <c r="F18" s="40">
        <f>VLOOKUP(B18,OHTempEnchantStats,5,FALSE)</f>
        <v>0</v>
      </c>
      <c r="G18" s="41">
        <f>VLOOKUP(B18,OHTempEnchantStats,6,FALSE)</f>
        <v>0</v>
      </c>
      <c r="H18" s="41">
        <f>VLOOKUP(B18,OHTempEnchantStats,7,FALSE)</f>
        <v>0</v>
      </c>
      <c r="I18" s="40">
        <f>VLOOKUP(B18,OHTempEnchantStats,8,FALSE)</f>
        <v>0</v>
      </c>
      <c r="J18" s="40">
        <v>0</v>
      </c>
      <c r="K18" s="41">
        <f>VLOOKUP(B18,OHTempEnchantStats,9,FALSE)</f>
        <v>0</v>
      </c>
      <c r="L18" s="39"/>
      <c r="M18" s="39"/>
      <c r="N18" s="1155"/>
      <c r="O18" s="39"/>
      <c r="P18" s="39"/>
      <c r="Q18" s="39"/>
      <c r="R18" s="39"/>
      <c r="S18" s="39"/>
      <c r="T18" s="39">
        <f>VLOOKUP(B18,OHTempEnchantStats,11,FALSE)</f>
        <v>0</v>
      </c>
      <c r="U18" s="40">
        <f>VLOOKUP(B18,OHTempEnchantStats,12,FALSE)</f>
        <v>0</v>
      </c>
      <c r="V18" s="41">
        <f>VLOOKUP(B18,OHTempEnchantStats,13,FALSE)</f>
        <v>0</v>
      </c>
      <c r="W18" s="40">
        <f>VLOOKUP(B18,OHTempEnchantStats,14,FALSE)</f>
        <v>0</v>
      </c>
      <c r="X18" s="40" t="str">
        <f>VLOOKUP(B18,OHTempEnchantStats,15,FALSE)</f>
        <v>Enchant</v>
      </c>
      <c r="Y18" s="42">
        <f>VLOOKUP(B18,OHTempEnchantStats,17,FALSE)</f>
        <v>77.558933726510688</v>
      </c>
      <c r="Z18" s="36"/>
      <c r="AA18" s="38"/>
      <c r="AB18" s="1343"/>
      <c r="AC18" s="1343" t="b">
        <f>Sockfit!$O$28</f>
        <v>0</v>
      </c>
      <c r="AD18" s="1343" t="str">
        <f>Sockfit!$P$28</f>
        <v>0000</v>
      </c>
      <c r="AE18" s="122"/>
      <c r="AF18" s="1340"/>
    </row>
    <row r="19" spans="1:32">
      <c r="A19" s="604" t="str">
        <f>IF(AC11,"+"&amp;MID(AD11,4,2)&amp;" "&amp;MID(AD11,1,2),MID($R$16,1,1)&amp;" Red "&amp;MID($R$16,3,1)&amp;" Blue "&amp;MID($R$16,5,1)&amp;" Yellow")</f>
        <v>0 Red 0 Blue 0 Yellow</v>
      </c>
      <c r="B19" s="599" t="s">
        <v>303</v>
      </c>
      <c r="C19" s="1309" t="b">
        <f>MID($R$16,1,1)+MID($R$16,3,1)+MID(R$16,5,1)&gt;=1</f>
        <v>0</v>
      </c>
      <c r="D19" s="600">
        <f>IF($C19,VLOOKUP($B19,GenSocketStats,lookStr,FALSE),0)</f>
        <v>0</v>
      </c>
      <c r="E19" s="600">
        <f>IF($C19,VLOOKUP($B19,GenSocketStats,lookAgi,FALSE),0)</f>
        <v>0</v>
      </c>
      <c r="F19" s="600">
        <f>IF($C19,VLOOKUP($B19,GenSocketStats,lookSta,FALSE),0)</f>
        <v>0</v>
      </c>
      <c r="G19" s="601">
        <f>IF($C19,VLOOKUP($B19,GenSocketStats,lookCrit,FALSE),0)</f>
        <v>0</v>
      </c>
      <c r="H19" s="601">
        <f>IF($C19,VLOOKUP($B19,GenSocketStats,lookHit,FALSE),0)</f>
        <v>0</v>
      </c>
      <c r="I19" s="600">
        <f>IF($C19,VLOOKUP($B19,GenSocketStats,lookAP,FALSE),0)</f>
        <v>0</v>
      </c>
      <c r="J19" s="600">
        <f>IF($C19,VLOOKUP($B19,GenSocketStats,lookRes,FALSE),0)</f>
        <v>0</v>
      </c>
      <c r="K19" s="601">
        <f>IF($C19,VLOOKUP($B19,GenSocketStats,lookDod,FALSE),0)</f>
        <v>0</v>
      </c>
      <c r="L19" s="600">
        <f>IF($C19,VLOOKUP($B19,GenSocketStats,lookExp,FALSE),0)</f>
        <v>0</v>
      </c>
      <c r="M19" s="600"/>
      <c r="N19" s="605"/>
      <c r="O19" s="600"/>
      <c r="P19" s="600">
        <f>IF($C19,VLOOKUP($B19,GenSocketStats,lookHaste,FALSE),0)</f>
        <v>0</v>
      </c>
      <c r="Q19" s="600">
        <f>IF($C19,VLOOKUP($B19,GenSocketStats,lookArmor,FALSE),0)</f>
        <v>0</v>
      </c>
      <c r="R19" s="600">
        <f>IF($C19,VLOOKUP($B19,GenSocketStats,lookSoc,FALSE),0)</f>
        <v>0</v>
      </c>
      <c r="S19" s="602">
        <f>IF($C19,VLOOKUP($B19,GenSocketStats,lookSet,FALSE),0)</f>
        <v>0</v>
      </c>
      <c r="T19" s="39"/>
      <c r="U19" s="40"/>
      <c r="V19" s="41"/>
      <c r="W19" s="40"/>
      <c r="X19" s="40"/>
      <c r="Y19" s="42"/>
      <c r="Z19" s="36"/>
      <c r="AA19" s="38"/>
      <c r="AB19" s="1343"/>
      <c r="AC19" s="1343" t="b">
        <f>Sockfit!$O$31</f>
        <v>0</v>
      </c>
      <c r="AD19" s="1343" t="str">
        <f>Sockfit!$P$31</f>
        <v>0000</v>
      </c>
      <c r="AE19" s="122"/>
      <c r="AF19" s="1340"/>
    </row>
    <row r="20" spans="1:32">
      <c r="A20" s="189"/>
      <c r="B20" s="599" t="s">
        <v>303</v>
      </c>
      <c r="C20" s="1309" t="b">
        <f>MID($R$16,1,1)+MID($R$16,3,1)+MID(R$16,5,1)&gt;=2</f>
        <v>0</v>
      </c>
      <c r="D20" s="600">
        <f>IF($C20,VLOOKUP($B20,GenSocketStats,lookStr,FALSE),0)</f>
        <v>0</v>
      </c>
      <c r="E20" s="600">
        <f>IF($C20,VLOOKUP($B20,GenSocketStats,lookAgi,FALSE),0)</f>
        <v>0</v>
      </c>
      <c r="F20" s="600">
        <f>IF($C20,VLOOKUP($B20,GenSocketStats,lookSta,FALSE),0)</f>
        <v>0</v>
      </c>
      <c r="G20" s="601">
        <f>IF($C20,VLOOKUP($B20,GenSocketStats,lookCrit,FALSE),0)</f>
        <v>0</v>
      </c>
      <c r="H20" s="601">
        <f>IF($C20,VLOOKUP($B20,GenSocketStats,lookHit,FALSE),0)</f>
        <v>0</v>
      </c>
      <c r="I20" s="600">
        <f>IF($C20,VLOOKUP($B20,GenSocketStats,lookAP,FALSE),0)</f>
        <v>0</v>
      </c>
      <c r="J20" s="600">
        <f>IF($C20,VLOOKUP($B20,GenSocketStats,lookRes,FALSE),0)</f>
        <v>0</v>
      </c>
      <c r="K20" s="601">
        <f>IF($C20,VLOOKUP($B20,GenSocketStats,lookDod,FALSE),0)</f>
        <v>0</v>
      </c>
      <c r="L20" s="600">
        <f>IF($C20,VLOOKUP($B20,GenSocketStats,lookExp,FALSE),0)</f>
        <v>0</v>
      </c>
      <c r="M20" s="600"/>
      <c r="N20" s="605"/>
      <c r="O20" s="600"/>
      <c r="P20" s="600">
        <f>IF($C20,VLOOKUP($B20,GenSocketStats,lookHaste,FALSE),0)</f>
        <v>0</v>
      </c>
      <c r="Q20" s="600">
        <f>IF($C20,VLOOKUP($B20,GenSocketStats,lookArmor,FALSE),0)</f>
        <v>0</v>
      </c>
      <c r="R20" s="600">
        <f>IF($C20,VLOOKUP($B20,GenSocketStats,lookSoc,FALSE),0)</f>
        <v>0</v>
      </c>
      <c r="S20" s="602">
        <f>IF($C20,VLOOKUP($B20,GenSocketStats,lookSet,FALSE),0)</f>
        <v>0</v>
      </c>
      <c r="AB20" s="1343"/>
      <c r="AC20" s="1343" t="b">
        <f>Sockfit!$O$34</f>
        <v>0</v>
      </c>
      <c r="AD20" s="1343" t="str">
        <f>Sockfit!$P$34</f>
        <v>0000</v>
      </c>
      <c r="AE20" s="122"/>
      <c r="AF20" s="1340"/>
    </row>
    <row r="21" spans="1:32" ht="13.5" thickBot="1">
      <c r="A21" s="189"/>
      <c r="B21" s="599" t="s">
        <v>303</v>
      </c>
      <c r="C21" s="1309" t="b">
        <f>MID($R$16,1,1)+MID($R$16,3,1)+MID(R$16,5,1)&gt;=3</f>
        <v>0</v>
      </c>
      <c r="D21" s="600">
        <f>IF($C21,VLOOKUP($B21,GenSocketStats,lookStr,FALSE),0)</f>
        <v>0</v>
      </c>
      <c r="E21" s="600">
        <f>IF($C21,VLOOKUP($B21,GenSocketStats,lookAgi,FALSE),0)</f>
        <v>0</v>
      </c>
      <c r="F21" s="600">
        <f>IF($C21,VLOOKUP($B21,GenSocketStats,lookSta,FALSE),0)</f>
        <v>0</v>
      </c>
      <c r="G21" s="601">
        <f>IF($C21,VLOOKUP($B21,GenSocketStats,lookCrit,FALSE),0)</f>
        <v>0</v>
      </c>
      <c r="H21" s="601">
        <f>IF($C21,VLOOKUP($B21,GenSocketStats,lookHit,FALSE),0)</f>
        <v>0</v>
      </c>
      <c r="I21" s="600">
        <f>IF($C21,VLOOKUP($B21,GenSocketStats,lookAP,FALSE),0)</f>
        <v>0</v>
      </c>
      <c r="J21" s="600">
        <f>IF($C21,VLOOKUP($B21,GenSocketStats,lookRes,FALSE),0)</f>
        <v>0</v>
      </c>
      <c r="K21" s="601">
        <f>IF($C21,VLOOKUP($B21,GenSocketStats,lookDod,FALSE),0)</f>
        <v>0</v>
      </c>
      <c r="L21" s="600">
        <f>IF($C21,VLOOKUP($B21,GenSocketStats,lookExp,FALSE),0)</f>
        <v>0</v>
      </c>
      <c r="M21" s="600"/>
      <c r="N21" s="605"/>
      <c r="O21" s="600"/>
      <c r="P21" s="600">
        <f>IF($C21,VLOOKUP($B21,GenSocketStats,lookHaste,FALSE),0)</f>
        <v>0</v>
      </c>
      <c r="Q21" s="600">
        <f>IF($C21,VLOOKUP($B21,GenSocketStats,lookArmor,FALSE),0)</f>
        <v>0</v>
      </c>
      <c r="R21" s="600">
        <f>IF($C21,VLOOKUP($B21,GenSocketStats,lookSoc,FALSE),0)</f>
        <v>0</v>
      </c>
      <c r="S21" s="602">
        <f>IF($C21,VLOOKUP($B21,GenSocketStats,lookSet,FALSE),0)</f>
        <v>0</v>
      </c>
      <c r="AB21" s="1343"/>
      <c r="AC21" s="1343" t="b">
        <f>Sockfit!$O$38</f>
        <v>1</v>
      </c>
      <c r="AD21" s="1343" t="str">
        <f>Sockfit!$P$38</f>
        <v>ht 3</v>
      </c>
      <c r="AE21" s="122"/>
      <c r="AF21" s="1340"/>
    </row>
    <row r="22" spans="1:32" ht="13.5" thickBot="1">
      <c r="A22" s="612" t="s">
        <v>2208</v>
      </c>
      <c r="B22" s="617" t="s">
        <v>1933</v>
      </c>
      <c r="C22" s="1154" t="str">
        <f>VLOOKUP($B22,RangedStats,lookSource,FALSE)</f>
        <v>Reputation</v>
      </c>
      <c r="D22" s="613">
        <f>VLOOKUP($B22,RangedStats,lookStr,FALSE)</f>
        <v>0</v>
      </c>
      <c r="E22" s="613">
        <f>VLOOKUP($B22,RangedStats,lookAgi,FALSE)</f>
        <v>12</v>
      </c>
      <c r="F22" s="613">
        <f>VLOOKUP($B22,RangedStats,lookSta,FALSE)</f>
        <v>0</v>
      </c>
      <c r="G22" s="614">
        <f>VLOOKUP($B22,RangedStats,lookCrit,FALSE)</f>
        <v>0</v>
      </c>
      <c r="H22" s="614">
        <f>VLOOKUP($B22,RangedStats,lookHit,FALSE)</f>
        <v>11</v>
      </c>
      <c r="I22" s="613">
        <f>VLOOKUP($B22,RangedStats,lookAP,FALSE)</f>
        <v>22</v>
      </c>
      <c r="J22" s="615">
        <f>VLOOKUP($B22,RangedStats,lookRes,FALSE)</f>
        <v>0</v>
      </c>
      <c r="K22" s="614">
        <f>VLOOKUP($B22,RangedStats,lookDod,FALSE)</f>
        <v>0</v>
      </c>
      <c r="L22" s="615">
        <f>VLOOKUP($B22,RangedStats,lookExp,FALSE)</f>
        <v>0</v>
      </c>
      <c r="M22" s="615">
        <f>VLOOKUP($B22,RangedStats,lookDef,FALSE)</f>
        <v>0</v>
      </c>
      <c r="N22" s="1154"/>
      <c r="O22" s="615"/>
      <c r="P22" s="615">
        <f>VLOOKUP($B22,RangedStats,lookHaste,FALSE)</f>
        <v>0</v>
      </c>
      <c r="Q22" s="615">
        <f>VLOOKUP($B22,RangedStats,lookArmor,FALSE)</f>
        <v>0</v>
      </c>
      <c r="R22" s="615" t="str">
        <f>VLOOKUP($B22,RangedStats,lookSoc,FALSE)</f>
        <v>0 0 0</v>
      </c>
      <c r="S22" s="615">
        <f>VLOOKUP($B22,RangedStats,lookSet,FALSE)</f>
        <v>0</v>
      </c>
      <c r="U22" s="1437" t="s">
        <v>2210</v>
      </c>
      <c r="V22" s="1438"/>
      <c r="W22" s="1438"/>
      <c r="X22" s="1439"/>
      <c r="AB22" s="1343" t="s">
        <v>459</v>
      </c>
      <c r="AC22" s="1343" t="b">
        <f>Sockfit!$O$41</f>
        <v>0</v>
      </c>
      <c r="AD22" s="1343" t="str">
        <f>Sockfit!$P$41</f>
        <v>0000</v>
      </c>
      <c r="AE22" s="122"/>
      <c r="AF22" s="1343">
        <f>$D22*dpsStr+$E22*dpsAgi+$G22*dpsCrit+$H22*dpsHit+$I22*dpsAP+$L22*dpsExp+$P22*dpsHaste+$Q22*dpsArmor+IF(MID(R22,1,1)+MID(R22,3,1)+MID(R22,5,1)&gt;0,VLOOKUP(B23,GenSocketStats,18,FALSE)+IF(MID(R22,1,1)+MID(R22,3,1)+MID(R22,5,1)&gt;1,VLOOKUP(B24,GenSocketStats,18,FALSE)+IF(MID(R22,1,1)+MID(R22,3,1)+MID(R22,5,1)&gt;2,VLOOKUP(B25,GenSocketStats,18,FALSE),0)),0)</f>
        <v>78.838161139231943</v>
      </c>
    </row>
    <row r="23" spans="1:32">
      <c r="A23" s="604" t="str">
        <f>IF(AC12,"+"&amp;MID(AD12,4,2)&amp;" "&amp;MID(AD12,1,2),MID($R$22,1,1)&amp;" Red "&amp;MID($R$22,3,1)&amp;" Blue "&amp;MID($R$22,5,1)&amp;" Yellow")</f>
        <v>0 Red 0 Blue 0 Yellow</v>
      </c>
      <c r="B23" s="599" t="s">
        <v>303</v>
      </c>
      <c r="C23" s="1309" t="b">
        <f>MID($R$22,1,1)+MID($R$22,3,1)+MID(R$22,5,1)&gt;=1</f>
        <v>0</v>
      </c>
      <c r="D23" s="600">
        <f>IF($C23,VLOOKUP($B23,GenSocketStats,lookStr,FALSE),0)</f>
        <v>0</v>
      </c>
      <c r="E23" s="600">
        <f>IF($C23,VLOOKUP($B23,GenSocketStats,lookAgi,FALSE),0)</f>
        <v>0</v>
      </c>
      <c r="F23" s="600">
        <f>IF($C23,VLOOKUP($B23,GenSocketStats,lookSta,FALSE),0)</f>
        <v>0</v>
      </c>
      <c r="G23" s="601">
        <f>IF($C23,VLOOKUP($B23,GenSocketStats,lookCrit,FALSE),0)</f>
        <v>0</v>
      </c>
      <c r="H23" s="601">
        <f>IF($C23,VLOOKUP($B23,GenSocketStats,lookHit,FALSE),0)</f>
        <v>0</v>
      </c>
      <c r="I23" s="600">
        <f>IF($C23,VLOOKUP($B23,GenSocketStats,lookAP,FALSE),0)</f>
        <v>0</v>
      </c>
      <c r="J23" s="600">
        <f>IF($C23,VLOOKUP($B23,GenSocketStats,lookRes,FALSE),0)</f>
        <v>0</v>
      </c>
      <c r="K23" s="601">
        <f>IF($C23,VLOOKUP($B23,GenSocketStats,lookDod,FALSE),0)</f>
        <v>0</v>
      </c>
      <c r="L23" s="600">
        <f>IF($C23,VLOOKUP($B23,GenSocketStats,lookExp,FALSE),0)</f>
        <v>0</v>
      </c>
      <c r="M23" s="600"/>
      <c r="N23" s="605"/>
      <c r="O23" s="600"/>
      <c r="P23" s="600">
        <f>IF($C23,VLOOKUP($B23,GenSocketStats,lookHaste,FALSE),0)</f>
        <v>0</v>
      </c>
      <c r="Q23" s="600">
        <f>IF($C23,VLOOKUP($B23,GenSocketStats,lookArmor,FALSE),0)</f>
        <v>0</v>
      </c>
      <c r="R23" s="600">
        <f>IF($C23,VLOOKUP($B23,GenSocketStats,lookSoc,FALSE),0)</f>
        <v>0</v>
      </c>
      <c r="S23" s="602">
        <f>IF($C23,VLOOKUP($B23,GenSocketStats,lookSet,FALSE),0)</f>
        <v>0</v>
      </c>
      <c r="U23" s="1428" t="s">
        <v>460</v>
      </c>
      <c r="V23" s="1429"/>
      <c r="W23" s="1429"/>
      <c r="X23" s="1107" t="b">
        <f>AND($Y$44,COUNTIF($S$10:$S$71,"Assassination")&gt;=4)</f>
        <v>0</v>
      </c>
      <c r="AA23" s="26"/>
      <c r="AB23" s="225"/>
      <c r="AC23" s="225"/>
      <c r="AD23" s="1340"/>
      <c r="AE23" s="122"/>
      <c r="AF23" s="1343"/>
    </row>
    <row r="24" spans="1:32">
      <c r="A24" s="189"/>
      <c r="B24" s="599" t="s">
        <v>303</v>
      </c>
      <c r="C24" s="1309" t="b">
        <f>MID($R$22,1,1)+MID($R$22,3,1)+MID(R$22,5,1)&gt;=2</f>
        <v>0</v>
      </c>
      <c r="D24" s="600">
        <f>IF($C24,VLOOKUP($B24,GenSocketStats,lookStr,FALSE),0)</f>
        <v>0</v>
      </c>
      <c r="E24" s="600">
        <f>IF($C24,VLOOKUP($B24,GenSocketStats,lookAgi,FALSE),0)</f>
        <v>0</v>
      </c>
      <c r="F24" s="600">
        <f>IF($C24,VLOOKUP($B24,GenSocketStats,lookSta,FALSE),0)</f>
        <v>0</v>
      </c>
      <c r="G24" s="601">
        <f>IF($C24,VLOOKUP($B24,GenSocketStats,lookCrit,FALSE),0)</f>
        <v>0</v>
      </c>
      <c r="H24" s="601">
        <f>IF($C24,VLOOKUP($B24,GenSocketStats,lookHit,FALSE),0)</f>
        <v>0</v>
      </c>
      <c r="I24" s="600">
        <f>IF($C24,VLOOKUP($B24,GenSocketStats,lookAP,FALSE),0)</f>
        <v>0</v>
      </c>
      <c r="J24" s="600">
        <f>IF($C24,VLOOKUP($B24,GenSocketStats,lookRes,FALSE),0)</f>
        <v>0</v>
      </c>
      <c r="K24" s="601">
        <f>IF($C24,VLOOKUP($B24,GenSocketStats,lookDod,FALSE),0)</f>
        <v>0</v>
      </c>
      <c r="L24" s="600">
        <f>IF($C24,VLOOKUP($B24,GenSocketStats,lookExp,FALSE),0)</f>
        <v>0</v>
      </c>
      <c r="M24" s="600"/>
      <c r="N24" s="605"/>
      <c r="O24" s="600"/>
      <c r="P24" s="600">
        <f>IF($C24,VLOOKUP($B24,GenSocketStats,lookHaste,FALSE),0)</f>
        <v>0</v>
      </c>
      <c r="Q24" s="600">
        <f>IF($C24,VLOOKUP($B24,GenSocketStats,lookArmor,FALSE),0)</f>
        <v>0</v>
      </c>
      <c r="R24" s="600">
        <f>IF($C24,VLOOKUP($B24,GenSocketStats,lookSoc,FALSE),0)</f>
        <v>0</v>
      </c>
      <c r="S24" s="602">
        <f>IF($C24,VLOOKUP($B24,GenSocketStats,lookSet,FALSE),0)</f>
        <v>0</v>
      </c>
      <c r="U24" s="1422" t="s">
        <v>2408</v>
      </c>
      <c r="V24" s="1423"/>
      <c r="W24" s="1423"/>
      <c r="X24" s="1108" t="b">
        <f>AND($Y$44,COUNTIF($S$10:$S$71,"Bonescythe")&gt;=4)</f>
        <v>0</v>
      </c>
      <c r="Y24" s="23"/>
      <c r="AA24" s="26"/>
      <c r="AB24" s="225"/>
      <c r="AC24" s="225"/>
      <c r="AD24" s="1340"/>
      <c r="AE24" s="122"/>
      <c r="AF24" s="1343"/>
    </row>
    <row r="25" spans="1:32">
      <c r="A25" s="189"/>
      <c r="B25" s="599" t="s">
        <v>303</v>
      </c>
      <c r="C25" s="1309" t="b">
        <f>MID($R$22,1,1)+MID($R$22,3,1)+MID(R$22,5,1)&gt;=3</f>
        <v>0</v>
      </c>
      <c r="D25" s="600">
        <f>IF($C25,VLOOKUP($B25,GenSocketStats,lookStr,FALSE),0)</f>
        <v>0</v>
      </c>
      <c r="E25" s="600">
        <f>IF($C25,VLOOKUP($B25,GenSocketStats,lookAgi,FALSE),0)</f>
        <v>0</v>
      </c>
      <c r="F25" s="600">
        <f>IF($C25,VLOOKUP($B25,GenSocketStats,lookSta,FALSE),0)</f>
        <v>0</v>
      </c>
      <c r="G25" s="601">
        <f>IF($C25,VLOOKUP($B25,GenSocketStats,lookCrit,FALSE),0)</f>
        <v>0</v>
      </c>
      <c r="H25" s="601">
        <f>IF($C25,VLOOKUP($B25,GenSocketStats,lookHit,FALSE),0)</f>
        <v>0</v>
      </c>
      <c r="I25" s="600">
        <f>IF($C25,VLOOKUP($B25,GenSocketStats,lookAP,FALSE),0)</f>
        <v>0</v>
      </c>
      <c r="J25" s="600">
        <f>IF($C25,VLOOKUP($B25,GenSocketStats,lookRes,FALSE),0)</f>
        <v>0</v>
      </c>
      <c r="K25" s="601">
        <f>IF($C25,VLOOKUP($B25,GenSocketStats,lookDod,FALSE),0)</f>
        <v>0</v>
      </c>
      <c r="L25" s="600">
        <f>IF($C25,VLOOKUP($B25,GenSocketStats,lookExp,FALSE),0)</f>
        <v>0</v>
      </c>
      <c r="M25" s="600"/>
      <c r="N25" s="605"/>
      <c r="O25" s="600"/>
      <c r="P25" s="600">
        <f>IF($C25,VLOOKUP($B25,GenSocketStats,lookHaste,FALSE),0)</f>
        <v>0</v>
      </c>
      <c r="Q25" s="600">
        <f>IF($C25,VLOOKUP($B25,GenSocketStats,lookArmor,FALSE),0)</f>
        <v>0</v>
      </c>
      <c r="R25" s="600">
        <f>IF($C25,VLOOKUP($B25,GenSocketStats,lookSoc,FALSE),0)</f>
        <v>0</v>
      </c>
      <c r="S25" s="602">
        <f>IF($C25,VLOOKUP($B25,GenSocketStats,lookSet,FALSE),0)</f>
        <v>0</v>
      </c>
      <c r="U25" s="1422" t="s">
        <v>2409</v>
      </c>
      <c r="V25" s="1423"/>
      <c r="W25" s="1423"/>
      <c r="X25" s="1108" t="b">
        <f>AND($Y$44,COUNTIF($S$10:$S$71,"Bonescythe")&gt;=8)</f>
        <v>0</v>
      </c>
      <c r="Y25" s="43"/>
      <c r="AA25" s="26"/>
      <c r="AB25" s="225"/>
      <c r="AC25" s="225"/>
      <c r="AD25" s="1340"/>
      <c r="AE25" s="122"/>
      <c r="AF25" s="1343"/>
    </row>
    <row r="26" spans="1:32">
      <c r="A26" s="612" t="s">
        <v>461</v>
      </c>
      <c r="B26" s="617" t="s">
        <v>462</v>
      </c>
      <c r="C26" s="1154" t="str">
        <f>VLOOKUP($B26,HelmStats,lookSource,FALSE)</f>
        <v>Karazhan</v>
      </c>
      <c r="D26" s="613">
        <f>VLOOKUP($B26,HelmStats,lookStr,FALSE)</f>
        <v>0</v>
      </c>
      <c r="E26" s="613">
        <f>VLOOKUP($B26,HelmStats,lookAgi,FALSE)</f>
        <v>28</v>
      </c>
      <c r="F26" s="613">
        <f>VLOOKUP($B26,HelmStats,lookSta,FALSE)</f>
        <v>39</v>
      </c>
      <c r="G26" s="614">
        <f>VLOOKUP($B26,HelmStats,lookCrit,FALSE)</f>
        <v>0</v>
      </c>
      <c r="H26" s="614">
        <f>VLOOKUP($B26,HelmStats,lookHit,FALSE)</f>
        <v>14</v>
      </c>
      <c r="I26" s="613">
        <f>VLOOKUP($B26,HelmStats,lookAP,FALSE)</f>
        <v>78</v>
      </c>
      <c r="J26" s="615">
        <f>VLOOKUP($B26,HelmStats,lookRes,FALSE)</f>
        <v>0</v>
      </c>
      <c r="K26" s="614">
        <f>VLOOKUP($B26,HelmStats,lookDod,FALSE)</f>
        <v>0</v>
      </c>
      <c r="L26" s="615">
        <f>VLOOKUP($B26,HelmStats,lookExp,FALSE)</f>
        <v>0</v>
      </c>
      <c r="M26" s="615">
        <f>VLOOKUP($B26,HelmStats,lookDef,FALSE)</f>
        <v>0</v>
      </c>
      <c r="N26" s="1154"/>
      <c r="O26" s="615"/>
      <c r="P26" s="615">
        <f>VLOOKUP($B26,HelmStats,lookHaste,FALSE)</f>
        <v>0</v>
      </c>
      <c r="Q26" s="615">
        <f>VLOOKUP($B26,HelmStats,lookArmor,FALSE)</f>
        <v>0</v>
      </c>
      <c r="R26" s="615" t="str">
        <f>VLOOKUP($B26,HelmStats,lookSoc,FALSE)</f>
        <v>1 0 0 1</v>
      </c>
      <c r="S26" s="615" t="str">
        <f>VLOOKUP($B26,HelmStats,lookSet,FALSE)</f>
        <v>Netherblade</v>
      </c>
      <c r="U26" s="1428" t="s">
        <v>463</v>
      </c>
      <c r="V26" s="1429"/>
      <c r="W26" s="1429"/>
      <c r="X26" s="1107" t="b">
        <f>AND($Y$44,COUNTIF($S$10:$S$71,"Deathmantle")&gt;=2)</f>
        <v>0</v>
      </c>
      <c r="Y26" s="23"/>
      <c r="AA26" s="26"/>
      <c r="AB26" s="225"/>
      <c r="AC26" s="225"/>
      <c r="AD26" s="1340"/>
      <c r="AE26" s="122"/>
      <c r="AF26" s="1343">
        <f>$D26*dpsStr+$E26*dpsAgi+$G26*dpsCrit+$H26*dpsHit+$I26*dpsAP+$L26*dpsExp+$P26*dpsHaste+$Q26*dpsArmor+IF(MID(R26,1,1)+MID(R26,3,1)+MID(R26,5,1)&gt;0,VLOOKUP('Gear &amp; Buffs'!$B$29,GenSocketStats,18,FALSE)+IF(MID(R26,1,1)+MID(R26,3,1)+MID(R26,5,1)&gt;1,VLOOKUP('Gear &amp; Buffs'!$B$30,GenSocketStats,18,FALSE)+IF(MID(R26,1,1)+MID(R26,3,1)+MID(R26,5,1)&gt;2,VLOOKUP('Gear &amp; Buffs'!$B$31,GenSocketStats,18,FALSE),0)),0)+IF(MID(R26,7,1)&gt;0,VLOOKUP('Gear &amp; Buffs'!$B$28,MetaSocketStats,18,FALSE),0)</f>
        <v>141.9695488072216</v>
      </c>
    </row>
    <row r="27" spans="1:32">
      <c r="A27" s="189" t="s">
        <v>464</v>
      </c>
      <c r="B27" s="609" t="s">
        <v>465</v>
      </c>
      <c r="C27" s="1308"/>
      <c r="D27" s="40">
        <f>VLOOKUP($B27,HelmEnchantStats,lookStr,FALSE)</f>
        <v>0</v>
      </c>
      <c r="E27" s="40">
        <f>VLOOKUP($B27,HelmEnchantStats,lookAgi,FALSE)</f>
        <v>0</v>
      </c>
      <c r="F27" s="40">
        <f>VLOOKUP($B27,HelmEnchantStats,lookSta,FALSE)</f>
        <v>0</v>
      </c>
      <c r="G27" s="41">
        <f>VLOOKUP($B27,HelmEnchantStats,lookCrit,FALSE)</f>
        <v>0</v>
      </c>
      <c r="H27" s="41">
        <f>VLOOKUP($B27,HelmEnchantStats,lookHit,FALSE)</f>
        <v>16</v>
      </c>
      <c r="I27" s="40">
        <f>VLOOKUP($B27,HelmEnchantStats,lookAP,FALSE)</f>
        <v>34</v>
      </c>
      <c r="J27" s="40">
        <f>VLOOKUP($B27,HelmEnchantStats,lookRes,FALSE)</f>
        <v>0</v>
      </c>
      <c r="K27" s="41">
        <f>VLOOKUP($B27,HelmEnchantStats,lookDod,FALSE)</f>
        <v>0</v>
      </c>
      <c r="L27" s="39">
        <f>VLOOKUP($B27,HelmEnchantStats,lookExp,FALSE)</f>
        <v>0</v>
      </c>
      <c r="M27" s="39">
        <f>VLOOKUP($B27,HelmEnchantStats,lookDef,FALSE)</f>
        <v>0</v>
      </c>
      <c r="N27" s="1155"/>
      <c r="O27" s="39"/>
      <c r="P27" s="41">
        <f>VLOOKUP($B27,HelmEnchantStats,lookHaste,FALSE)</f>
        <v>0</v>
      </c>
      <c r="Q27" s="41">
        <f>VLOOKUP($B27,HelmEnchantStats,lookArmor,FALSE)</f>
        <v>0</v>
      </c>
      <c r="R27" s="39">
        <f>VLOOKUP($B27,HelmEnchantStats,lookSoc,FALSE)</f>
        <v>0</v>
      </c>
      <c r="S27" s="39">
        <f>VLOOKUP($B27,HelmEnchantStats,lookSet,FALSE)</f>
        <v>0</v>
      </c>
      <c r="U27" s="1428" t="s">
        <v>433</v>
      </c>
      <c r="V27" s="1429"/>
      <c r="W27" s="1429"/>
      <c r="X27" s="1107" t="b">
        <f>AND($Y$44,COUNTIF($S$10:$S$71,"Deathmantle")&gt;=4)</f>
        <v>0</v>
      </c>
      <c r="Y27" s="43"/>
      <c r="AA27" s="26"/>
      <c r="AB27" s="225"/>
      <c r="AC27" s="225"/>
      <c r="AD27" s="1340"/>
      <c r="AE27" s="122"/>
      <c r="AF27" s="1343">
        <f>$D27*dpsStr+$E27*dpsAgi+$G27*dpsCrit+$H27*dpsHit+$I27*dpsAP+$L27*dpsExp+$P27*dpsHaste+$Q27*dpsArmor</f>
        <v>100.94972435311001</v>
      </c>
    </row>
    <row r="28" spans="1:32">
      <c r="A28" s="189" t="s">
        <v>774</v>
      </c>
      <c r="B28" s="599" t="s">
        <v>292</v>
      </c>
      <c r="C28" s="1309">
        <f>MID($R$26,7,1)+0</f>
        <v>1</v>
      </c>
      <c r="D28" s="600">
        <f>IF($C28,VLOOKUP($B28,MetaSocketStats,lookStr,FALSE),0)</f>
        <v>0</v>
      </c>
      <c r="E28" s="600">
        <f>IF($C28,VLOOKUP($B28,MetaSocketStats,lookAgi,FALSE),0)</f>
        <v>12</v>
      </c>
      <c r="F28" s="600">
        <f>IF($C28,VLOOKUP($B28,MetaSocketStats,lookSta,FALSE),0)</f>
        <v>0</v>
      </c>
      <c r="G28" s="601">
        <f>IF($C28,VLOOKUP($B28,MetaSocketStats,lookCrit,FALSE),0)</f>
        <v>0</v>
      </c>
      <c r="H28" s="601">
        <f>IF($C28,VLOOKUP($B28,MetaSocketStats,lookHit,FALSE),0)</f>
        <v>0</v>
      </c>
      <c r="I28" s="600">
        <f>IF($C28,VLOOKUP($B28,MetaSocketStats,lookAP,FALSE),0)</f>
        <v>0</v>
      </c>
      <c r="J28" s="600">
        <f>IF($C28,VLOOKUP($B28,MetaSocketStats,lookRes,FALSE),0)</f>
        <v>0</v>
      </c>
      <c r="K28" s="601">
        <f>IF($C28,VLOOKUP($B28,MetaSocketStats,lookDod,FALSE),0)</f>
        <v>0</v>
      </c>
      <c r="L28" s="600">
        <f>IF($C28,VLOOKUP($B28,MetaSocketStats,lookExp,FALSE),0)</f>
        <v>0</v>
      </c>
      <c r="M28" s="600"/>
      <c r="N28" s="605"/>
      <c r="O28" s="600"/>
      <c r="P28" s="600">
        <f>IF($C28,VLOOKUP($B28,MetaSocketStats,lookHaste,FALSE),0)</f>
        <v>0</v>
      </c>
      <c r="Q28" s="600">
        <f>IF($C28,VLOOKUP($B28,MetaSocketStats,lookArmor,FALSE),0)</f>
        <v>0</v>
      </c>
      <c r="R28" s="602">
        <f>IF(B28="none",0,1)</f>
        <v>1</v>
      </c>
      <c r="S28" s="602">
        <f>IF($C18,VLOOKUP($B28,MetaSocketStats,lookSet,FALSE),0)</f>
        <v>0</v>
      </c>
      <c r="T28" s="201">
        <f>IF($C28,VLOOKUP($B28,MetaSocketStats,20,FALSE),0)</f>
        <v>0</v>
      </c>
      <c r="U28" s="1422" t="s">
        <v>434</v>
      </c>
      <c r="V28" s="1423"/>
      <c r="W28" s="1423"/>
      <c r="X28" s="1108" t="b">
        <f>AND($Y$44,COUNTIF($S$10:$S$71,"Gladiator's")&gt;=2)</f>
        <v>0</v>
      </c>
      <c r="Y28" s="23">
        <f>IF(X28,35,0)</f>
        <v>0</v>
      </c>
      <c r="AA28" s="26"/>
      <c r="AB28" s="225"/>
      <c r="AC28" s="225"/>
      <c r="AD28" s="1340"/>
      <c r="AE28" s="122"/>
      <c r="AF28" s="1343"/>
    </row>
    <row r="29" spans="1:32">
      <c r="A29" s="604" t="str">
        <f>IF(AC13,"+"&amp;MID(AD13,4,2)&amp;" "&amp;MID(AD13,1,2),MID($R$26,1,1)&amp;" Red "&amp;MID($R$26,3,1)&amp;" Blue "&amp;MID($R$26,5,1)&amp;" Yellow")</f>
        <v>+4 ag</v>
      </c>
      <c r="B29" s="606" t="s">
        <v>1979</v>
      </c>
      <c r="C29" s="1309" t="b">
        <f>MID($R$26,1,1)+MID($R$26,3,1)+MID(R$26,5,1)&gt;=1</f>
        <v>1</v>
      </c>
      <c r="D29" s="600">
        <f>IF($C29,VLOOKUP($B29,GenSocketStats,lookStr,FALSE),0)</f>
        <v>0</v>
      </c>
      <c r="E29" s="600">
        <f>IF($C29,VLOOKUP($B29,GenSocketStats,lookAgi,FALSE),0)</f>
        <v>4</v>
      </c>
      <c r="F29" s="600">
        <f>IF($C29,VLOOKUP($B29,GenSocketStats,lookSta,FALSE),0)</f>
        <v>6</v>
      </c>
      <c r="G29" s="601">
        <f>IF($C29,VLOOKUP($B29,GenSocketStats,lookCrit,FALSE),0)</f>
        <v>0</v>
      </c>
      <c r="H29" s="601">
        <f>IF($C29,VLOOKUP($B29,GenSocketStats,lookHit,FALSE),0)</f>
        <v>0</v>
      </c>
      <c r="I29" s="600">
        <f>IF($C29,VLOOKUP($B29,GenSocketStats,lookAP,FALSE),0)</f>
        <v>0</v>
      </c>
      <c r="J29" s="600">
        <f>IF($C29,VLOOKUP($B29,GenSocketStats,lookRes,FALSE),0)</f>
        <v>0</v>
      </c>
      <c r="K29" s="601">
        <f>IF($C29,VLOOKUP($B29,GenSocketStats,lookDod,FALSE),0)</f>
        <v>0</v>
      </c>
      <c r="L29" s="600">
        <f>IF($C29,VLOOKUP($B29,GenSocketStats,lookExp,FALSE),0)</f>
        <v>0</v>
      </c>
      <c r="M29" s="600"/>
      <c r="N29" s="605"/>
      <c r="O29" s="600"/>
      <c r="P29" s="600">
        <f>IF($C29,VLOOKUP($B29,GenSocketStats,lookHaste,FALSE),0)</f>
        <v>0</v>
      </c>
      <c r="Q29" s="600">
        <f>IF($C29,VLOOKUP($B29,GenSocketStats,lookArmor,FALSE),0)</f>
        <v>0</v>
      </c>
      <c r="R29" s="600" t="str">
        <f>IF($C29,VLOOKUP($B29,GenSocketStats,lookSoc,FALSE),0)</f>
        <v>1 1 0</v>
      </c>
      <c r="S29" s="602">
        <f>IF($C29,VLOOKUP($B29,GenSocketStats,lookSet,FALSE),0)</f>
        <v>0</v>
      </c>
      <c r="U29" s="1432" t="s">
        <v>2214</v>
      </c>
      <c r="V29" s="1423"/>
      <c r="W29" s="1423"/>
      <c r="X29" s="1108" t="b">
        <f>AND($Y$44,COUNTIF($S$10:$S$71,"Gladiator's")&gt;=4)</f>
        <v>0</v>
      </c>
      <c r="Y29" s="23"/>
      <c r="AA29" s="26"/>
      <c r="AB29" s="225"/>
      <c r="AC29" s="224"/>
      <c r="AD29" s="1340"/>
      <c r="AE29" s="122"/>
      <c r="AF29" s="1343"/>
    </row>
    <row r="30" spans="1:32">
      <c r="A30" s="189"/>
      <c r="B30" s="599" t="s">
        <v>303</v>
      </c>
      <c r="C30" s="1309" t="b">
        <f>MID($R$26,1,1)+MID($R$26,3,1)+MID(R$26,5,1)&gt;=2</f>
        <v>0</v>
      </c>
      <c r="D30" s="600">
        <f>IF($C30,VLOOKUP($B30,GenSocketStats,lookStr,FALSE),0)</f>
        <v>0</v>
      </c>
      <c r="E30" s="600">
        <f>IF($C30,VLOOKUP($B30,GenSocketStats,lookAgi,FALSE),0)</f>
        <v>0</v>
      </c>
      <c r="F30" s="600">
        <f>IF($C30,VLOOKUP($B30,GenSocketStats,lookSta,FALSE),0)</f>
        <v>0</v>
      </c>
      <c r="G30" s="601">
        <f>IF($C30,VLOOKUP($B30,GenSocketStats,lookCrit,FALSE),0)</f>
        <v>0</v>
      </c>
      <c r="H30" s="601">
        <f>IF($C30,VLOOKUP($B30,GenSocketStats,lookHit,FALSE),0)</f>
        <v>0</v>
      </c>
      <c r="I30" s="600">
        <f>IF($C30,VLOOKUP($B30,GenSocketStats,lookAP,FALSE),0)</f>
        <v>0</v>
      </c>
      <c r="J30" s="600">
        <f>IF($C30,VLOOKUP($B30,GenSocketStats,lookRes,FALSE),0)</f>
        <v>0</v>
      </c>
      <c r="K30" s="601">
        <f>IF($C30,VLOOKUP($B30,GenSocketStats,lookDod,FALSE),0)</f>
        <v>0</v>
      </c>
      <c r="L30" s="600">
        <f>IF($C30,VLOOKUP($B30,GenSocketStats,lookExp,FALSE),0)</f>
        <v>0</v>
      </c>
      <c r="M30" s="600"/>
      <c r="N30" s="605"/>
      <c r="O30" s="600"/>
      <c r="P30" s="600">
        <f>IF($C30,VLOOKUP($B30,GenSocketStats,lookHaste,FALSE),0)</f>
        <v>0</v>
      </c>
      <c r="Q30" s="600">
        <f>IF($C30,VLOOKUP($B30,GenSocketStats,lookArmor,FALSE),0)</f>
        <v>0</v>
      </c>
      <c r="R30" s="600">
        <f>IF($C30,VLOOKUP($B30,GenSocketStats,lookSoc,FALSE),0)</f>
        <v>0</v>
      </c>
      <c r="S30" s="602">
        <f>IF($C30,VLOOKUP($B30,GenSocketStats,lookSet,FALSE),0)</f>
        <v>0</v>
      </c>
      <c r="U30" s="1428" t="s">
        <v>435</v>
      </c>
      <c r="V30" s="1429"/>
      <c r="W30" s="1429"/>
      <c r="X30" s="1107" t="b">
        <f>AND($Y$44,COUNTIF($S$10:$S$71,"Netherblade")&gt;=2)</f>
        <v>1</v>
      </c>
      <c r="Y30" s="23"/>
      <c r="AB30" s="225"/>
      <c r="AC30" s="224"/>
      <c r="AD30" s="1340"/>
      <c r="AE30" s="122"/>
      <c r="AF30" s="1343"/>
    </row>
    <row r="31" spans="1:32">
      <c r="A31" s="189"/>
      <c r="B31" s="599" t="s">
        <v>303</v>
      </c>
      <c r="C31" s="1309" t="b">
        <f>MID($R$26,1,1)+MID($R$26,3,1)+MID(R$26,5,1)&gt;=3</f>
        <v>0</v>
      </c>
      <c r="D31" s="600">
        <f>IF($C31,VLOOKUP($B31,GenSocketStats,lookStr,FALSE),0)</f>
        <v>0</v>
      </c>
      <c r="E31" s="600">
        <f>IF($C31,VLOOKUP($B31,GenSocketStats,lookAgi,FALSE),0)</f>
        <v>0</v>
      </c>
      <c r="F31" s="600">
        <f>IF($C31,VLOOKUP($B31,GenSocketStats,lookSta,FALSE),0)</f>
        <v>0</v>
      </c>
      <c r="G31" s="601">
        <f>IF($C31,VLOOKUP($B31,GenSocketStats,lookCrit,FALSE),0)</f>
        <v>0</v>
      </c>
      <c r="H31" s="601">
        <f>IF($C31,VLOOKUP($B31,GenSocketStats,lookHit,FALSE),0)</f>
        <v>0</v>
      </c>
      <c r="I31" s="600">
        <f>IF($C31,VLOOKUP($B31,GenSocketStats,lookAP,FALSE),0)</f>
        <v>0</v>
      </c>
      <c r="J31" s="600">
        <f>IF($C31,VLOOKUP($B31,GenSocketStats,lookRes,FALSE),0)</f>
        <v>0</v>
      </c>
      <c r="K31" s="601">
        <f>IF($C31,VLOOKUP($B31,GenSocketStats,lookDod,FALSE),0)</f>
        <v>0</v>
      </c>
      <c r="L31" s="600">
        <f>IF($C31,VLOOKUP($B31,GenSocketStats,lookExp,FALSE),0)</f>
        <v>0</v>
      </c>
      <c r="M31" s="600"/>
      <c r="N31" s="605"/>
      <c r="O31" s="600"/>
      <c r="P31" s="600">
        <f>IF($C31,VLOOKUP($B31,GenSocketStats,lookHaste,FALSE),0)</f>
        <v>0</v>
      </c>
      <c r="Q31" s="600">
        <f>IF($C31,VLOOKUP($B31,GenSocketStats,lookArmor,FALSE),0)</f>
        <v>0</v>
      </c>
      <c r="R31" s="600">
        <f>IF($C31,VLOOKUP($B31,GenSocketStats,lookSoc,FALSE),0)</f>
        <v>0</v>
      </c>
      <c r="S31" s="602">
        <f>IF($C31,VLOOKUP($B31,GenSocketStats,lookSet,FALSE),0)</f>
        <v>0</v>
      </c>
      <c r="T31" s="27"/>
      <c r="U31" s="1428" t="s">
        <v>436</v>
      </c>
      <c r="V31" s="1429"/>
      <c r="W31" s="1429"/>
      <c r="X31" s="1107" t="b">
        <f>AND($Y$44,COUNTIF($S$10:$S$71,"Netherblade")&gt;=4)</f>
        <v>0</v>
      </c>
      <c r="AA31" s="26"/>
      <c r="AB31" s="225"/>
      <c r="AC31" s="225"/>
      <c r="AD31" s="1340"/>
      <c r="AE31" s="122"/>
      <c r="AF31" s="1343"/>
    </row>
    <row r="32" spans="1:32">
      <c r="A32" s="612" t="s">
        <v>437</v>
      </c>
      <c r="B32" s="617" t="s">
        <v>657</v>
      </c>
      <c r="C32" s="1154" t="str">
        <f>VLOOKUP($B32,NeckStats,lookSource,FALSE)</f>
        <v>Heroic</v>
      </c>
      <c r="D32" s="613">
        <f>VLOOKUP($B32,NeckStats,lookStr,FALSE)</f>
        <v>0</v>
      </c>
      <c r="E32" s="613">
        <f>VLOOKUP($B32,NeckStats,lookAgi,FALSE)</f>
        <v>20</v>
      </c>
      <c r="F32" s="613">
        <f>VLOOKUP($B32,NeckStats,lookSta,FALSE)</f>
        <v>18</v>
      </c>
      <c r="G32" s="614">
        <f>VLOOKUP($B32,NeckStats,lookCrit,FALSE)</f>
        <v>0</v>
      </c>
      <c r="H32" s="614">
        <f>VLOOKUP($B32,NeckStats,lookHit,FALSE)</f>
        <v>18</v>
      </c>
      <c r="I32" s="613">
        <f>VLOOKUP($B32,NeckStats,lookAP,FALSE)</f>
        <v>42</v>
      </c>
      <c r="J32" s="615">
        <f>VLOOKUP($B32,NeckStats,lookRes,FALSE)</f>
        <v>0</v>
      </c>
      <c r="K32" s="614">
        <f>VLOOKUP($B32,NeckStats,lookDod,FALSE)</f>
        <v>0</v>
      </c>
      <c r="L32" s="615">
        <f>VLOOKUP($B32,NeckStats,lookExp,FALSE)</f>
        <v>0</v>
      </c>
      <c r="M32" s="615">
        <f>VLOOKUP($B32,NeckStats,lookDef,FALSE)</f>
        <v>0</v>
      </c>
      <c r="N32" s="1154"/>
      <c r="O32" s="615"/>
      <c r="P32" s="615">
        <f>VLOOKUP($B32,NeckStats,lookHaste,FALSE)</f>
        <v>0</v>
      </c>
      <c r="Q32" s="615">
        <f>VLOOKUP($B32,NeckStats,lookArmor,FALSE)</f>
        <v>0</v>
      </c>
      <c r="R32" s="615" t="str">
        <f>VLOOKUP($B32,NeckStats,lookSoc,FALSE)</f>
        <v>0 0 0</v>
      </c>
      <c r="S32" s="615">
        <f>VLOOKUP($B32,NeckStats,lookSet,FALSE)</f>
        <v>0</v>
      </c>
      <c r="T32" s="27"/>
      <c r="U32" s="1422" t="s">
        <v>658</v>
      </c>
      <c r="V32" s="1423"/>
      <c r="W32" s="1423"/>
      <c r="X32" s="1108" t="b">
        <f>AND($Y$44,COUNTIF($S$10:$S$71,"Fel Skin")&gt;=3)</f>
        <v>0</v>
      </c>
      <c r="Y32" s="23">
        <f>IF(X32,20,0)</f>
        <v>0</v>
      </c>
      <c r="AA32" s="26"/>
      <c r="AB32" s="225"/>
      <c r="AC32" s="224"/>
      <c r="AD32" s="1340"/>
      <c r="AE32" s="122"/>
      <c r="AF32" s="1343">
        <f>$D32*dpsStr+$E32*dpsAgi+$G32*dpsCrit+$H32*dpsHit+$I32*dpsAP+$L32*dpsExp+$P32*dpsHaste+$Q32*dpsArmor+IF(MID(R32,1,1)+MID(R32,3,1)+MID(R32,5,1)&gt;0,VLOOKUP(B33,GenSocketStats,18,FALSE)+IF(MID(R32,1,1)+MID(R32,3,1)+MID(R32,5,1)&gt;1,VLOOKUP(B34,GenSocketStats,18,FALSE)+IF(MID(R32,1,1)+MID(R32,3,1)+MID(R32,5,1)&gt;2,VLOOKUP(B35,GenSocketStats,18,FALSE),0)),0)</f>
        <v>131.45268488090505</v>
      </c>
    </row>
    <row r="33" spans="1:32">
      <c r="A33" s="604" t="str">
        <f>IF(AC14,"+"&amp;MID(AD14,4,2)&amp;" "&amp;MID(AD14,1,2),MID($R$32,1,1)&amp;" Red "&amp;MID($R$32,3,1)&amp;" Blue "&amp;MID($R$32,5,1)&amp;" Yellow")</f>
        <v>0 Red 0 Blue 0 Yellow</v>
      </c>
      <c r="B33" s="599" t="s">
        <v>303</v>
      </c>
      <c r="C33" s="1309" t="b">
        <f>MID($R$32,1,1)+MID($R$32,3,1)+MID(R$32,5,1)&gt;=1</f>
        <v>0</v>
      </c>
      <c r="D33" s="600">
        <f>IF($C33,VLOOKUP($B33,GenSocketStats,lookStr,FALSE),0)</f>
        <v>0</v>
      </c>
      <c r="E33" s="600">
        <f>IF($C33,VLOOKUP($B33,GenSocketStats,lookAgi,FALSE),0)</f>
        <v>0</v>
      </c>
      <c r="F33" s="600">
        <f>IF($C33,VLOOKUP($B33,GenSocketStats,lookSta,FALSE),0)</f>
        <v>0</v>
      </c>
      <c r="G33" s="601">
        <f>IF($C33,VLOOKUP($B33,GenSocketStats,lookCrit,FALSE),0)</f>
        <v>0</v>
      </c>
      <c r="H33" s="601">
        <f>IF($C33,VLOOKUP($B33,GenSocketStats,lookHit,FALSE),0)</f>
        <v>0</v>
      </c>
      <c r="I33" s="600">
        <f>IF($C33,VLOOKUP($B33,GenSocketStats,lookAP,FALSE),0)</f>
        <v>0</v>
      </c>
      <c r="J33" s="600">
        <f>IF($C33,VLOOKUP($B33,GenSocketStats,lookRes,FALSE),0)</f>
        <v>0</v>
      </c>
      <c r="K33" s="601">
        <f>IF($C33,VLOOKUP($B33,GenSocketStats,lookDod,FALSE),0)</f>
        <v>0</v>
      </c>
      <c r="L33" s="600">
        <f>IF($C33,VLOOKUP($B33,GenSocketStats,lookExp,FALSE),0)</f>
        <v>0</v>
      </c>
      <c r="M33" s="600"/>
      <c r="N33" s="605"/>
      <c r="O33" s="600"/>
      <c r="P33" s="600">
        <f>IF($C33,VLOOKUP($B33,GenSocketStats,lookHaste,FALSE),0)</f>
        <v>0</v>
      </c>
      <c r="Q33" s="600">
        <f>IF($C33,VLOOKUP($B33,GenSocketStats,lookArmor,FALSE),0)</f>
        <v>0</v>
      </c>
      <c r="R33" s="600">
        <f>IF($C33,VLOOKUP($B33,GenSocketStats,lookSoc,FALSE),0)</f>
        <v>0</v>
      </c>
      <c r="S33" s="602">
        <f>IF($C33,VLOOKUP($B33,GenSocketStats,lookSet,FALSE),0)</f>
        <v>0</v>
      </c>
      <c r="T33" s="27"/>
      <c r="U33" s="1428" t="s">
        <v>659</v>
      </c>
      <c r="V33" s="1429"/>
      <c r="W33" s="1429"/>
      <c r="X33" s="1107" t="b">
        <f>AND($Y$44,COUNTIF($S$10:$S$71,"Primal Intent")&gt;=3)</f>
        <v>0</v>
      </c>
      <c r="Y33" s="23">
        <f>IF(X33,40,0)</f>
        <v>0</v>
      </c>
      <c r="AA33" s="26"/>
      <c r="AB33" s="225"/>
      <c r="AC33" s="224"/>
      <c r="AD33" s="1340"/>
      <c r="AE33" s="122"/>
      <c r="AF33" s="1343"/>
    </row>
    <row r="34" spans="1:32">
      <c r="A34" s="27"/>
      <c r="B34" s="599" t="s">
        <v>303</v>
      </c>
      <c r="C34" s="1309" t="b">
        <f>MID($R$32,1,1)+MID($R$32,3,1)+MID(R$32,5,1)&gt;=2</f>
        <v>0</v>
      </c>
      <c r="D34" s="600">
        <f>IF($C34,VLOOKUP($B34,GenSocketStats,lookStr,FALSE),0)</f>
        <v>0</v>
      </c>
      <c r="E34" s="600">
        <f>IF($C34,VLOOKUP($B34,GenSocketStats,lookAgi,FALSE),0)</f>
        <v>0</v>
      </c>
      <c r="F34" s="600">
        <f>IF($C34,VLOOKUP($B34,GenSocketStats,lookSta,FALSE),0)</f>
        <v>0</v>
      </c>
      <c r="G34" s="601">
        <f>IF($C34,VLOOKUP($B34,GenSocketStats,lookCrit,FALSE),0)</f>
        <v>0</v>
      </c>
      <c r="H34" s="601">
        <f>IF($C34,VLOOKUP($B34,GenSocketStats,lookHit,FALSE),0)</f>
        <v>0</v>
      </c>
      <c r="I34" s="600">
        <f>IF($C34,VLOOKUP($B34,GenSocketStats,lookAP,FALSE),0)</f>
        <v>0</v>
      </c>
      <c r="J34" s="600">
        <f>IF($C34,VLOOKUP($B34,GenSocketStats,lookRes,FALSE),0)</f>
        <v>0</v>
      </c>
      <c r="K34" s="601">
        <f>IF($C34,VLOOKUP($B34,GenSocketStats,lookDod,FALSE),0)</f>
        <v>0</v>
      </c>
      <c r="L34" s="600">
        <f>IF($C34,VLOOKUP($B34,GenSocketStats,lookExp,FALSE),0)</f>
        <v>0</v>
      </c>
      <c r="M34" s="600"/>
      <c r="N34" s="605"/>
      <c r="O34" s="600"/>
      <c r="P34" s="600">
        <f>IF($C34,VLOOKUP($B34,GenSocketStats,lookHaste,FALSE),0)</f>
        <v>0</v>
      </c>
      <c r="Q34" s="600">
        <f>IF($C34,VLOOKUP($B34,GenSocketStats,lookArmor,FALSE),0)</f>
        <v>0</v>
      </c>
      <c r="R34" s="600">
        <f>IF($C34,VLOOKUP($B34,GenSocketStats,lookSoc,FALSE),0)</f>
        <v>0</v>
      </c>
      <c r="S34" s="602">
        <f>IF($C34,VLOOKUP($B34,GenSocketStats,lookSet,FALSE),0)</f>
        <v>0</v>
      </c>
      <c r="T34" s="27"/>
      <c r="U34" s="1422" t="s">
        <v>1115</v>
      </c>
      <c r="V34" s="1434"/>
      <c r="W34" s="1434"/>
      <c r="X34" s="1108" t="b">
        <f>AND($Y$44,COUNTIF($S$10:$S$71,"Wastewalker")&gt;=2)</f>
        <v>1</v>
      </c>
      <c r="Y34" s="23">
        <f>IF(X34,35,0)</f>
        <v>35</v>
      </c>
      <c r="AA34" s="26"/>
      <c r="AB34" s="225"/>
      <c r="AC34" s="224"/>
      <c r="AD34" s="1340"/>
      <c r="AE34" s="122"/>
      <c r="AF34" s="1343"/>
    </row>
    <row r="35" spans="1:32">
      <c r="A35" s="612" t="s">
        <v>660</v>
      </c>
      <c r="B35" s="617" t="s">
        <v>1015</v>
      </c>
      <c r="C35" s="1154" t="str">
        <f>VLOOKUP($B35,ShoulderStats,lookSource,FALSE)</f>
        <v>Heroic</v>
      </c>
      <c r="D35" s="613">
        <f>VLOOKUP($B35,ShoulderStats,lookStr,FALSE)</f>
        <v>0</v>
      </c>
      <c r="E35" s="613">
        <f>VLOOKUP($B35,ShoulderStats,lookAgi,FALSE)</f>
        <v>25</v>
      </c>
      <c r="F35" s="613">
        <f>VLOOKUP($B35,ShoulderStats,lookSta,FALSE)</f>
        <v>13</v>
      </c>
      <c r="G35" s="614">
        <f>VLOOKUP($B35,ShoulderStats,lookCrit,FALSE)</f>
        <v>0</v>
      </c>
      <c r="H35" s="614">
        <f>VLOOKUP($B35,ShoulderStats,lookHit,FALSE)</f>
        <v>16</v>
      </c>
      <c r="I35" s="613">
        <f>VLOOKUP($B35,ShoulderStats,lookAP,FALSE)</f>
        <v>34</v>
      </c>
      <c r="J35" s="614">
        <f>VLOOKUP($B35,ShoulderStats,lookRes,FALSE)</f>
        <v>0</v>
      </c>
      <c r="K35" s="614">
        <f>VLOOKUP($B35,ShoulderStats,lookDod,FALSE)</f>
        <v>0</v>
      </c>
      <c r="L35" s="615">
        <f>VLOOKUP($B35,ShoulderStats,lookExp,FALSE)</f>
        <v>0</v>
      </c>
      <c r="M35" s="615">
        <f>VLOOKUP($B35,ShoulderStats,lookDef,FALSE)</f>
        <v>0</v>
      </c>
      <c r="N35" s="1154"/>
      <c r="O35" s="615"/>
      <c r="P35" s="615">
        <f>VLOOKUP($B35,ShoulderStats,lookHaste,FALSE)</f>
        <v>0</v>
      </c>
      <c r="Q35" s="615">
        <f>VLOOKUP($B35,ShoulderStats,lookArmor,FALSE)</f>
        <v>0</v>
      </c>
      <c r="R35" s="615" t="str">
        <f>VLOOKUP($B35,ShoulderStats,lookSoc,FALSE)</f>
        <v>1 1 0</v>
      </c>
      <c r="S35" s="615" t="str">
        <f>VLOOKUP($B35,ShoulderStats,lookSet,FALSE)</f>
        <v>Wastewalker</v>
      </c>
      <c r="U35" s="1422" t="s">
        <v>1116</v>
      </c>
      <c r="V35" s="1434"/>
      <c r="W35" s="1434"/>
      <c r="X35" s="1108" t="b">
        <f>AND($Y$44,COUNTIF($S$10:$S$71,"Wastewalker")&gt;=4)</f>
        <v>0</v>
      </c>
      <c r="Y35" s="23">
        <f>IF(X35,160*Optimize!C58,0)</f>
        <v>0</v>
      </c>
      <c r="AA35" s="26"/>
      <c r="AB35" s="225"/>
      <c r="AC35" s="224"/>
      <c r="AD35" s="1340"/>
      <c r="AE35" s="122"/>
      <c r="AF35" s="1343">
        <f>$D35*dpsStr+$E35*dpsAgi+$G35*dpsCrit+$H35*dpsHit+$I35*dpsAP+$L35*dpsExp+$P35*dpsHaste+$Q35*dpsArmor+IF(MID(R35,1,1)+MID(R35,3,1)+MID(R35,5,1)&gt;0,VLOOKUP(B37,GenSocketStats,18,FALSE)+IF(MID(R35,1,1)+MID(R35,3,1)+MID(R35,5,1)&gt;1,VLOOKUP(B38,GenSocketStats,18,FALSE)+IF(MID(R35,1,1)+MID(R35,3,1)+MID(R35,5,1)&gt;2,VLOOKUP(B39,GenSocketStats,18,FALSE),0)),0)</f>
        <v>210.43054956051878</v>
      </c>
    </row>
    <row r="36" spans="1:32">
      <c r="A36" s="189" t="s">
        <v>662</v>
      </c>
      <c r="B36" s="610" t="s">
        <v>1018</v>
      </c>
      <c r="C36" s="1308"/>
      <c r="D36" s="40">
        <f>VLOOKUP($B36,ShoulderEnchantStats,lookStr,FALSE)</f>
        <v>0</v>
      </c>
      <c r="E36" s="40">
        <f>VLOOKUP($B36,ShoulderEnchantStats,lookAgi,FALSE)</f>
        <v>0</v>
      </c>
      <c r="F36" s="40">
        <f>VLOOKUP($B36,ShoulderEnchantStats,lookSta,FALSE)</f>
        <v>0</v>
      </c>
      <c r="G36" s="41">
        <f>VLOOKUP($B36,ShoulderEnchantStats,lookCrit,FALSE)</f>
        <v>14</v>
      </c>
      <c r="H36" s="41">
        <f>VLOOKUP($B36,ShoulderEnchantStats,lookHit,FALSE)</f>
        <v>0</v>
      </c>
      <c r="I36" s="40">
        <f>VLOOKUP($B36,ShoulderEnchantStats,lookAP,FALSE)</f>
        <v>26</v>
      </c>
      <c r="J36" s="40">
        <f>VLOOKUP($B36,ShoulderEnchantStats,lookRes,FALSE)</f>
        <v>0</v>
      </c>
      <c r="K36" s="41">
        <f>VLOOKUP($B36,ShoulderEnchantStats,lookDod,FALSE)</f>
        <v>0</v>
      </c>
      <c r="L36" s="39">
        <f>VLOOKUP($B36,ShoulderEnchantStats,lookExp,FALSE)</f>
        <v>0</v>
      </c>
      <c r="M36" s="39">
        <f>VLOOKUP($B36,ShoulderEnchantStats,lookDef,FALSE)</f>
        <v>0</v>
      </c>
      <c r="N36" s="1155"/>
      <c r="O36" s="39"/>
      <c r="P36" s="39">
        <f>VLOOKUP($B36,ShoulderEnchantStats,lookHaste,FALSE)</f>
        <v>0</v>
      </c>
      <c r="Q36" s="39">
        <f>VLOOKUP($B36,ShoulderEnchantStats,lookArmor,FALSE)</f>
        <v>0</v>
      </c>
      <c r="R36" s="39">
        <f>VLOOKUP($B36,ShoulderEnchantStats,lookSoc,FALSE)</f>
        <v>0</v>
      </c>
      <c r="S36" s="39">
        <f>VLOOKUP($B36,ShoulderEnchantStats,lookSet,FALSE)</f>
        <v>0</v>
      </c>
      <c r="U36" s="1428" t="s">
        <v>1119</v>
      </c>
      <c r="V36" s="1433"/>
      <c r="W36" s="1433"/>
      <c r="X36" s="1107" t="b">
        <f>AND($Y$44,COUNTIF($S$10:$S$71,"Slayer")&gt;=2)</f>
        <v>0</v>
      </c>
      <c r="Y36" s="44">
        <f>IF(Slayer2,1.35,1.3)</f>
        <v>1.3</v>
      </c>
      <c r="AA36" s="26"/>
      <c r="AB36" s="225"/>
      <c r="AC36" s="224"/>
      <c r="AD36" s="1340"/>
      <c r="AE36" s="122"/>
      <c r="AF36" s="1343">
        <f>$D36*dpsStr+$E36*dpsAgi+$G36*dpsCrit+$H36*dpsHit+$I36*dpsAP+$L36*dpsExp+$P36*dpsHaste+$Q36*dpsArmor</f>
        <v>18.891728949367007</v>
      </c>
    </row>
    <row r="37" spans="1:32">
      <c r="A37" s="604" t="str">
        <f>IF(AC15,"+"&amp;MID(AD15,4,2)&amp;" "&amp;MID(AD15,1,2),MID($R$35,1,1)&amp;" Red "&amp;MID($R$35,3,1)&amp;" Blue "&amp;MID($R$35,5,1)&amp;" Yellow")</f>
        <v>1 Red 1 Blue 0 Yellow</v>
      </c>
      <c r="B37" s="599" t="s">
        <v>1983</v>
      </c>
      <c r="C37" s="1309" t="b">
        <f>MID($R$35,1,1)+MID($R$35,3,1)+MID(R$35,5,1)&gt;=1</f>
        <v>1</v>
      </c>
      <c r="D37" s="600">
        <f>IF($C37,VLOOKUP($B37,GenSocketStats,lookStr,FALSE),0)</f>
        <v>0</v>
      </c>
      <c r="E37" s="600">
        <f>IF($C37,VLOOKUP($B37,GenSocketStats,lookAgi,FALSE),0)</f>
        <v>0</v>
      </c>
      <c r="F37" s="600">
        <f>IF($C37,VLOOKUP($B37,GenSocketStats,lookSta,FALSE),0)</f>
        <v>0</v>
      </c>
      <c r="G37" s="601">
        <f>IF($C37,VLOOKUP($B37,GenSocketStats,lookCrit,FALSE),0)</f>
        <v>0</v>
      </c>
      <c r="H37" s="601">
        <f>IF($C37,VLOOKUP($B37,GenSocketStats,lookHit,FALSE),0)</f>
        <v>8</v>
      </c>
      <c r="I37" s="600">
        <f>IF($C37,VLOOKUP($B37,GenSocketStats,lookAP,FALSE),0)</f>
        <v>0</v>
      </c>
      <c r="J37" s="600">
        <f>IF($C37,VLOOKUP($B37,GenSocketStats,lookRes,FALSE),0)</f>
        <v>0</v>
      </c>
      <c r="K37" s="601">
        <f>IF($C37,VLOOKUP($B37,GenSocketStats,lookDod,FALSE),0)</f>
        <v>0</v>
      </c>
      <c r="L37" s="600">
        <f>IF($C37,VLOOKUP($B37,GenSocketStats,lookExp,FALSE),0)</f>
        <v>0</v>
      </c>
      <c r="M37" s="600"/>
      <c r="N37" s="605"/>
      <c r="O37" s="600"/>
      <c r="P37" s="600">
        <f>IF($C37,VLOOKUP($B37,GenSocketStats,lookHaste,FALSE),0)</f>
        <v>0</v>
      </c>
      <c r="Q37" s="600">
        <f>IF($C37,VLOOKUP($B37,GenSocketStats,lookArmor,FALSE),0)</f>
        <v>0</v>
      </c>
      <c r="R37" s="600" t="str">
        <f>IF($C37,VLOOKUP($B37,GenSocketStats,lookSoc,FALSE),0)</f>
        <v>0 0 1</v>
      </c>
      <c r="S37" s="602">
        <f>IF($C37,VLOOKUP($B37,GenSocketStats,lookSet,FALSE),0)</f>
        <v>0</v>
      </c>
      <c r="U37" s="1428" t="s">
        <v>1122</v>
      </c>
      <c r="V37" s="1433"/>
      <c r="W37" s="1433"/>
      <c r="X37" s="1107" t="b">
        <f>AND($Y$44,COUNTIF($S$10:$S$71,"Slayer")&gt;=4)</f>
        <v>0</v>
      </c>
      <c r="Y37" s="23">
        <f>IF(Slayer4=TRUE,1.06,1)</f>
        <v>1</v>
      </c>
      <c r="AA37" s="26"/>
      <c r="AB37" s="225"/>
      <c r="AC37" s="225"/>
      <c r="AD37" s="1340"/>
      <c r="AE37" s="122"/>
      <c r="AF37" s="1343"/>
    </row>
    <row r="38" spans="1:32">
      <c r="A38" s="189"/>
      <c r="B38" s="599" t="s">
        <v>1983</v>
      </c>
      <c r="C38" s="1309" t="b">
        <f>MID($R$35,1,1)+MID($R$35,3,1)+MID(R$35,5,1)&gt;=2</f>
        <v>1</v>
      </c>
      <c r="D38" s="600">
        <f>IF($C38,VLOOKUP($B38,GenSocketStats,lookStr,FALSE),0)</f>
        <v>0</v>
      </c>
      <c r="E38" s="600">
        <f>IF($C38,VLOOKUP($B38,GenSocketStats,lookAgi,FALSE),0)</f>
        <v>0</v>
      </c>
      <c r="F38" s="600">
        <f>IF($C38,VLOOKUP($B38,GenSocketStats,lookSta,FALSE),0)</f>
        <v>0</v>
      </c>
      <c r="G38" s="601">
        <f>IF($C38,VLOOKUP($B38,GenSocketStats,lookCrit,FALSE),0)</f>
        <v>0</v>
      </c>
      <c r="H38" s="601">
        <f>IF($C38,VLOOKUP($B38,GenSocketStats,lookHit,FALSE),0)</f>
        <v>8</v>
      </c>
      <c r="I38" s="600">
        <f>IF($C38,VLOOKUP($B38,GenSocketStats,lookAP,FALSE),0)</f>
        <v>0</v>
      </c>
      <c r="J38" s="600">
        <f>IF($C38,VLOOKUP($B38,GenSocketStats,lookRes,FALSE),0)</f>
        <v>0</v>
      </c>
      <c r="K38" s="601">
        <f>IF($C38,VLOOKUP($B38,GenSocketStats,lookDod,FALSE),0)</f>
        <v>0</v>
      </c>
      <c r="L38" s="600">
        <f>IF($C38,VLOOKUP($B38,GenSocketStats,lookExp,FALSE),0)</f>
        <v>0</v>
      </c>
      <c r="M38" s="600"/>
      <c r="N38" s="605"/>
      <c r="O38" s="600"/>
      <c r="P38" s="600">
        <f>IF($C38,VLOOKUP($B38,GenSocketStats,lookHaste,FALSE),0)</f>
        <v>0</v>
      </c>
      <c r="Q38" s="600">
        <f>IF($C38,VLOOKUP($B38,GenSocketStats,lookArmor,FALSE),0)</f>
        <v>0</v>
      </c>
      <c r="R38" s="600" t="str">
        <f>IF($C38,VLOOKUP($B38,GenSocketStats,lookSoc,FALSE),0)</f>
        <v>0 0 1</v>
      </c>
      <c r="S38" s="602">
        <f>IF($C38,VLOOKUP($B38,GenSocketStats,lookSet,FALSE),0)</f>
        <v>0</v>
      </c>
      <c r="U38" s="1422" t="s">
        <v>1123</v>
      </c>
      <c r="V38" s="1423"/>
      <c r="W38" s="1423"/>
      <c r="X38" s="1108" t="b">
        <f>AND($Y$44,COUNTIF($S$10:$S$71,"Twinblade")&gt;=2)</f>
        <v>0</v>
      </c>
      <c r="Y38" s="44"/>
      <c r="Z38" s="201"/>
      <c r="AB38" s="225"/>
      <c r="AC38" s="225"/>
      <c r="AD38" s="1340"/>
      <c r="AE38" s="122"/>
      <c r="AF38" s="1343"/>
    </row>
    <row r="39" spans="1:32" ht="13.5" thickBot="1">
      <c r="A39" s="612" t="s">
        <v>1117</v>
      </c>
      <c r="B39" s="617" t="s">
        <v>1118</v>
      </c>
      <c r="C39" s="1154" t="str">
        <f>VLOOKUP($B39,BackStats,lookSource,FALSE)</f>
        <v>Karazhan</v>
      </c>
      <c r="D39" s="613">
        <f>VLOOKUP($B39,BackStats,lookStr,FALSE)</f>
        <v>0</v>
      </c>
      <c r="E39" s="613">
        <f>VLOOKUP($B39,BackStats,lookAgi,FALSE)</f>
        <v>24</v>
      </c>
      <c r="F39" s="613">
        <f>VLOOKUP($B39,BackStats,lookSta,FALSE)</f>
        <v>21</v>
      </c>
      <c r="G39" s="614">
        <f>VLOOKUP($B39,BackStats,lookCrit,FALSE)</f>
        <v>0</v>
      </c>
      <c r="H39" s="614">
        <f>VLOOKUP($B39,BackStats,lookHit,FALSE)</f>
        <v>17</v>
      </c>
      <c r="I39" s="613">
        <f>VLOOKUP($B39,BackStats,lookAP,FALSE)</f>
        <v>34</v>
      </c>
      <c r="J39" s="615">
        <f>VLOOKUP($B39,BackStats,lookRes,FALSE)</f>
        <v>0</v>
      </c>
      <c r="K39" s="614">
        <f>VLOOKUP($B39,BackStats,lookDod,FALSE)</f>
        <v>0</v>
      </c>
      <c r="L39" s="615">
        <f>VLOOKUP($B39,BackStats,lookExp,FALSE)</f>
        <v>0</v>
      </c>
      <c r="M39" s="615">
        <f>VLOOKUP($B39,BackStats,lookDef,FALSE)</f>
        <v>0</v>
      </c>
      <c r="N39" s="1154"/>
      <c r="O39" s="615"/>
      <c r="P39" s="615">
        <f>VLOOKUP($B39,BackStats,lookHaste,FALSE)</f>
        <v>0</v>
      </c>
      <c r="Q39" s="615">
        <f>VLOOKUP($B39,BackStats,lookArmor,FALSE)</f>
        <v>0</v>
      </c>
      <c r="R39" s="615" t="str">
        <f>VLOOKUP($B39,BackStats,lookSoc,FALSE)</f>
        <v>0 0 0</v>
      </c>
      <c r="S39" s="615">
        <f>VLOOKUP($B39,BackStats,lookSet,FALSE)</f>
        <v>0</v>
      </c>
      <c r="U39" s="1426" t="s">
        <v>962</v>
      </c>
      <c r="V39" s="1427"/>
      <c r="W39" s="1427"/>
      <c r="X39" s="1109" t="b">
        <f>AND($Y$44,COUNTIF($S$10:$S$71,"Latro's")&gt;=2)</f>
        <v>0</v>
      </c>
      <c r="AB39" s="225"/>
      <c r="AC39" s="225"/>
      <c r="AD39" s="1340"/>
      <c r="AE39" s="122"/>
      <c r="AF39" s="1343">
        <f>$D39*dpsStr+$E39*dpsAgi+$G39*dpsCrit+$H39*dpsHit+$I39*dpsAP+$L39*dpsExp+$P39*dpsHaste+$Q39*dpsArmor+IF(MID(R39,1,1)+MID(R39,3,1)+MID(R39,5,1)&gt;0,VLOOKUP(B41,GenSocketStats,18,FALSE)+IF(MID(R39,1,1)+MID(R39,3,1)+MID(R39,5,1)&gt;1,VLOOKUP(B42,GenSocketStats,18,FALSE)+IF(MID(R39,1,1)+MID(R39,3,1)+MID(R39,5,1)&gt;2,VLOOKUP(B43,GenSocketStats,18,FALSE),0)),0)</f>
        <v>126.35286468427648</v>
      </c>
    </row>
    <row r="40" spans="1:32" ht="13.5" thickBot="1">
      <c r="A40" s="189" t="s">
        <v>1120</v>
      </c>
      <c r="B40" s="609" t="s">
        <v>1121</v>
      </c>
      <c r="C40" s="1308"/>
      <c r="D40" s="40">
        <f>VLOOKUP($B40,BackEnchantStats,lookStr,FALSE)</f>
        <v>0</v>
      </c>
      <c r="E40" s="40">
        <f>VLOOKUP($B40,BackEnchantStats,lookAgi,FALSE)</f>
        <v>12</v>
      </c>
      <c r="F40" s="40">
        <f>VLOOKUP($B40,BackEnchantStats,lookSta,FALSE)</f>
        <v>0</v>
      </c>
      <c r="G40" s="41">
        <f>VLOOKUP($B40,BackEnchantStats,lookCrit,FALSE)</f>
        <v>0</v>
      </c>
      <c r="H40" s="41">
        <f>VLOOKUP($B40,BackEnchantStats,lookHit,FALSE)</f>
        <v>0</v>
      </c>
      <c r="I40" s="40">
        <f>VLOOKUP($B40,BackEnchantStats,lookAP,FALSE)</f>
        <v>0</v>
      </c>
      <c r="J40" s="40">
        <f>VLOOKUP($B40,BackEnchantStats,lookRes,FALSE)</f>
        <v>0</v>
      </c>
      <c r="K40" s="41">
        <f>VLOOKUP($B40,BackEnchantStats,lookDod,FALSE)</f>
        <v>0</v>
      </c>
      <c r="L40" s="39">
        <f>VLOOKUP($B40,BackEnchantStats,lookExp,FALSE)</f>
        <v>0</v>
      </c>
      <c r="M40" s="39"/>
      <c r="N40" s="1155"/>
      <c r="O40" s="39"/>
      <c r="P40" s="39">
        <f>VLOOKUP($B40,BackEnchantStats,lookHaste,FALSE)</f>
        <v>0</v>
      </c>
      <c r="Q40" s="39">
        <f>VLOOKUP($B40,BackEnchantStats,lookArmor,FALSE)</f>
        <v>0</v>
      </c>
      <c r="R40" s="39">
        <f>VLOOKUP($B40,BackEnchantStats,lookSoc,FALSE)</f>
        <v>0</v>
      </c>
      <c r="S40" s="39">
        <f>VLOOKUP($B40,BackEnchantStats,lookSet,FALSE)</f>
        <v>0</v>
      </c>
      <c r="AB40" s="225"/>
      <c r="AC40" s="225"/>
      <c r="AD40" s="1340"/>
      <c r="AE40" s="122"/>
      <c r="AF40" s="1343">
        <f>$D40*dpsStr+$E40*dpsAgi+$G40*dpsCrit+$H40*dpsHit+$I40*dpsAP+$L40*dpsExp+$P40*dpsHaste+$Q40*dpsArmor</f>
        <v>9.9265544320196568</v>
      </c>
    </row>
    <row r="41" spans="1:32">
      <c r="A41" s="604" t="str">
        <f>IF(AC22,"+"&amp;MID(AD22,4,2)&amp;" "&amp;MID(AD22,1,2),MID($R$39,1,1)&amp;" Red "&amp;MID($R$39,3,1)&amp;" Blue "&amp;MID($R$39,5,1)&amp;" Yellow")</f>
        <v>0 Red 0 Blue 0 Yellow</v>
      </c>
      <c r="B41" s="599" t="s">
        <v>303</v>
      </c>
      <c r="C41" s="1309" t="b">
        <f>MID($R$39,1,1)+MID($R$39,3,1)+MID(R$39,5,1)&gt;=1</f>
        <v>0</v>
      </c>
      <c r="D41" s="600">
        <f>IF($C41,VLOOKUP($B41,GenSocketStats,lookStr,FALSE),0)</f>
        <v>0</v>
      </c>
      <c r="E41" s="600">
        <f>IF($C41,VLOOKUP($B41,GenSocketStats,lookAgi,FALSE),0)</f>
        <v>0</v>
      </c>
      <c r="F41" s="600">
        <f>IF($C41,VLOOKUP($B41,GenSocketStats,lookSta,FALSE),0)</f>
        <v>0</v>
      </c>
      <c r="G41" s="601">
        <f>IF($C41,VLOOKUP($B41,GenSocketStats,lookCrit,FALSE),0)</f>
        <v>0</v>
      </c>
      <c r="H41" s="601">
        <f>IF($C41,VLOOKUP($B41,GenSocketStats,lookHit,FALSE),0)</f>
        <v>0</v>
      </c>
      <c r="I41" s="600">
        <f>IF($C41,VLOOKUP($B41,GenSocketStats,lookAP,FALSE),0)</f>
        <v>0</v>
      </c>
      <c r="J41" s="600">
        <f>IF($C41,VLOOKUP($B41,GenSocketStats,lookRes,FALSE),0)</f>
        <v>0</v>
      </c>
      <c r="K41" s="601">
        <f>IF($C41,VLOOKUP($B41,GenSocketStats,lookDod,FALSE),0)</f>
        <v>0</v>
      </c>
      <c r="L41" s="600">
        <f>IF($C41,VLOOKUP($B41,GenSocketStats,lookExp,FALSE),0)</f>
        <v>0</v>
      </c>
      <c r="M41" s="600"/>
      <c r="N41" s="605"/>
      <c r="O41" s="600"/>
      <c r="P41" s="600">
        <f>IF($C41,VLOOKUP($B41,GenSocketStats,lookHaste,FALSE),0)</f>
        <v>0</v>
      </c>
      <c r="Q41" s="600">
        <f>IF($C41,VLOOKUP($B41,GenSocketStats,lookArmor,FALSE),0)</f>
        <v>0</v>
      </c>
      <c r="R41" s="600">
        <f>IF($C41,VLOOKUP($B41,GenSocketStats,lookSoc,FALSE),0)</f>
        <v>0</v>
      </c>
      <c r="S41" s="602">
        <f>IF($C41,VLOOKUP($B41,GenSocketStats,lookSet,FALSE),0)</f>
        <v>0</v>
      </c>
      <c r="U41" s="186"/>
      <c r="V41" s="187"/>
      <c r="W41" s="196" t="s">
        <v>3085</v>
      </c>
      <c r="X41" s="187"/>
      <c r="Y41" s="187"/>
      <c r="Z41" s="187"/>
      <c r="AA41" s="187"/>
      <c r="AB41" s="226"/>
      <c r="AC41" s="227"/>
      <c r="AD41" s="1342"/>
      <c r="AE41" s="122"/>
      <c r="AF41" s="1343"/>
    </row>
    <row r="42" spans="1:32">
      <c r="A42" s="612" t="s">
        <v>1124</v>
      </c>
      <c r="B42" s="618" t="s">
        <v>822</v>
      </c>
      <c r="C42" s="1154" t="str">
        <f>VLOOKUP($B42,ChestStats,lookSource,FALSE)</f>
        <v>Magtheridon</v>
      </c>
      <c r="D42" s="613">
        <f>VLOOKUP($B42,ChestStats,lookStr,FALSE)</f>
        <v>0</v>
      </c>
      <c r="E42" s="613">
        <f>VLOOKUP($B42,ChestStats,lookAgi,FALSE)</f>
        <v>35</v>
      </c>
      <c r="F42" s="613">
        <f>VLOOKUP($B42,ChestStats,lookSta,FALSE)</f>
        <v>39</v>
      </c>
      <c r="G42" s="614">
        <f>VLOOKUP($B42,ChestStats,lookCrit,FALSE)</f>
        <v>0</v>
      </c>
      <c r="H42" s="614">
        <f>VLOOKUP($B42,ChestStats,lookHit,FALSE)</f>
        <v>11</v>
      </c>
      <c r="I42" s="613">
        <f>VLOOKUP($B42,ChestStats,lookAP,FALSE)</f>
        <v>74</v>
      </c>
      <c r="J42" s="615">
        <f>VLOOKUP($B42,ChestStats,lookRes,FALSE)</f>
        <v>0</v>
      </c>
      <c r="K42" s="614">
        <f>VLOOKUP($B42,ChestStats,lookDod,FALSE)</f>
        <v>0</v>
      </c>
      <c r="L42" s="615">
        <f>VLOOKUP($B42,ChestStats,lookExp,FALSE)</f>
        <v>0</v>
      </c>
      <c r="M42" s="615">
        <f>VLOOKUP($B42,ChestStats,lookDef,FALSE)</f>
        <v>0</v>
      </c>
      <c r="N42" s="1154"/>
      <c r="O42" s="615"/>
      <c r="P42" s="615">
        <f>VLOOKUP($B42,ChestStats,lookHaste,FALSE)</f>
        <v>0</v>
      </c>
      <c r="Q42" s="615">
        <f>VLOOKUP($B42,ChestStats,lookArmor,FALSE)</f>
        <v>0</v>
      </c>
      <c r="R42" s="615" t="str">
        <f>VLOOKUP($B42,ChestStats,lookSoc,FALSE)</f>
        <v>1 1 1</v>
      </c>
      <c r="S42" s="615" t="str">
        <f>VLOOKUP($B42,ChestStats,lookSet,FALSE)</f>
        <v>Netherblade</v>
      </c>
      <c r="U42" s="1141">
        <v>0</v>
      </c>
      <c r="V42" s="64" t="s">
        <v>3114</v>
      </c>
      <c r="W42" s="189"/>
      <c r="X42" s="189"/>
      <c r="Y42" s="675"/>
      <c r="Z42" s="675"/>
      <c r="AA42" s="675"/>
      <c r="AB42" s="228"/>
      <c r="AC42" s="374"/>
      <c r="AD42" s="1342"/>
      <c r="AE42" s="122"/>
      <c r="AF42" s="1343">
        <f>$D42*dpsStr+$E42*dpsAgi+$G42*dpsCrit+$H42*dpsHit+$I42*dpsAP+$L42*dpsExp+$P42*dpsHaste+$Q42*dpsArmor+IF(MID(R42,1,1)+MID(R42,3,1)+MID(R42,5,1)&gt;0,VLOOKUP(B44,GenSocketStats,18,FALSE)+IF(MID(R42,1,1)+MID(R42,3,1)+MID(R42,5,1)&gt;1,VLOOKUP(B45,GenSocketStats,18,FALSE)+IF(MID(R42,1,1)+MID(R42,3,1)+MID(R42,5,1)&gt;2,VLOOKUP(B46,GenSocketStats,18,FALSE),0)),0)</f>
        <v>189.66329903861038</v>
      </c>
    </row>
    <row r="43" spans="1:32">
      <c r="A43" s="189" t="s">
        <v>869</v>
      </c>
      <c r="B43" s="609" t="s">
        <v>1268</v>
      </c>
      <c r="C43" s="1308"/>
      <c r="D43" s="40">
        <f>VLOOKUP($B43,ChestEnchantStats,lookStr,FALSE)</f>
        <v>6</v>
      </c>
      <c r="E43" s="40">
        <f>VLOOKUP($B43,ChestEnchantStats,lookAgi,FALSE)</f>
        <v>6</v>
      </c>
      <c r="F43" s="40">
        <f>VLOOKUP($B43,ChestEnchantStats,lookSta,FALSE)</f>
        <v>6</v>
      </c>
      <c r="G43" s="41">
        <f>VLOOKUP($B43,ChestEnchantStats,lookCrit,FALSE)</f>
        <v>0</v>
      </c>
      <c r="H43" s="41">
        <f>VLOOKUP($B43,ChestEnchantStats,lookHit,FALSE)</f>
        <v>0</v>
      </c>
      <c r="I43" s="40">
        <f>VLOOKUP($B43,ChestEnchantStats,lookAP,FALSE)</f>
        <v>0</v>
      </c>
      <c r="J43" s="40">
        <f>VLOOKUP($B43,ChestEnchantStats,lookRes,FALSE)</f>
        <v>0</v>
      </c>
      <c r="K43" s="41">
        <f>VLOOKUP($B43,ChestEnchantStats,lookDod,FALSE)</f>
        <v>0</v>
      </c>
      <c r="L43" s="39">
        <f>VLOOKUP($B43,ChestEnchantStats,lookExp,FALSE)</f>
        <v>0</v>
      </c>
      <c r="M43" s="39">
        <f>VLOOKUP($B43,ChestEnchantStats,lookDef,FALSE)</f>
        <v>0</v>
      </c>
      <c r="N43" s="1155"/>
      <c r="O43" s="39"/>
      <c r="P43" s="39">
        <f>VLOOKUP($B43,ChestEnchantStats,lookHaste,FALSE)</f>
        <v>0</v>
      </c>
      <c r="Q43" s="39">
        <f>VLOOKUP($B43,ChestEnchantStats,lookArmor,FALSE)</f>
        <v>0</v>
      </c>
      <c r="R43" s="39">
        <f>VLOOKUP($B43,ChestEnchantStats,lookSoc,FALSE)</f>
        <v>0</v>
      </c>
      <c r="S43" s="39">
        <f>VLOOKUP($B43,ChestEnchantStats,lookSet,FALSE)</f>
        <v>0</v>
      </c>
      <c r="U43" s="1130"/>
      <c r="V43" s="64" t="s">
        <v>3245</v>
      </c>
      <c r="W43" s="189"/>
      <c r="X43" s="189"/>
      <c r="Y43" s="189" t="b">
        <v>1</v>
      </c>
      <c r="Z43" s="189"/>
      <c r="AA43" s="189"/>
      <c r="AB43" s="228"/>
      <c r="AC43" s="229"/>
      <c r="AD43" s="1342"/>
      <c r="AE43" s="122"/>
      <c r="AF43" s="1343">
        <f>$D43*dpsStr+$E43*dpsAgi+$G43*dpsCrit+$H43*dpsHit+$I43*dpsAP+$L43*dpsExp+$P43*dpsHaste+$Q43*dpsArmor</f>
        <v>7.3216553866573122</v>
      </c>
    </row>
    <row r="44" spans="1:32">
      <c r="A44" s="604" t="str">
        <f>IF(AC16,"+"&amp;MID(AD16,4,2)&amp;" "&amp;MID(AD16,1,2),MID($R$42,1,1)&amp;" Red "&amp;MID($R$42,3,1)&amp;" Blue "&amp;MID($R$42,5,1)&amp;" Yellow")</f>
        <v>+4 ag</v>
      </c>
      <c r="B44" s="605" t="s">
        <v>1983</v>
      </c>
      <c r="C44" s="1309" t="b">
        <f>MID($R$42,1,1)+MID($R$42,3,1)+MID(R$42,5,1)&gt;=1</f>
        <v>1</v>
      </c>
      <c r="D44" s="600">
        <f>IF($C44,VLOOKUP($B44,GenSocketStats,lookStr,FALSE),0)</f>
        <v>0</v>
      </c>
      <c r="E44" s="600">
        <f>IF($C44,VLOOKUP($B44,GenSocketStats,lookAgi,FALSE),0)</f>
        <v>0</v>
      </c>
      <c r="F44" s="600">
        <f>IF($C44,VLOOKUP($B44,GenSocketStats,lookSta,FALSE),0)</f>
        <v>0</v>
      </c>
      <c r="G44" s="601">
        <f>IF($C44,VLOOKUP($B44,GenSocketStats,lookCrit,FALSE),0)</f>
        <v>0</v>
      </c>
      <c r="H44" s="601">
        <f>IF($C44,VLOOKUP($B44,GenSocketStats,lookHit,FALSE),0)</f>
        <v>8</v>
      </c>
      <c r="I44" s="600">
        <f>IF($C44,VLOOKUP($B44,GenSocketStats,lookAP,FALSE),0)</f>
        <v>0</v>
      </c>
      <c r="J44" s="600">
        <f>IF($C44,VLOOKUP($B44,GenSocketStats,lookRes,FALSE),0)</f>
        <v>0</v>
      </c>
      <c r="K44" s="601">
        <f>IF($C44,VLOOKUP($B44,GenSocketStats,lookDod,FALSE),0)</f>
        <v>0</v>
      </c>
      <c r="L44" s="600">
        <f>IF($C44,VLOOKUP($B44,GenSocketStats,lookExp,FALSE),0)</f>
        <v>0</v>
      </c>
      <c r="M44" s="600"/>
      <c r="N44" s="605"/>
      <c r="O44" s="600"/>
      <c r="P44" s="600">
        <f>IF($C44,VLOOKUP($B44,GenSocketStats,lookHaste,FALSE),0)</f>
        <v>0</v>
      </c>
      <c r="Q44" s="600">
        <f>IF($C44,VLOOKUP($B44,GenSocketStats,lookArmor,FALSE),0)</f>
        <v>0</v>
      </c>
      <c r="R44" s="600" t="str">
        <f>IF($C44,VLOOKUP($B44,GenSocketStats,lookSoc,FALSE),0)</f>
        <v>0 0 1</v>
      </c>
      <c r="S44" s="602">
        <f>IF($C44,VLOOKUP($B44,GenSocketStats,lookSet,FALSE),0)</f>
        <v>0</v>
      </c>
      <c r="U44" s="1130"/>
      <c r="V44" s="64" t="s">
        <v>3116</v>
      </c>
      <c r="W44" s="189"/>
      <c r="X44" s="189"/>
      <c r="Y44" s="189" t="b">
        <v>1</v>
      </c>
      <c r="Z44" s="1125"/>
      <c r="AA44" s="64" t="s">
        <v>3115</v>
      </c>
      <c r="AB44" s="228"/>
      <c r="AC44" s="229" t="b">
        <v>1</v>
      </c>
      <c r="AD44" s="1342"/>
      <c r="AE44" s="122"/>
      <c r="AF44" s="1343"/>
    </row>
    <row r="45" spans="1:32">
      <c r="A45" s="189"/>
      <c r="B45" s="605" t="s">
        <v>1979</v>
      </c>
      <c r="C45" s="1309" t="b">
        <f>MID($R$42,1,1)+MID($R$42,3,1)+MID(R$42,5,1)&gt;=2</f>
        <v>1</v>
      </c>
      <c r="D45" s="600">
        <f>IF($C45,VLOOKUP($B45,GenSocketStats,lookStr,FALSE),0)</f>
        <v>0</v>
      </c>
      <c r="E45" s="600">
        <f>IF($C45,VLOOKUP($B45,GenSocketStats,lookAgi,FALSE),0)</f>
        <v>4</v>
      </c>
      <c r="F45" s="600">
        <f>IF($C45,VLOOKUP($B45,GenSocketStats,lookSta,FALSE),0)</f>
        <v>6</v>
      </c>
      <c r="G45" s="601">
        <f>IF($C45,VLOOKUP($B45,GenSocketStats,lookCrit,FALSE),0)</f>
        <v>0</v>
      </c>
      <c r="H45" s="601">
        <f>IF($C45,VLOOKUP($B45,GenSocketStats,lookHit,FALSE),0)</f>
        <v>0</v>
      </c>
      <c r="I45" s="600">
        <f>IF($C45,VLOOKUP($B45,GenSocketStats,lookAP,FALSE),0)</f>
        <v>0</v>
      </c>
      <c r="J45" s="600">
        <f>IF($C45,VLOOKUP($B45,GenSocketStats,lookRes,FALSE),0)</f>
        <v>0</v>
      </c>
      <c r="K45" s="601">
        <f>IF($C45,VLOOKUP($B45,GenSocketStats,lookDod,FALSE),0)</f>
        <v>0</v>
      </c>
      <c r="L45" s="600">
        <f>IF($C45,VLOOKUP($B45,GenSocketStats,lookExp,FALSE),0)</f>
        <v>0</v>
      </c>
      <c r="M45" s="600"/>
      <c r="N45" s="605"/>
      <c r="O45" s="600"/>
      <c r="P45" s="600">
        <f>IF($C45,VLOOKUP($B45,GenSocketStats,lookHaste,FALSE),0)</f>
        <v>0</v>
      </c>
      <c r="Q45" s="600">
        <f>IF($C45,VLOOKUP($B45,GenSocketStats,lookArmor,FALSE),0)</f>
        <v>0</v>
      </c>
      <c r="R45" s="600" t="str">
        <f>IF($C45,VLOOKUP($B45,GenSocketStats,lookSoc,FALSE),0)</f>
        <v>1 1 0</v>
      </c>
      <c r="S45" s="602">
        <f>IF($C45,VLOOKUP($B45,GenSocketStats,lookSet,FALSE),0)</f>
        <v>0</v>
      </c>
      <c r="U45" s="188"/>
      <c r="V45" s="189"/>
      <c r="W45" s="189"/>
      <c r="X45" s="189"/>
      <c r="Y45" s="189"/>
      <c r="Z45" s="189"/>
      <c r="AA45" s="189"/>
      <c r="AB45" s="228"/>
      <c r="AC45" s="229"/>
      <c r="AD45" s="1342"/>
      <c r="AE45" s="122"/>
      <c r="AF45" s="1343"/>
    </row>
    <row r="46" spans="1:32">
      <c r="A46" s="189"/>
      <c r="B46" s="605" t="s">
        <v>303</v>
      </c>
      <c r="C46" s="1309" t="b">
        <f>MID($R$42,1,1)+MID($R$42,3,1)+MID(R$42,5,1)&gt;=3</f>
        <v>1</v>
      </c>
      <c r="D46" s="600">
        <f>IF($C46,VLOOKUP($B46,GenSocketStats,lookStr,FALSE),0)</f>
        <v>0</v>
      </c>
      <c r="E46" s="600">
        <f>IF($C46,VLOOKUP($B46,GenSocketStats,lookAgi,FALSE),0)</f>
        <v>4</v>
      </c>
      <c r="F46" s="600">
        <f>IF($C46,VLOOKUP($B46,GenSocketStats,lookSta,FALSE),0)</f>
        <v>0</v>
      </c>
      <c r="G46" s="601">
        <f>IF($C46,VLOOKUP($B46,GenSocketStats,lookCrit,FALSE),0)</f>
        <v>0</v>
      </c>
      <c r="H46" s="601">
        <f>IF($C46,VLOOKUP($B46,GenSocketStats,lookHit,FALSE),0)</f>
        <v>4</v>
      </c>
      <c r="I46" s="600">
        <f>IF($C46,VLOOKUP($B46,GenSocketStats,lookAP,FALSE),0)</f>
        <v>0</v>
      </c>
      <c r="J46" s="600">
        <f>IF($C46,VLOOKUP($B46,GenSocketStats,lookRes,FALSE),0)</f>
        <v>0</v>
      </c>
      <c r="K46" s="601">
        <f>IF($C46,VLOOKUP($B46,GenSocketStats,lookDod,FALSE),0)</f>
        <v>0</v>
      </c>
      <c r="L46" s="600">
        <f>IF($C46,VLOOKUP($B46,GenSocketStats,lookExp,FALSE),0)</f>
        <v>0</v>
      </c>
      <c r="M46" s="600"/>
      <c r="N46" s="605"/>
      <c r="O46" s="600"/>
      <c r="P46" s="600">
        <f>IF($C46,VLOOKUP($B46,GenSocketStats,lookHaste,FALSE),0)</f>
        <v>0</v>
      </c>
      <c r="Q46" s="600">
        <f>IF($C46,VLOOKUP($B46,GenSocketStats,lookArmor,FALSE),0)</f>
        <v>0</v>
      </c>
      <c r="R46" s="600" t="str">
        <f>IF($C46,VLOOKUP($B46,GenSocketStats,lookSoc,FALSE),0)</f>
        <v>1 0 1</v>
      </c>
      <c r="S46" s="602">
        <f>IF($C46,VLOOKUP($B46,GenSocketStats,lookSet,FALSE),0)</f>
        <v>0</v>
      </c>
      <c r="U46" s="188"/>
      <c r="V46" s="189"/>
      <c r="W46" s="195" t="s">
        <v>1687</v>
      </c>
      <c r="X46" s="189"/>
      <c r="Y46" s="189"/>
      <c r="Z46" s="189"/>
      <c r="AA46" s="189"/>
      <c r="AB46" s="228"/>
      <c r="AC46" s="229"/>
      <c r="AD46" s="1342"/>
      <c r="AE46" s="122"/>
      <c r="AF46" s="1343"/>
    </row>
    <row r="47" spans="1:32">
      <c r="A47" s="612" t="s">
        <v>1269</v>
      </c>
      <c r="B47" s="618" t="s">
        <v>1301</v>
      </c>
      <c r="C47" s="1154" t="str">
        <f>VLOOKUP($B47,BracersStats,lookSource,FALSE)</f>
        <v>Quest</v>
      </c>
      <c r="D47" s="613">
        <f>VLOOKUP($B47,BracersStats,lookStr,FALSE)</f>
        <v>0</v>
      </c>
      <c r="E47" s="613">
        <f>VLOOKUP($B47,BracersStats,lookAgi,FALSE)</f>
        <v>18</v>
      </c>
      <c r="F47" s="613">
        <f>VLOOKUP($B47,BracersStats,lookSta,FALSE)</f>
        <v>15</v>
      </c>
      <c r="G47" s="614">
        <f>VLOOKUP($B47,BracersStats,lookCrit,FALSE)</f>
        <v>0</v>
      </c>
      <c r="H47" s="614">
        <f>VLOOKUP($B47,BracersStats,lookHit,FALSE)</f>
        <v>15</v>
      </c>
      <c r="I47" s="613">
        <f>VLOOKUP($B47,BracersStats,lookAP,FALSE)</f>
        <v>0</v>
      </c>
      <c r="J47" s="615">
        <f>VLOOKUP($B47,BracersStats,lookRes,FALSE)</f>
        <v>0</v>
      </c>
      <c r="K47" s="614">
        <f>VLOOKUP($B47,BracersStats,lookDod,FALSE)</f>
        <v>0</v>
      </c>
      <c r="L47" s="615">
        <f>VLOOKUP($B47,BracersStats,lookExp,FALSE)</f>
        <v>0</v>
      </c>
      <c r="M47" s="615">
        <f>VLOOKUP($B47,BracersStats,lookDef,FALSE)</f>
        <v>0</v>
      </c>
      <c r="N47" s="1154"/>
      <c r="O47" s="615"/>
      <c r="P47" s="615">
        <f>VLOOKUP($B47,BracersStats,lookHaste,FALSE)</f>
        <v>0</v>
      </c>
      <c r="Q47" s="615">
        <f>VLOOKUP($B47,BracersStats,lookArmor,FALSE)</f>
        <v>0</v>
      </c>
      <c r="R47" s="615" t="str">
        <f>VLOOKUP($B47,BracersStats,lookSoc,FALSE)</f>
        <v>1 0 0</v>
      </c>
      <c r="S47" s="615">
        <f>VLOOKUP($B47,BracersStats,lookSet,FALSE)</f>
        <v>0</v>
      </c>
      <c r="U47" s="194"/>
      <c r="V47" s="191" t="s">
        <v>1690</v>
      </c>
      <c r="W47" s="189"/>
      <c r="X47" s="189"/>
      <c r="Y47" s="1142" t="s">
        <v>2301</v>
      </c>
      <c r="Z47" s="189"/>
      <c r="AA47" s="189"/>
      <c r="AB47" s="228"/>
      <c r="AC47" s="229"/>
      <c r="AD47" s="1342"/>
      <c r="AE47" s="122"/>
      <c r="AF47" s="1343">
        <f>$D47*dpsStr+$E47*dpsAgi+$G47*dpsCrit+$H47*dpsHit+$I47*dpsAP+$L47*dpsExp+$P47*dpsHaste+$Q47*dpsArmor+IF(MID(R47,1,1)+MID(R47,3,1)+MID(R47,5,1)&gt;0,VLOOKUP(B49,GenSocketStats,18,FALSE)+IF(MID(R47,1,1)+MID(R47,3,1)+MID(R47,5,1)&gt;1,VLOOKUP(B50,GenSocketStats,18,FALSE)+IF(MID(R47,1,1)+MID(R47,3,1)+MID(R47,5,1)&gt;2,VLOOKUP(B51,GenSocketStats,18,FALSE),0)),0)</f>
        <v>142.54055539195406</v>
      </c>
    </row>
    <row r="48" spans="1:32">
      <c r="A48" s="64" t="s">
        <v>782</v>
      </c>
      <c r="B48" s="609" t="s">
        <v>1271</v>
      </c>
      <c r="C48" s="1308"/>
      <c r="D48" s="40">
        <f>VLOOKUP($B48,BracerEnchantStats,lookStr,FALSE)</f>
        <v>0</v>
      </c>
      <c r="E48" s="40">
        <f>VLOOKUP($B48,BracerEnchantStats,lookAgi,FALSE)</f>
        <v>0</v>
      </c>
      <c r="F48" s="40">
        <f>VLOOKUP($B48,BracerEnchantStats,lookSta,FALSE)</f>
        <v>0</v>
      </c>
      <c r="G48" s="41">
        <f>VLOOKUP($B48,BracerEnchantStats,lookCrit,FALSE)</f>
        <v>0</v>
      </c>
      <c r="H48" s="41">
        <f>VLOOKUP($B48,BracerEnchantStats,lookHit,FALSE)</f>
        <v>0</v>
      </c>
      <c r="I48" s="40">
        <f>VLOOKUP($B48,BracerEnchantStats,lookAP,FALSE)</f>
        <v>24</v>
      </c>
      <c r="J48" s="40">
        <f>VLOOKUP($B48,BracerEnchantStats,lookRes,FALSE)</f>
        <v>0</v>
      </c>
      <c r="K48" s="41">
        <f>VLOOKUP($B48,BracerEnchantStats,lookDod,FALSE)</f>
        <v>0</v>
      </c>
      <c r="L48" s="39">
        <f>VLOOKUP($B48,BracerEnchantStats,lookExp,FALSE)</f>
        <v>0</v>
      </c>
      <c r="M48" s="39">
        <f>VLOOKUP($B48,BracerEnchantStats,lookDef,FALSE)</f>
        <v>0</v>
      </c>
      <c r="N48" s="1155"/>
      <c r="O48" s="39"/>
      <c r="P48" s="39">
        <f>VLOOKUP($B48,BracerEnchantStats,lookHaste,FALSE)</f>
        <v>0</v>
      </c>
      <c r="Q48" s="39">
        <f>VLOOKUP($B48,BracerEnchantStats,lookArmor,FALSE)</f>
        <v>0</v>
      </c>
      <c r="R48" s="39">
        <f>VLOOKUP($B48,BracerEnchantStats,lookSoc,FALSE)</f>
        <v>0</v>
      </c>
      <c r="S48" s="39">
        <f>VLOOKUP($B48,BracerEnchantStats,lookSet,FALSE)</f>
        <v>0</v>
      </c>
      <c r="U48" s="188"/>
      <c r="V48" s="191" t="s">
        <v>1691</v>
      </c>
      <c r="W48" s="189"/>
      <c r="X48" s="189"/>
      <c r="Y48" s="1142" t="s">
        <v>2301</v>
      </c>
      <c r="Z48" s="189"/>
      <c r="AA48" s="189"/>
      <c r="AB48" s="228"/>
      <c r="AC48" s="229"/>
      <c r="AD48" s="1342"/>
      <c r="AE48" s="122"/>
      <c r="AF48" s="1343">
        <f>$D48*dpsStr+$E48*dpsAgi+$G48*dpsCrit+$H48*dpsHit+$I48*dpsAP+$L48*dpsExp+$P48*dpsHaste+$Q48*dpsArmor</f>
        <v>8.5759206205239025</v>
      </c>
    </row>
    <row r="49" spans="1:32">
      <c r="A49" s="604" t="str">
        <f>IF(AC17,"+"&amp;MID(AD17,4,2)&amp;" "&amp;MID(AD17,1,2),MID($R$47,1,1)&amp;" Red "&amp;MID($R$47,3,1)&amp;" Blue "&amp;MID($R$47,5,1)&amp;" Yellow")</f>
        <v>1 Red 0 Blue 0 Yellow</v>
      </c>
      <c r="B49" s="599" t="s">
        <v>1983</v>
      </c>
      <c r="C49" s="1309" t="b">
        <f>MID($R$47,1,1)+MID($R$47,3,1)+MID(R$47,5,1)&gt;=1</f>
        <v>1</v>
      </c>
      <c r="D49" s="600">
        <f>IF($C49,VLOOKUP($B49,GenSocketStats,lookStr,FALSE),0)</f>
        <v>0</v>
      </c>
      <c r="E49" s="600">
        <f>IF($C49,VLOOKUP($B49,GenSocketStats,lookAgi,FALSE),0)</f>
        <v>0</v>
      </c>
      <c r="F49" s="600">
        <f>IF($C49,VLOOKUP($B49,GenSocketStats,lookSta,FALSE),0)</f>
        <v>0</v>
      </c>
      <c r="G49" s="601">
        <f>IF($C49,VLOOKUP($B49,GenSocketStats,lookCrit,FALSE),0)</f>
        <v>0</v>
      </c>
      <c r="H49" s="601">
        <f>IF($C49,VLOOKUP($B49,GenSocketStats,lookHit,FALSE),0)</f>
        <v>8</v>
      </c>
      <c r="I49" s="600">
        <f>IF($C49,VLOOKUP($B49,GenSocketStats,lookAP,FALSE),0)</f>
        <v>0</v>
      </c>
      <c r="J49" s="600">
        <f>IF($C49,VLOOKUP($B49,GenSocketStats,lookRes,FALSE),0)</f>
        <v>0</v>
      </c>
      <c r="K49" s="601">
        <f>IF($C49,VLOOKUP($B49,GenSocketStats,lookDod,FALSE),0)</f>
        <v>0</v>
      </c>
      <c r="L49" s="600">
        <f>IF($C49,VLOOKUP($B49,GenSocketStats,lookExp,FALSE),0)</f>
        <v>0</v>
      </c>
      <c r="M49" s="600"/>
      <c r="N49" s="605"/>
      <c r="O49" s="600"/>
      <c r="P49" s="600">
        <f>IF($C49,VLOOKUP($B49,GenSocketStats,lookHaste,FALSE),0)</f>
        <v>0</v>
      </c>
      <c r="Q49" s="600">
        <f>IF($C49,VLOOKUP($B49,GenSocketStats,lookArmor,FALSE),0)</f>
        <v>0</v>
      </c>
      <c r="R49" s="600" t="str">
        <f>IF($C49,VLOOKUP($B49,GenSocketStats,lookSoc,FALSE),0)</f>
        <v>0 0 1</v>
      </c>
      <c r="S49" s="602">
        <f>IF($C49,VLOOKUP($B49,GenSocketStats,lookSet,FALSE),0)</f>
        <v>0</v>
      </c>
      <c r="U49" s="188"/>
      <c r="V49" s="189"/>
      <c r="W49" s="189"/>
      <c r="X49" s="189"/>
      <c r="Y49" s="189"/>
      <c r="Z49" s="189"/>
      <c r="AA49" s="189"/>
      <c r="AB49" s="189"/>
      <c r="AC49" s="190"/>
      <c r="AD49" s="1342"/>
      <c r="AE49" s="122"/>
      <c r="AF49" s="1343"/>
    </row>
    <row r="50" spans="1:32">
      <c r="A50" s="612" t="s">
        <v>2075</v>
      </c>
      <c r="B50" s="618" t="s">
        <v>17</v>
      </c>
      <c r="C50" s="1154" t="str">
        <f>VLOOKUP($B50,GlovesStats,lookSource,FALSE)</f>
        <v>5 Man</v>
      </c>
      <c r="D50" s="613">
        <f>VLOOKUP($B50,GlovesStats,lookStr,FALSE)</f>
        <v>0</v>
      </c>
      <c r="E50" s="613">
        <f>VLOOKUP($B50,GlovesStats,lookAgi,FALSE)</f>
        <v>32</v>
      </c>
      <c r="F50" s="613">
        <f>VLOOKUP($B50,GlovesStats,lookSta,FALSE)</f>
        <v>33</v>
      </c>
      <c r="G50" s="614">
        <f>VLOOKUP($B50,GlovesStats,lookCrit,FALSE)</f>
        <v>0</v>
      </c>
      <c r="H50" s="614">
        <f>VLOOKUP($B50,GlovesStats,lookHit,FALSE)</f>
        <v>0</v>
      </c>
      <c r="I50" s="613">
        <f>VLOOKUP($B50,GlovesStats,lookAP,FALSE)</f>
        <v>16</v>
      </c>
      <c r="J50" s="615">
        <f>VLOOKUP($B50,GlovesStats,lookRes,FALSE)</f>
        <v>0</v>
      </c>
      <c r="K50" s="614">
        <f>VLOOKUP($B50,GlovesStats,lookDod,FALSE)</f>
        <v>0</v>
      </c>
      <c r="L50" s="615">
        <f>VLOOKUP($B50,GlovesStats,lookExp,FALSE)</f>
        <v>0</v>
      </c>
      <c r="M50" s="615">
        <f>VLOOKUP($B50,GlovesStats,lookDef,FALSE)</f>
        <v>0</v>
      </c>
      <c r="N50" s="1154"/>
      <c r="O50" s="615"/>
      <c r="P50" s="615">
        <f>VLOOKUP($B50,GlovesStats,lookHaste,FALSE)</f>
        <v>0</v>
      </c>
      <c r="Q50" s="615">
        <f>VLOOKUP($B50,GlovesStats,lookArmor,FALSE)</f>
        <v>0</v>
      </c>
      <c r="R50" s="615" t="str">
        <f>VLOOKUP($B50,GlovesStats,lookSoc,FALSE)</f>
        <v>1 0 1</v>
      </c>
      <c r="S50" s="615" t="str">
        <f>VLOOKUP($B50,GlovesStats,lookSet,FALSE)</f>
        <v>Wastewalker</v>
      </c>
      <c r="U50" s="188"/>
      <c r="V50" s="191" t="s">
        <v>471</v>
      </c>
      <c r="W50" s="189"/>
      <c r="X50" s="189"/>
      <c r="Y50" s="189"/>
      <c r="Z50" s="1125"/>
      <c r="AA50" s="64" t="s">
        <v>1030</v>
      </c>
      <c r="AB50" s="228"/>
      <c r="AC50" s="229" t="b">
        <v>0</v>
      </c>
      <c r="AD50" s="1342"/>
      <c r="AE50" s="122"/>
      <c r="AF50" s="1343">
        <f>$D50*dpsStr+$E50*dpsAgi+$G50*dpsCrit+$H50*dpsHit+$I50*dpsAP+$L50*dpsExp+$P50*dpsHaste+$Q50*dpsArmor+IF(MID(R50,1,1)+MID(R50,3,1)+MID(R50,5,1)&gt;0,VLOOKUP(B52,GenSocketStats,18,FALSE)+IF(MID(R50,1,1)+MID(R50,3,1)+MID(R50,5,1)&gt;1,VLOOKUP(B53,GenSocketStats,18,FALSE)+IF(MID(R50,1,1)+MID(R50,3,1)+MID(R50,5,1)&gt;2,VLOOKUP(B54,GenSocketStats,18,FALSE),0)),0)</f>
        <v>120.98859570643617</v>
      </c>
    </row>
    <row r="51" spans="1:32">
      <c r="A51" s="197" t="s">
        <v>783</v>
      </c>
      <c r="B51" s="609" t="s">
        <v>2077</v>
      </c>
      <c r="C51" s="1308"/>
      <c r="D51" s="40">
        <f>VLOOKUP($B51,GloveEnchantStats,lookStr,FALSE)</f>
        <v>0</v>
      </c>
      <c r="E51" s="40">
        <f>VLOOKUP($B51,GloveEnchantStats,lookAgi,FALSE)</f>
        <v>15</v>
      </c>
      <c r="F51" s="40">
        <f>VLOOKUP($B51,GloveEnchantStats,lookSta,FALSE)</f>
        <v>0</v>
      </c>
      <c r="G51" s="41">
        <f>VLOOKUP($B51,GloveEnchantStats,lookCrit,FALSE)</f>
        <v>0</v>
      </c>
      <c r="H51" s="41">
        <f>VLOOKUP($B51,GloveEnchantStats,lookHit,FALSE)</f>
        <v>0</v>
      </c>
      <c r="I51" s="40">
        <f>VLOOKUP($B51,GloveEnchantStats,lookAP,FALSE)</f>
        <v>0</v>
      </c>
      <c r="J51" s="40">
        <f>VLOOKUP($B51,GloveEnchantStats,lookRes,FALSE)</f>
        <v>0</v>
      </c>
      <c r="K51" s="41">
        <f>VLOOKUP($B51,GloveEnchantStats,lookDod,FALSE)</f>
        <v>0</v>
      </c>
      <c r="L51" s="39">
        <f>VLOOKUP($B51,GloveEnchantStats,lookExp,FALSE)</f>
        <v>0</v>
      </c>
      <c r="M51" s="39"/>
      <c r="N51" s="1155"/>
      <c r="O51" s="39"/>
      <c r="P51" s="41">
        <f>VLOOKUP($B51,GloveEnchantStats,lookHaste,FALSE)</f>
        <v>0</v>
      </c>
      <c r="Q51" s="41">
        <f>VLOOKUP($B51,GloveEnchantStats,lookArmor,FALSE)</f>
        <v>0</v>
      </c>
      <c r="R51" s="39">
        <f>VLOOKUP($B51,GloveEnchantStats,lookSoc,FALSE)</f>
        <v>0</v>
      </c>
      <c r="S51" s="39">
        <f>VLOOKUP($B51,GloveEnchantStats,lookSet,FALSE)</f>
        <v>0</v>
      </c>
      <c r="U51" s="1130"/>
      <c r="V51" s="189" t="s">
        <v>466</v>
      </c>
      <c r="W51" s="189"/>
      <c r="X51" s="189"/>
      <c r="Y51" s="64" t="b">
        <v>0</v>
      </c>
      <c r="Z51" s="64" t="s">
        <v>3086</v>
      </c>
      <c r="AA51" s="189"/>
      <c r="AB51" s="228"/>
      <c r="AC51" s="230"/>
      <c r="AD51" s="1342"/>
      <c r="AE51" s="122"/>
      <c r="AF51" s="1343">
        <f>$D51*dpsStr+$E51*dpsAgi+$G51*dpsCrit+$H51*dpsHit+$I51*dpsAP+$L51*dpsExp+$P51*dpsHaste+$Q51*dpsArmor</f>
        <v>12.408193040024571</v>
      </c>
    </row>
    <row r="52" spans="1:32">
      <c r="A52" s="604" t="str">
        <f>IF(AC18,"+"&amp;MID(AD18,4,2)&amp;" "&amp;MID(AD18,1,2),MID($R$50,1,1)&amp;" Red "&amp;MID($R$50,3,1)&amp;" Blue "&amp;MID($R$50,5,1)&amp;" Yellow")</f>
        <v>1 Red 0 Blue 1 Yellow</v>
      </c>
      <c r="B52" s="599" t="s">
        <v>1983</v>
      </c>
      <c r="C52" s="1309" t="b">
        <f>MID($R$50,1,1)+MID($R$50,3,1)+MID(R$50,5,1)&gt;=1</f>
        <v>1</v>
      </c>
      <c r="D52" s="600">
        <f>IF($C52,VLOOKUP($B52,GenSocketStats,lookStr,FALSE),0)</f>
        <v>0</v>
      </c>
      <c r="E52" s="600">
        <f>IF($C52,VLOOKUP($B52,GenSocketStats,lookAgi,FALSE),0)</f>
        <v>0</v>
      </c>
      <c r="F52" s="600">
        <f>IF($C52,VLOOKUP($B52,GenSocketStats,lookSta,FALSE),0)</f>
        <v>0</v>
      </c>
      <c r="G52" s="601">
        <f>IF($C52,VLOOKUP($B52,GenSocketStats,lookCrit,FALSE),0)</f>
        <v>0</v>
      </c>
      <c r="H52" s="601">
        <f>IF($C52,VLOOKUP($B52,GenSocketStats,lookHit,FALSE),0)</f>
        <v>8</v>
      </c>
      <c r="I52" s="600">
        <f>IF($C52,VLOOKUP($B52,GenSocketStats,lookAP,FALSE),0)</f>
        <v>0</v>
      </c>
      <c r="J52" s="600">
        <f>IF($C52,VLOOKUP($B52,GenSocketStats,lookRes,FALSE),0)</f>
        <v>0</v>
      </c>
      <c r="K52" s="601">
        <f>IF($C52,VLOOKUP($B52,GenSocketStats,lookDod,FALSE),0)</f>
        <v>0</v>
      </c>
      <c r="L52" s="600">
        <f>IF($C52,VLOOKUP($B52,GenSocketStats,lookExp,FALSE),0)</f>
        <v>0</v>
      </c>
      <c r="M52" s="600"/>
      <c r="N52" s="605"/>
      <c r="O52" s="600"/>
      <c r="P52" s="600">
        <f>IF($C52,VLOOKUP($B52,GenSocketStats,lookHaste,FALSE),0)</f>
        <v>0</v>
      </c>
      <c r="Q52" s="600">
        <f>IF($C52,VLOOKUP($B52,GenSocketStats,lookArmor,FALSE),0)</f>
        <v>0</v>
      </c>
      <c r="R52" s="600" t="str">
        <f>IF($C52,VLOOKUP($B52,GenSocketStats,lookSoc,FALSE),0)</f>
        <v>0 0 1</v>
      </c>
      <c r="S52" s="602">
        <f>IF($C52,VLOOKUP($B52,GenSocketStats,lookSet,FALSE),0)</f>
        <v>0</v>
      </c>
      <c r="U52" s="1130"/>
      <c r="V52" s="64" t="s">
        <v>1688</v>
      </c>
      <c r="W52" s="189"/>
      <c r="X52" s="189"/>
      <c r="Y52" s="64" t="b">
        <v>0</v>
      </c>
      <c r="Z52" s="197" t="s">
        <v>3087</v>
      </c>
      <c r="AA52" s="189"/>
      <c r="AB52" s="228"/>
      <c r="AC52" s="230"/>
      <c r="AD52" s="1342"/>
      <c r="AE52" s="122"/>
      <c r="AF52" s="1343"/>
    </row>
    <row r="53" spans="1:32">
      <c r="A53" s="189"/>
      <c r="B53" s="599" t="s">
        <v>1983</v>
      </c>
      <c r="C53" s="1309" t="b">
        <f>MID($R$50,1,1)+MID($R$50,3,1)+MID(R$50,5,1)&gt;=2</f>
        <v>1</v>
      </c>
      <c r="D53" s="600">
        <f>IF($C53,VLOOKUP($B53,GenSocketStats,lookStr,FALSE),0)</f>
        <v>0</v>
      </c>
      <c r="E53" s="600">
        <f>IF($C53,VLOOKUP($B53,GenSocketStats,lookAgi,FALSE),0)</f>
        <v>0</v>
      </c>
      <c r="F53" s="600">
        <f>IF($C53,VLOOKUP($B53,GenSocketStats,lookSta,FALSE),0)</f>
        <v>0</v>
      </c>
      <c r="G53" s="601">
        <f>IF($C53,VLOOKUP($B53,GenSocketStats,lookCrit,FALSE),0)</f>
        <v>0</v>
      </c>
      <c r="H53" s="601">
        <f>IF($C53,VLOOKUP($B53,GenSocketStats,lookHit,FALSE),0)</f>
        <v>8</v>
      </c>
      <c r="I53" s="600">
        <f>IF($C53,VLOOKUP($B53,GenSocketStats,lookAP,FALSE),0)</f>
        <v>0</v>
      </c>
      <c r="J53" s="600">
        <f>IF($C53,VLOOKUP($B53,GenSocketStats,lookRes,FALSE),0)</f>
        <v>0</v>
      </c>
      <c r="K53" s="601">
        <f>IF($C53,VLOOKUP($B53,GenSocketStats,lookDod,FALSE),0)</f>
        <v>0</v>
      </c>
      <c r="L53" s="600">
        <f>IF($C53,VLOOKUP($B53,GenSocketStats,lookExp,FALSE),0)</f>
        <v>0</v>
      </c>
      <c r="M53" s="600"/>
      <c r="N53" s="605"/>
      <c r="O53" s="600"/>
      <c r="P53" s="600">
        <f>IF($C53,VLOOKUP($B53,GenSocketStats,lookHaste,FALSE),0)</f>
        <v>0</v>
      </c>
      <c r="Q53" s="600">
        <f>IF($C53,VLOOKUP($B53,GenSocketStats,lookArmor,FALSE),0)</f>
        <v>0</v>
      </c>
      <c r="R53" s="600" t="str">
        <f>IF($C53,VLOOKUP($B53,GenSocketStats,lookSoc,FALSE),0)</f>
        <v>0 0 1</v>
      </c>
      <c r="S53" s="602">
        <f>IF($C53,VLOOKUP($B53,GenSocketStats,lookSet,FALSE),0)</f>
        <v>0</v>
      </c>
      <c r="U53" s="1130"/>
      <c r="V53" s="189" t="s">
        <v>467</v>
      </c>
      <c r="W53" s="189"/>
      <c r="X53" s="189"/>
      <c r="Y53" s="64" t="b">
        <v>0</v>
      </c>
      <c r="Z53" s="189"/>
      <c r="AA53" s="189"/>
      <c r="AB53" s="228"/>
      <c r="AC53" s="230"/>
      <c r="AD53" s="1342"/>
      <c r="AE53" s="122"/>
      <c r="AF53" s="1343"/>
    </row>
    <row r="54" spans="1:32">
      <c r="A54" s="612" t="s">
        <v>2078</v>
      </c>
      <c r="B54" s="617" t="s">
        <v>1532</v>
      </c>
      <c r="C54" s="1154" t="str">
        <f>VLOOKUP($B54,BeltStats,lookSource,FALSE)</f>
        <v>Heroic</v>
      </c>
      <c r="D54" s="613">
        <f>VLOOKUP($B54,BeltStats,lookStr,FALSE)</f>
        <v>0</v>
      </c>
      <c r="E54" s="613">
        <f>VLOOKUP($B54,BeltStats,lookAgi,FALSE)</f>
        <v>28</v>
      </c>
      <c r="F54" s="613">
        <f>VLOOKUP($B54,BeltStats,lookSta,FALSE)</f>
        <v>28</v>
      </c>
      <c r="G54" s="614">
        <f>VLOOKUP($B54,BeltStats,lookCrit,FALSE)</f>
        <v>0</v>
      </c>
      <c r="H54" s="614">
        <f>VLOOKUP($B54,BeltStats,lookHit,FALSE)</f>
        <v>20</v>
      </c>
      <c r="I54" s="613">
        <f>VLOOKUP($B54,BeltStats,lookAP,FALSE)</f>
        <v>56</v>
      </c>
      <c r="J54" s="615">
        <f>VLOOKUP($B54,BeltStats,lookRes,FALSE)</f>
        <v>0</v>
      </c>
      <c r="K54" s="614">
        <f>VLOOKUP($B54,BeltStats,lookDod,FALSE)</f>
        <v>0</v>
      </c>
      <c r="L54" s="615">
        <f>VLOOKUP($B54,BeltStats,lookExp,FALSE)</f>
        <v>0</v>
      </c>
      <c r="M54" s="615">
        <f>VLOOKUP($B54,BeltStats,lookDef,FALSE)</f>
        <v>0</v>
      </c>
      <c r="N54" s="1154"/>
      <c r="O54" s="615"/>
      <c r="P54" s="615">
        <f>VLOOKUP($B54,BeltStats,lookHaste,FALSE)</f>
        <v>0</v>
      </c>
      <c r="Q54" s="615">
        <f>VLOOKUP($B54,BeltStats,lookArmor,FALSE)</f>
        <v>0</v>
      </c>
      <c r="R54" s="615" t="str">
        <f>VLOOKUP($B54,BeltStats,lookSoc,FALSE)</f>
        <v>0 0 0</v>
      </c>
      <c r="S54" s="615">
        <f>VLOOKUP($B54,BeltStats,lookSet,FALSE)</f>
        <v>0</v>
      </c>
      <c r="U54" s="1130"/>
      <c r="V54" s="64" t="s">
        <v>688</v>
      </c>
      <c r="W54" s="189"/>
      <c r="X54" s="189"/>
      <c r="Y54" s="64" t="b">
        <v>0</v>
      </c>
      <c r="Z54" s="189"/>
      <c r="AA54" s="189"/>
      <c r="AB54" s="228"/>
      <c r="AC54" s="230"/>
      <c r="AD54" s="1342"/>
      <c r="AE54" s="122"/>
      <c r="AF54" s="1343">
        <f>$D54*dpsStr+$E54*dpsAgi+$G54*dpsCrit+$H54*dpsHit+$I54*dpsAP+$L54*dpsExp+$P54*dpsHaste+$Q54*dpsArmor+IF(MID(R54,1,1)+MID(R54,3,1)+MID(R54,5,1)&gt;0,VLOOKUP(B55,GenSocketStats,18,FALSE)+IF(MID(R54,1,1)+MID(R54,3,1)+MID(R54,5,1)&gt;1,VLOOKUP(B56,GenSocketStats,18,FALSE)+IF(MID(R54,1,1)+MID(R54,3,1)+MID(R54,5,1)&gt;2,VLOOKUP(B57,GenSocketStats,18,FALSE),0)),0)</f>
        <v>154.17307113181141</v>
      </c>
    </row>
    <row r="55" spans="1:32">
      <c r="A55" s="604" t="str">
        <f>IF(AC19,"+"&amp;MID(AD19,4,2)&amp;" "&amp;MID(AD19,1,2),MID($R$54,1,1)&amp;" Red "&amp;MID($R$54,3,1)&amp;" Blue "&amp;MID($R$54,5,1)&amp;" Yellow")</f>
        <v>0 Red 0 Blue 0 Yellow</v>
      </c>
      <c r="B55" s="599" t="s">
        <v>303</v>
      </c>
      <c r="C55" s="1309" t="b">
        <f>MID($R$54,1,1)+MID($R$54,3,1)+MID(R$54,5,1)&gt;=1</f>
        <v>0</v>
      </c>
      <c r="D55" s="600">
        <f>IF($C55,VLOOKUP($B55,GenSocketStats,lookStr,FALSE),0)</f>
        <v>0</v>
      </c>
      <c r="E55" s="600">
        <f>IF($C55,VLOOKUP($B55,GenSocketStats,lookAgi,FALSE),0)</f>
        <v>0</v>
      </c>
      <c r="F55" s="600">
        <f>IF($C55,VLOOKUP($B55,GenSocketStats,lookSta,FALSE),0)</f>
        <v>0</v>
      </c>
      <c r="G55" s="601">
        <f>IF($C55,VLOOKUP($B55,GenSocketStats,lookCrit,FALSE),0)</f>
        <v>0</v>
      </c>
      <c r="H55" s="601">
        <f>IF($C55,VLOOKUP($B55,GenSocketStats,lookHit,FALSE),0)</f>
        <v>0</v>
      </c>
      <c r="I55" s="600">
        <f>IF($C55,VLOOKUP($B55,GenSocketStats,lookAP,FALSE),0)</f>
        <v>0</v>
      </c>
      <c r="J55" s="600">
        <f>IF($C55,VLOOKUP($B55,GenSocketStats,lookRes,FALSE),0)</f>
        <v>0</v>
      </c>
      <c r="K55" s="601">
        <f>IF($C55,VLOOKUP($B55,GenSocketStats,lookDod,FALSE),0)</f>
        <v>0</v>
      </c>
      <c r="L55" s="600">
        <f>IF($C55,VLOOKUP($B55,GenSocketStats,lookExp,FALSE),0)</f>
        <v>0</v>
      </c>
      <c r="M55" s="600"/>
      <c r="N55" s="605"/>
      <c r="O55" s="600"/>
      <c r="P55" s="600">
        <f>IF($C55,VLOOKUP($B55,GenSocketStats,lookHaste,FALSE),0)</f>
        <v>0</v>
      </c>
      <c r="Q55" s="600">
        <f>IF($C55,VLOOKUP($B55,GenSocketStats,lookArmor,FALSE),0)</f>
        <v>0</v>
      </c>
      <c r="R55" s="600">
        <f>IF($C55,VLOOKUP($B55,GenSocketStats,lookSoc,FALSE),0)</f>
        <v>0</v>
      </c>
      <c r="S55" s="602">
        <f>IF($C55,VLOOKUP($B55,GenSocketStats,lookSet,FALSE),0)</f>
        <v>0</v>
      </c>
      <c r="U55" s="1130"/>
      <c r="V55" s="197" t="s">
        <v>806</v>
      </c>
      <c r="W55" s="189"/>
      <c r="X55" s="189"/>
      <c r="Y55" s="64" t="b">
        <v>0</v>
      </c>
      <c r="Z55" s="1125"/>
      <c r="AA55" s="64" t="s">
        <v>920</v>
      </c>
      <c r="AB55" s="228"/>
      <c r="AC55" s="230" t="b">
        <v>0</v>
      </c>
      <c r="AD55" s="1342"/>
      <c r="AE55" s="122"/>
      <c r="AF55" s="1343"/>
    </row>
    <row r="56" spans="1:32">
      <c r="A56" s="189"/>
      <c r="B56" s="599" t="s">
        <v>303</v>
      </c>
      <c r="C56" s="1309" t="b">
        <f>MID($R$54,1,1)+MID($R$54,3,1)+MID(R$54,5,1)&gt;=2</f>
        <v>0</v>
      </c>
      <c r="D56" s="600">
        <f>IF($C56,VLOOKUP($B56,GenSocketStats,lookStr,FALSE),0)</f>
        <v>0</v>
      </c>
      <c r="E56" s="600">
        <f>IF($C56,VLOOKUP($B56,GenSocketStats,lookAgi,FALSE),0)</f>
        <v>0</v>
      </c>
      <c r="F56" s="600">
        <f>IF($C56,VLOOKUP($B56,GenSocketStats,lookSta,FALSE),0)</f>
        <v>0</v>
      </c>
      <c r="G56" s="601">
        <f>IF($C56,VLOOKUP($B56,GenSocketStats,lookCrit,FALSE),0)</f>
        <v>0</v>
      </c>
      <c r="H56" s="601">
        <f>IF($C56,VLOOKUP($B56,GenSocketStats,lookHit,FALSE),0)</f>
        <v>0</v>
      </c>
      <c r="I56" s="600">
        <f>IF($C56,VLOOKUP($B56,GenSocketStats,lookAP,FALSE),0)</f>
        <v>0</v>
      </c>
      <c r="J56" s="600">
        <f>IF($C56,VLOOKUP($B56,GenSocketStats,lookRes,FALSE),0)</f>
        <v>0</v>
      </c>
      <c r="K56" s="601">
        <f>IF($C56,VLOOKUP($B56,GenSocketStats,lookDod,FALSE),0)</f>
        <v>0</v>
      </c>
      <c r="L56" s="600">
        <f>IF($C56,VLOOKUP($B56,GenSocketStats,lookExp,FALSE),0)</f>
        <v>0</v>
      </c>
      <c r="M56" s="600"/>
      <c r="N56" s="605"/>
      <c r="O56" s="600"/>
      <c r="P56" s="600">
        <f>IF($C56,VLOOKUP($B56,GenSocketStats,lookHaste,FALSE),0)</f>
        <v>0</v>
      </c>
      <c r="Q56" s="600">
        <f>IF($C56,VLOOKUP($B56,GenSocketStats,lookArmor,FALSE),0)</f>
        <v>0</v>
      </c>
      <c r="R56" s="600">
        <f>IF($C56,VLOOKUP($B56,GenSocketStats,lookSoc,FALSE),0)</f>
        <v>0</v>
      </c>
      <c r="S56" s="602">
        <f>IF($C56,VLOOKUP($B56,GenSocketStats,lookSet,FALSE),0)</f>
        <v>0</v>
      </c>
      <c r="U56" s="1130"/>
      <c r="V56" s="197" t="s">
        <v>439</v>
      </c>
      <c r="W56" s="189"/>
      <c r="X56" s="189"/>
      <c r="Y56" s="189" t="b">
        <v>0</v>
      </c>
      <c r="Z56" s="189"/>
      <c r="AA56" s="189"/>
      <c r="AB56" s="228"/>
      <c r="AC56" s="230"/>
      <c r="AD56" s="1342"/>
      <c r="AE56" s="122"/>
      <c r="AF56" s="1343"/>
    </row>
    <row r="57" spans="1:32">
      <c r="A57" s="612" t="s">
        <v>2080</v>
      </c>
      <c r="B57" s="617" t="s">
        <v>2081</v>
      </c>
      <c r="C57" s="1154" t="str">
        <f>VLOOKUP($B57,LegsStats,lookSource,FALSE)</f>
        <v>Karazhan</v>
      </c>
      <c r="D57" s="613">
        <f>VLOOKUP($B57,LegsStats,lookStr,FALSE)</f>
        <v>0</v>
      </c>
      <c r="E57" s="613">
        <f>VLOOKUP($B57,LegsStats,lookAgi,FALSE)</f>
        <v>32</v>
      </c>
      <c r="F57" s="613">
        <f>VLOOKUP($B57,LegsStats,lookSta,FALSE)</f>
        <v>28</v>
      </c>
      <c r="G57" s="614">
        <f>VLOOKUP($B57,LegsStats,lookCrit,FALSE)</f>
        <v>0</v>
      </c>
      <c r="H57" s="614">
        <f>VLOOKUP($B57,LegsStats,lookHit,FALSE)</f>
        <v>28</v>
      </c>
      <c r="I57" s="613">
        <f>VLOOKUP($B57,LegsStats,lookAP,FALSE)</f>
        <v>64</v>
      </c>
      <c r="J57" s="615">
        <f>VLOOKUP($B57,LegsStats,lookRes,FALSE)</f>
        <v>0</v>
      </c>
      <c r="K57" s="614">
        <f>VLOOKUP($B57,LegsStats,lookDod,FALSE)</f>
        <v>0</v>
      </c>
      <c r="L57" s="615">
        <f>VLOOKUP($B57,LegsStats,lookExp,FALSE)</f>
        <v>0</v>
      </c>
      <c r="M57" s="615">
        <f>VLOOKUP($B57,LegsStats,lookDef,FALSE)</f>
        <v>0</v>
      </c>
      <c r="N57" s="1154"/>
      <c r="O57" s="615"/>
      <c r="P57" s="615">
        <f>VLOOKUP($B57,LegsStats,lookHaste,FALSE)</f>
        <v>0</v>
      </c>
      <c r="Q57" s="615">
        <f>VLOOKUP($B57,LegsStats,lookArmor,FALSE)</f>
        <v>0</v>
      </c>
      <c r="R57" s="615" t="str">
        <f>VLOOKUP($B57,LegsStats,lookSoc,FALSE)</f>
        <v>2 1 0</v>
      </c>
      <c r="S57" s="615">
        <f>VLOOKUP($B57,LegsStats,lookSet,FALSE)</f>
        <v>0</v>
      </c>
      <c r="U57" s="188"/>
      <c r="V57" s="189"/>
      <c r="W57" s="189"/>
      <c r="X57" s="189"/>
      <c r="Y57" s="189"/>
      <c r="Z57" s="189"/>
      <c r="AA57" s="189"/>
      <c r="AB57" s="228"/>
      <c r="AC57" s="230"/>
      <c r="AD57" s="1342"/>
      <c r="AE57" s="122"/>
      <c r="AF57" s="1343">
        <f>$D57*dpsStr+$E57*dpsAgi+$G57*dpsCrit+$H57*dpsHit+$I57*dpsAP+$L57*dpsExp+$P57*dpsHaste+$Q57*dpsArmor+IF(MID(R57,1,1)+MID(R57,3,1)+MID(R57,5,1)&gt;0,VLOOKUP(B59,GenSocketStats,18,FALSE)+IF(MID(R57,1,1)+MID(R57,3,1)+MID(R57,5,1)&gt;1,VLOOKUP(B60,GenSocketStats,18,FALSE)+IF(MID(R57,1,1)+MID(R57,3,1)+MID(R57,5,1)&gt;2,VLOOKUP(B61,GenSocketStats,18,FALSE),0)),0)</f>
        <v>337.94156976406157</v>
      </c>
    </row>
    <row r="58" spans="1:32">
      <c r="A58" s="189" t="s">
        <v>2082</v>
      </c>
      <c r="B58" s="609" t="s">
        <v>1342</v>
      </c>
      <c r="C58" s="1308"/>
      <c r="D58" s="40">
        <f>VLOOKUP($B58,LegEnchantStats,lookStr,FALSE)</f>
        <v>0</v>
      </c>
      <c r="E58" s="40">
        <f>VLOOKUP($B58,LegEnchantStats,lookAgi,FALSE)</f>
        <v>0</v>
      </c>
      <c r="F58" s="40">
        <f>VLOOKUP($B58,LegEnchantStats,lookSta,FALSE)</f>
        <v>0</v>
      </c>
      <c r="G58" s="41">
        <f>VLOOKUP($B58,LegEnchantStats,lookCrit,FALSE)</f>
        <v>12</v>
      </c>
      <c r="H58" s="41">
        <f>VLOOKUP($B58,LegEnchantStats,lookHit,FALSE)</f>
        <v>0</v>
      </c>
      <c r="I58" s="40">
        <f>VLOOKUP($B58,LegEnchantStats,lookAP,FALSE)</f>
        <v>50</v>
      </c>
      <c r="J58" s="40">
        <f>VLOOKUP($B58,LegEnchantStats,lookRes,FALSE)</f>
        <v>0</v>
      </c>
      <c r="K58" s="41">
        <f>VLOOKUP($B58,LegEnchantStats,lookDod,FALSE)</f>
        <v>0</v>
      </c>
      <c r="L58" s="39">
        <f>VLOOKUP($B58,LegEnchantStats,lookExp,FALSE)</f>
        <v>0</v>
      </c>
      <c r="M58" s="39"/>
      <c r="N58" s="1155"/>
      <c r="O58" s="39"/>
      <c r="P58" s="41">
        <f>VLOOKUP($B58,LegEnchantStats,lookHaste,FALSE)</f>
        <v>0</v>
      </c>
      <c r="Q58" s="41">
        <f>VLOOKUP($B58,LegEnchantStats,lookArmor,FALSE)</f>
        <v>0</v>
      </c>
      <c r="R58" s="39">
        <f>VLOOKUP($B58,LegEnchantStats,lookSoc,FALSE)</f>
        <v>0</v>
      </c>
      <c r="S58" s="39">
        <f>VLOOKUP($B58,LegEnchantStats,lookSet,FALSE)</f>
        <v>0</v>
      </c>
      <c r="U58" s="1130"/>
      <c r="V58" s="191" t="s">
        <v>473</v>
      </c>
      <c r="W58" s="189"/>
      <c r="X58" s="189"/>
      <c r="Y58" s="64" t="b">
        <v>1</v>
      </c>
      <c r="Z58" s="189"/>
      <c r="AA58" s="189"/>
      <c r="AB58" s="228"/>
      <c r="AC58" s="230"/>
      <c r="AD58" s="1342"/>
      <c r="AE58" s="122"/>
      <c r="AF58" s="1343">
        <f>$D58*dpsStr+$E58*dpsAgi+$G58*dpsCrit+$H58*dpsHit+$I58*dpsAP+$L58*dpsExp+$P58*dpsHaste+$Q58*dpsArmor</f>
        <v>26.096056958871941</v>
      </c>
    </row>
    <row r="59" spans="1:32">
      <c r="A59" s="604" t="str">
        <f>IF(AC20,"+"&amp;MID(AD20,4,2)&amp;" "&amp;MID(AD20,1,2),MID($R$57,1,1)&amp;" Red "&amp;MID($R$57,3,1)&amp;" Blue "&amp;MID($R$57,5,1)&amp;" Yellow")</f>
        <v>2 Red 1 Blue 0 Yellow</v>
      </c>
      <c r="B59" s="599" t="s">
        <v>1983</v>
      </c>
      <c r="C59" s="1309" t="b">
        <f>MID($R$57,1,1)+MID($R$57,3,1)+MID(R$57,5,1)&gt;=1</f>
        <v>1</v>
      </c>
      <c r="D59" s="600">
        <f>IF($C59,VLOOKUP($B59,GenSocketStats,lookStr,FALSE),0)</f>
        <v>0</v>
      </c>
      <c r="E59" s="600">
        <f>IF($C59,VLOOKUP($B59,GenSocketStats,lookAgi,FALSE),0)</f>
        <v>0</v>
      </c>
      <c r="F59" s="600">
        <f>IF($C59,VLOOKUP($B59,GenSocketStats,lookSta,FALSE),0)</f>
        <v>0</v>
      </c>
      <c r="G59" s="601">
        <f>IF($C59,VLOOKUP($B59,GenSocketStats,lookCrit,FALSE),0)</f>
        <v>0</v>
      </c>
      <c r="H59" s="601">
        <f>IF($C59,VLOOKUP($B59,GenSocketStats,lookHit,FALSE),0)</f>
        <v>8</v>
      </c>
      <c r="I59" s="600">
        <f>IF($C59,VLOOKUP($B59,GenSocketStats,lookAP,FALSE),0)</f>
        <v>0</v>
      </c>
      <c r="J59" s="600">
        <f>IF($C59,VLOOKUP($B59,GenSocketStats,lookRes,FALSE),0)</f>
        <v>0</v>
      </c>
      <c r="K59" s="601">
        <f>IF($C59,VLOOKUP($B59,GenSocketStats,lookDod,FALSE),0)</f>
        <v>0</v>
      </c>
      <c r="L59" s="600">
        <f>IF($C59,VLOOKUP($B59,GenSocketStats,lookExp,FALSE),0)</f>
        <v>0</v>
      </c>
      <c r="M59" s="600"/>
      <c r="N59" s="605"/>
      <c r="O59" s="600"/>
      <c r="P59" s="600">
        <f>IF($C59,VLOOKUP($B59,GenSocketStats,lookHaste,FALSE),0)</f>
        <v>0</v>
      </c>
      <c r="Q59" s="600">
        <f>IF($C59,VLOOKUP($B59,GenSocketStats,lookArmor,FALSE),0)</f>
        <v>0</v>
      </c>
      <c r="R59" s="600" t="str">
        <f>IF($C59,VLOOKUP($B59,GenSocketStats,lookSoc,FALSE),0)</f>
        <v>0 0 1</v>
      </c>
      <c r="S59" s="602">
        <f>IF($C59,VLOOKUP($B59,GenSocketStats,lookSet,FALSE),0)</f>
        <v>0</v>
      </c>
      <c r="U59" s="1130"/>
      <c r="V59" s="191" t="s">
        <v>472</v>
      </c>
      <c r="W59" s="189"/>
      <c r="X59" s="189"/>
      <c r="Y59" s="64" t="b">
        <v>1</v>
      </c>
      <c r="Z59" s="189"/>
      <c r="AA59" s="189"/>
      <c r="AB59" s="189"/>
      <c r="AC59" s="190"/>
      <c r="AD59" s="1342"/>
      <c r="AE59" s="1342"/>
      <c r="AF59" s="1344"/>
    </row>
    <row r="60" spans="1:32">
      <c r="A60" s="189"/>
      <c r="B60" s="599" t="s">
        <v>1983</v>
      </c>
      <c r="C60" s="1309" t="b">
        <f>MID($R$57,1,1)+MID($R$57,3,1)+MID(R$57,5,1)&gt;=2</f>
        <v>1</v>
      </c>
      <c r="D60" s="600">
        <f>IF($C60,VLOOKUP($B60,GenSocketStats,lookStr,FALSE),0)</f>
        <v>0</v>
      </c>
      <c r="E60" s="600">
        <f>IF($C60,VLOOKUP($B60,GenSocketStats,lookAgi,FALSE),0)</f>
        <v>0</v>
      </c>
      <c r="F60" s="600">
        <f>IF($C60,VLOOKUP($B60,GenSocketStats,lookSta,FALSE),0)</f>
        <v>0</v>
      </c>
      <c r="G60" s="601">
        <f>IF($C60,VLOOKUP($B60,GenSocketStats,lookCrit,FALSE),0)</f>
        <v>0</v>
      </c>
      <c r="H60" s="601">
        <f>IF($C60,VLOOKUP($B60,GenSocketStats,lookHit,FALSE),0)</f>
        <v>8</v>
      </c>
      <c r="I60" s="600">
        <f>IF($C60,VLOOKUP($B60,GenSocketStats,lookAP,FALSE),0)</f>
        <v>0</v>
      </c>
      <c r="J60" s="600">
        <f>IF($C60,VLOOKUP($B60,GenSocketStats,lookRes,FALSE),0)</f>
        <v>0</v>
      </c>
      <c r="K60" s="601">
        <f>IF($C60,VLOOKUP($B60,GenSocketStats,lookDod,FALSE),0)</f>
        <v>0</v>
      </c>
      <c r="L60" s="600">
        <f>IF($C60,VLOOKUP($B60,GenSocketStats,lookExp,FALSE),0)</f>
        <v>0</v>
      </c>
      <c r="M60" s="600"/>
      <c r="N60" s="605"/>
      <c r="O60" s="600"/>
      <c r="P60" s="600">
        <f>IF($C60,VLOOKUP($B60,GenSocketStats,lookHaste,FALSE),0)</f>
        <v>0</v>
      </c>
      <c r="Q60" s="600">
        <f>IF($C60,VLOOKUP($B60,GenSocketStats,lookArmor,FALSE),0)</f>
        <v>0</v>
      </c>
      <c r="R60" s="600" t="str">
        <f>IF($C60,VLOOKUP($B60,GenSocketStats,lookSoc,FALSE),0)</f>
        <v>0 0 1</v>
      </c>
      <c r="S60" s="602">
        <f>IF($C60,VLOOKUP($B60,GenSocketStats,lookSet,FALSE),0)</f>
        <v>0</v>
      </c>
      <c r="U60" s="1130"/>
      <c r="V60" s="191" t="s">
        <v>468</v>
      </c>
      <c r="W60" s="189"/>
      <c r="X60" s="189"/>
      <c r="Y60" s="64" t="b">
        <v>1</v>
      </c>
      <c r="Z60" s="189"/>
      <c r="AA60" s="191" t="s">
        <v>469</v>
      </c>
      <c r="AB60" s="189"/>
      <c r="AC60" s="190"/>
      <c r="AD60" s="1342"/>
      <c r="AE60" s="1342"/>
      <c r="AF60" s="1344"/>
    </row>
    <row r="61" spans="1:32">
      <c r="A61" s="189"/>
      <c r="B61" s="599" t="s">
        <v>1983</v>
      </c>
      <c r="C61" s="1309" t="b">
        <f>MID($R$57,1,1)+MID($R$57,3,1)+MID(R$57,5,1)&gt;=3</f>
        <v>1</v>
      </c>
      <c r="D61" s="600">
        <f>IF($C61,VLOOKUP($B61,GenSocketStats,lookStr,FALSE),0)</f>
        <v>0</v>
      </c>
      <c r="E61" s="600">
        <f>IF($C61,VLOOKUP($B61,GenSocketStats,lookAgi,FALSE),0)</f>
        <v>0</v>
      </c>
      <c r="F61" s="600">
        <f>IF($C61,VLOOKUP($B61,GenSocketStats,lookSta,FALSE),0)</f>
        <v>0</v>
      </c>
      <c r="G61" s="601">
        <f>IF($C61,VLOOKUP($B61,GenSocketStats,lookCrit,FALSE),0)</f>
        <v>0</v>
      </c>
      <c r="H61" s="601">
        <f>IF($C61,VLOOKUP($B61,GenSocketStats,lookHit,FALSE),0)</f>
        <v>8</v>
      </c>
      <c r="I61" s="600">
        <f>IF($C61,VLOOKUP($B61,GenSocketStats,lookAP,FALSE),0)</f>
        <v>0</v>
      </c>
      <c r="J61" s="600">
        <f>IF($C61,VLOOKUP($B61,GenSocketStats,lookRes,FALSE),0)</f>
        <v>0</v>
      </c>
      <c r="K61" s="601">
        <f>IF($C61,VLOOKUP($B61,GenSocketStats,lookDod,FALSE),0)</f>
        <v>0</v>
      </c>
      <c r="L61" s="600">
        <f>IF($C61,VLOOKUP($B61,GenSocketStats,lookExp,FALSE),0)</f>
        <v>0</v>
      </c>
      <c r="M61" s="600"/>
      <c r="N61" s="605"/>
      <c r="O61" s="600"/>
      <c r="P61" s="600">
        <f>IF($C61,VLOOKUP($B61,GenSocketStats,lookHaste,FALSE),0)</f>
        <v>0</v>
      </c>
      <c r="Q61" s="600">
        <f>IF($C61,VLOOKUP($B61,GenSocketStats,lookArmor,FALSE),0)</f>
        <v>0</v>
      </c>
      <c r="R61" s="600" t="str">
        <f>IF($C61,VLOOKUP($B61,GenSocketStats,lookSoc,FALSE),0)</f>
        <v>0 0 1</v>
      </c>
      <c r="S61" s="602">
        <f>IF($C61,VLOOKUP($B61,GenSocketStats,lookSet,FALSE),0)</f>
        <v>0</v>
      </c>
      <c r="U61" s="1130"/>
      <c r="V61" s="191" t="s">
        <v>3088</v>
      </c>
      <c r="W61" s="189"/>
      <c r="X61" s="189"/>
      <c r="Y61" s="64" t="b">
        <v>1</v>
      </c>
      <c r="Z61" s="1125"/>
      <c r="AA61" s="27" t="s">
        <v>673</v>
      </c>
      <c r="AB61" s="189"/>
      <c r="AC61" s="504" t="b">
        <v>1</v>
      </c>
      <c r="AD61" s="122"/>
      <c r="AE61" s="122"/>
      <c r="AF61" s="1343"/>
    </row>
    <row r="62" spans="1:32">
      <c r="A62" s="612" t="s">
        <v>1415</v>
      </c>
      <c r="B62" s="617" t="s">
        <v>255</v>
      </c>
      <c r="C62" s="1154" t="str">
        <f>VLOOKUP($B62,BootsStats,lookSource,FALSE)</f>
        <v>Karazhan</v>
      </c>
      <c r="D62" s="613">
        <f>VLOOKUP($B62,BootsStats,lookStr,FALSE)</f>
        <v>0</v>
      </c>
      <c r="E62" s="613">
        <f>VLOOKUP($B62,BootsStats,lookAgi,FALSE)</f>
        <v>29</v>
      </c>
      <c r="F62" s="613">
        <f>VLOOKUP($B62,BootsStats,lookSta,FALSE)</f>
        <v>28</v>
      </c>
      <c r="G62" s="614">
        <f>VLOOKUP($B62,BootsStats,lookCrit,FALSE)</f>
        <v>0</v>
      </c>
      <c r="H62" s="614">
        <f>VLOOKUP($B62,BootsStats,lookHit,FALSE)</f>
        <v>13</v>
      </c>
      <c r="I62" s="613">
        <f>VLOOKUP($B62,BootsStats,lookAP,FALSE)</f>
        <v>44</v>
      </c>
      <c r="J62" s="615">
        <f>VLOOKUP($B62,BootsStats,lookRes,FALSE)</f>
        <v>0</v>
      </c>
      <c r="K62" s="614">
        <f>VLOOKUP($B62,BootsStats,lookDod,FALSE)</f>
        <v>0</v>
      </c>
      <c r="L62" s="615">
        <f>VLOOKUP($B62,BootsStats,lookExp,FALSE)</f>
        <v>0</v>
      </c>
      <c r="M62" s="615">
        <f>VLOOKUP($B62,BootsStats,lookDef,FALSE)</f>
        <v>0</v>
      </c>
      <c r="N62" s="1154"/>
      <c r="O62" s="615"/>
      <c r="P62" s="615">
        <f>VLOOKUP($B62,BootsStats,lookHaste,FALSE)</f>
        <v>0</v>
      </c>
      <c r="Q62" s="615">
        <f>VLOOKUP($B62,BootsStats,lookArmor,FALSE)</f>
        <v>0</v>
      </c>
      <c r="R62" s="615" t="str">
        <f>VLOOKUP($B62,BootsStats,lookSoc,FALSE)</f>
        <v>1 0 1</v>
      </c>
      <c r="S62" s="615">
        <f>VLOOKUP($B62,BootsStats,lookSet,FALSE)</f>
        <v>0</v>
      </c>
      <c r="U62" s="1130"/>
      <c r="V62" s="191" t="s">
        <v>676</v>
      </c>
      <c r="W62" s="189"/>
      <c r="X62" s="189"/>
      <c r="Y62" s="64" t="b">
        <v>1</v>
      </c>
      <c r="Z62" s="1125"/>
      <c r="AA62" s="27" t="s">
        <v>691</v>
      </c>
      <c r="AB62" s="189"/>
      <c r="AC62" s="504" t="b">
        <v>1</v>
      </c>
      <c r="AD62" s="122"/>
      <c r="AE62" s="122"/>
      <c r="AF62" s="1343">
        <f>$D62*dpsStr+$E62*dpsAgi+$G62*dpsCrit+$H62*dpsHit+$I62*dpsAP+$L62*dpsExp+$P62*dpsHaste+$Q62*dpsArmor+IF(MID(R62,1,1)+MID(R62,3,1)+MID(R62,5,1)&gt;0,VLOOKUP(B64,GenSocketStats,18,FALSE)+IF(MID(R62,1,1)+MID(R62,3,1)+MID(R62,5,1)&gt;1,VLOOKUP(B65,GenSocketStats,18,FALSE)+IF(MID(R62,1,1)+MID(R62,3,1)+MID(R62,5,1)&gt;2,VLOOKUP(B62,GenSocketStats,18,FALSE),0)),0)</f>
        <v>181.77133250386009</v>
      </c>
    </row>
    <row r="63" spans="1:32">
      <c r="A63" s="189" t="s">
        <v>256</v>
      </c>
      <c r="B63" s="609" t="s">
        <v>257</v>
      </c>
      <c r="C63" s="1308"/>
      <c r="D63" s="40">
        <f>VLOOKUP($B63,BootEnchantStats,lookStr,FALSE)</f>
        <v>0</v>
      </c>
      <c r="E63" s="40">
        <f>VLOOKUP($B63,BootEnchantStats,lookAgi,FALSE)</f>
        <v>12</v>
      </c>
      <c r="F63" s="40">
        <f>VLOOKUP($B63,BootEnchantStats,lookSta,FALSE)</f>
        <v>0</v>
      </c>
      <c r="G63" s="41">
        <f>VLOOKUP($B63,BootEnchantStats,lookCrit,FALSE)</f>
        <v>0</v>
      </c>
      <c r="H63" s="41">
        <f>VLOOKUP($B63,BootEnchantStats,lookHit,FALSE)</f>
        <v>0</v>
      </c>
      <c r="I63" s="40">
        <f>VLOOKUP($B63,BootEnchantStats,lookAP,FALSE)</f>
        <v>0</v>
      </c>
      <c r="J63" s="40">
        <f>VLOOKUP($B63,BootEnchantStats,lookRes,FALSE)</f>
        <v>0</v>
      </c>
      <c r="K63" s="41">
        <f>VLOOKUP($B63,BootEnchantStats,lookDod,FALSE)</f>
        <v>0</v>
      </c>
      <c r="L63" s="39">
        <f>VLOOKUP($B63,BootEnchantStats,lookExp,FALSE)</f>
        <v>0</v>
      </c>
      <c r="M63" s="39"/>
      <c r="N63" s="1155"/>
      <c r="O63" s="39"/>
      <c r="P63" s="39">
        <f>VLOOKUP($B63,BootEnchantStats,lookHaste,FALSE)</f>
        <v>0</v>
      </c>
      <c r="Q63" s="39">
        <f>VLOOKUP($B63,BootEnchantStats,lookArmor,FALSE)</f>
        <v>0</v>
      </c>
      <c r="R63" s="39">
        <f>VLOOKUP($B63,BootEnchantStats,lookSoc,FALSE)</f>
        <v>0</v>
      </c>
      <c r="S63" s="39">
        <f>VLOOKUP($B63,BootEnchantStats,lookSet,FALSE)</f>
        <v>0</v>
      </c>
      <c r="U63" s="188"/>
      <c r="V63" s="189"/>
      <c r="W63" s="189"/>
      <c r="X63" s="189"/>
      <c r="Y63" s="189"/>
      <c r="Z63" s="1125"/>
      <c r="AA63" s="64" t="s">
        <v>672</v>
      </c>
      <c r="AB63" s="189"/>
      <c r="AC63" s="504" t="b">
        <v>1</v>
      </c>
      <c r="AD63" s="122"/>
      <c r="AE63" s="122"/>
      <c r="AF63" s="1343">
        <f>$D63*dpsStr+$E63*dpsAgi+$G63*dpsCrit+$H63*dpsHit+$I63*dpsAP+$L63*dpsExp+$P63*dpsHaste+$Q63*dpsArmor</f>
        <v>9.9265544320196568</v>
      </c>
    </row>
    <row r="64" spans="1:32">
      <c r="A64" s="604" t="str">
        <f>IF(AC21,"+"&amp;MID(AD21,4,2)&amp;" "&amp;MID(AD21,1,2),MID($R$62,1,1)&amp;" Red "&amp;MID($R$62,3,1)&amp;" Blue "&amp;MID($R$62,5,1)&amp;" Yellow")</f>
        <v>+3 ht</v>
      </c>
      <c r="B64" s="599" t="s">
        <v>1983</v>
      </c>
      <c r="C64" s="1309" t="b">
        <f>MID($R$62,1,1)+MID($R$62,3,1)+MID(R$62,5,1)&gt;=1</f>
        <v>1</v>
      </c>
      <c r="D64" s="600">
        <f>IF($C64,VLOOKUP($B64,GenSocketStats,lookStr,FALSE),0)</f>
        <v>0</v>
      </c>
      <c r="E64" s="600">
        <f>IF($C64,VLOOKUP($B64,GenSocketStats,lookAgi,FALSE),0)</f>
        <v>0</v>
      </c>
      <c r="F64" s="600">
        <f>IF($C64,VLOOKUP($B64,GenSocketStats,lookSta,FALSE),0)</f>
        <v>0</v>
      </c>
      <c r="G64" s="601">
        <f>IF($C64,VLOOKUP($B64,GenSocketStats,lookCrit,FALSE),0)</f>
        <v>0</v>
      </c>
      <c r="H64" s="601">
        <f>IF($C64,VLOOKUP($B64,GenSocketStats,lookHit,FALSE),0)</f>
        <v>8</v>
      </c>
      <c r="I64" s="600">
        <f>IF($C64,VLOOKUP($B64,GenSocketStats,lookAP,FALSE),0)</f>
        <v>0</v>
      </c>
      <c r="J64" s="600">
        <f>IF($C64,VLOOKUP($B64,GenSocketStats,lookRes,FALSE),0)</f>
        <v>0</v>
      </c>
      <c r="K64" s="601">
        <f>IF($C64,VLOOKUP($B64,GenSocketStats,lookDod,FALSE),0)</f>
        <v>0</v>
      </c>
      <c r="L64" s="600">
        <f>IF($C64,VLOOKUP($B64,GenSocketStats,lookExp,FALSE),0)</f>
        <v>0</v>
      </c>
      <c r="M64" s="600"/>
      <c r="N64" s="605"/>
      <c r="O64" s="600"/>
      <c r="P64" s="600">
        <f>IF($C64,VLOOKUP($B64,GenSocketStats,lookHaste,FALSE),0)</f>
        <v>0</v>
      </c>
      <c r="Q64" s="600">
        <f>IF($C64,VLOOKUP($B64,GenSocketStats,lookArmor,FALSE),0)</f>
        <v>0</v>
      </c>
      <c r="R64" s="600" t="str">
        <f>IF($C64,VLOOKUP($B64,GenSocketStats,lookSoc,FALSE),0)</f>
        <v>0 0 1</v>
      </c>
      <c r="S64" s="602">
        <f>IF($C64,VLOOKUP($B64,GenSocketStats,lookSet,FALSE),0)</f>
        <v>0</v>
      </c>
      <c r="U64" s="188"/>
      <c r="V64" s="191" t="s">
        <v>2801</v>
      </c>
      <c r="W64" s="189"/>
      <c r="X64" s="189"/>
      <c r="Y64" s="189"/>
      <c r="Z64" s="1125"/>
      <c r="AA64" s="189" t="s">
        <v>681</v>
      </c>
      <c r="AB64" s="189"/>
      <c r="AC64" s="504" t="b">
        <v>1</v>
      </c>
      <c r="AD64" s="122"/>
      <c r="AE64" s="122"/>
      <c r="AF64" s="1343"/>
    </row>
    <row r="65" spans="1:32">
      <c r="A65" s="189"/>
      <c r="B65" s="599" t="s">
        <v>303</v>
      </c>
      <c r="C65" s="1309" t="b">
        <f>MID($R$62,1,1)+MID($R$62,3,1)+MID(R$62,5,1)&gt;=2</f>
        <v>1</v>
      </c>
      <c r="D65" s="600">
        <f>IF($C65,VLOOKUP($B65,GenSocketStats,lookStr,FALSE),0)</f>
        <v>0</v>
      </c>
      <c r="E65" s="600">
        <f>IF($C65,VLOOKUP($B65,GenSocketStats,lookAgi,FALSE),0)</f>
        <v>4</v>
      </c>
      <c r="F65" s="600">
        <f>IF($C65,VLOOKUP($B65,GenSocketStats,lookSta,FALSE),0)</f>
        <v>0</v>
      </c>
      <c r="G65" s="601">
        <f>IF($C65,VLOOKUP($B65,GenSocketStats,lookCrit,FALSE),0)</f>
        <v>0</v>
      </c>
      <c r="H65" s="601">
        <f>IF($C65,VLOOKUP($B65,GenSocketStats,lookHit,FALSE),0)</f>
        <v>4</v>
      </c>
      <c r="I65" s="600">
        <f>IF($C65,VLOOKUP($B65,GenSocketStats,lookAP,FALSE),0)</f>
        <v>0</v>
      </c>
      <c r="J65" s="600">
        <f>IF($C65,VLOOKUP($B65,GenSocketStats,lookRes,FALSE),0)</f>
        <v>0</v>
      </c>
      <c r="K65" s="601">
        <f>IF($C65,VLOOKUP($B65,GenSocketStats,lookDod,FALSE),0)</f>
        <v>0</v>
      </c>
      <c r="L65" s="600">
        <f>IF($C65,VLOOKUP($B65,GenSocketStats,lookExp,FALSE),0)</f>
        <v>0</v>
      </c>
      <c r="M65" s="600"/>
      <c r="N65" s="605"/>
      <c r="O65" s="600"/>
      <c r="P65" s="600">
        <f>IF($C65,VLOOKUP($B65,GenSocketStats,lookHaste,FALSE),0)</f>
        <v>0</v>
      </c>
      <c r="Q65" s="600">
        <f>IF($C65,VLOOKUP($B65,GenSocketStats,lookArmor,FALSE),0)</f>
        <v>0</v>
      </c>
      <c r="R65" s="600" t="str">
        <f>IF($C65,VLOOKUP($B65,GenSocketStats,lookSoc,FALSE),0)</f>
        <v>1 0 1</v>
      </c>
      <c r="S65" s="602">
        <f>IF($C65,VLOOKUP($B65,GenSocketStats,lookSet,FALSE),0)</f>
        <v>0</v>
      </c>
      <c r="U65" s="1130"/>
      <c r="V65" s="27" t="s">
        <v>2800</v>
      </c>
      <c r="W65" s="189"/>
      <c r="X65" s="189"/>
      <c r="Y65" s="64" t="b">
        <v>1</v>
      </c>
      <c r="Z65" s="1125"/>
      <c r="AA65" s="189" t="s">
        <v>682</v>
      </c>
      <c r="AB65" s="189"/>
      <c r="AC65" s="504" t="b">
        <v>1</v>
      </c>
      <c r="AD65" s="122"/>
      <c r="AE65" s="122"/>
      <c r="AF65" s="1343"/>
    </row>
    <row r="66" spans="1:32">
      <c r="A66" s="612" t="s">
        <v>258</v>
      </c>
      <c r="B66" s="618" t="s">
        <v>492</v>
      </c>
      <c r="C66" s="1154" t="str">
        <f>VLOOKUP($B66,RingStats,lookSource,FALSE)</f>
        <v>Karazhan</v>
      </c>
      <c r="D66" s="613">
        <f>VLOOKUP($B66,RingStats,lookStr,FALSE)</f>
        <v>0</v>
      </c>
      <c r="E66" s="613">
        <f>VLOOKUP($B66,RingStats,lookAgi,FALSE)</f>
        <v>20</v>
      </c>
      <c r="F66" s="613">
        <f>VLOOKUP($B66,RingStats,lookSta,FALSE)</f>
        <v>25</v>
      </c>
      <c r="G66" s="614">
        <f>VLOOKUP($B66,RingStats,lookCrit,FALSE)</f>
        <v>0</v>
      </c>
      <c r="H66" s="614">
        <f>VLOOKUP($B66,RingStats,lookHit,FALSE)</f>
        <v>18</v>
      </c>
      <c r="I66" s="613">
        <f>VLOOKUP($B66,RingStats,lookAP,FALSE)</f>
        <v>40</v>
      </c>
      <c r="J66" s="615">
        <f>VLOOKUP($B66,RingStats,lookRes,FALSE)</f>
        <v>0</v>
      </c>
      <c r="K66" s="614">
        <f>VLOOKUP($B66,RingStats,lookDod,FALSE)</f>
        <v>0</v>
      </c>
      <c r="L66" s="615">
        <f>VLOOKUP($B66,RingStats,lookExp,FALSE)</f>
        <v>0</v>
      </c>
      <c r="M66" s="615">
        <f>VLOOKUP($B66,RingStats,lookDef,FALSE)</f>
        <v>0</v>
      </c>
      <c r="N66" s="1154"/>
      <c r="O66" s="615"/>
      <c r="P66" s="615">
        <f>VLOOKUP($B66,RingStats,lookHaste,FALSE)</f>
        <v>0</v>
      </c>
      <c r="Q66" s="615">
        <f>VLOOKUP($B66,RingStats,lookArmor,FALSE)</f>
        <v>0</v>
      </c>
      <c r="R66" s="615">
        <f>VLOOKUP($B66,RingStats,lookSoc,FALSE)</f>
        <v>0</v>
      </c>
      <c r="S66" s="615">
        <f>VLOOKUP($B66,RingStats,lookSet,FALSE)</f>
        <v>0</v>
      </c>
      <c r="U66" s="1130"/>
      <c r="V66" s="27" t="s">
        <v>2802</v>
      </c>
      <c r="W66" s="189"/>
      <c r="X66" s="189"/>
      <c r="Y66" s="64" t="b">
        <v>0</v>
      </c>
      <c r="Z66" s="1125"/>
      <c r="AA66" s="27" t="s">
        <v>1686</v>
      </c>
      <c r="AB66" s="189"/>
      <c r="AC66" s="504" t="b">
        <v>1</v>
      </c>
      <c r="AD66" s="122"/>
      <c r="AE66" s="122"/>
      <c r="AF66" s="1343">
        <f>$D66*dpsStr+$E66*dpsAgi+$G66*dpsCrit+$H66*dpsHit+$I66*dpsAP+$L66*dpsExp+$P66*dpsHaste+$Q66*dpsArmor</f>
        <v>130.73802482919473</v>
      </c>
    </row>
    <row r="67" spans="1:32">
      <c r="A67" s="189" t="s">
        <v>260</v>
      </c>
      <c r="B67" s="610" t="s">
        <v>1689</v>
      </c>
      <c r="C67" s="1308"/>
      <c r="D67" s="40">
        <f>VLOOKUP($B67,RingEnchantStats,lookStr,FALSE)</f>
        <v>0</v>
      </c>
      <c r="E67" s="40">
        <f>VLOOKUP($B67,RingEnchantStats,lookAgi,FALSE)</f>
        <v>0</v>
      </c>
      <c r="F67" s="40">
        <f>VLOOKUP($B67,RingEnchantStats,lookSta,FALSE)</f>
        <v>0</v>
      </c>
      <c r="G67" s="40">
        <f>VLOOKUP($B67,RingEnchantStats,lookCrit,FALSE)</f>
        <v>0</v>
      </c>
      <c r="H67" s="40">
        <f>VLOOKUP($B67,RingEnchantStats,lookHit,FALSE)</f>
        <v>0</v>
      </c>
      <c r="I67" s="40">
        <f>VLOOKUP($B67,RingEnchantStats,lookAP,FALSE)</f>
        <v>0</v>
      </c>
      <c r="J67" s="40">
        <f>VLOOKUP($B67,RingEnchantStats,lookRes,FALSE)</f>
        <v>0</v>
      </c>
      <c r="K67" s="40">
        <f>VLOOKUP($B67,RingEnchantStats,lookDod,FALSE)</f>
        <v>0</v>
      </c>
      <c r="L67" s="40">
        <f>VLOOKUP($B67,RingEnchantStats,lookExp,FALSE)</f>
        <v>0</v>
      </c>
      <c r="M67" s="40"/>
      <c r="N67" s="610"/>
      <c r="O67" s="40"/>
      <c r="P67" s="46">
        <f>VLOOKUP($B67,RingEnchantStats,lookHaste,FALSE)</f>
        <v>0</v>
      </c>
      <c r="Q67" s="46">
        <f>VLOOKUP($B67,RingEnchantStats,lookArmor,FALSE)</f>
        <v>0</v>
      </c>
      <c r="R67" s="46">
        <f>VLOOKUP($B67,RingEnchantStats,lookSoc,FALSE)</f>
        <v>0</v>
      </c>
      <c r="S67" s="46">
        <f>VLOOKUP($B67,RingEnchantStats,lookSet,FALSE)</f>
        <v>0</v>
      </c>
      <c r="U67" s="1130"/>
      <c r="V67" s="64" t="s">
        <v>2803</v>
      </c>
      <c r="W67" s="189"/>
      <c r="X67" s="189"/>
      <c r="Y67" s="64" t="b">
        <v>0</v>
      </c>
      <c r="Z67" s="1125"/>
      <c r="AA67" s="27" t="s">
        <v>679</v>
      </c>
      <c r="AB67" s="189"/>
      <c r="AC67" s="504" t="b">
        <v>1</v>
      </c>
      <c r="AD67" s="122"/>
      <c r="AE67" s="122"/>
      <c r="AF67" s="1343">
        <f>$D67*dpsStr+$E67*dpsAgi+$G67*dpsCrit+$H67*dpsHit+$I67*dpsAP+$L67*dpsExp+$P67*dpsHaste+$Q67*dpsArmor</f>
        <v>0</v>
      </c>
    </row>
    <row r="68" spans="1:32">
      <c r="A68" s="612" t="s">
        <v>1567</v>
      </c>
      <c r="B68" s="617" t="s">
        <v>259</v>
      </c>
      <c r="C68" s="1154" t="str">
        <f>VLOOKUP($B68,RingStats,lookSource,FALSE)</f>
        <v>Karazhan</v>
      </c>
      <c r="D68" s="613">
        <f>VLOOKUP($B68,RingStats,lookStr,FALSE)</f>
        <v>0</v>
      </c>
      <c r="E68" s="613">
        <f>VLOOKUP($B68,RingStats,lookAgi,FALSE)</f>
        <v>0</v>
      </c>
      <c r="F68" s="613">
        <f>VLOOKUP($B68,RingStats,lookSta,FALSE)</f>
        <v>21</v>
      </c>
      <c r="G68" s="614">
        <f>VLOOKUP($B68,RingStats,lookCrit,FALSE)</f>
        <v>23</v>
      </c>
      <c r="H68" s="614">
        <f>VLOOKUP($B68,RingStats,lookHit,FALSE)</f>
        <v>19</v>
      </c>
      <c r="I68" s="613">
        <f>VLOOKUP($B68,RingStats,lookAP,FALSE)</f>
        <v>44</v>
      </c>
      <c r="J68" s="615">
        <f>VLOOKUP($B68,RingStats,lookRes,FALSE)</f>
        <v>0</v>
      </c>
      <c r="K68" s="614">
        <f>VLOOKUP($B68,RingStats,lookDod,FALSE)</f>
        <v>0</v>
      </c>
      <c r="L68" s="615">
        <f>VLOOKUP($B68,RingStats,lookExp,FALSE)</f>
        <v>0</v>
      </c>
      <c r="M68" s="615">
        <f>VLOOKUP($B68,RingStats,lookDef,FALSE)</f>
        <v>0</v>
      </c>
      <c r="N68" s="1154"/>
      <c r="O68" s="615"/>
      <c r="P68" s="615">
        <f>VLOOKUP($B68,RingStats,lookHaste,FALSE)</f>
        <v>0</v>
      </c>
      <c r="Q68" s="615">
        <f>VLOOKUP($B68,RingStats,lookArmor,FALSE)</f>
        <v>0</v>
      </c>
      <c r="R68" s="615">
        <f>VLOOKUP($B68,RingStats,lookSoc,FALSE)</f>
        <v>0</v>
      </c>
      <c r="S68" s="615">
        <f>VLOOKUP($B68,RingStats,lookSet,FALSE)</f>
        <v>0</v>
      </c>
      <c r="U68" s="1130"/>
      <c r="V68" s="189" t="s">
        <v>2804</v>
      </c>
      <c r="W68" s="189"/>
      <c r="X68" s="189"/>
      <c r="Y68" s="64" t="b">
        <v>0</v>
      </c>
      <c r="Z68" s="1125"/>
      <c r="AA68" s="189" t="s">
        <v>667</v>
      </c>
      <c r="AB68" s="189"/>
      <c r="AC68" s="504" t="b">
        <v>1</v>
      </c>
      <c r="AD68" s="122"/>
      <c r="AE68" s="122"/>
      <c r="AF68" s="1343">
        <f>$D68*dpsStr+$E68*dpsAgi+$G68*dpsCrit+$H68*dpsHit+$I68*dpsAP+$L68*dpsExp+$P68*dpsHaste+$Q68*dpsArmor</f>
        <v>136.94643403976124</v>
      </c>
    </row>
    <row r="69" spans="1:32">
      <c r="A69" s="189" t="s">
        <v>260</v>
      </c>
      <c r="B69" s="610" t="s">
        <v>1689</v>
      </c>
      <c r="C69" s="1308"/>
      <c r="D69" s="40">
        <f>VLOOKUP($B69,RingEnchantStats,lookStr,FALSE)</f>
        <v>0</v>
      </c>
      <c r="E69" s="40">
        <f>VLOOKUP($B69,RingEnchantStats,lookAgi,FALSE)</f>
        <v>0</v>
      </c>
      <c r="F69" s="40">
        <f>VLOOKUP($B69,RingEnchantStats,lookSta,FALSE)</f>
        <v>0</v>
      </c>
      <c r="G69" s="40">
        <f>VLOOKUP($B69,RingEnchantStats,lookCrit,FALSE)</f>
        <v>0</v>
      </c>
      <c r="H69" s="40">
        <f>VLOOKUP($B69,RingEnchantStats,lookHit,FALSE)</f>
        <v>0</v>
      </c>
      <c r="I69" s="40">
        <f>VLOOKUP($B69,RingEnchantStats,lookAP,FALSE)</f>
        <v>0</v>
      </c>
      <c r="J69" s="40">
        <f>VLOOKUP($B69,RingEnchantStats,lookRes,FALSE)</f>
        <v>0</v>
      </c>
      <c r="K69" s="40">
        <f>VLOOKUP($B69,RingEnchantStats,lookDod,FALSE)</f>
        <v>0</v>
      </c>
      <c r="L69" s="40">
        <f>VLOOKUP($B69,RingEnchantStats,lookExp,FALSE)</f>
        <v>0</v>
      </c>
      <c r="M69" s="40"/>
      <c r="N69" s="610"/>
      <c r="O69" s="40"/>
      <c r="P69" s="46">
        <f>VLOOKUP($B69,RingEnchantStats,lookHaste,FALSE)</f>
        <v>0</v>
      </c>
      <c r="Q69" s="46">
        <f>VLOOKUP($B69,RingEnchantStats,lookArmor,FALSE)</f>
        <v>0</v>
      </c>
      <c r="R69" s="46">
        <f>VLOOKUP($B69,RingEnchantStats,lookSoc,FALSE)</f>
        <v>0</v>
      </c>
      <c r="S69" s="46">
        <f>VLOOKUP($B69,RingEnchantStats,lookSet,FALSE)</f>
        <v>0</v>
      </c>
      <c r="U69" s="1130"/>
      <c r="V69" s="189" t="s">
        <v>2805</v>
      </c>
      <c r="W69" s="189"/>
      <c r="X69" s="189"/>
      <c r="Y69" s="64" t="b">
        <v>0</v>
      </c>
      <c r="Z69" s="1125"/>
      <c r="AA69" s="189" t="s">
        <v>470</v>
      </c>
      <c r="AB69" s="189"/>
      <c r="AC69" s="504" t="b">
        <v>1</v>
      </c>
      <c r="AD69" s="122"/>
      <c r="AE69" s="122"/>
      <c r="AF69" s="1343">
        <f>$D69*dpsStr+$E69*dpsAgi+$G69*dpsCrit+$H69*dpsHit+$I69*dpsAP+$L69*dpsExp+$P69*dpsHaste+$Q69*dpsArmor</f>
        <v>0</v>
      </c>
    </row>
    <row r="70" spans="1:32" ht="12.75" customHeight="1">
      <c r="A70" s="612" t="s">
        <v>1937</v>
      </c>
      <c r="B70" s="618" t="s">
        <v>1938</v>
      </c>
      <c r="C70" s="1154" t="str">
        <f>VLOOKUP($B70,TrinketStats,lookSource,FALSE)</f>
        <v>Gruul's Lair</v>
      </c>
      <c r="D70" s="613">
        <f>VLOOKUP($B70,TrinketStats,lookStr,FALSE)</f>
        <v>0</v>
      </c>
      <c r="E70" s="613">
        <f>VLOOKUP($B70,TrinketStats,lookAgi,FALSE)</f>
        <v>0</v>
      </c>
      <c r="F70" s="613">
        <f>VLOOKUP($B70,TrinketStats,lookSta,FALSE)</f>
        <v>0</v>
      </c>
      <c r="G70" s="614">
        <f>VLOOKUP($B70,TrinketStats,lookCrit,FALSE)</f>
        <v>0</v>
      </c>
      <c r="H70" s="614">
        <f>VLOOKUP($B70,TrinketStats,lookHit,FALSE)</f>
        <v>0</v>
      </c>
      <c r="I70" s="613">
        <f>VLOOKUP($B70,TrinketStats,lookAP,FALSE)</f>
        <v>40</v>
      </c>
      <c r="J70" s="615">
        <f>VLOOKUP($B70,TrinketStats,lookRes,FALSE)</f>
        <v>0</v>
      </c>
      <c r="K70" s="614">
        <f>VLOOKUP($B70,TrinketStats,lookDod,FALSE)</f>
        <v>0</v>
      </c>
      <c r="L70" s="615">
        <f>VLOOKUP($B70,TrinketStats,lookExp,FALSE)</f>
        <v>0</v>
      </c>
      <c r="M70" s="615">
        <f>VLOOKUP($B70,TrinketStats,lookDef,FALSE)</f>
        <v>0</v>
      </c>
      <c r="N70" s="1154"/>
      <c r="O70" s="615"/>
      <c r="P70" s="614">
        <f>VLOOKUP($B70,TrinketStats,lookHaste,FALSE)</f>
        <v>99.923869008308046</v>
      </c>
      <c r="Q70" s="615">
        <f>VLOOKUP($B70,TrinketStats,lookArmor,FALSE)</f>
        <v>0</v>
      </c>
      <c r="R70" s="615">
        <f>VLOOKUP($B70,TrinketStats,lookSoc,FALSE)</f>
        <v>0</v>
      </c>
      <c r="S70" s="615">
        <f>VLOOKUP($B70,TrinketStats,lookSet,FALSE)</f>
        <v>0</v>
      </c>
      <c r="U70" s="1140"/>
      <c r="V70" s="189"/>
      <c r="W70" s="189"/>
      <c r="X70" s="64"/>
      <c r="Y70" s="189"/>
      <c r="Z70" s="1125"/>
      <c r="AA70" s="189" t="s">
        <v>683</v>
      </c>
      <c r="AB70" s="189"/>
      <c r="AC70" s="504" t="b">
        <v>1</v>
      </c>
      <c r="AD70" s="122"/>
      <c r="AE70" s="122"/>
      <c r="AF70" s="1343">
        <f>$D70*dpsStr+$E70*dpsAgi+$G70*dpsCrit+$H70*dpsHit+$I70*dpsAP+$L70*dpsExp+$P70*dpsHaste+$Q70*dpsArmor+VLOOKUP($B70,TrinketStats,23,FALSE)</f>
        <v>381.15216877515627</v>
      </c>
    </row>
    <row r="71" spans="1:32">
      <c r="A71" s="612" t="s">
        <v>1939</v>
      </c>
      <c r="B71" s="618" t="s">
        <v>185</v>
      </c>
      <c r="C71" s="1154" t="str">
        <f>VLOOKUP($B71,TrinketStats,lookSource,FALSE)</f>
        <v>Heroic</v>
      </c>
      <c r="D71" s="613">
        <f>VLOOKUP($B71,TrinketStats,lookStr,FALSE)</f>
        <v>0</v>
      </c>
      <c r="E71" s="613">
        <f>VLOOKUP($B71,TrinketStats,lookAgi,FALSE)</f>
        <v>0</v>
      </c>
      <c r="F71" s="613">
        <f>VLOOKUP($B71,TrinketStats,lookSta,FALSE)</f>
        <v>0</v>
      </c>
      <c r="G71" s="614">
        <f>VLOOKUP($B71,TrinketStats,lookCrit,FALSE)</f>
        <v>0</v>
      </c>
      <c r="H71" s="614">
        <f>VLOOKUP($B71,TrinketStats,lookHit,FALSE)</f>
        <v>0</v>
      </c>
      <c r="I71" s="613">
        <f>VLOOKUP($B71,TrinketStats,lookAP,FALSE)</f>
        <v>72</v>
      </c>
      <c r="J71" s="615">
        <f>VLOOKUP($B71,TrinketStats,lookRes,FALSE)</f>
        <v>0</v>
      </c>
      <c r="K71" s="614">
        <f>VLOOKUP($B71,TrinketStats,lookDod,FALSE)</f>
        <v>0</v>
      </c>
      <c r="L71" s="615">
        <f>VLOOKUP($B71,TrinketStats,lookExp,FALSE)</f>
        <v>0</v>
      </c>
      <c r="M71" s="615">
        <f>VLOOKUP($B71,TrinketStats,lookDef,FALSE)</f>
        <v>0</v>
      </c>
      <c r="N71" s="1154"/>
      <c r="O71" s="615"/>
      <c r="P71" s="615">
        <f>VLOOKUP($B71,TrinketStats,lookHaste,FALSE)</f>
        <v>0</v>
      </c>
      <c r="Q71" s="615">
        <f>VLOOKUP($B71,TrinketStats,lookArmor,FALSE)</f>
        <v>0</v>
      </c>
      <c r="R71" s="615">
        <f>VLOOKUP($B71,TrinketStats,lookSoc,FALSE)</f>
        <v>0</v>
      </c>
      <c r="S71" s="615">
        <f>VLOOKUP($B71,TrinketStats,lookSet,FALSE)</f>
        <v>0</v>
      </c>
      <c r="U71" s="188"/>
      <c r="V71" s="108" t="s">
        <v>801</v>
      </c>
      <c r="W71" s="189"/>
      <c r="X71" s="189"/>
      <c r="Y71" s="189"/>
      <c r="Z71" s="1125"/>
      <c r="AA71" s="64" t="s">
        <v>684</v>
      </c>
      <c r="AB71" s="189"/>
      <c r="AC71" s="504" t="b">
        <v>1</v>
      </c>
      <c r="AD71" s="122"/>
      <c r="AE71" s="122"/>
      <c r="AF71" s="1343">
        <f>$D71*dpsStr+$E71*dpsAgi+$G71*dpsCrit+$H71*dpsHit+$I71*dpsAP+$L71*dpsExp+$P71*dpsHaste+$Q71*dpsArmor+VLOOKUP($B71,TrinketStats,23,FALSE)</f>
        <v>25.727761861571707</v>
      </c>
    </row>
    <row r="72" spans="1:32" ht="12.75" customHeight="1">
      <c r="A72" s="189"/>
      <c r="B72" s="16"/>
      <c r="C72" s="64"/>
      <c r="D72" s="19"/>
      <c r="E72" s="19"/>
      <c r="F72" s="19"/>
      <c r="G72" s="45"/>
      <c r="H72" s="45"/>
      <c r="I72" s="19"/>
      <c r="J72" s="19"/>
      <c r="K72" s="45"/>
      <c r="L72" s="64"/>
      <c r="M72" s="64"/>
      <c r="N72" s="64"/>
      <c r="O72" s="64"/>
      <c r="P72" s="46"/>
      <c r="Q72" s="46"/>
      <c r="R72" s="46"/>
      <c r="S72" s="46"/>
      <c r="U72" s="1130"/>
      <c r="V72" s="197" t="s">
        <v>802</v>
      </c>
      <c r="W72" s="189"/>
      <c r="X72" s="189"/>
      <c r="Y72" s="189" t="b">
        <v>0</v>
      </c>
      <c r="Z72" s="1125"/>
      <c r="AA72" s="197" t="s">
        <v>664</v>
      </c>
      <c r="AB72" s="189"/>
      <c r="AC72" s="190" t="b">
        <v>1</v>
      </c>
      <c r="AD72" s="122"/>
      <c r="AE72" s="122"/>
      <c r="AF72" s="1340"/>
    </row>
    <row r="73" spans="1:32" ht="12.75" customHeight="1">
      <c r="A73" s="189"/>
      <c r="B73" s="597" t="s">
        <v>1941</v>
      </c>
      <c r="C73" s="594"/>
      <c r="D73" s="595">
        <f>Sockfit!S48</f>
        <v>0</v>
      </c>
      <c r="E73" s="595">
        <f>Sockfit!T48</f>
        <v>8</v>
      </c>
      <c r="F73" s="595">
        <f>Sockfit!U48</f>
        <v>0</v>
      </c>
      <c r="G73" s="595">
        <f>Sockfit!V48</f>
        <v>0</v>
      </c>
      <c r="H73" s="595">
        <f>Sockfit!W48</f>
        <v>3</v>
      </c>
      <c r="I73" s="595">
        <f>Sockfit!X48</f>
        <v>0</v>
      </c>
      <c r="J73" s="595">
        <f>Sockfit!Z48</f>
        <v>0</v>
      </c>
      <c r="K73" s="595">
        <f>Sockfit!Y48</f>
        <v>0</v>
      </c>
      <c r="L73" s="595">
        <f>Sockfit!AA48</f>
        <v>0</v>
      </c>
      <c r="M73" s="595"/>
      <c r="N73" s="595"/>
      <c r="O73" s="595"/>
      <c r="P73" s="595">
        <f>Sockfit!AE48</f>
        <v>0</v>
      </c>
      <c r="Q73" s="595"/>
      <c r="R73" s="598">
        <f>IF(C13=TRUE,MID(R13,1,1))+IF(C14=TRUE,MID(R14,1,1))+IF(C15=TRUE,MID(R15,1,1))+IF(C19=TRUE,MID(R19,1,1))+IF(C20=TRUE,MID(R20,1,1))+IF(C21=TRUE,MID(R21,1,1))+IF(C23=TRUE,MID(R23,1,1))+IF(C24=TRUE,MID(R24,1,1))+IF(C25=TRUE,MID(R25,1,1))+IF(C29=TRUE,MID(R29,1,1))+IF(C30=TRUE,MID(R30,1,1))+IF(C31=TRUE,MID(R31,1,1))+IF(C33=TRUE,MID(R33,1,1))+IF(C34=TRUE,MID(R34,1,1))+IF(C37=TRUE,MID(R37,1,1))+IF(C38=TRUE,MID(R38,1,1))</f>
        <v>1</v>
      </c>
      <c r="S73" s="598">
        <f>IF(C41=TRUE,MID(R41,1,1))+IF(C44=TRUE,MID(R44,1,1))+IF(C45=TRUE,MID(R45,1,1))+IF(C46=TRUE,MID(R46,1,1))+IF(C49=TRUE,MID(R49,1,1))+IF(C52=TRUE,MID(R52,1,1))+IF(C53=TRUE,MID(R53,1,1))+IF(C55=TRUE,MID(R55,1,1))+IF(C56=TRUE,MID(R56,1,1))+IF(C59=TRUE,MID(R59,1,1))+IF(C60=TRUE,MID(R60,1,1))+IF(C61=TRUE,MID(R61,1,1))+IF(C64=TRUE,MID(R64,1,1))+IF(C65=TRUE,MID(R65,1,1))</f>
        <v>3</v>
      </c>
      <c r="U73" s="1130"/>
      <c r="V73" s="197" t="s">
        <v>803</v>
      </c>
      <c r="W73" s="189"/>
      <c r="X73" s="189"/>
      <c r="Y73" s="189" t="b">
        <v>1</v>
      </c>
      <c r="Z73" s="1125"/>
      <c r="AA73" s="197" t="s">
        <v>871</v>
      </c>
      <c r="AB73" s="189"/>
      <c r="AC73" s="190" t="b">
        <v>1</v>
      </c>
      <c r="AD73" s="122"/>
      <c r="AE73" s="122"/>
      <c r="AF73" s="1340"/>
    </row>
    <row r="74" spans="1:32">
      <c r="A74" s="189"/>
      <c r="B74" s="1143" t="s">
        <v>2466</v>
      </c>
      <c r="C74" s="1144"/>
      <c r="D74" s="1145">
        <f>VLOOKUP(B74,RacesStats,2,FALSE)</f>
        <v>95</v>
      </c>
      <c r="E74" s="1145">
        <f>VLOOKUP(B74,RacesStats,3,FALSE)</f>
        <v>158</v>
      </c>
      <c r="F74" s="1145">
        <f>VLOOKUP(B74,RacesStats,4,FALSE)</f>
        <v>89</v>
      </c>
      <c r="G74" s="1146">
        <f>VLOOKUP(B74,RacesStats,5,FALSE)</f>
        <v>0</v>
      </c>
      <c r="H74" s="1146">
        <f>VLOOKUP(B74,RacesStats,6,FALSE)</f>
        <v>0</v>
      </c>
      <c r="I74" s="1145">
        <f>VLOOKUP(B74,RacesStats,7,FALSE)</f>
        <v>0</v>
      </c>
      <c r="J74" s="1145"/>
      <c r="K74" s="1146">
        <f>VLOOKUP(B74,RacesStats,8,FALSE)</f>
        <v>0</v>
      </c>
      <c r="L74" s="1147">
        <f>VLOOKUP(B74,RacesStats,9,FALSE)</f>
        <v>0</v>
      </c>
      <c r="M74" s="1147"/>
      <c r="N74" s="1147"/>
      <c r="O74" s="1147"/>
      <c r="P74" s="1147">
        <f>VLOOKUP(B74,RacesStats,13,FALSE)</f>
        <v>0</v>
      </c>
      <c r="Q74" s="1147"/>
      <c r="R74" s="1148">
        <f>IF(C13=TRUE,MID(R13,3,1))+IF(C14=TRUE,MID(R14,3,1))+IF(C15=TRUE,MID(R15,3,1))+IF(C19=TRUE,MID(R19,3,1))+IF(C20=TRUE,MID(R20,3,1))+IF(C21=TRUE,MID(R21,3,1))+IF(C23=TRUE,MID(R23,3,1))+IF(C24=TRUE,MID(R24,3,1))+IF(C25=TRUE,MID(R25,3,1))+IF(C29=TRUE,MID(R29,3,1))+IF(C30=TRUE,MID(R30,3,1))+IF(C31=TRUE,MID(R31,3,1))+IF(C33=TRUE,MID(R33,3,1))+IF(C34=TRUE,MID(R34,3,1))+IF(C37=TRUE,MID(R37,3,1))+IF(C38=TRUE,MID(R38,3,1))</f>
        <v>1</v>
      </c>
      <c r="S74" s="1148">
        <f>IF(C41=TRUE,MID(R41,3,1))+IF(C44=TRUE,MID(R44,3,1))+IF(C45=TRUE,MID(R45,3,1))+IF(C46=TRUE,MID(R46,3,1))+IF(C49=TRUE,MID(R49,3,1))+IF(C52=TRUE,MID(R52,3,1))+IF(C53=TRUE,MID(R53,3,1))+IF(C55=TRUE,MID(R55,3,1))+IF(C56=TRUE,MID(R56,3,1))+IF(C59=TRUE,MID(R59,3,1))+IF(C60=TRUE,MID(R60,3,1))+IF(C61=TRUE,MID(R61,3,1))+IF(C64=TRUE,MID(R64,3,1))+IF(C65=TRUE,MID(R65,3,1))</f>
        <v>1</v>
      </c>
      <c r="U74" s="1130"/>
      <c r="V74" s="197" t="s">
        <v>804</v>
      </c>
      <c r="W74" s="189"/>
      <c r="X74" s="189"/>
      <c r="Y74" s="189" t="b">
        <v>0</v>
      </c>
      <c r="Z74" s="1125"/>
      <c r="AA74" s="27" t="s">
        <v>2797</v>
      </c>
      <c r="AB74" s="189"/>
      <c r="AC74" s="190" t="b">
        <v>1</v>
      </c>
      <c r="AD74" s="1342"/>
      <c r="AE74" s="1342"/>
      <c r="AF74" s="1342"/>
    </row>
    <row r="75" spans="1:32" ht="13.5" thickBot="1">
      <c r="A75" s="189"/>
      <c r="B75" s="593" t="s">
        <v>1898</v>
      </c>
      <c r="C75" s="594"/>
      <c r="D75" s="595"/>
      <c r="E75" s="595"/>
      <c r="F75" s="595"/>
      <c r="G75" s="596">
        <f>(Talents!C16/100+IF(mhtype="dagger",Talents!F24/100,0)+IF(mhtype="fist",Talents!F29/100,0))*crrate*100</f>
        <v>110.38461538461539</v>
      </c>
      <c r="H75" s="596">
        <f>Talents!F19/100*HitRate*100</f>
        <v>78.84615384615384</v>
      </c>
      <c r="I75" s="595"/>
      <c r="J75" s="595"/>
      <c r="K75" s="596">
        <f>Talents!F16*dorate</f>
        <v>0</v>
      </c>
      <c r="L75" s="596">
        <f>Talents!$F31*5*skillrate</f>
        <v>39.42307692307692</v>
      </c>
      <c r="M75" s="596"/>
      <c r="N75" s="596"/>
      <c r="O75" s="596"/>
      <c r="P75" s="596"/>
      <c r="Q75" s="596"/>
      <c r="R75" s="598">
        <f>IF(C13=TRUE,MID(R13,5,1))+IF(C14=TRUE,MID(R14,5,1))+IF(C15=TRUE,MID(R15,5,1))+IF(C19=TRUE,MID(R19,5,1))+IF(C20=TRUE,MID(R20,5,1))+IF(C21=TRUE,MID(R21,5,1))+IF(C23=TRUE,MID(R23,5,1))+IF(C24=TRUE,MID(R24,5,1))+IF(C25=TRUE,MID(R25,5,1))+IF(C29=TRUE,MID(R29,5,1))+IF(C30=TRUE,MID(R30,5,1))+IF(C31=TRUE,MID(R31,5,1))+IF(C33=TRUE,MID(R33,5,1))+IF(C34=TRUE,MID(R34,5,1))+IF(C37=TRUE,MID(R37,5,1))+IF(C38=TRUE,MID(R38,5,1))</f>
        <v>2</v>
      </c>
      <c r="S75" s="598">
        <f>IF(C41=TRUE,MID(R41,5,1))+IF(C44=TRUE,MID(R44,5,1))+IF(C45=TRUE,MID(R45,5,1))+IF(C46=TRUE,MID(R46,5,1))+IF(C49=TRUE,MID(R49,5,1))+IF(C52=TRUE,MID(R52,5,1))+IF(C53=TRUE,MID(R53,5,1))+IF(C55=TRUE,MID(R55,5,1))+IF(C56=TRUE,MID(R56,5,1))+IF(C59=TRUE,MID(R59,5,1))+IF(C60=TRUE,MID(R60,5,1))+IF(C61=TRUE,MID(R61,5,1))+IF(C64=TRUE,MID(R64,5,1))+IF(C65=TRUE,MID(R65,5,1))</f>
        <v>10</v>
      </c>
      <c r="U75" s="192"/>
      <c r="V75" s="163"/>
      <c r="W75" s="163"/>
      <c r="X75" s="163"/>
      <c r="Y75" s="163"/>
      <c r="Z75" s="163"/>
      <c r="AA75" s="163"/>
      <c r="AB75" s="163"/>
      <c r="AC75" s="193"/>
      <c r="AD75" s="1342"/>
      <c r="AE75" s="1342"/>
      <c r="AF75" s="1342"/>
    </row>
    <row r="76" spans="1:32">
      <c r="C76" s="48"/>
      <c r="G76" s="49"/>
      <c r="H76" s="49"/>
      <c r="K76" s="49"/>
      <c r="U76" s="189"/>
      <c r="V76" s="189"/>
      <c r="W76" s="189"/>
      <c r="X76" s="189"/>
      <c r="Y76" s="189"/>
      <c r="Z76" s="189"/>
      <c r="AA76" s="189"/>
      <c r="AB76" s="228"/>
      <c r="AC76" s="228"/>
      <c r="AD76" s="1342"/>
      <c r="AE76" s="1342"/>
      <c r="AF76" s="1342"/>
    </row>
    <row r="77" spans="1:32" ht="13.5" thickBot="1">
      <c r="A77" s="282">
        <v>1</v>
      </c>
      <c r="C77" s="48"/>
      <c r="G77" s="49"/>
      <c r="H77" s="49"/>
      <c r="K77" s="49"/>
      <c r="R77" s="205" t="s">
        <v>275</v>
      </c>
      <c r="T77" s="31"/>
      <c r="U77" s="189"/>
      <c r="V77" s="189"/>
      <c r="W77" s="189"/>
      <c r="X77" s="189"/>
      <c r="Y77" s="189"/>
      <c r="Z77" s="189"/>
      <c r="AA77" s="189"/>
      <c r="AB77" s="228"/>
      <c r="AC77" s="228"/>
      <c r="AD77" s="1342"/>
      <c r="AE77" s="1342"/>
      <c r="AF77" s="1342"/>
    </row>
    <row r="78" spans="1:32" ht="13.5" thickBot="1">
      <c r="B78" s="1416" t="s">
        <v>1942</v>
      </c>
      <c r="C78" s="1417"/>
      <c r="D78" s="1149">
        <f>SUM(D10:D76)</f>
        <v>101</v>
      </c>
      <c r="E78" s="1149">
        <f>(SUM(E10:E76)+IF(time=0,0,'Cooldowns Calc'!Y1))*(1+Talents!F33/100)*(1+Talents!I36*3/100)</f>
        <v>675.15470163644818</v>
      </c>
      <c r="F78" s="1149">
        <f>(SUM(F10:F76))*(1+Talents!F33/50)</f>
        <v>431.6</v>
      </c>
      <c r="G78" s="1149">
        <f>SUM(G10:G76)</f>
        <v>159.38461538461539</v>
      </c>
      <c r="H78" s="1149">
        <f>SUM(H10:H76)+Y34</f>
        <v>420.84615384615381</v>
      </c>
      <c r="I78" s="1149">
        <f>(SUM(I10:I76)+E78+D78+120+Y33+Y35+IF(time=0,0,'Cooldowns Calc'!Z1))*deadliness</f>
        <v>1792.3120007357772</v>
      </c>
      <c r="J78" s="1149">
        <f>SUM(J10:J76)+Y28+Y29</f>
        <v>0</v>
      </c>
      <c r="K78" s="1149">
        <f>SUM(K10:K76)+Y32</f>
        <v>0</v>
      </c>
      <c r="L78" s="1149">
        <f>SUM(L10:L76)</f>
        <v>53.42307692307692</v>
      </c>
      <c r="M78" s="1149">
        <f>SUM(M10:M76)</f>
        <v>0</v>
      </c>
      <c r="N78" s="1149"/>
      <c r="O78" s="1149"/>
      <c r="P78" s="1149">
        <f>SUM(P10:P76)</f>
        <v>127.49804426656831</v>
      </c>
      <c r="Q78" s="1149">
        <f>SUM(Q10:Q76)</f>
        <v>0</v>
      </c>
      <c r="R78" s="1150" t="str">
        <f>R73+S73&amp;" "&amp;R74+S74&amp;" "&amp;R75+S75</f>
        <v>4 2 12</v>
      </c>
      <c r="S78" s="50"/>
      <c r="T78" s="31"/>
      <c r="U78" s="189"/>
      <c r="V78" s="189"/>
      <c r="W78" s="189"/>
      <c r="X78" s="189"/>
      <c r="Y78" s="189"/>
      <c r="Z78" s="189"/>
      <c r="AA78" s="189"/>
      <c r="AB78" s="189"/>
      <c r="AC78" s="189"/>
      <c r="AD78" s="1342"/>
      <c r="AE78" s="1342"/>
      <c r="AF78" s="1342"/>
    </row>
    <row r="79" spans="1:32" ht="13.5" thickBot="1">
      <c r="A79" s="619" t="s">
        <v>1943</v>
      </c>
      <c r="B79" s="647"/>
      <c r="C79" s="648" t="s">
        <v>1944</v>
      </c>
      <c r="D79" s="648" t="s">
        <v>1214</v>
      </c>
      <c r="E79" s="648" t="s">
        <v>1215</v>
      </c>
      <c r="F79" s="648" t="s">
        <v>1216</v>
      </c>
      <c r="G79" s="648" t="s">
        <v>2140</v>
      </c>
      <c r="H79" s="648" t="s">
        <v>2139</v>
      </c>
      <c r="I79" s="648" t="s">
        <v>768</v>
      </c>
      <c r="J79" s="648" t="s">
        <v>1217</v>
      </c>
      <c r="K79" s="648" t="s">
        <v>2144</v>
      </c>
      <c r="L79" s="648" t="s">
        <v>1582</v>
      </c>
      <c r="M79" s="648" t="s">
        <v>2166</v>
      </c>
      <c r="N79" s="648"/>
      <c r="O79" s="648"/>
      <c r="P79" s="648" t="s">
        <v>771</v>
      </c>
      <c r="Q79" s="649" t="s">
        <v>770</v>
      </c>
      <c r="R79" s="50"/>
      <c r="S79" s="50"/>
      <c r="T79" s="31"/>
      <c r="U79" s="189"/>
      <c r="V79" s="189"/>
      <c r="W79" s="189"/>
      <c r="X79" s="189"/>
      <c r="Y79" s="189"/>
      <c r="Z79" s="189"/>
      <c r="AA79" s="189"/>
      <c r="AB79" s="189"/>
      <c r="AC79" s="189"/>
      <c r="AD79" s="1342"/>
      <c r="AE79" s="1342"/>
      <c r="AF79" s="20"/>
    </row>
    <row r="80" spans="1:32">
      <c r="A80" s="630" t="s">
        <v>1945</v>
      </c>
      <c r="B80" s="164">
        <v>5</v>
      </c>
      <c r="C80" s="52"/>
      <c r="D80" s="15"/>
      <c r="E80" s="15"/>
      <c r="F80" s="15"/>
      <c r="G80" s="15"/>
      <c r="H80" s="15"/>
      <c r="I80" s="15"/>
      <c r="J80" s="15"/>
      <c r="K80" s="15"/>
      <c r="L80" s="15"/>
      <c r="M80" s="15"/>
      <c r="N80" s="15"/>
      <c r="O80" s="15"/>
      <c r="P80" s="15"/>
      <c r="Q80" s="23">
        <f>IF(Talents!O36="No",IF((B93*410*(1+25%*C93))&gt;B80*520,0,B80*520),0)</f>
        <v>2600</v>
      </c>
      <c r="R80" s="50"/>
      <c r="S80" s="50"/>
      <c r="T80" s="31"/>
      <c r="V80" s="189"/>
      <c r="W80" s="189"/>
      <c r="X80" s="189"/>
      <c r="Y80" s="189"/>
      <c r="Z80" s="189"/>
      <c r="AA80" s="189"/>
      <c r="AB80" s="189"/>
      <c r="AC80" s="189"/>
      <c r="AD80" s="1342"/>
      <c r="AE80" s="1342"/>
      <c r="AF80" s="20"/>
    </row>
    <row r="81" spans="1:32">
      <c r="A81" s="629" t="s">
        <v>1946</v>
      </c>
      <c r="B81" s="164">
        <v>1</v>
      </c>
      <c r="C81" s="53">
        <v>0</v>
      </c>
      <c r="D81" s="15"/>
      <c r="E81" s="15"/>
      <c r="F81" s="15"/>
      <c r="G81" s="15"/>
      <c r="H81" s="49">
        <f>IF(Talents!O36="No",IF(B81=1,C81*HitRate,0),0)</f>
        <v>0</v>
      </c>
      <c r="I81" s="15"/>
      <c r="J81" s="15"/>
      <c r="K81" s="15"/>
      <c r="L81" s="15"/>
      <c r="M81" s="15"/>
      <c r="N81" s="15"/>
      <c r="O81" s="15"/>
      <c r="P81" s="15"/>
      <c r="Q81" s="23">
        <f>IF(Talents!O36="No",B81*610,0)</f>
        <v>610</v>
      </c>
      <c r="R81" s="50"/>
      <c r="S81" s="50"/>
      <c r="T81" s="31"/>
      <c r="U81" s="189"/>
      <c r="V81" s="189"/>
      <c r="W81" s="189"/>
      <c r="X81" s="189"/>
      <c r="Y81" s="189"/>
      <c r="Z81" s="189"/>
      <c r="AA81" s="189"/>
      <c r="AB81" s="189"/>
      <c r="AC81" s="189"/>
      <c r="AD81" s="20"/>
      <c r="AE81" s="20"/>
      <c r="AF81" s="20"/>
    </row>
    <row r="82" spans="1:32">
      <c r="A82" s="631" t="s">
        <v>1947</v>
      </c>
      <c r="B82" s="164">
        <v>1</v>
      </c>
      <c r="C82" s="52"/>
      <c r="D82" s="15"/>
      <c r="E82" s="15"/>
      <c r="F82" s="15"/>
      <c r="G82" s="15"/>
      <c r="H82" s="15"/>
      <c r="I82" s="15"/>
      <c r="J82" s="15"/>
      <c r="K82" s="15"/>
      <c r="L82" s="15"/>
      <c r="M82" s="15"/>
      <c r="N82" s="15"/>
      <c r="O82" s="15"/>
      <c r="P82" s="15"/>
      <c r="Q82" s="23">
        <f>IF(Talents!O36="No",B82*800,0)</f>
        <v>800</v>
      </c>
      <c r="R82" s="50"/>
      <c r="S82" s="50"/>
      <c r="T82" s="31"/>
      <c r="U82" s="189"/>
      <c r="V82" s="189"/>
      <c r="W82" s="189"/>
      <c r="X82" s="189"/>
      <c r="Y82" s="21"/>
      <c r="Z82" s="21"/>
      <c r="AA82" s="21"/>
      <c r="AB82" s="21"/>
      <c r="AC82" s="21"/>
      <c r="AD82" s="20"/>
      <c r="AE82" s="20"/>
      <c r="AF82" s="20"/>
    </row>
    <row r="83" spans="1:32">
      <c r="A83" s="628" t="s">
        <v>558</v>
      </c>
      <c r="B83" s="164">
        <v>1</v>
      </c>
      <c r="C83" s="57">
        <v>2</v>
      </c>
      <c r="D83" s="15"/>
      <c r="E83" s="15"/>
      <c r="F83" s="15"/>
      <c r="G83" s="15"/>
      <c r="H83" s="15"/>
      <c r="I83" s="15"/>
      <c r="J83" s="15"/>
      <c r="K83" s="15"/>
      <c r="L83" s="15"/>
      <c r="M83" s="15"/>
      <c r="N83" s="15"/>
      <c r="O83" s="15"/>
      <c r="P83" s="15"/>
      <c r="Q83" s="15"/>
      <c r="R83" s="50"/>
      <c r="S83" s="50"/>
      <c r="T83" s="31"/>
      <c r="U83" s="23"/>
      <c r="V83" s="23"/>
      <c r="W83" s="23"/>
      <c r="X83" s="23"/>
      <c r="Y83" s="23"/>
      <c r="Z83" s="23"/>
      <c r="AA83" s="23"/>
      <c r="AB83" s="23"/>
      <c r="AC83" s="23"/>
      <c r="AD83" s="20"/>
      <c r="AE83" s="20"/>
      <c r="AF83" s="20"/>
    </row>
    <row r="84" spans="1:32">
      <c r="A84" s="629" t="s">
        <v>1948</v>
      </c>
      <c r="B84" s="164">
        <v>0</v>
      </c>
      <c r="C84" s="52"/>
      <c r="D84" s="15"/>
      <c r="E84" s="15"/>
      <c r="F84" s="15"/>
      <c r="G84" s="15"/>
      <c r="H84" s="15"/>
      <c r="I84" s="15"/>
      <c r="J84" s="15"/>
      <c r="K84" s="15"/>
      <c r="L84" s="15"/>
      <c r="M84" s="15"/>
      <c r="N84" s="15"/>
      <c r="O84" s="15"/>
      <c r="P84" s="15"/>
      <c r="Q84" s="23"/>
      <c r="R84" s="50"/>
      <c r="S84" s="50"/>
      <c r="T84" s="31"/>
      <c r="U84" s="23"/>
      <c r="V84" s="23"/>
      <c r="W84" s="23"/>
      <c r="X84" s="23"/>
      <c r="Y84" s="23"/>
      <c r="Z84" s="23"/>
      <c r="AA84" s="23"/>
      <c r="AB84" s="23"/>
      <c r="AC84" s="23"/>
      <c r="AD84" s="20"/>
      <c r="AE84" s="20"/>
      <c r="AF84" s="20"/>
    </row>
    <row r="85" spans="1:32">
      <c r="A85" s="631" t="s">
        <v>1949</v>
      </c>
      <c r="B85" s="164">
        <v>1</v>
      </c>
      <c r="C85" s="53"/>
      <c r="D85" s="15"/>
      <c r="E85" s="15"/>
      <c r="F85" s="15"/>
      <c r="G85" s="15"/>
      <c r="H85" s="15"/>
      <c r="I85" s="15"/>
      <c r="J85" s="15"/>
      <c r="K85" s="15"/>
      <c r="L85" s="15"/>
      <c r="M85" s="15"/>
      <c r="N85" s="15"/>
      <c r="O85" s="15"/>
      <c r="P85" s="15"/>
      <c r="Q85" s="23"/>
      <c r="R85" s="50"/>
      <c r="S85" s="50"/>
      <c r="T85" s="31"/>
      <c r="U85" s="23"/>
      <c r="V85" s="23"/>
      <c r="W85" s="23"/>
      <c r="X85" s="23"/>
      <c r="Y85" s="23"/>
      <c r="Z85" s="23"/>
      <c r="AA85" s="23"/>
      <c r="AB85" s="23"/>
      <c r="AC85" s="23"/>
      <c r="AD85" s="20"/>
      <c r="AE85" s="20"/>
      <c r="AF85" s="20"/>
    </row>
    <row r="86" spans="1:32">
      <c r="A86" s="632" t="s">
        <v>2884</v>
      </c>
      <c r="B86" s="164">
        <v>0</v>
      </c>
      <c r="C86" s="53">
        <v>3</v>
      </c>
      <c r="D86" s="15"/>
      <c r="E86" s="15"/>
      <c r="F86" s="15"/>
      <c r="G86" s="15">
        <f>IF(Talents!O36="No",IF(B86,C86*crrate,0),0)</f>
        <v>0</v>
      </c>
      <c r="H86" s="15"/>
      <c r="I86" s="15"/>
      <c r="J86" s="15"/>
      <c r="K86" s="15"/>
      <c r="L86" s="15"/>
      <c r="M86" s="15"/>
      <c r="N86" s="15"/>
      <c r="O86" s="15"/>
      <c r="P86" s="15"/>
      <c r="Q86" s="23"/>
      <c r="R86" s="50"/>
      <c r="S86" s="50"/>
      <c r="T86" s="31"/>
      <c r="U86" s="23"/>
      <c r="V86" s="23"/>
      <c r="W86" s="23"/>
      <c r="X86" s="23"/>
      <c r="Y86" s="23"/>
      <c r="Z86" s="23"/>
      <c r="AA86" s="23"/>
      <c r="AB86" s="23"/>
      <c r="AC86" s="23"/>
      <c r="AD86" s="20"/>
      <c r="AE86" s="20"/>
      <c r="AF86" s="1340"/>
    </row>
    <row r="87" spans="1:32">
      <c r="A87" s="167" t="s">
        <v>1950</v>
      </c>
      <c r="B87" s="164">
        <v>1</v>
      </c>
      <c r="C87" s="53"/>
      <c r="D87" s="15"/>
      <c r="E87" s="15"/>
      <c r="F87" s="15"/>
      <c r="G87" s="15"/>
      <c r="H87" s="15"/>
      <c r="I87" s="15"/>
      <c r="J87" s="15"/>
      <c r="K87" s="15"/>
      <c r="L87" s="15"/>
      <c r="M87" s="15"/>
      <c r="N87" s="15"/>
      <c r="O87" s="15"/>
      <c r="P87" s="15"/>
      <c r="Q87" s="23"/>
      <c r="R87" s="50"/>
      <c r="S87" s="50"/>
      <c r="T87" s="31"/>
      <c r="U87" s="23"/>
      <c r="V87" s="23"/>
      <c r="W87" s="23"/>
      <c r="X87" s="23"/>
      <c r="Y87" s="23"/>
      <c r="Z87" s="23"/>
      <c r="AA87" s="23"/>
      <c r="AB87" s="23"/>
      <c r="AC87" s="23"/>
      <c r="AD87" s="20"/>
      <c r="AE87" s="20"/>
      <c r="AF87" s="20"/>
    </row>
    <row r="88" spans="1:32">
      <c r="A88" s="167" t="s">
        <v>1951</v>
      </c>
      <c r="B88" s="164">
        <v>1</v>
      </c>
      <c r="C88" s="53">
        <v>5</v>
      </c>
      <c r="D88" s="15"/>
      <c r="E88" s="15"/>
      <c r="F88" s="15"/>
      <c r="G88" s="15"/>
      <c r="H88" s="15"/>
      <c r="I88" s="15"/>
      <c r="J88" s="15"/>
      <c r="K88" s="15"/>
      <c r="L88" s="15"/>
      <c r="M88" s="15"/>
      <c r="N88" s="15"/>
      <c r="O88" s="15"/>
      <c r="P88" s="15"/>
      <c r="Q88" s="23"/>
      <c r="R88" s="50"/>
      <c r="S88" s="50"/>
      <c r="T88" s="31"/>
      <c r="U88" s="23"/>
      <c r="V88" s="23"/>
      <c r="W88" s="23"/>
      <c r="X88" s="23"/>
      <c r="Y88" s="23"/>
      <c r="Z88" s="23"/>
      <c r="AA88" s="23"/>
      <c r="AB88" s="23"/>
      <c r="AC88" s="23"/>
      <c r="AD88" s="20"/>
      <c r="AE88" s="20"/>
      <c r="AF88" s="20"/>
    </row>
    <row r="89" spans="1:32">
      <c r="A89" s="633" t="s">
        <v>2885</v>
      </c>
      <c r="B89" s="164">
        <v>1</v>
      </c>
      <c r="C89" s="57">
        <v>2</v>
      </c>
      <c r="D89" s="58"/>
      <c r="E89" s="49"/>
      <c r="F89" s="49"/>
      <c r="G89" s="49"/>
      <c r="H89" s="49"/>
      <c r="I89" s="59">
        <f>IF(Talents!O36="No",B89*(22*C89),0)</f>
        <v>44</v>
      </c>
      <c r="J89" s="49"/>
      <c r="U89" s="23"/>
      <c r="V89" s="23"/>
      <c r="W89" s="23"/>
      <c r="X89" s="23"/>
      <c r="Y89" s="23"/>
      <c r="Z89" s="23"/>
      <c r="AA89" s="23"/>
      <c r="AB89" s="23"/>
      <c r="AC89" s="23"/>
      <c r="AD89" s="20"/>
      <c r="AE89" s="20"/>
      <c r="AF89" s="1340"/>
    </row>
    <row r="90" spans="1:32">
      <c r="A90" s="633" t="s">
        <v>542</v>
      </c>
      <c r="B90" s="165" t="s">
        <v>2883</v>
      </c>
      <c r="C90" s="31">
        <v>3</v>
      </c>
      <c r="D90" s="58"/>
      <c r="E90" s="49"/>
      <c r="F90" s="49"/>
      <c r="G90" s="49"/>
      <c r="H90" s="49"/>
      <c r="I90" s="49">
        <f>IF(Talents!O36="No",IF(ISTEXT(B90),0,B90*25%*90%*C90/3),0)</f>
        <v>0</v>
      </c>
      <c r="S90" s="46"/>
      <c r="T90" s="31"/>
      <c r="U90" s="23"/>
      <c r="V90" s="23"/>
      <c r="X90" s="23"/>
      <c r="Y90" s="23"/>
      <c r="Z90" s="23"/>
      <c r="AA90" s="23"/>
      <c r="AB90" s="23"/>
      <c r="AC90" s="23"/>
      <c r="AD90" s="1340"/>
      <c r="AE90" s="1340"/>
      <c r="AF90" s="1340"/>
    </row>
    <row r="91" spans="1:32">
      <c r="A91" s="608" t="s">
        <v>781</v>
      </c>
      <c r="B91" s="164">
        <v>0</v>
      </c>
      <c r="C91" s="166"/>
      <c r="D91" s="15"/>
      <c r="E91" s="15"/>
      <c r="F91" s="15"/>
      <c r="G91" s="15"/>
      <c r="H91" s="15"/>
      <c r="I91" s="15"/>
      <c r="J91" s="15"/>
      <c r="K91" s="15"/>
      <c r="L91" s="15"/>
      <c r="M91" s="15"/>
      <c r="N91" s="15"/>
      <c r="O91" s="15"/>
      <c r="P91" s="15"/>
      <c r="Q91" s="23"/>
      <c r="R91" s="50"/>
      <c r="S91" s="50"/>
      <c r="T91" s="31"/>
      <c r="U91" s="23"/>
      <c r="V91" s="23"/>
      <c r="W91" s="23"/>
      <c r="X91" s="23"/>
      <c r="Y91" s="23"/>
      <c r="Z91" s="23"/>
      <c r="AA91" s="23"/>
      <c r="AB91" s="23"/>
      <c r="AC91" s="23"/>
      <c r="AD91" s="20"/>
      <c r="AE91" s="20"/>
      <c r="AF91" s="1340"/>
    </row>
    <row r="92" spans="1:32">
      <c r="A92" s="884" t="s">
        <v>3102</v>
      </c>
      <c r="B92" s="885">
        <v>0</v>
      </c>
      <c r="C92" s="166">
        <v>10</v>
      </c>
      <c r="D92" s="189"/>
      <c r="E92" s="189"/>
      <c r="F92" s="189"/>
      <c r="G92" s="189"/>
      <c r="H92" s="189"/>
      <c r="I92" s="189"/>
      <c r="J92" s="189"/>
      <c r="K92" s="189"/>
      <c r="L92" s="189"/>
      <c r="M92" s="189"/>
      <c r="N92" s="189"/>
      <c r="O92" s="189"/>
      <c r="P92" s="189"/>
      <c r="Q92" s="21"/>
      <c r="R92" s="50"/>
      <c r="S92" s="50"/>
      <c r="T92" s="31"/>
      <c r="U92" s="23"/>
      <c r="V92" s="23"/>
      <c r="W92" s="199"/>
      <c r="X92" s="23"/>
      <c r="Y92" s="23"/>
      <c r="Z92" s="23"/>
      <c r="AA92" s="23"/>
      <c r="AB92" s="23"/>
      <c r="AC92" s="23"/>
      <c r="AD92" s="20"/>
      <c r="AE92" s="20"/>
      <c r="AF92" s="1340"/>
    </row>
    <row r="93" spans="1:32">
      <c r="A93" s="884" t="s">
        <v>623</v>
      </c>
      <c r="B93" s="885">
        <v>0</v>
      </c>
      <c r="C93" s="57">
        <v>2</v>
      </c>
      <c r="D93" s="189"/>
      <c r="E93" s="189"/>
      <c r="F93" s="189"/>
      <c r="G93" s="189"/>
      <c r="H93" s="189"/>
      <c r="I93" s="189"/>
      <c r="J93" s="189"/>
      <c r="K93" s="189"/>
      <c r="L93" s="189"/>
      <c r="M93" s="189"/>
      <c r="N93" s="189"/>
      <c r="O93" s="189"/>
      <c r="P93" s="189"/>
      <c r="Q93" s="21">
        <f>IF(Talents!O36="No",IF((B93*410*(1+25%*C93))&lt;B80*520,0,B93*410*(1+25%*C93)),0)</f>
        <v>0</v>
      </c>
      <c r="R93" s="50"/>
      <c r="S93" s="50"/>
      <c r="T93" s="31"/>
      <c r="AD93" s="1340"/>
      <c r="AE93" s="1340"/>
      <c r="AF93" s="1340"/>
    </row>
    <row r="94" spans="1:32" ht="13.5" thickBot="1">
      <c r="A94" s="883"/>
      <c r="B94" s="164"/>
      <c r="C94" s="27"/>
      <c r="D94" s="163"/>
      <c r="E94" s="15"/>
      <c r="F94" s="15"/>
      <c r="G94" s="15"/>
      <c r="H94" s="15"/>
      <c r="I94" s="15"/>
      <c r="J94" s="15"/>
      <c r="K94" s="15"/>
      <c r="L94" s="15"/>
      <c r="M94" s="15"/>
      <c r="N94" s="15"/>
      <c r="O94" s="15"/>
      <c r="P94" s="15"/>
      <c r="Q94" s="15"/>
      <c r="R94" s="50"/>
      <c r="S94" s="50"/>
      <c r="T94" s="31"/>
      <c r="AD94" s="1340"/>
      <c r="AE94" s="1340"/>
      <c r="AF94" s="1340"/>
    </row>
    <row r="95" spans="1:32" ht="13.5" thickBot="1">
      <c r="A95" s="622" t="s">
        <v>1952</v>
      </c>
      <c r="B95" s="623"/>
      <c r="C95" s="624"/>
      <c r="D95" s="620" t="s">
        <v>1214</v>
      </c>
      <c r="E95" s="620" t="s">
        <v>1215</v>
      </c>
      <c r="F95" s="620" t="s">
        <v>1216</v>
      </c>
      <c r="G95" s="620" t="s">
        <v>2140</v>
      </c>
      <c r="H95" s="620" t="s">
        <v>2139</v>
      </c>
      <c r="I95" s="620" t="s">
        <v>768</v>
      </c>
      <c r="J95" s="620" t="s">
        <v>1217</v>
      </c>
      <c r="K95" s="620" t="s">
        <v>2144</v>
      </c>
      <c r="L95" s="620" t="s">
        <v>1582</v>
      </c>
      <c r="M95" s="620" t="s">
        <v>2166</v>
      </c>
      <c r="N95" s="620"/>
      <c r="O95" s="620"/>
      <c r="P95" s="620" t="s">
        <v>771</v>
      </c>
      <c r="Q95" s="621" t="s">
        <v>770</v>
      </c>
      <c r="R95" s="46"/>
      <c r="S95" s="46"/>
      <c r="T95" s="56"/>
      <c r="V95" s="27"/>
      <c r="W95" s="27"/>
      <c r="X95" s="27"/>
      <c r="AD95" s="1340"/>
      <c r="AE95" s="1340"/>
      <c r="AF95" s="1340"/>
    </row>
    <row r="96" spans="1:32">
      <c r="A96" s="30" t="s">
        <v>1954</v>
      </c>
      <c r="B96" s="164">
        <v>1</v>
      </c>
      <c r="C96" s="57">
        <v>2</v>
      </c>
      <c r="D96" s="58"/>
      <c r="E96" s="49"/>
      <c r="F96" s="49">
        <f>IF(Talents!O36="No",B96*79*(1+C96*0.15),0)</f>
        <v>102.7</v>
      </c>
      <c r="G96" s="49"/>
      <c r="H96" s="49"/>
      <c r="I96" s="49"/>
      <c r="J96" s="49"/>
      <c r="L96"/>
      <c r="M96"/>
      <c r="N96"/>
      <c r="O96"/>
      <c r="P96" s="46"/>
      <c r="Q96" s="46"/>
      <c r="R96" s="46"/>
      <c r="S96" s="46"/>
      <c r="AD96" s="1340"/>
      <c r="AE96" s="1340"/>
      <c r="AF96" s="1340"/>
    </row>
    <row r="97" spans="1:32">
      <c r="A97" s="629" t="s">
        <v>554</v>
      </c>
      <c r="B97" s="164">
        <v>1</v>
      </c>
      <c r="C97" s="57">
        <v>5</v>
      </c>
      <c r="D97" s="58">
        <f>IF(Talents!O36="No",B97*14*(1+$C97*0.07),0)</f>
        <v>18.900000000000002</v>
      </c>
      <c r="E97" s="49">
        <f>IF(Talents!O36="No",B97*14*(1+$C97*0.07),0)</f>
        <v>18.900000000000002</v>
      </c>
      <c r="F97" s="49">
        <f>IF(Talents!O36="No",B97*14*(1+$C97*0.07),0)</f>
        <v>18.900000000000002</v>
      </c>
      <c r="G97" s="49"/>
      <c r="H97" s="49"/>
      <c r="I97" s="49"/>
      <c r="J97" s="49"/>
      <c r="L97" s="46"/>
      <c r="M97" s="46"/>
      <c r="N97" s="46"/>
      <c r="O97" s="46"/>
      <c r="P97" s="46"/>
      <c r="Q97" s="46"/>
      <c r="R97" s="46"/>
      <c r="S97" s="46"/>
      <c r="AD97" s="1340"/>
      <c r="AE97" s="1340"/>
      <c r="AF97" s="1340"/>
    </row>
    <row r="98" spans="1:32">
      <c r="A98" s="629" t="s">
        <v>557</v>
      </c>
      <c r="B98" s="164">
        <v>0</v>
      </c>
      <c r="C98" s="57"/>
      <c r="D98" s="58"/>
      <c r="E98" s="49"/>
      <c r="F98" s="49"/>
      <c r="G98" s="49">
        <f>IF(Talents!O36="No",B98*5*crrate,0)</f>
        <v>0</v>
      </c>
      <c r="H98" s="49"/>
      <c r="I98" s="49"/>
      <c r="AD98" s="1340"/>
      <c r="AE98" s="1340"/>
      <c r="AF98" s="1340"/>
    </row>
    <row r="99" spans="1:32">
      <c r="A99" s="628" t="s">
        <v>555</v>
      </c>
      <c r="B99" s="164">
        <v>1</v>
      </c>
      <c r="C99" s="57">
        <v>5</v>
      </c>
      <c r="D99" s="58"/>
      <c r="E99" s="49"/>
      <c r="F99" s="49"/>
      <c r="G99" s="49"/>
      <c r="H99" s="49"/>
      <c r="I99" s="49">
        <f>IF(Talents!O36="No",B99*305*(1+$C99*0.05),0)</f>
        <v>381.25</v>
      </c>
      <c r="J99" s="49"/>
      <c r="L99" s="46"/>
      <c r="M99" s="46"/>
      <c r="N99" s="46"/>
      <c r="O99" s="46"/>
      <c r="P99" s="46"/>
      <c r="Q99" s="46"/>
      <c r="R99" s="46"/>
      <c r="S99" s="46"/>
      <c r="AD99" s="1340"/>
      <c r="AE99" s="1340"/>
      <c r="AF99" s="1340"/>
    </row>
    <row r="100" spans="1:32">
      <c r="A100" s="628" t="s">
        <v>1662</v>
      </c>
      <c r="B100" s="164">
        <v>0</v>
      </c>
      <c r="C100" s="57"/>
      <c r="D100" s="58"/>
      <c r="E100" s="49"/>
      <c r="F100" s="49"/>
      <c r="G100" s="49"/>
      <c r="H100" s="49"/>
      <c r="I100" s="49">
        <f>IF(Talents!O36="No",B100*70*(1+$C99*0.05),0)</f>
        <v>0</v>
      </c>
      <c r="J100" s="49"/>
      <c r="L100" s="46"/>
      <c r="M100" s="46"/>
      <c r="N100" s="46"/>
      <c r="O100" s="46"/>
      <c r="P100" s="46"/>
      <c r="Q100" s="46"/>
      <c r="R100" s="46"/>
      <c r="S100" s="46"/>
      <c r="AD100" s="1340"/>
      <c r="AE100" s="1340"/>
      <c r="AF100" s="1340"/>
    </row>
    <row r="101" spans="1:32">
      <c r="A101" s="628" t="s">
        <v>2890</v>
      </c>
      <c r="B101" s="164">
        <v>0</v>
      </c>
      <c r="C101" s="57">
        <v>5</v>
      </c>
      <c r="D101" s="58"/>
      <c r="E101" s="49"/>
      <c r="F101" s="49">
        <f>IF(Talents!O36="No",B101*108*(1+$C101*0.05),0)</f>
        <v>0</v>
      </c>
      <c r="G101" s="49"/>
      <c r="H101" s="49"/>
      <c r="I101" s="49"/>
      <c r="J101" s="49"/>
      <c r="L101" s="46"/>
      <c r="M101" s="46"/>
      <c r="N101" s="46"/>
      <c r="O101" s="46"/>
      <c r="P101" s="46"/>
      <c r="Q101" s="46"/>
      <c r="R101" s="46"/>
      <c r="S101" s="46"/>
      <c r="AD101" s="1340"/>
      <c r="AE101" s="1340"/>
      <c r="AF101" s="1340"/>
    </row>
    <row r="102" spans="1:32">
      <c r="A102" s="633" t="s">
        <v>556</v>
      </c>
      <c r="B102" s="164">
        <v>0</v>
      </c>
      <c r="C102" s="57"/>
      <c r="D102" s="58"/>
      <c r="E102" s="49"/>
      <c r="F102" s="49"/>
      <c r="G102" s="49"/>
      <c r="H102" s="49"/>
      <c r="I102" s="49">
        <f>IF(Talents!O36="No",B102*125,0)</f>
        <v>0</v>
      </c>
      <c r="J102" s="49"/>
      <c r="L102" s="46"/>
      <c r="M102" s="46"/>
      <c r="N102" s="46"/>
      <c r="O102" s="46"/>
      <c r="P102" s="46"/>
      <c r="Q102" s="46"/>
      <c r="R102" s="46"/>
      <c r="S102" s="46"/>
      <c r="AD102" s="1340"/>
      <c r="AE102" s="1340"/>
      <c r="AF102" s="1340"/>
    </row>
    <row r="103" spans="1:32">
      <c r="A103" s="633" t="s">
        <v>2229</v>
      </c>
      <c r="B103" s="164">
        <v>0</v>
      </c>
      <c r="C103" s="57">
        <v>3</v>
      </c>
      <c r="D103" s="58"/>
      <c r="E103" s="49"/>
      <c r="F103" s="49"/>
      <c r="G103" s="49"/>
      <c r="H103" s="49"/>
      <c r="I103" s="49"/>
      <c r="AD103" s="1340"/>
      <c r="AE103" s="1340"/>
      <c r="AF103" s="1340"/>
    </row>
    <row r="104" spans="1:32">
      <c r="A104" s="632" t="s">
        <v>536</v>
      </c>
      <c r="B104" s="164">
        <v>1</v>
      </c>
      <c r="C104" s="57"/>
      <c r="D104" s="58">
        <f>IF(Talents!O36="No",B104*(D78+SUM(D95:D103)+SUM(D105:D141))*0.1,0)</f>
        <v>23.880000000000003</v>
      </c>
      <c r="E104" s="49">
        <f>IF(Talents!O36="No",B104*(E78+SUM(E95:E103)+SUM(E105:E141))*0.1,0)</f>
        <v>71.405470163644821</v>
      </c>
      <c r="F104" s="49">
        <f>IF(Talents!O36="No",B104*(F78+SUM(F95:F100)+SUM(F105:F141))*0.1,0)</f>
        <v>55.320000000000007</v>
      </c>
      <c r="G104" s="49"/>
      <c r="H104" s="49"/>
      <c r="I104" s="49"/>
      <c r="AD104" s="1340"/>
      <c r="AE104" s="1340"/>
      <c r="AF104" s="1340"/>
    </row>
    <row r="105" spans="1:32">
      <c r="A105" s="632" t="s">
        <v>537</v>
      </c>
      <c r="B105" s="164">
        <v>1</v>
      </c>
      <c r="C105" s="57">
        <v>5</v>
      </c>
      <c r="D105" s="61"/>
      <c r="E105" s="59"/>
      <c r="F105" s="59"/>
      <c r="G105" s="49"/>
      <c r="H105" s="49"/>
      <c r="I105" s="49">
        <f>IF(Talents!O36="No",B105*220*(1+$C105*0.04),0)</f>
        <v>264</v>
      </c>
      <c r="AD105" s="1340"/>
      <c r="AE105" s="1340"/>
      <c r="AF105" s="1340"/>
    </row>
    <row r="106" spans="1:32">
      <c r="A106" s="632" t="s">
        <v>2889</v>
      </c>
      <c r="B106" s="164">
        <v>0</v>
      </c>
      <c r="C106" s="57">
        <v>2</v>
      </c>
      <c r="D106" s="58"/>
      <c r="E106" s="49"/>
      <c r="F106" s="49"/>
      <c r="G106" s="49"/>
      <c r="H106" s="49"/>
      <c r="I106" s="49"/>
      <c r="AD106" s="1340"/>
      <c r="AE106" s="1340"/>
      <c r="AF106" s="1340"/>
    </row>
    <row r="107" spans="1:32">
      <c r="A107" s="634" t="s">
        <v>1953</v>
      </c>
      <c r="B107" s="164">
        <v>1</v>
      </c>
      <c r="C107" s="55"/>
      <c r="D107" s="49"/>
      <c r="E107" s="49"/>
      <c r="F107" s="49"/>
      <c r="G107" s="49"/>
      <c r="H107" s="49"/>
      <c r="I107" s="49"/>
      <c r="J107" s="49"/>
      <c r="L107" s="46"/>
      <c r="M107" s="46"/>
      <c r="N107" s="46"/>
      <c r="O107" s="46"/>
      <c r="P107" s="45">
        <f>IF(Talents!O36="No",IF(time=0, B107*30*hasterate*40/600, 0),0)</f>
        <v>0</v>
      </c>
      <c r="Q107" s="46"/>
      <c r="R107" s="46"/>
      <c r="S107" s="46"/>
      <c r="T107" s="56"/>
      <c r="AD107" s="1340"/>
      <c r="AE107" s="1340"/>
      <c r="AF107" s="1340"/>
    </row>
    <row r="108" spans="1:32">
      <c r="A108" s="634" t="s">
        <v>538</v>
      </c>
      <c r="B108" s="164">
        <v>0</v>
      </c>
      <c r="C108" s="57">
        <v>2</v>
      </c>
      <c r="D108" s="58"/>
      <c r="E108" s="49">
        <f>IF(Talents!O36="No",B108*77*IF($C108=2,1.15,IF($C108=1,1.08,1))*IF(mhtemp="Windfury", 0.9, 1),0)</f>
        <v>0</v>
      </c>
      <c r="F108" s="59"/>
      <c r="G108" s="59"/>
      <c r="H108" s="59"/>
      <c r="I108" s="59"/>
      <c r="J108" s="62"/>
      <c r="AD108" s="1340"/>
      <c r="AE108" s="1340"/>
      <c r="AF108" s="1340"/>
    </row>
    <row r="109" spans="1:32">
      <c r="A109" s="634" t="s">
        <v>539</v>
      </c>
      <c r="B109" s="164">
        <v>1</v>
      </c>
      <c r="C109" s="57">
        <v>2</v>
      </c>
      <c r="D109" s="58">
        <f>IF(Talents!O36="No",B109*86*IF($C109=2,1.15,IF($C109=1,1.08,1)),0)</f>
        <v>98.899999999999991</v>
      </c>
      <c r="E109" s="49"/>
      <c r="F109" s="49"/>
      <c r="G109" s="49"/>
      <c r="H109" s="49"/>
      <c r="I109" s="49"/>
      <c r="AD109" s="1340"/>
      <c r="AE109" s="1340"/>
      <c r="AF109" s="1340"/>
    </row>
    <row r="110" spans="1:32">
      <c r="A110" s="886" t="s">
        <v>540</v>
      </c>
      <c r="B110" s="885">
        <v>1</v>
      </c>
      <c r="C110" s="57"/>
      <c r="D110" s="58"/>
      <c r="E110" s="22"/>
      <c r="F110" s="22"/>
      <c r="G110" s="22"/>
      <c r="H110" s="22"/>
      <c r="I110" s="22"/>
      <c r="J110" s="21"/>
      <c r="K110" s="21"/>
      <c r="L110" s="50"/>
      <c r="M110" s="50"/>
      <c r="N110" s="50"/>
      <c r="O110" s="50"/>
      <c r="P110" s="50"/>
      <c r="Q110" s="50"/>
      <c r="AD110" s="1340"/>
      <c r="AE110" s="1340"/>
      <c r="AF110" s="1340"/>
    </row>
    <row r="111" spans="1:32">
      <c r="A111" s="886" t="s">
        <v>541</v>
      </c>
      <c r="B111" s="885"/>
      <c r="C111" s="57">
        <v>2</v>
      </c>
      <c r="D111" s="58"/>
      <c r="E111" s="22"/>
      <c r="F111" s="22"/>
      <c r="G111" s="22"/>
      <c r="H111" s="22"/>
      <c r="I111" s="22"/>
      <c r="J111" s="21"/>
      <c r="K111" s="21"/>
      <c r="L111" s="50"/>
      <c r="M111" s="50"/>
      <c r="N111" s="50"/>
      <c r="O111" s="50"/>
      <c r="P111" s="50"/>
      <c r="Q111" s="50"/>
      <c r="R111" s="50"/>
      <c r="AD111" s="1340"/>
      <c r="AE111" s="1340"/>
      <c r="AF111" s="1340"/>
    </row>
    <row r="112" spans="1:32">
      <c r="A112" s="631" t="s">
        <v>2891</v>
      </c>
      <c r="B112" s="885">
        <v>0</v>
      </c>
      <c r="C112" s="57">
        <v>3</v>
      </c>
      <c r="D112" s="22"/>
      <c r="E112" s="22"/>
      <c r="F112" s="22">
        <f>IF(Talents!O36="No",B112*70*(1+$C112*0.1),0)</f>
        <v>0</v>
      </c>
      <c r="G112" s="22"/>
      <c r="H112" s="22"/>
      <c r="I112" s="22"/>
      <c r="J112" s="21"/>
      <c r="K112" s="21"/>
      <c r="L112" s="50"/>
      <c r="M112" s="50"/>
      <c r="N112" s="50"/>
      <c r="O112" s="50"/>
      <c r="P112" s="50"/>
      <c r="Q112" s="50"/>
      <c r="R112" s="50"/>
      <c r="AD112" s="1340"/>
      <c r="AE112" s="1340"/>
      <c r="AF112" s="1340"/>
    </row>
    <row r="113" spans="1:32">
      <c r="A113" s="607" t="s">
        <v>105</v>
      </c>
      <c r="B113" s="164">
        <v>0</v>
      </c>
      <c r="C113" s="57"/>
      <c r="D113" s="49"/>
      <c r="E113" s="49"/>
      <c r="F113" s="49"/>
      <c r="G113" s="49"/>
      <c r="H113" s="49"/>
      <c r="I113" s="49"/>
      <c r="P113" s="49"/>
      <c r="Q113" s="49"/>
      <c r="AD113" s="1340"/>
      <c r="AE113" s="1340"/>
      <c r="AF113" s="1340"/>
    </row>
    <row r="114" spans="1:32">
      <c r="A114" s="607" t="s">
        <v>104</v>
      </c>
      <c r="B114" s="164">
        <v>0</v>
      </c>
      <c r="C114" s="57"/>
      <c r="D114" s="49"/>
      <c r="E114" s="49"/>
      <c r="F114" s="49"/>
      <c r="G114" s="49"/>
      <c r="H114" s="49">
        <f>10*conv*B114</f>
        <v>0</v>
      </c>
      <c r="I114" s="49"/>
      <c r="AD114" s="1340"/>
      <c r="AE114" s="1340"/>
      <c r="AF114" s="1340"/>
    </row>
    <row r="115" spans="1:32" ht="13.5" thickBot="1">
      <c r="A115" s="60"/>
      <c r="B115" s="54"/>
      <c r="C115" s="19"/>
      <c r="D115" s="887"/>
      <c r="E115" s="49"/>
      <c r="F115" s="49"/>
      <c r="G115" s="49"/>
      <c r="H115" s="49"/>
      <c r="I115" s="49"/>
      <c r="S115" s="46"/>
      <c r="T115" s="31"/>
      <c r="W115" s="27"/>
      <c r="Z115" s="199">
        <f>1+0.15*C111</f>
        <v>1.3</v>
      </c>
      <c r="AD115" s="1340"/>
      <c r="AE115" s="1340"/>
      <c r="AF115" s="1340"/>
    </row>
    <row r="116" spans="1:32" ht="13.5" thickBot="1">
      <c r="A116" s="625" t="s">
        <v>543</v>
      </c>
      <c r="B116" s="623"/>
      <c r="C116" s="626"/>
      <c r="D116" s="620" t="s">
        <v>1214</v>
      </c>
      <c r="E116" s="620" t="s">
        <v>1215</v>
      </c>
      <c r="F116" s="620" t="s">
        <v>1216</v>
      </c>
      <c r="G116" s="620" t="s">
        <v>2140</v>
      </c>
      <c r="H116" s="620" t="s">
        <v>2139</v>
      </c>
      <c r="I116" s="620" t="s">
        <v>768</v>
      </c>
      <c r="J116" s="620" t="s">
        <v>1217</v>
      </c>
      <c r="K116" s="620" t="s">
        <v>2144</v>
      </c>
      <c r="L116" s="620" t="s">
        <v>1582</v>
      </c>
      <c r="M116" s="620" t="s">
        <v>2166</v>
      </c>
      <c r="N116" s="620"/>
      <c r="O116" s="620"/>
      <c r="P116" s="620" t="s">
        <v>771</v>
      </c>
      <c r="Q116" s="621" t="s">
        <v>770</v>
      </c>
      <c r="R116" s="46"/>
      <c r="S116" s="21"/>
      <c r="T116" s="31"/>
      <c r="W116" s="27"/>
      <c r="AD116" s="1340"/>
      <c r="AE116" s="1340"/>
      <c r="AF116" s="1340"/>
    </row>
    <row r="117" spans="1:32">
      <c r="A117" s="60" t="s">
        <v>1328</v>
      </c>
      <c r="B117" s="164">
        <v>1</v>
      </c>
      <c r="C117" s="57"/>
      <c r="D117" s="49"/>
      <c r="E117" s="49"/>
      <c r="F117" s="49"/>
      <c r="G117" s="49"/>
      <c r="H117" s="49"/>
      <c r="I117" s="49">
        <f>IF(Talents!O36="No",B117*120,0)</f>
        <v>120</v>
      </c>
      <c r="P117" s="49"/>
      <c r="Q117" s="49"/>
      <c r="AD117" s="1340"/>
      <c r="AE117" s="1340"/>
      <c r="AF117" s="1340"/>
    </row>
    <row r="118" spans="1:32">
      <c r="A118" s="60" t="s">
        <v>1333</v>
      </c>
      <c r="B118" s="164">
        <v>0</v>
      </c>
      <c r="C118" s="57"/>
      <c r="D118" s="49"/>
      <c r="E118" s="49">
        <f>IF(Talents!O36="No",B118*20,0)</f>
        <v>0</v>
      </c>
      <c r="F118" s="49">
        <f>IF(Talents!O36="No",B118*30,0)</f>
        <v>0</v>
      </c>
      <c r="G118" s="49"/>
      <c r="H118" s="49"/>
      <c r="I118" s="49">
        <f>IF(Talents!O36="No",B118*40,0)</f>
        <v>0</v>
      </c>
      <c r="P118" s="15"/>
      <c r="Q118" s="49"/>
      <c r="AD118" s="1340"/>
      <c r="AE118" s="1340"/>
      <c r="AF118" s="1340"/>
    </row>
    <row r="119" spans="1:32">
      <c r="A119" s="874"/>
      <c r="B119" s="875"/>
      <c r="C119" s="876"/>
      <c r="D119" s="877"/>
      <c r="E119" s="878"/>
      <c r="F119" s="878"/>
      <c r="G119" s="878"/>
      <c r="H119" s="878"/>
      <c r="I119" s="878"/>
      <c r="J119" s="879"/>
      <c r="K119" s="879"/>
      <c r="L119" s="880"/>
      <c r="M119" s="880"/>
      <c r="N119" s="880"/>
      <c r="O119" s="880"/>
      <c r="P119" s="878"/>
      <c r="Q119" s="878"/>
      <c r="AD119" s="1340"/>
      <c r="AE119" s="1340"/>
      <c r="AF119" s="1340"/>
    </row>
    <row r="120" spans="1:32">
      <c r="A120" s="60" t="s">
        <v>1901</v>
      </c>
      <c r="B120" s="164">
        <v>0</v>
      </c>
      <c r="C120" s="57"/>
      <c r="D120" s="58"/>
      <c r="E120" s="49">
        <f>IF(Talents!O36="No",B120*35,0)</f>
        <v>0</v>
      </c>
      <c r="F120" s="49"/>
      <c r="G120" s="49">
        <f>IF(Talents!O36="No",B120*20,0)</f>
        <v>0</v>
      </c>
      <c r="H120" s="49"/>
      <c r="I120" s="49"/>
      <c r="J120" s="49"/>
      <c r="T120" s="31"/>
      <c r="V120" s="27"/>
      <c r="W120" s="27"/>
      <c r="X120" s="27"/>
      <c r="Y120" s="27"/>
      <c r="Z120" s="46"/>
      <c r="AA120" s="19"/>
      <c r="AD120" s="1340"/>
      <c r="AE120" s="1340"/>
      <c r="AF120" s="1340"/>
    </row>
    <row r="121" spans="1:32">
      <c r="A121" s="60" t="s">
        <v>550</v>
      </c>
      <c r="B121" s="164">
        <v>0</v>
      </c>
      <c r="C121" s="57"/>
      <c r="D121" s="58"/>
      <c r="E121" s="49">
        <f>IF(Talents!O36="No",B121*25,0)</f>
        <v>0</v>
      </c>
      <c r="F121" s="49"/>
      <c r="G121" s="49">
        <f>IF(Talents!O36="No",B121*28,0)</f>
        <v>0</v>
      </c>
      <c r="H121" s="49"/>
      <c r="I121" s="49"/>
      <c r="J121" s="49"/>
      <c r="T121" s="31"/>
      <c r="V121" s="27"/>
      <c r="W121" s="27"/>
      <c r="X121" s="27"/>
      <c r="Y121" s="27"/>
      <c r="Z121" s="27"/>
      <c r="AA121" s="27"/>
      <c r="AD121" s="1340"/>
      <c r="AE121" s="1340"/>
      <c r="AF121" s="1340"/>
    </row>
    <row r="122" spans="1:32">
      <c r="A122" s="60" t="s">
        <v>1329</v>
      </c>
      <c r="B122" s="164">
        <v>0</v>
      </c>
      <c r="C122" s="57"/>
      <c r="D122" s="49"/>
      <c r="E122" s="49"/>
      <c r="F122" s="49">
        <f>IF(Talents!O36="No",B122*-10,0)</f>
        <v>0</v>
      </c>
      <c r="G122" s="49"/>
      <c r="H122" s="49"/>
      <c r="I122" s="49">
        <f>IF(Talents!O36="No",B122*90,0)</f>
        <v>0</v>
      </c>
      <c r="P122" s="49"/>
      <c r="Q122" s="49"/>
      <c r="AD122" s="1340"/>
      <c r="AE122" s="1340"/>
      <c r="AF122" s="1340"/>
    </row>
    <row r="123" spans="1:32">
      <c r="A123" s="60" t="s">
        <v>1330</v>
      </c>
      <c r="B123" s="164">
        <v>0</v>
      </c>
      <c r="C123" s="57"/>
      <c r="D123" s="49"/>
      <c r="E123" s="49"/>
      <c r="F123" s="49"/>
      <c r="G123" s="49"/>
      <c r="H123" s="49"/>
      <c r="I123" s="49">
        <f>IF(Talents!O36="No",B123*60,0)</f>
        <v>0</v>
      </c>
      <c r="P123" s="49"/>
      <c r="Q123" s="49"/>
      <c r="AD123" s="1340"/>
      <c r="AE123" s="1340"/>
      <c r="AF123" s="1340"/>
    </row>
    <row r="124" spans="1:32">
      <c r="A124" s="60" t="s">
        <v>1327</v>
      </c>
      <c r="B124" s="164">
        <v>0</v>
      </c>
      <c r="C124" s="57"/>
      <c r="D124" s="49"/>
      <c r="E124" s="49">
        <f>IF(Talents!O36="No",B124*25,0)</f>
        <v>0</v>
      </c>
      <c r="F124" s="49"/>
      <c r="G124" s="49"/>
      <c r="H124" s="49"/>
      <c r="I124" s="49"/>
      <c r="P124" s="49"/>
      <c r="Q124" s="49"/>
      <c r="AD124" s="1340"/>
      <c r="AE124" s="1340"/>
      <c r="AF124" s="1340"/>
    </row>
    <row r="125" spans="1:32">
      <c r="A125" s="873" t="s">
        <v>2886</v>
      </c>
      <c r="B125" s="164">
        <v>0</v>
      </c>
      <c r="C125" s="57"/>
      <c r="D125" s="22">
        <f>IF(Talents!O36="No",$B$125*15,0)</f>
        <v>0</v>
      </c>
      <c r="E125" s="22">
        <f>IF(Talents!O36="No",$B$125*15,0)</f>
        <v>0</v>
      </c>
      <c r="F125" s="22">
        <f>IF(Talents!O36="No",$B$125*15,0)</f>
        <v>0</v>
      </c>
      <c r="G125" s="49"/>
      <c r="H125" s="49"/>
      <c r="I125" s="49"/>
      <c r="P125" s="49"/>
      <c r="Q125" s="49"/>
      <c r="AD125" s="1340"/>
      <c r="AE125" s="1340"/>
      <c r="AF125" s="1340"/>
    </row>
    <row r="126" spans="1:32">
      <c r="A126" s="60" t="s">
        <v>1324</v>
      </c>
      <c r="B126" s="164">
        <v>0</v>
      </c>
      <c r="C126" s="57"/>
      <c r="D126" s="58"/>
      <c r="E126" s="49"/>
      <c r="F126" s="49"/>
      <c r="G126" s="49"/>
      <c r="H126" s="49"/>
      <c r="I126" s="49">
        <f>IF(Talents!O36="No",IF(OR(mobtype="Any",mobtype="Demon"),B126*265,0),0)</f>
        <v>0</v>
      </c>
      <c r="J126" s="49"/>
      <c r="T126" s="31"/>
      <c r="Y126" s="27"/>
      <c r="Z126" s="27"/>
      <c r="AA126" s="27"/>
      <c r="AD126" s="1340"/>
      <c r="AE126" s="1340"/>
      <c r="AF126" s="1340"/>
    </row>
    <row r="127" spans="1:32">
      <c r="A127" s="874"/>
      <c r="B127" s="875"/>
      <c r="C127" s="876"/>
      <c r="D127" s="877"/>
      <c r="E127" s="878"/>
      <c r="F127" s="878"/>
      <c r="G127" s="878"/>
      <c r="H127" s="878"/>
      <c r="I127" s="878"/>
      <c r="J127" s="878"/>
      <c r="K127" s="879"/>
      <c r="L127" s="880"/>
      <c r="M127" s="880"/>
      <c r="N127" s="880"/>
      <c r="O127" s="880"/>
      <c r="P127" s="880"/>
      <c r="Q127" s="880"/>
      <c r="T127" s="31"/>
      <c r="Y127" s="27"/>
      <c r="Z127" s="27"/>
      <c r="AA127" s="27"/>
      <c r="AD127" s="1340"/>
      <c r="AE127" s="1340"/>
      <c r="AF127" s="1340"/>
    </row>
    <row r="128" spans="1:32">
      <c r="A128" s="873" t="s">
        <v>549</v>
      </c>
      <c r="B128" s="164">
        <v>1</v>
      </c>
      <c r="C128" s="27"/>
      <c r="D128" s="58"/>
      <c r="E128" s="49"/>
      <c r="F128" s="49"/>
      <c r="G128" s="49"/>
      <c r="H128" s="49">
        <f>IF(Talents!O36="No",B128*20,0)</f>
        <v>20</v>
      </c>
      <c r="I128" s="49"/>
      <c r="J128" s="49"/>
      <c r="L128" s="21"/>
      <c r="M128" s="21"/>
      <c r="N128" s="21"/>
      <c r="O128" s="21"/>
      <c r="P128" s="21"/>
      <c r="Q128" s="21"/>
      <c r="R128" s="21"/>
      <c r="T128" s="31"/>
      <c r="V128" s="27"/>
      <c r="W128" s="27"/>
      <c r="X128" s="27"/>
      <c r="Y128" s="27"/>
      <c r="Z128" s="27"/>
      <c r="AA128" s="27"/>
      <c r="AD128" s="1340"/>
      <c r="AE128" s="1340"/>
      <c r="AF128" s="1340"/>
    </row>
    <row r="129" spans="1:32">
      <c r="A129" s="60" t="s">
        <v>1902</v>
      </c>
      <c r="B129" s="164">
        <v>0</v>
      </c>
      <c r="C129" s="57"/>
      <c r="D129" s="58"/>
      <c r="E129" s="49">
        <f>IF(Talents!O36="No",B129*20,0)</f>
        <v>0</v>
      </c>
      <c r="F129" s="49"/>
      <c r="G129" s="49"/>
      <c r="H129" s="49"/>
      <c r="I129" s="49"/>
      <c r="T129" s="31"/>
      <c r="V129" s="27"/>
      <c r="W129" s="27"/>
      <c r="X129" s="27"/>
      <c r="Y129" s="27"/>
      <c r="Z129" s="63"/>
      <c r="AA129" s="19"/>
      <c r="AD129" s="1340"/>
      <c r="AE129" s="1340"/>
      <c r="AF129" s="1340"/>
    </row>
    <row r="130" spans="1:32">
      <c r="A130" s="60" t="s">
        <v>1903</v>
      </c>
      <c r="B130" s="164">
        <v>0</v>
      </c>
      <c r="C130" s="57"/>
      <c r="E130" s="49"/>
      <c r="F130" s="49"/>
      <c r="G130" s="49"/>
      <c r="H130" s="49"/>
      <c r="I130" s="22">
        <f>IF(Talents!O36="No",B130*40,0)</f>
        <v>0</v>
      </c>
      <c r="J130" s="49"/>
      <c r="T130" s="31"/>
      <c r="V130" s="27"/>
      <c r="X130" s="27"/>
      <c r="Y130" s="27"/>
      <c r="Z130" s="63"/>
      <c r="AA130" s="19"/>
      <c r="AD130" s="1340"/>
      <c r="AE130" s="1340"/>
      <c r="AF130" s="1340"/>
    </row>
    <row r="131" spans="1:32">
      <c r="A131" s="874"/>
      <c r="B131" s="875"/>
      <c r="C131" s="881"/>
      <c r="D131" s="879"/>
      <c r="E131" s="878"/>
      <c r="F131" s="878"/>
      <c r="G131" s="878"/>
      <c r="H131" s="878"/>
      <c r="I131" s="882"/>
      <c r="J131" s="878"/>
      <c r="K131" s="879"/>
      <c r="L131" s="880"/>
      <c r="M131" s="880"/>
      <c r="N131" s="880"/>
      <c r="O131" s="880"/>
      <c r="P131" s="880"/>
      <c r="Q131" s="880"/>
      <c r="T131" s="31"/>
      <c r="V131" s="27"/>
      <c r="X131" s="27"/>
      <c r="Y131" s="27"/>
      <c r="Z131" s="63"/>
      <c r="AA131" s="19"/>
      <c r="AD131" s="1340"/>
      <c r="AE131" s="1340"/>
      <c r="AF131" s="1340"/>
    </row>
    <row r="132" spans="1:32">
      <c r="A132" s="60" t="s">
        <v>1325</v>
      </c>
      <c r="B132" s="164">
        <v>1</v>
      </c>
      <c r="C132" s="57"/>
      <c r="E132" s="49">
        <f>IF(Talents!O36="No",B132*20,0)</f>
        <v>20</v>
      </c>
      <c r="F132" s="49"/>
      <c r="G132" s="49"/>
      <c r="H132" s="49"/>
      <c r="I132" s="49"/>
      <c r="T132" s="31"/>
      <c r="AD132" s="1340"/>
      <c r="AE132" s="1340"/>
      <c r="AF132" s="1340"/>
    </row>
    <row r="133" spans="1:32">
      <c r="A133" s="60" t="s">
        <v>1326</v>
      </c>
      <c r="B133" s="164">
        <v>1</v>
      </c>
      <c r="C133" s="57"/>
      <c r="D133" s="49">
        <f>IF(Talents!O36="No",B133*20,0)</f>
        <v>20</v>
      </c>
      <c r="E133" s="49"/>
      <c r="F133" s="49"/>
      <c r="G133" s="49"/>
      <c r="H133" s="49"/>
      <c r="J133" s="49"/>
      <c r="T133" s="31"/>
      <c r="AD133" s="1340"/>
      <c r="AE133" s="1340"/>
      <c r="AF133" s="1340"/>
    </row>
    <row r="134" spans="1:32">
      <c r="A134" s="874"/>
      <c r="B134" s="875"/>
      <c r="C134" s="881"/>
      <c r="D134" s="878"/>
      <c r="E134" s="878"/>
      <c r="F134" s="878"/>
      <c r="G134" s="878"/>
      <c r="H134" s="878"/>
      <c r="I134" s="879"/>
      <c r="J134" s="878"/>
      <c r="K134" s="879"/>
      <c r="L134" s="880"/>
      <c r="M134" s="880"/>
      <c r="N134" s="880"/>
      <c r="O134" s="880"/>
      <c r="P134" s="880"/>
      <c r="Q134" s="880"/>
      <c r="T134" s="31"/>
      <c r="AD134" s="1340"/>
      <c r="AE134" s="1340"/>
      <c r="AF134" s="1340"/>
    </row>
    <row r="135" spans="1:32">
      <c r="A135" s="60" t="s">
        <v>1334</v>
      </c>
      <c r="B135" s="164">
        <v>1</v>
      </c>
      <c r="C135" s="57"/>
      <c r="D135" s="49"/>
      <c r="E135" s="49"/>
      <c r="F135" s="49"/>
      <c r="G135" s="49"/>
      <c r="H135" s="49"/>
      <c r="I135" s="49"/>
      <c r="P135" s="23">
        <f>IF(Talents!O36="No",IF(time=0, B135*400*15/120, 0),0)</f>
        <v>0</v>
      </c>
      <c r="Q135" s="49"/>
      <c r="AD135" s="1340"/>
      <c r="AE135" s="1340"/>
      <c r="AF135" s="1340"/>
    </row>
    <row r="136" spans="1:32">
      <c r="A136" s="60" t="s">
        <v>1332</v>
      </c>
      <c r="B136" s="164">
        <v>1</v>
      </c>
      <c r="C136" s="57"/>
      <c r="D136" s="49"/>
      <c r="E136" s="49"/>
      <c r="F136" s="49"/>
      <c r="G136" s="49"/>
      <c r="H136" s="49"/>
      <c r="I136" s="49"/>
      <c r="P136" s="49">
        <f>IF(Talents!O36="No",IF(time=0, B136*80*30/120, 0),0)</f>
        <v>0</v>
      </c>
      <c r="Q136" s="49"/>
      <c r="AD136" s="1340"/>
      <c r="AE136" s="1340"/>
      <c r="AF136" s="1340"/>
    </row>
    <row r="137" spans="1:32" ht="13.5" customHeight="1">
      <c r="A137" s="60" t="s">
        <v>1331</v>
      </c>
      <c r="B137" s="164">
        <v>0</v>
      </c>
      <c r="C137" s="57"/>
      <c r="D137" s="49"/>
      <c r="E137" s="49"/>
      <c r="F137" s="49"/>
      <c r="G137" s="49"/>
      <c r="H137" s="49"/>
      <c r="I137" s="49">
        <f>IF(AND(Talents!O36="No",B136=0),IF(time=0, B137*60*30/120, 0),0)</f>
        <v>0</v>
      </c>
      <c r="P137" s="49"/>
      <c r="Q137" s="49"/>
      <c r="AD137" s="1340"/>
      <c r="AE137" s="1340"/>
      <c r="AF137" s="1340"/>
    </row>
    <row r="138" spans="1:32">
      <c r="A138" s="60" t="s">
        <v>1335</v>
      </c>
      <c r="B138" s="164">
        <v>1</v>
      </c>
      <c r="C138" s="57"/>
      <c r="D138" s="49"/>
      <c r="E138" s="49"/>
      <c r="F138" s="49"/>
      <c r="G138" s="49"/>
      <c r="H138" s="49"/>
      <c r="I138" s="49"/>
      <c r="P138" s="15"/>
      <c r="Q138" s="49"/>
      <c r="AD138" s="1340"/>
      <c r="AE138" s="1340"/>
      <c r="AF138" s="1340"/>
    </row>
    <row r="139" spans="1:32">
      <c r="A139" s="60" t="s">
        <v>1336</v>
      </c>
      <c r="B139" s="164">
        <v>0</v>
      </c>
      <c r="C139" s="57"/>
      <c r="D139" s="49"/>
      <c r="E139" s="49"/>
      <c r="F139" s="49"/>
      <c r="G139" s="49"/>
      <c r="H139" s="49"/>
      <c r="I139" s="49"/>
      <c r="P139" s="15"/>
      <c r="Q139" s="49"/>
      <c r="AD139" s="1340"/>
      <c r="AE139" s="1340"/>
      <c r="AF139" s="1340"/>
    </row>
    <row r="140" spans="1:32">
      <c r="A140" s="888" t="s">
        <v>2887</v>
      </c>
      <c r="B140" s="885">
        <v>0</v>
      </c>
      <c r="C140" s="57"/>
      <c r="D140" s="22"/>
      <c r="E140" s="22"/>
      <c r="F140" s="22"/>
      <c r="G140" s="22"/>
      <c r="H140" s="22">
        <f>IF(Talents!O36="No",B140*20,0)</f>
        <v>0</v>
      </c>
      <c r="I140" s="22"/>
      <c r="J140" s="21"/>
      <c r="K140" s="21"/>
      <c r="L140" s="50"/>
      <c r="M140" s="50"/>
      <c r="N140" s="50"/>
      <c r="O140" s="50"/>
      <c r="P140" s="22"/>
      <c r="Q140" s="22"/>
      <c r="AD140" s="1340"/>
      <c r="AE140" s="1340"/>
      <c r="AF140" s="1340"/>
    </row>
    <row r="141" spans="1:32">
      <c r="A141" s="60"/>
      <c r="B141" s="164"/>
      <c r="C141" s="27"/>
      <c r="D141" s="22"/>
      <c r="E141" s="49"/>
      <c r="F141" s="49"/>
      <c r="G141" s="49"/>
      <c r="H141" s="49"/>
      <c r="I141" s="49"/>
      <c r="P141" s="49"/>
      <c r="Q141" s="49"/>
      <c r="AD141" s="1340"/>
      <c r="AE141" s="1340"/>
      <c r="AF141" s="1340"/>
    </row>
    <row r="142" spans="1:32" ht="13.5" thickBot="1">
      <c r="B142" s="15"/>
      <c r="C142" s="15"/>
      <c r="D142" s="189"/>
      <c r="E142" s="15"/>
      <c r="F142" s="15"/>
      <c r="G142" s="15"/>
      <c r="H142" s="15"/>
      <c r="I142" s="15"/>
      <c r="J142" s="15"/>
      <c r="K142" s="15"/>
      <c r="L142" s="15"/>
      <c r="M142" s="15"/>
      <c r="N142" s="15"/>
      <c r="O142" s="15"/>
      <c r="P142" s="15"/>
      <c r="Q142" s="15"/>
      <c r="R142" s="15"/>
      <c r="S142" s="15"/>
      <c r="AD142" s="1340"/>
      <c r="AE142" s="1340"/>
      <c r="AF142" s="1340"/>
    </row>
    <row r="143" spans="1:32" ht="13.5" thickBot="1">
      <c r="B143" s="1424" t="s">
        <v>3046</v>
      </c>
      <c r="C143" s="1425"/>
      <c r="D143" s="1151">
        <f>D78+SUM(D80:D141)</f>
        <v>262.68</v>
      </c>
      <c r="E143" s="1151">
        <f>E78+SUM(E80:E141)*(1+Talents!F33/100)*(1+Talents!I36*3/100)</f>
        <v>787.66628120336588</v>
      </c>
      <c r="F143" s="1151">
        <f>F78+SUM(F80:F141)*(1+Talents!F33/50)</f>
        <v>615.59680000000003</v>
      </c>
      <c r="G143" s="1151">
        <f>SUM(G78:G141)</f>
        <v>159.38461538461539</v>
      </c>
      <c r="H143" s="1151">
        <f>SUM(H78:H141)</f>
        <v>440.84615384615381</v>
      </c>
      <c r="I143" s="1151">
        <f>(SUM(I10:I76)+SUM(I82:I142)+D143+E143+120+Y33+IF(time=0,0,'Cooldowns Calc'!Z1))*deadliness*(1+IF(Talents!O36="No",unlrage*0.1,0))+1*deadliness*(1+unlrage*0.1)+1*deadliness*(1+unlrage*0.1)</f>
        <v>3165.5289383329646</v>
      </c>
      <c r="J143" s="1151">
        <f>SUM(J78:J141)</f>
        <v>0</v>
      </c>
      <c r="K143" s="1151">
        <f>SUM(K78:K141)</f>
        <v>0</v>
      </c>
      <c r="L143" s="1151">
        <f>SUM(L78:L141)</f>
        <v>53.42307692307692</v>
      </c>
      <c r="M143" s="1151">
        <f>SUM(M78:M141)</f>
        <v>0</v>
      </c>
      <c r="N143" s="1151"/>
      <c r="O143" s="1151"/>
      <c r="P143" s="1151">
        <f>SUM(P78:P142)</f>
        <v>127.49804426656831</v>
      </c>
      <c r="Q143" s="1152">
        <f>SUM(Q78:Q142)</f>
        <v>4010</v>
      </c>
      <c r="AD143" s="1340"/>
      <c r="AE143" s="1340"/>
      <c r="AF143" s="1340"/>
    </row>
    <row r="144" spans="1:32">
      <c r="Q144" s="15"/>
      <c r="R144" s="15"/>
      <c r="S144" s="15"/>
      <c r="AD144" s="1340"/>
      <c r="AE144" s="1340"/>
      <c r="AF144" s="1340"/>
    </row>
    <row r="145" spans="1:32" ht="13.5" thickBot="1">
      <c r="A145" s="313" t="s">
        <v>1679</v>
      </c>
      <c r="Q145" s="15"/>
      <c r="R145" s="15"/>
      <c r="S145" s="15"/>
      <c r="AD145" s="1340"/>
      <c r="AE145" s="1340"/>
      <c r="AF145" s="1340"/>
    </row>
    <row r="146" spans="1:32" ht="13.5" thickBot="1">
      <c r="B146" s="650" t="s">
        <v>1599</v>
      </c>
      <c r="C146" s="620"/>
      <c r="D146" s="637" t="s">
        <v>1214</v>
      </c>
      <c r="E146" s="637" t="s">
        <v>1215</v>
      </c>
      <c r="F146" s="637" t="s">
        <v>1216</v>
      </c>
      <c r="G146" s="638" t="s">
        <v>2140</v>
      </c>
      <c r="H146" s="638" t="s">
        <v>2139</v>
      </c>
      <c r="I146" s="637" t="s">
        <v>768</v>
      </c>
      <c r="J146" s="637" t="s">
        <v>1217</v>
      </c>
      <c r="K146" s="637" t="s">
        <v>2144</v>
      </c>
      <c r="L146" s="639" t="s">
        <v>1582</v>
      </c>
      <c r="M146" s="637" t="s">
        <v>2166</v>
      </c>
      <c r="N146" s="637"/>
      <c r="O146" s="637"/>
      <c r="P146" s="639" t="s">
        <v>771</v>
      </c>
      <c r="Q146" s="640" t="s">
        <v>770</v>
      </c>
      <c r="R146" s="639" t="s">
        <v>1220</v>
      </c>
      <c r="S146" s="639" t="s">
        <v>1728</v>
      </c>
      <c r="T146" s="639" t="s">
        <v>1222</v>
      </c>
      <c r="U146" s="639" t="s">
        <v>1223</v>
      </c>
      <c r="V146" s="641" t="s">
        <v>1224</v>
      </c>
      <c r="AD146" s="1340"/>
      <c r="AE146" s="1340"/>
      <c r="AF146" s="1340"/>
    </row>
    <row r="147" spans="1:32">
      <c r="A147" s="313" t="s">
        <v>14</v>
      </c>
      <c r="B147" s="44" t="s">
        <v>1596</v>
      </c>
      <c r="C147" s="44"/>
      <c r="D147" s="44"/>
      <c r="E147" s="316"/>
      <c r="F147" s="316"/>
      <c r="G147" s="316"/>
      <c r="H147" s="316"/>
      <c r="I147" s="316"/>
      <c r="J147" s="316"/>
      <c r="K147" s="316"/>
      <c r="L147" s="316"/>
      <c r="M147" s="316"/>
      <c r="N147" s="316"/>
      <c r="O147" s="316"/>
      <c r="P147" s="316"/>
      <c r="Q147" s="316"/>
      <c r="R147" s="314" t="s">
        <v>1033</v>
      </c>
      <c r="S147" s="315"/>
      <c r="T147" s="15">
        <v>1</v>
      </c>
      <c r="U147" s="15">
        <v>1</v>
      </c>
      <c r="V147" s="15">
        <v>2</v>
      </c>
      <c r="AD147" s="1340"/>
      <c r="AE147" s="1340"/>
      <c r="AF147" s="1340"/>
    </row>
    <row r="148" spans="1:32">
      <c r="A148" s="313" t="s">
        <v>15</v>
      </c>
      <c r="B148" s="44" t="s">
        <v>1597</v>
      </c>
      <c r="C148" s="44"/>
      <c r="D148" s="44"/>
      <c r="E148" s="316"/>
      <c r="F148" s="316"/>
      <c r="G148" s="316"/>
      <c r="H148" s="316"/>
      <c r="I148" s="316"/>
      <c r="J148" s="316"/>
      <c r="K148" s="316"/>
      <c r="L148" s="316"/>
      <c r="M148" s="316"/>
      <c r="N148" s="316"/>
      <c r="O148" s="316"/>
      <c r="P148" s="316"/>
      <c r="Q148" s="316"/>
      <c r="R148" s="314" t="s">
        <v>1033</v>
      </c>
      <c r="S148" s="315"/>
      <c r="T148" s="15">
        <v>1</v>
      </c>
      <c r="U148" s="15">
        <v>1</v>
      </c>
      <c r="V148" s="15">
        <v>2</v>
      </c>
      <c r="AD148" s="1340"/>
      <c r="AE148" s="1340"/>
      <c r="AF148" s="1340"/>
    </row>
    <row r="149" spans="1:32">
      <c r="A149" s="313" t="s">
        <v>1721</v>
      </c>
      <c r="B149" s="44" t="s">
        <v>1598</v>
      </c>
      <c r="C149" s="44"/>
      <c r="D149" s="44"/>
      <c r="E149" s="316"/>
      <c r="F149" s="316"/>
      <c r="G149" s="316"/>
      <c r="H149" s="316"/>
      <c r="I149" s="316"/>
      <c r="J149" s="316"/>
      <c r="K149" s="316"/>
      <c r="L149" s="316"/>
      <c r="M149" s="316"/>
      <c r="N149" s="316"/>
      <c r="O149" s="316"/>
      <c r="P149" s="316"/>
      <c r="Q149" s="316"/>
      <c r="R149" s="314" t="s">
        <v>1033</v>
      </c>
      <c r="S149" s="315"/>
      <c r="T149" s="15">
        <v>1</v>
      </c>
      <c r="U149" s="15">
        <v>1</v>
      </c>
      <c r="V149" s="15">
        <v>2</v>
      </c>
      <c r="AD149" s="1340"/>
      <c r="AE149" s="1340"/>
      <c r="AF149" s="1340"/>
    </row>
    <row r="150" spans="1:32">
      <c r="A150" s="313" t="s">
        <v>1722</v>
      </c>
      <c r="B150" s="44" t="s">
        <v>1600</v>
      </c>
      <c r="C150" s="44"/>
      <c r="D150" s="44"/>
      <c r="E150" s="316"/>
      <c r="F150" s="316"/>
      <c r="G150" s="316"/>
      <c r="H150" s="316"/>
      <c r="I150" s="316"/>
      <c r="J150" s="316"/>
      <c r="K150" s="316"/>
      <c r="L150" s="316"/>
      <c r="M150" s="316"/>
      <c r="N150" s="316"/>
      <c r="O150" s="316"/>
      <c r="P150" s="316"/>
      <c r="Q150" s="316"/>
      <c r="R150" s="314" t="s">
        <v>1033</v>
      </c>
      <c r="S150" s="315"/>
      <c r="T150" s="15">
        <v>1</v>
      </c>
      <c r="U150" s="15">
        <v>1</v>
      </c>
      <c r="V150" s="15">
        <v>2</v>
      </c>
      <c r="AD150" s="1340"/>
      <c r="AE150" s="1340"/>
      <c r="AF150" s="1340"/>
    </row>
    <row r="151" spans="1:32">
      <c r="A151" s="313" t="s">
        <v>1723</v>
      </c>
      <c r="B151" s="44" t="s">
        <v>1601</v>
      </c>
      <c r="C151" s="44"/>
      <c r="D151" s="44"/>
      <c r="E151" s="316"/>
      <c r="F151" s="316"/>
      <c r="G151" s="316"/>
      <c r="H151" s="316"/>
      <c r="I151" s="316"/>
      <c r="J151" s="316"/>
      <c r="K151" s="316"/>
      <c r="L151" s="316"/>
      <c r="M151" s="316"/>
      <c r="N151" s="316"/>
      <c r="O151" s="316"/>
      <c r="P151" s="316"/>
      <c r="Q151" s="316"/>
      <c r="R151" s="314" t="s">
        <v>1033</v>
      </c>
      <c r="S151" s="315"/>
      <c r="T151" s="15">
        <v>1</v>
      </c>
      <c r="U151" s="15">
        <v>1</v>
      </c>
      <c r="V151" s="15">
        <v>2</v>
      </c>
      <c r="AD151" s="1340"/>
      <c r="AE151" s="1340"/>
      <c r="AF151" s="1340"/>
    </row>
    <row r="152" spans="1:32">
      <c r="A152" s="313" t="s">
        <v>1724</v>
      </c>
      <c r="B152" s="44" t="s">
        <v>1602</v>
      </c>
      <c r="C152" s="44"/>
      <c r="D152" s="44"/>
      <c r="E152" s="316"/>
      <c r="F152" s="316"/>
      <c r="G152" s="316"/>
      <c r="H152" s="316"/>
      <c r="I152" s="316"/>
      <c r="J152" s="316"/>
      <c r="K152" s="316"/>
      <c r="L152" s="316"/>
      <c r="M152" s="316"/>
      <c r="N152" s="316"/>
      <c r="O152" s="316"/>
      <c r="P152" s="316"/>
      <c r="Q152" s="316"/>
      <c r="R152" s="314" t="s">
        <v>1033</v>
      </c>
      <c r="S152" s="315"/>
      <c r="T152" s="15">
        <v>1</v>
      </c>
      <c r="U152" s="15">
        <v>1</v>
      </c>
      <c r="V152" s="15">
        <v>2</v>
      </c>
      <c r="AD152" s="1340"/>
      <c r="AE152" s="1340"/>
      <c r="AF152" s="1340"/>
    </row>
    <row r="153" spans="1:32">
      <c r="A153" s="313" t="s">
        <v>1725</v>
      </c>
      <c r="B153" s="44" t="s">
        <v>1603</v>
      </c>
      <c r="C153" s="44"/>
      <c r="D153" s="44"/>
      <c r="E153" s="316"/>
      <c r="F153" s="316"/>
      <c r="G153" s="316"/>
      <c r="H153" s="316"/>
      <c r="I153" s="316"/>
      <c r="J153" s="316"/>
      <c r="K153" s="316"/>
      <c r="L153" s="316"/>
      <c r="M153" s="316"/>
      <c r="N153" s="316"/>
      <c r="O153" s="316"/>
      <c r="P153" s="316"/>
      <c r="Q153" s="316"/>
      <c r="R153" s="314" t="s">
        <v>1033</v>
      </c>
      <c r="S153" s="315"/>
      <c r="T153" s="15">
        <v>1</v>
      </c>
      <c r="U153" s="15">
        <v>1</v>
      </c>
      <c r="V153" s="15">
        <v>2</v>
      </c>
      <c r="AD153" s="1340"/>
      <c r="AE153" s="1340"/>
      <c r="AF153" s="1340"/>
    </row>
    <row r="154" spans="1:32">
      <c r="A154" s="313" t="s">
        <v>1726</v>
      </c>
      <c r="B154" s="44" t="s">
        <v>1604</v>
      </c>
      <c r="C154" s="44"/>
      <c r="D154" s="44"/>
      <c r="E154" s="316"/>
      <c r="F154" s="316"/>
      <c r="G154" s="316"/>
      <c r="H154" s="316"/>
      <c r="I154" s="316"/>
      <c r="J154" s="316"/>
      <c r="K154" s="316"/>
      <c r="L154" s="316"/>
      <c r="M154" s="316"/>
      <c r="N154" s="316"/>
      <c r="O154" s="316"/>
      <c r="P154" s="316"/>
      <c r="Q154" s="316"/>
      <c r="R154" s="314" t="s">
        <v>1033</v>
      </c>
      <c r="S154" s="315"/>
      <c r="T154" s="15">
        <v>1</v>
      </c>
      <c r="U154" s="15">
        <v>1</v>
      </c>
      <c r="V154" s="15">
        <v>2</v>
      </c>
      <c r="AD154" s="1340"/>
      <c r="AE154" s="1340"/>
      <c r="AF154" s="1340"/>
    </row>
    <row r="155" spans="1:32">
      <c r="A155" s="313" t="s">
        <v>2208</v>
      </c>
      <c r="B155" s="44" t="s">
        <v>1727</v>
      </c>
      <c r="C155" s="44"/>
      <c r="D155" s="44"/>
      <c r="E155" s="316"/>
      <c r="F155" s="316"/>
      <c r="G155" s="316"/>
      <c r="H155" s="316"/>
      <c r="I155" s="316"/>
      <c r="J155" s="316"/>
      <c r="K155" s="316"/>
      <c r="L155" s="316"/>
      <c r="M155" s="316"/>
      <c r="N155" s="316"/>
      <c r="O155" s="316"/>
      <c r="P155" s="316"/>
      <c r="Q155" s="316"/>
      <c r="R155" s="314" t="s">
        <v>1033</v>
      </c>
      <c r="S155" s="315"/>
      <c r="T155" s="20"/>
      <c r="U155" s="20"/>
      <c r="V155" s="20"/>
      <c r="AD155" s="1340"/>
      <c r="AE155" s="1340"/>
      <c r="AF155" s="1340"/>
    </row>
    <row r="156" spans="1:32">
      <c r="A156" s="313" t="s">
        <v>461</v>
      </c>
      <c r="B156" s="44" t="s">
        <v>1727</v>
      </c>
      <c r="C156" s="44"/>
      <c r="D156" s="44"/>
      <c r="E156" s="316"/>
      <c r="F156" s="316"/>
      <c r="G156" s="316"/>
      <c r="H156" s="316"/>
      <c r="I156" s="316"/>
      <c r="J156" s="316"/>
      <c r="K156" s="316"/>
      <c r="L156" s="316"/>
      <c r="M156" s="316"/>
      <c r="N156" s="316"/>
      <c r="O156" s="316"/>
      <c r="P156" s="316"/>
      <c r="Q156" s="316"/>
      <c r="R156" s="314" t="s">
        <v>1048</v>
      </c>
      <c r="S156" s="315"/>
      <c r="T156" s="20"/>
      <c r="U156" s="20"/>
      <c r="V156" s="20"/>
      <c r="AD156" s="1340"/>
      <c r="AE156" s="1340"/>
      <c r="AF156" s="1340"/>
    </row>
    <row r="157" spans="1:32">
      <c r="A157" s="313" t="s">
        <v>437</v>
      </c>
      <c r="B157" s="44" t="s">
        <v>1727</v>
      </c>
      <c r="C157" s="44"/>
      <c r="D157" s="44"/>
      <c r="E157" s="316"/>
      <c r="F157" s="316"/>
      <c r="G157" s="316"/>
      <c r="H157" s="316"/>
      <c r="I157" s="316"/>
      <c r="J157" s="316"/>
      <c r="K157" s="316"/>
      <c r="L157" s="316"/>
      <c r="M157" s="316"/>
      <c r="N157" s="316"/>
      <c r="O157" s="316"/>
      <c r="P157" s="316"/>
      <c r="Q157" s="316"/>
      <c r="R157" s="314" t="s">
        <v>1033</v>
      </c>
      <c r="S157" s="315"/>
      <c r="T157" s="20"/>
      <c r="U157" s="20"/>
      <c r="V157" s="20"/>
      <c r="AD157" s="1340"/>
      <c r="AE157" s="1340"/>
      <c r="AF157" s="1340"/>
    </row>
    <row r="158" spans="1:32">
      <c r="A158" s="313" t="s">
        <v>660</v>
      </c>
      <c r="B158" s="44" t="s">
        <v>1727</v>
      </c>
      <c r="C158" s="44"/>
      <c r="D158" s="44"/>
      <c r="E158" s="316"/>
      <c r="F158" s="316"/>
      <c r="G158" s="316"/>
      <c r="H158" s="316"/>
      <c r="I158" s="316"/>
      <c r="J158" s="316"/>
      <c r="K158" s="316"/>
      <c r="L158" s="316"/>
      <c r="M158" s="316"/>
      <c r="N158" s="316"/>
      <c r="O158" s="316"/>
      <c r="P158" s="316"/>
      <c r="Q158" s="316"/>
      <c r="R158" s="314" t="s">
        <v>1033</v>
      </c>
      <c r="S158" s="315"/>
      <c r="T158" s="20"/>
      <c r="U158" s="20"/>
      <c r="V158" s="20"/>
      <c r="AD158" s="1340"/>
      <c r="AE158" s="1340"/>
      <c r="AF158" s="1340"/>
    </row>
    <row r="159" spans="1:32">
      <c r="A159" s="313" t="s">
        <v>1117</v>
      </c>
      <c r="B159" s="44" t="s">
        <v>1727</v>
      </c>
      <c r="C159" s="44"/>
      <c r="D159" s="44"/>
      <c r="E159" s="316"/>
      <c r="F159" s="316"/>
      <c r="G159" s="316"/>
      <c r="H159" s="316"/>
      <c r="I159" s="316"/>
      <c r="J159" s="316"/>
      <c r="K159" s="316"/>
      <c r="L159" s="316"/>
      <c r="M159" s="316"/>
      <c r="N159" s="316"/>
      <c r="O159" s="316"/>
      <c r="P159" s="316"/>
      <c r="Q159" s="316"/>
      <c r="R159" s="314" t="s">
        <v>1033</v>
      </c>
      <c r="S159" s="315"/>
      <c r="T159" s="20"/>
      <c r="U159" s="20"/>
      <c r="V159" s="20"/>
      <c r="AD159" s="1340"/>
      <c r="AE159" s="1340"/>
      <c r="AF159" s="1340"/>
    </row>
    <row r="160" spans="1:32">
      <c r="A160" s="313" t="s">
        <v>1124</v>
      </c>
      <c r="B160" s="44" t="s">
        <v>1727</v>
      </c>
      <c r="C160" s="44"/>
      <c r="D160" s="44"/>
      <c r="E160" s="316"/>
      <c r="F160" s="316"/>
      <c r="G160" s="316"/>
      <c r="H160" s="316"/>
      <c r="I160" s="316"/>
      <c r="J160" s="316"/>
      <c r="K160" s="316"/>
      <c r="L160" s="316"/>
      <c r="M160" s="316"/>
      <c r="N160" s="316"/>
      <c r="O160" s="316"/>
      <c r="P160" s="316"/>
      <c r="Q160" s="316"/>
      <c r="R160" s="314" t="s">
        <v>1033</v>
      </c>
      <c r="S160" s="315"/>
      <c r="T160" s="20"/>
      <c r="U160" s="20"/>
      <c r="V160" s="20"/>
      <c r="AD160" s="1340"/>
      <c r="AE160" s="1340"/>
      <c r="AF160" s="1340"/>
    </row>
    <row r="161" spans="1:32">
      <c r="A161" s="313" t="s">
        <v>59</v>
      </c>
      <c r="B161" s="44" t="s">
        <v>1727</v>
      </c>
      <c r="C161" s="44"/>
      <c r="D161" s="44"/>
      <c r="E161" s="316"/>
      <c r="F161" s="316"/>
      <c r="G161" s="316"/>
      <c r="H161" s="316"/>
      <c r="I161" s="316"/>
      <c r="J161" s="316"/>
      <c r="K161" s="316"/>
      <c r="L161" s="316"/>
      <c r="M161" s="316"/>
      <c r="N161" s="316"/>
      <c r="O161" s="316"/>
      <c r="P161" s="316"/>
      <c r="Q161" s="316"/>
      <c r="R161" s="314" t="s">
        <v>1033</v>
      </c>
      <c r="S161" s="315"/>
      <c r="T161" s="20"/>
      <c r="U161" s="20"/>
      <c r="V161" s="20"/>
      <c r="AD161" s="1340"/>
      <c r="AE161" s="1340"/>
      <c r="AF161" s="1340"/>
    </row>
    <row r="162" spans="1:32">
      <c r="A162" s="313" t="s">
        <v>2075</v>
      </c>
      <c r="B162" s="44" t="s">
        <v>1727</v>
      </c>
      <c r="C162" s="44"/>
      <c r="D162" s="44"/>
      <c r="E162" s="316"/>
      <c r="F162" s="316"/>
      <c r="G162" s="316"/>
      <c r="H162" s="316"/>
      <c r="I162" s="316"/>
      <c r="J162" s="316"/>
      <c r="K162" s="316"/>
      <c r="L162" s="316"/>
      <c r="M162" s="316"/>
      <c r="N162" s="316"/>
      <c r="O162" s="316"/>
      <c r="P162" s="316"/>
      <c r="Q162" s="316"/>
      <c r="R162" s="314" t="s">
        <v>1033</v>
      </c>
      <c r="S162" s="315"/>
      <c r="T162" s="20"/>
      <c r="U162" s="20"/>
      <c r="V162" s="20"/>
      <c r="AD162" s="1340"/>
      <c r="AE162" s="1340"/>
      <c r="AF162" s="1340"/>
    </row>
    <row r="163" spans="1:32">
      <c r="A163" s="313" t="s">
        <v>2078</v>
      </c>
      <c r="B163" s="44" t="s">
        <v>1727</v>
      </c>
      <c r="C163" s="44"/>
      <c r="D163" s="44"/>
      <c r="E163" s="316"/>
      <c r="F163" s="316"/>
      <c r="G163" s="316"/>
      <c r="H163" s="316"/>
      <c r="I163" s="316"/>
      <c r="J163" s="316"/>
      <c r="K163" s="316"/>
      <c r="L163" s="316"/>
      <c r="M163" s="316"/>
      <c r="N163" s="316"/>
      <c r="O163" s="316"/>
      <c r="P163" s="316"/>
      <c r="Q163" s="316"/>
      <c r="R163" s="314" t="s">
        <v>1033</v>
      </c>
      <c r="S163" s="315"/>
      <c r="T163" s="20"/>
      <c r="U163" s="20"/>
      <c r="V163" s="20"/>
      <c r="AD163" s="1340"/>
      <c r="AE163" s="1340"/>
      <c r="AF163" s="1340"/>
    </row>
    <row r="164" spans="1:32">
      <c r="A164" s="313" t="s">
        <v>2080</v>
      </c>
      <c r="B164" s="44" t="s">
        <v>1727</v>
      </c>
      <c r="C164" s="44"/>
      <c r="D164" s="44"/>
      <c r="E164" s="316"/>
      <c r="F164" s="316"/>
      <c r="G164" s="316"/>
      <c r="H164" s="316"/>
      <c r="I164" s="316"/>
      <c r="J164" s="316"/>
      <c r="K164" s="316"/>
      <c r="L164" s="316"/>
      <c r="M164" s="316"/>
      <c r="N164" s="316"/>
      <c r="O164" s="316"/>
      <c r="P164" s="316"/>
      <c r="Q164" s="316"/>
      <c r="R164" s="314" t="s">
        <v>1033</v>
      </c>
      <c r="S164" s="315"/>
      <c r="T164" s="20"/>
      <c r="U164" s="20"/>
      <c r="V164" s="20"/>
      <c r="AD164" s="1340"/>
      <c r="AE164" s="1340"/>
      <c r="AF164" s="1340"/>
    </row>
    <row r="165" spans="1:32">
      <c r="A165" s="313" t="s">
        <v>1415</v>
      </c>
      <c r="B165" s="44" t="s">
        <v>1727</v>
      </c>
      <c r="C165" s="44"/>
      <c r="D165" s="44"/>
      <c r="E165" s="316"/>
      <c r="F165" s="316"/>
      <c r="G165" s="316"/>
      <c r="H165" s="316"/>
      <c r="I165" s="316"/>
      <c r="J165" s="316"/>
      <c r="K165" s="316"/>
      <c r="L165" s="316"/>
      <c r="M165" s="316"/>
      <c r="N165" s="316"/>
      <c r="O165" s="316"/>
      <c r="P165" s="316"/>
      <c r="Q165" s="316"/>
      <c r="R165" s="314" t="s">
        <v>1033</v>
      </c>
      <c r="S165" s="315"/>
      <c r="T165" s="20"/>
      <c r="U165" s="20"/>
      <c r="V165" s="20"/>
      <c r="AD165" s="1340"/>
      <c r="AE165" s="1340"/>
      <c r="AF165" s="1340"/>
    </row>
    <row r="166" spans="1:32">
      <c r="A166" s="313" t="s">
        <v>670</v>
      </c>
      <c r="B166" s="44" t="s">
        <v>1727</v>
      </c>
      <c r="C166" s="44"/>
      <c r="D166" s="44"/>
      <c r="E166" s="316"/>
      <c r="F166" s="316"/>
      <c r="G166" s="316"/>
      <c r="H166" s="316"/>
      <c r="I166" s="316"/>
      <c r="J166" s="316"/>
      <c r="K166" s="316"/>
      <c r="L166" s="316"/>
      <c r="M166" s="316"/>
      <c r="N166" s="316"/>
      <c r="O166" s="316"/>
      <c r="P166" s="316"/>
      <c r="Q166" s="316"/>
      <c r="R166" s="314" t="s">
        <v>1033</v>
      </c>
      <c r="S166" s="315"/>
      <c r="T166" s="20"/>
      <c r="U166" s="20"/>
      <c r="V166" s="20"/>
      <c r="AD166" s="1340"/>
      <c r="AE166" s="1340"/>
      <c r="AF166" s="1340"/>
    </row>
    <row r="167" spans="1:32">
      <c r="A167" s="313" t="s">
        <v>670</v>
      </c>
      <c r="B167" s="44" t="s">
        <v>107</v>
      </c>
      <c r="C167" s="44"/>
      <c r="D167" s="44"/>
      <c r="E167" s="316"/>
      <c r="F167" s="316"/>
      <c r="G167" s="316"/>
      <c r="H167" s="316"/>
      <c r="I167" s="316"/>
      <c r="J167" s="316"/>
      <c r="K167" s="316"/>
      <c r="L167" s="316"/>
      <c r="M167" s="316"/>
      <c r="N167" s="316"/>
      <c r="O167" s="316"/>
      <c r="P167" s="316"/>
      <c r="Q167" s="316"/>
      <c r="R167" s="314" t="s">
        <v>1033</v>
      </c>
      <c r="S167" s="315"/>
      <c r="T167" s="20"/>
      <c r="U167" s="20"/>
      <c r="V167" s="20"/>
      <c r="AD167" s="1340"/>
      <c r="AE167" s="1340"/>
      <c r="AF167" s="1340"/>
    </row>
    <row r="168" spans="1:32">
      <c r="A168" s="313" t="s">
        <v>671</v>
      </c>
      <c r="B168" s="44" t="s">
        <v>1727</v>
      </c>
      <c r="C168" s="44"/>
      <c r="D168" s="44"/>
      <c r="E168" s="316"/>
      <c r="F168" s="316"/>
      <c r="G168" s="316"/>
      <c r="H168" s="316"/>
      <c r="I168" s="316"/>
      <c r="J168" s="316"/>
      <c r="K168" s="316"/>
      <c r="L168" s="316"/>
      <c r="M168" s="316"/>
      <c r="N168" s="316"/>
      <c r="O168" s="316"/>
      <c r="P168" s="316"/>
      <c r="Q168" s="316"/>
      <c r="R168" s="314" t="s">
        <v>1033</v>
      </c>
      <c r="S168" s="315"/>
      <c r="T168" s="20"/>
      <c r="U168" s="20"/>
      <c r="V168" s="20"/>
      <c r="AD168" s="1340"/>
      <c r="AE168" s="1340"/>
      <c r="AF168" s="1340"/>
    </row>
    <row r="169" spans="1:32">
      <c r="A169" s="313" t="s">
        <v>671</v>
      </c>
      <c r="B169" s="44" t="s">
        <v>107</v>
      </c>
      <c r="C169" s="44"/>
      <c r="D169" s="44"/>
      <c r="E169" s="316"/>
      <c r="F169" s="316"/>
      <c r="G169" s="316"/>
      <c r="H169" s="316"/>
      <c r="I169" s="316"/>
      <c r="J169" s="316"/>
      <c r="K169" s="316"/>
      <c r="L169" s="316"/>
      <c r="M169" s="316"/>
      <c r="N169" s="316"/>
      <c r="O169" s="316"/>
      <c r="P169" s="316"/>
      <c r="Q169" s="316"/>
      <c r="R169" s="314" t="s">
        <v>1033</v>
      </c>
      <c r="S169" s="315"/>
      <c r="T169" s="20"/>
      <c r="U169" s="20"/>
      <c r="V169" s="20"/>
      <c r="AD169" s="1340"/>
      <c r="AE169" s="1340"/>
      <c r="AF169" s="1340"/>
    </row>
    <row r="170" spans="1:32">
      <c r="AD170" s="1340"/>
      <c r="AE170" s="1340"/>
      <c r="AF170" s="1340"/>
    </row>
  </sheetData>
  <mergeCells count="43">
    <mergeCell ref="L6:M6"/>
    <mergeCell ref="G4:H4"/>
    <mergeCell ref="U29:W29"/>
    <mergeCell ref="U37:W37"/>
    <mergeCell ref="U34:W34"/>
    <mergeCell ref="U26:W26"/>
    <mergeCell ref="U27:W27"/>
    <mergeCell ref="U28:W28"/>
    <mergeCell ref="U36:W36"/>
    <mergeCell ref="U31:W31"/>
    <mergeCell ref="U35:W35"/>
    <mergeCell ref="U33:W33"/>
    <mergeCell ref="U23:W23"/>
    <mergeCell ref="L7:M7"/>
    <mergeCell ref="U22:X22"/>
    <mergeCell ref="U24:W24"/>
    <mergeCell ref="U25:W25"/>
    <mergeCell ref="B143:C143"/>
    <mergeCell ref="U39:W39"/>
    <mergeCell ref="U38:W38"/>
    <mergeCell ref="U32:W32"/>
    <mergeCell ref="U30:W30"/>
    <mergeCell ref="I6:J6"/>
    <mergeCell ref="B78:C78"/>
    <mergeCell ref="E6:F6"/>
    <mergeCell ref="G6:H6"/>
    <mergeCell ref="E5:F5"/>
    <mergeCell ref="G5:H5"/>
    <mergeCell ref="I5:J5"/>
    <mergeCell ref="L5:M5"/>
    <mergeCell ref="B1:C1"/>
    <mergeCell ref="E2:K2"/>
    <mergeCell ref="I4:J4"/>
    <mergeCell ref="E1:K1"/>
    <mergeCell ref="E3:F3"/>
    <mergeCell ref="G3:H3"/>
    <mergeCell ref="I3:J3"/>
    <mergeCell ref="E4:F4"/>
    <mergeCell ref="A1:A2"/>
    <mergeCell ref="L4:M4"/>
    <mergeCell ref="L3:M3"/>
    <mergeCell ref="L2:M2"/>
    <mergeCell ref="L1:M1"/>
  </mergeCells>
  <phoneticPr fontId="2" type="noConversion"/>
  <conditionalFormatting sqref="X23 U23 U26:U28 X26:X28 X30:X39 U30:U39">
    <cfRule type="expression" dxfId="82" priority="471" stopIfTrue="1">
      <formula>$X23</formula>
    </cfRule>
  </conditionalFormatting>
  <conditionalFormatting sqref="C8">
    <cfRule type="cellIs" dxfId="81" priority="18" stopIfTrue="1" operator="greaterThan">
      <formula>0</formula>
    </cfRule>
    <cfRule type="cellIs" dxfId="80" priority="19" stopIfTrue="1" operator="equal">
      <formula>0</formula>
    </cfRule>
    <cfRule type="cellIs" dxfId="79" priority="20" stopIfTrue="1" operator="lessThan">
      <formula>9</formula>
    </cfRule>
  </conditionalFormatting>
  <conditionalFormatting sqref="B64:B65 D13:S15 D19:S21 B19:B21 B23:B25 D23:S25 D28:S31 B28:B31 B33:B34 D33:S34 D37:S38 B37:B38 B52:B53 D41:S41 D44:S46 B44:B46 B41 D49:S49 D52:S53 B49 B55:B56 D55:S56 D59:S61 B59:B61 D64:S65 B13:B15">
    <cfRule type="expression" dxfId="78" priority="488" stopIfTrue="1">
      <formula>$C13</formula>
    </cfRule>
  </conditionalFormatting>
  <conditionalFormatting sqref="U29:X29">
    <cfRule type="expression" dxfId="77" priority="489" stopIfTrue="1">
      <formula>$X29</formula>
    </cfRule>
  </conditionalFormatting>
  <conditionalFormatting sqref="A86">
    <cfRule type="expression" dxfId="76" priority="12" stopIfTrue="1">
      <formula>AND($B$77=1, OR(PlayerRace="Undead", PlayerRace="Orc", PlayerRace="Troll"))</formula>
    </cfRule>
  </conditionalFormatting>
  <conditionalFormatting sqref="A104">
    <cfRule type="expression" dxfId="75" priority="11" stopIfTrue="1">
      <formula>AND($B$77=1, OR(PlayerRace="Undead", PlayerRace="Orc", PlayerRace="Troll"))</formula>
    </cfRule>
  </conditionalFormatting>
  <conditionalFormatting sqref="A108">
    <cfRule type="expression" dxfId="74" priority="7" stopIfTrue="1">
      <formula>AND($B$82=1, OR(PlayerRace="Gnome", PlayerRace="Dwarf", PlayerRace="Human", PlayerRace="Night Elf"))</formula>
    </cfRule>
  </conditionalFormatting>
  <conditionalFormatting sqref="A109:A111 A113:A114">
    <cfRule type="expression" dxfId="73" priority="6" stopIfTrue="1">
      <formula>AND($B$82=1, OR(PlayerRace="Gnome", PlayerRace="Dwarf", PlayerRace="Human", PlayerRace="Night Elf"))</formula>
    </cfRule>
  </conditionalFormatting>
  <conditionalFormatting sqref="U24:U25 X24:X25">
    <cfRule type="expression" dxfId="72" priority="5" stopIfTrue="1">
      <formula>$X24</formula>
    </cfRule>
  </conditionalFormatting>
  <conditionalFormatting sqref="D8">
    <cfRule type="cellIs" dxfId="71" priority="2" stopIfTrue="1" operator="greaterThan">
      <formula>0</formula>
    </cfRule>
    <cfRule type="cellIs" dxfId="70" priority="3" stopIfTrue="1" operator="equal">
      <formula>0</formula>
    </cfRule>
    <cfRule type="cellIs" dxfId="69" priority="4" stopIfTrue="1" operator="lessThan">
      <formula>9</formula>
    </cfRule>
  </conditionalFormatting>
  <conditionalFormatting sqref="C13:C15 C19:C21 C23:C25 C28:C31 C33:C34 C37:C38 C41 C44:C46 C49 C52:C53 C55:C56 C59:C61 C64:C65">
    <cfRule type="expression" dxfId="68" priority="1" stopIfTrue="1">
      <formula>$C13</formula>
    </cfRule>
  </conditionalFormatting>
  <conditionalFormatting sqref="A29">
    <cfRule type="expression" dxfId="67" priority="490" stopIfTrue="1">
      <formula>AC13</formula>
    </cfRule>
  </conditionalFormatting>
  <conditionalFormatting sqref="A41 A33">
    <cfRule type="expression" dxfId="66" priority="491" stopIfTrue="1">
      <formula>AC14</formula>
    </cfRule>
  </conditionalFormatting>
  <conditionalFormatting sqref="A59">
    <cfRule type="expression" dxfId="65" priority="493" stopIfTrue="1">
      <formula>AC20</formula>
    </cfRule>
  </conditionalFormatting>
  <conditionalFormatting sqref="A49">
    <cfRule type="expression" dxfId="64" priority="494" stopIfTrue="1">
      <formula>AC17</formula>
    </cfRule>
  </conditionalFormatting>
  <conditionalFormatting sqref="A52">
    <cfRule type="expression" dxfId="63" priority="495" stopIfTrue="1">
      <formula>AC18</formula>
    </cfRule>
  </conditionalFormatting>
  <conditionalFormatting sqref="A55">
    <cfRule type="expression" dxfId="62" priority="496" stopIfTrue="1">
      <formula>AC19</formula>
    </cfRule>
  </conditionalFormatting>
  <conditionalFormatting sqref="A64">
    <cfRule type="expression" dxfId="61" priority="497" stopIfTrue="1">
      <formula>AC21</formula>
    </cfRule>
  </conditionalFormatting>
  <conditionalFormatting sqref="A44">
    <cfRule type="expression" dxfId="60" priority="498" stopIfTrue="1">
      <formula>AC16</formula>
    </cfRule>
  </conditionalFormatting>
  <conditionalFormatting sqref="A37">
    <cfRule type="expression" dxfId="59" priority="499" stopIfTrue="1">
      <formula>AC15</formula>
    </cfRule>
  </conditionalFormatting>
  <conditionalFormatting sqref="A13">
    <cfRule type="expression" dxfId="58" priority="500" stopIfTrue="1">
      <formula>AC10</formula>
    </cfRule>
  </conditionalFormatting>
  <conditionalFormatting sqref="A19">
    <cfRule type="expression" dxfId="57" priority="501" stopIfTrue="1">
      <formula>AC11</formula>
    </cfRule>
  </conditionalFormatting>
  <conditionalFormatting sqref="A23">
    <cfRule type="expression" dxfId="56" priority="502" stopIfTrue="1">
      <formula>AC12</formula>
    </cfRule>
  </conditionalFormatting>
  <dataValidations count="50">
    <dataValidation allowBlank="1" showErrorMessage="1" sqref="C98 C118 C135:C139 C85 C87 C107 C100" xr:uid="{00000000-0002-0000-0300-000000000000}"/>
    <dataValidation type="list" allowBlank="1" showInputMessage="1" showErrorMessage="1" sqref="B117:B118 B120:B126 B128:B141 B96:B102 B81:B89 B91:B92 B104:B106 B108:B110 B112:B114" xr:uid="{00000000-0002-0000-0300-000001000000}">
      <formula1>Talents0to1</formula1>
    </dataValidation>
    <dataValidation type="list" allowBlank="1" showErrorMessage="1" sqref="C105:C106 C97 C99 C101" xr:uid="{00000000-0002-0000-0300-000003000000}">
      <formula1>Talents0to5</formula1>
      <formula2>0</formula2>
    </dataValidation>
    <dataValidation type="list" allowBlank="1" showErrorMessage="1" sqref="C108:C109 C96 C106 C111 C113:C114" xr:uid="{00000000-0002-0000-0300-000004000000}">
      <formula1>Talents0to2</formula1>
      <formula2>0</formula2>
    </dataValidation>
    <dataValidation type="list" allowBlank="1" showErrorMessage="1" sqref="C81 C86" xr:uid="{00000000-0002-0000-0300-000005000000}">
      <formula1>Talents0to3</formula1>
      <formula2>0</formula2>
    </dataValidation>
    <dataValidation type="list" allowBlank="1" showErrorMessage="1" sqref="B41 B33:B34 B59:B61 B55:B56 B49 B44:B46 B64:B65 B52:B53 B37:B38 B23:B25 B29:B31 B19:B21 B13:B15" xr:uid="{00000000-0002-0000-0300-000006000000}">
      <formula1>GenSocketList</formula1>
      <formula2>0</formula2>
    </dataValidation>
    <dataValidation type="list" allowBlank="1" showErrorMessage="1" sqref="B26" xr:uid="{00000000-0002-0000-0300-000007000000}">
      <formula1>HelmList</formula1>
    </dataValidation>
    <dataValidation type="list" allowBlank="1" showErrorMessage="1" sqref="B32" xr:uid="{00000000-0002-0000-0300-000008000000}">
      <formula1>NeckList</formula1>
      <formula2>0</formula2>
    </dataValidation>
    <dataValidation type="list" allowBlank="1" showErrorMessage="1" sqref="B35" xr:uid="{00000000-0002-0000-0300-000009000000}">
      <formula1>ShoulderList</formula1>
      <formula2>0</formula2>
    </dataValidation>
    <dataValidation type="list" allowBlank="1" showErrorMessage="1" sqref="B42" xr:uid="{00000000-0002-0000-0300-00000A000000}">
      <formula1>ChestList</formula1>
      <formula2>0</formula2>
    </dataValidation>
    <dataValidation type="list" allowBlank="1" showErrorMessage="1" sqref="B54" xr:uid="{00000000-0002-0000-0300-00000B000000}">
      <formula1>BeltList</formula1>
      <formula2>0</formula2>
    </dataValidation>
    <dataValidation type="list" allowBlank="1" showErrorMessage="1" sqref="B57" xr:uid="{00000000-0002-0000-0300-00000C000000}">
      <formula1>LegsList</formula1>
      <formula2>0</formula2>
    </dataValidation>
    <dataValidation type="list" allowBlank="1" showErrorMessage="1" sqref="B62" xr:uid="{00000000-0002-0000-0300-00000D000000}">
      <formula1>BootsList</formula1>
      <formula2>0</formula2>
    </dataValidation>
    <dataValidation type="list" allowBlank="1" showErrorMessage="1" sqref="B47" xr:uid="{00000000-0002-0000-0300-00000E000000}">
      <formula1>BracersList</formula1>
      <formula2>0</formula2>
    </dataValidation>
    <dataValidation type="list" allowBlank="1" showErrorMessage="1" sqref="B50" xr:uid="{00000000-0002-0000-0300-00000F000000}">
      <formula1>GlovesList</formula1>
      <formula2>0</formula2>
    </dataValidation>
    <dataValidation type="list" allowBlank="1" showErrorMessage="1" sqref="B39" xr:uid="{00000000-0002-0000-0300-000010000000}">
      <formula1>BackList</formula1>
      <formula2>0</formula2>
    </dataValidation>
    <dataValidation type="list" allowBlank="1" showErrorMessage="1" sqref="B68" xr:uid="{00000000-0002-0000-0300-000011000000}">
      <formula1>RingList</formula1>
      <formula2>0</formula2>
    </dataValidation>
    <dataValidation type="list" allowBlank="1" showErrorMessage="1" sqref="B70:B71" xr:uid="{00000000-0002-0000-0300-000012000000}">
      <formula1>TrinketList</formula1>
      <formula2>0</formula2>
    </dataValidation>
    <dataValidation type="list" allowBlank="1" showErrorMessage="1" sqref="B22" xr:uid="{00000000-0002-0000-0300-000013000000}">
      <formula1>RangedList</formula1>
      <formula2>0</formula2>
    </dataValidation>
    <dataValidation type="list" allowBlank="1" showErrorMessage="1" sqref="B16" xr:uid="{00000000-0002-0000-0300-000014000000}">
      <formula1>OHWeaponList</formula1>
    </dataValidation>
    <dataValidation type="list" allowBlank="1" showErrorMessage="1" sqref="B74" xr:uid="{00000000-0002-0000-0300-000015000000}">
      <formula1>RacesList</formula1>
      <formula2>0</formula2>
    </dataValidation>
    <dataValidation type="list" allowBlank="1" showErrorMessage="1" sqref="B11" xr:uid="{00000000-0002-0000-0300-000016000000}">
      <formula1>MHEnchantList</formula1>
      <formula2>0</formula2>
    </dataValidation>
    <dataValidation type="list" allowBlank="1" showErrorMessage="1" sqref="B12" xr:uid="{00000000-0002-0000-0300-000017000000}">
      <formula1>MHTempEnchantList</formula1>
      <formula2>0</formula2>
    </dataValidation>
    <dataValidation type="list" allowBlank="1" showErrorMessage="1" sqref="B17" xr:uid="{00000000-0002-0000-0300-000018000000}">
      <formula1>OHEnchantList</formula1>
      <formula2>0</formula2>
    </dataValidation>
    <dataValidation type="list" allowBlank="1" showErrorMessage="1" sqref="B18" xr:uid="{00000000-0002-0000-0300-000019000000}">
      <formula1>OHTempEnchantList</formula1>
      <formula2>0</formula2>
    </dataValidation>
    <dataValidation type="list" allowBlank="1" showErrorMessage="1" sqref="B27" xr:uid="{00000000-0002-0000-0300-00001A000000}">
      <formula1>HelmEnchantList</formula1>
      <formula2>0</formula2>
    </dataValidation>
    <dataValidation type="list" allowBlank="1" showErrorMessage="1" sqref="B58" xr:uid="{00000000-0002-0000-0300-00001B000000}">
      <formula1>LegEnchantList</formula1>
      <formula2>0</formula2>
    </dataValidation>
    <dataValidation type="list" allowBlank="1" showErrorMessage="1" sqref="B36" xr:uid="{00000000-0002-0000-0300-00001C000000}">
      <formula1>ShoulderEnchantList</formula1>
      <formula2>0</formula2>
    </dataValidation>
    <dataValidation type="list" allowBlank="1" showErrorMessage="1" sqref="B43" xr:uid="{00000000-0002-0000-0300-00001D000000}">
      <formula1>ChestEnchantList</formula1>
      <formula2>0</formula2>
    </dataValidation>
    <dataValidation type="list" allowBlank="1" showErrorMessage="1" sqref="B63" xr:uid="{00000000-0002-0000-0300-00001E000000}">
      <formula1>BootEnchantList</formula1>
      <formula2>0</formula2>
    </dataValidation>
    <dataValidation type="list" allowBlank="1" showErrorMessage="1" sqref="B48" xr:uid="{00000000-0002-0000-0300-00001F000000}">
      <formula1>BracerEnchantList</formula1>
      <formula2>0</formula2>
    </dataValidation>
    <dataValidation type="list" allowBlank="1" showErrorMessage="1" sqref="B51" xr:uid="{00000000-0002-0000-0300-000020000000}">
      <formula1>GloveEnchantList</formula1>
      <formula2>0</formula2>
    </dataValidation>
    <dataValidation type="list" allowBlank="1" showErrorMessage="1" sqref="B40" xr:uid="{00000000-0002-0000-0300-000021000000}">
      <formula1>BackEnchantList</formula1>
      <formula2>0</formula2>
    </dataValidation>
    <dataValidation type="list" allowBlank="1" showErrorMessage="1" sqref="B10" xr:uid="{00000000-0002-0000-0300-000022000000}">
      <formula1>MHWeaponList</formula1>
    </dataValidation>
    <dataValidation type="list" allowBlank="1" showErrorMessage="1" sqref="B28" xr:uid="{00000000-0002-0000-0300-000023000000}">
      <formula1>MetaSocketList</formula1>
      <formula2>0</formula2>
    </dataValidation>
    <dataValidation allowBlank="1" showErrorMessage="1" sqref="B72" xr:uid="{00000000-0002-0000-0300-000024000000}">
      <formula1>0</formula1>
      <formula2>0</formula2>
    </dataValidation>
    <dataValidation type="list" allowBlank="1" showErrorMessage="1" sqref="B67 B69" xr:uid="{00000000-0002-0000-0300-000025000000}">
      <formula1>RingEnchantList</formula1>
      <formula2>0</formula2>
    </dataValidation>
    <dataValidation type="list" allowBlank="1" showInputMessage="1" showErrorMessage="1" sqref="B80" xr:uid="{00000000-0002-0000-0300-000026000000}">
      <formula1>Talents0to5</formula1>
    </dataValidation>
    <dataValidation type="list" allowBlank="1" showInputMessage="1" showErrorMessage="1" sqref="Y47:Y48" xr:uid="{00000000-0002-0000-0300-000027000000}">
      <formula1>weapontype</formula1>
    </dataValidation>
    <dataValidation type="list" allowBlank="1" showErrorMessage="1" sqref="C83" xr:uid="{00000000-0002-0000-0300-000028000000}">
      <formula1>"1,2"</formula1>
    </dataValidation>
    <dataValidation type="list" allowBlank="1" showInputMessage="1" showErrorMessage="1" sqref="C89 B93:B94" xr:uid="{00000000-0002-0000-0300-000029000000}">
      <formula1>"0,1,2,3,4,5"</formula1>
    </dataValidation>
    <dataValidation type="list" allowBlank="1" showInputMessage="1" showErrorMessage="1" sqref="C103 C112" xr:uid="{00000000-0002-0000-0300-00002A000000}">
      <formula1>"0,1,2,3"</formula1>
    </dataValidation>
    <dataValidation type="list" allowBlank="1" showInputMessage="1" showErrorMessage="1" sqref="B103" xr:uid="{00000000-0002-0000-0300-00002B000000}">
      <formula1>"0,1,2,3,4"</formula1>
    </dataValidation>
    <dataValidation type="list" allowBlank="1" showErrorMessage="1" sqref="C88" xr:uid="{00000000-0002-0000-0300-00002C000000}">
      <formula1>"0,1,2,3,4,5"</formula1>
    </dataValidation>
    <dataValidation type="whole" allowBlank="1" showInputMessage="1" showErrorMessage="1" sqref="C92" xr:uid="{00000000-0002-0000-0300-00002D000000}">
      <formula1>1</formula1>
      <formula2>25</formula2>
    </dataValidation>
    <dataValidation type="list" allowBlank="1" showErrorMessage="1" sqref="B66" xr:uid="{00000000-0002-0000-0300-00002E000000}">
      <formula1>RingList</formula1>
    </dataValidation>
    <dataValidation type="list" allowBlank="1" showInputMessage="1" showErrorMessage="1" sqref="S147:S169" xr:uid="{00000000-0002-0000-0300-00002F000000}">
      <formula1>BonusList</formula1>
    </dataValidation>
    <dataValidation type="list" allowBlank="1" showInputMessage="1" showErrorMessage="1" sqref="C93:C94" xr:uid="{00000000-0002-0000-0300-000031000000}">
      <formula1>"0,1,2"</formula1>
    </dataValidation>
    <dataValidation type="whole" allowBlank="1" showInputMessage="1" showErrorMessage="1" sqref="B107" xr:uid="{6CC19E6F-CD08-47EE-9790-8C9F66A2E173}">
      <formula1>0</formula1>
      <formula2>5</formula2>
    </dataValidation>
    <dataValidation type="list" allowBlank="1" showInputMessage="1" showErrorMessage="1" sqref="C90" xr:uid="{14017B1A-3BF8-458C-9D14-7EF3109A5387}">
      <formula1>Talents0to3</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64" r:id="rId4" name="CommandButton">
              <controlPr defaultSize="0" print="0" autoFill="0" autoLine="0" autoPict="0" macro="[0]!save_dps">
                <anchor moveWithCells="1" sizeWithCells="1">
                  <from>
                    <xdr:col>6</xdr:col>
                    <xdr:colOff>28575</xdr:colOff>
                    <xdr:row>6</xdr:row>
                    <xdr:rowOff>47625</xdr:rowOff>
                  </from>
                  <to>
                    <xdr:col>8</xdr:col>
                    <xdr:colOff>342900</xdr:colOff>
                    <xdr:row>7</xdr:row>
                    <xdr:rowOff>238125</xdr:rowOff>
                  </to>
                </anchor>
              </controlPr>
            </control>
          </mc:Choice>
        </mc:AlternateContent>
        <mc:AlternateContent xmlns:mc="http://schemas.openxmlformats.org/markup-compatibility/2006">
          <mc:Choice Requires="x14">
            <control shapeId="5190" r:id="rId5" name="CommandButton2">
              <controlPr defaultSize="0" autoFill="0" autoLine="0" autoPict="0" macro="[0]!import">
                <anchor moveWithCells="1" sizeWithCells="1">
                  <from>
                    <xdr:col>19</xdr:col>
                    <xdr:colOff>19050</xdr:colOff>
                    <xdr:row>2</xdr:row>
                    <xdr:rowOff>19050</xdr:rowOff>
                  </from>
                  <to>
                    <xdr:col>22</xdr:col>
                    <xdr:colOff>457200</xdr:colOff>
                    <xdr:row>6</xdr:row>
                    <xdr:rowOff>133350</xdr:rowOff>
                  </to>
                </anchor>
              </controlPr>
            </control>
          </mc:Choice>
        </mc:AlternateContent>
        <mc:AlternateContent xmlns:mc="http://schemas.openxmlformats.org/markup-compatibility/2006">
          <mc:Choice Requires="x14">
            <control shapeId="5192" r:id="rId6" name="Button 72">
              <controlPr defaultSize="0" print="0" autoFill="0" autoPict="0" macro="[0]!UpgradeMH">
                <anchor moveWithCells="1" sizeWithCells="1">
                  <from>
                    <xdr:col>0</xdr:col>
                    <xdr:colOff>1733550</xdr:colOff>
                    <xdr:row>9</xdr:row>
                    <xdr:rowOff>0</xdr:rowOff>
                  </from>
                  <to>
                    <xdr:col>0</xdr:col>
                    <xdr:colOff>2705100</xdr:colOff>
                    <xdr:row>10</xdr:row>
                    <xdr:rowOff>9525</xdr:rowOff>
                  </to>
                </anchor>
              </controlPr>
            </control>
          </mc:Choice>
        </mc:AlternateContent>
        <mc:AlternateContent xmlns:mc="http://schemas.openxmlformats.org/markup-compatibility/2006">
          <mc:Choice Requires="x14">
            <control shapeId="5193" r:id="rId7" name="Button 73">
              <controlPr defaultSize="0" print="0" autoFill="0" autoPict="0" macro="[0]!UpgradeOH">
                <anchor moveWithCells="1" sizeWithCells="1">
                  <from>
                    <xdr:col>0</xdr:col>
                    <xdr:colOff>1733550</xdr:colOff>
                    <xdr:row>15</xdr:row>
                    <xdr:rowOff>0</xdr:rowOff>
                  </from>
                  <to>
                    <xdr:col>0</xdr:col>
                    <xdr:colOff>2705100</xdr:colOff>
                    <xdr:row>16</xdr:row>
                    <xdr:rowOff>9525</xdr:rowOff>
                  </to>
                </anchor>
              </controlPr>
            </control>
          </mc:Choice>
        </mc:AlternateContent>
        <mc:AlternateContent xmlns:mc="http://schemas.openxmlformats.org/markup-compatibility/2006">
          <mc:Choice Requires="x14">
            <control shapeId="5194" r:id="rId8" name="Button 74">
              <controlPr defaultSize="0" print="0" autoFill="0" autoPict="0" macro="[0]!UpgradeRange">
                <anchor moveWithCells="1" sizeWithCells="1">
                  <from>
                    <xdr:col>0</xdr:col>
                    <xdr:colOff>1733550</xdr:colOff>
                    <xdr:row>21</xdr:row>
                    <xdr:rowOff>0</xdr:rowOff>
                  </from>
                  <to>
                    <xdr:col>1</xdr:col>
                    <xdr:colOff>0</xdr:colOff>
                    <xdr:row>22</xdr:row>
                    <xdr:rowOff>9525</xdr:rowOff>
                  </to>
                </anchor>
              </controlPr>
            </control>
          </mc:Choice>
        </mc:AlternateContent>
        <mc:AlternateContent xmlns:mc="http://schemas.openxmlformats.org/markup-compatibility/2006">
          <mc:Choice Requires="x14">
            <control shapeId="5195" r:id="rId9" name="Button 75">
              <controlPr defaultSize="0" print="0" autoFill="0" autoPict="0" macro="[0]!HeadUpgrade">
                <anchor moveWithCells="1" sizeWithCells="1">
                  <from>
                    <xdr:col>0</xdr:col>
                    <xdr:colOff>1733550</xdr:colOff>
                    <xdr:row>25</xdr:row>
                    <xdr:rowOff>0</xdr:rowOff>
                  </from>
                  <to>
                    <xdr:col>1</xdr:col>
                    <xdr:colOff>0</xdr:colOff>
                    <xdr:row>26</xdr:row>
                    <xdr:rowOff>9525</xdr:rowOff>
                  </to>
                </anchor>
              </controlPr>
            </control>
          </mc:Choice>
        </mc:AlternateContent>
        <mc:AlternateContent xmlns:mc="http://schemas.openxmlformats.org/markup-compatibility/2006">
          <mc:Choice Requires="x14">
            <control shapeId="5196" r:id="rId10" name="Button 76">
              <controlPr defaultSize="0" print="0" autoFill="0" autoPict="0" macro="[0]!NeckUpgrade">
                <anchor moveWithCells="1" sizeWithCells="1">
                  <from>
                    <xdr:col>0</xdr:col>
                    <xdr:colOff>1733550</xdr:colOff>
                    <xdr:row>31</xdr:row>
                    <xdr:rowOff>0</xdr:rowOff>
                  </from>
                  <to>
                    <xdr:col>1</xdr:col>
                    <xdr:colOff>0</xdr:colOff>
                    <xdr:row>32</xdr:row>
                    <xdr:rowOff>0</xdr:rowOff>
                  </to>
                </anchor>
              </controlPr>
            </control>
          </mc:Choice>
        </mc:AlternateContent>
        <mc:AlternateContent xmlns:mc="http://schemas.openxmlformats.org/markup-compatibility/2006">
          <mc:Choice Requires="x14">
            <control shapeId="5197" r:id="rId11" name="Button 77">
              <controlPr defaultSize="0" print="0" autoFill="0" autoPict="0" macro="[0]!ShoulderUpgrade">
                <anchor moveWithCells="1" sizeWithCells="1">
                  <from>
                    <xdr:col>0</xdr:col>
                    <xdr:colOff>1733550</xdr:colOff>
                    <xdr:row>34</xdr:row>
                    <xdr:rowOff>0</xdr:rowOff>
                  </from>
                  <to>
                    <xdr:col>1</xdr:col>
                    <xdr:colOff>0</xdr:colOff>
                    <xdr:row>35</xdr:row>
                    <xdr:rowOff>0</xdr:rowOff>
                  </to>
                </anchor>
              </controlPr>
            </control>
          </mc:Choice>
        </mc:AlternateContent>
        <mc:AlternateContent xmlns:mc="http://schemas.openxmlformats.org/markup-compatibility/2006">
          <mc:Choice Requires="x14">
            <control shapeId="5198" r:id="rId12" name="Button 78">
              <controlPr defaultSize="0" print="0" autoFill="0" autoPict="0" macro="[0]!BackUpgrade">
                <anchor moveWithCells="1" sizeWithCells="1">
                  <from>
                    <xdr:col>0</xdr:col>
                    <xdr:colOff>1733550</xdr:colOff>
                    <xdr:row>38</xdr:row>
                    <xdr:rowOff>0</xdr:rowOff>
                  </from>
                  <to>
                    <xdr:col>1</xdr:col>
                    <xdr:colOff>0</xdr:colOff>
                    <xdr:row>39</xdr:row>
                    <xdr:rowOff>0</xdr:rowOff>
                  </to>
                </anchor>
              </controlPr>
            </control>
          </mc:Choice>
        </mc:AlternateContent>
        <mc:AlternateContent xmlns:mc="http://schemas.openxmlformats.org/markup-compatibility/2006">
          <mc:Choice Requires="x14">
            <control shapeId="5199" r:id="rId13" name="Button 79">
              <controlPr defaultSize="0" print="0" autoFill="0" autoPict="0" macro="[0]!ChestUpgrade">
                <anchor moveWithCells="1" sizeWithCells="1">
                  <from>
                    <xdr:col>0</xdr:col>
                    <xdr:colOff>1733550</xdr:colOff>
                    <xdr:row>41</xdr:row>
                    <xdr:rowOff>0</xdr:rowOff>
                  </from>
                  <to>
                    <xdr:col>1</xdr:col>
                    <xdr:colOff>0</xdr:colOff>
                    <xdr:row>42</xdr:row>
                    <xdr:rowOff>0</xdr:rowOff>
                  </to>
                </anchor>
              </controlPr>
            </control>
          </mc:Choice>
        </mc:AlternateContent>
        <mc:AlternateContent xmlns:mc="http://schemas.openxmlformats.org/markup-compatibility/2006">
          <mc:Choice Requires="x14">
            <control shapeId="5200" r:id="rId14" name="Button 80">
              <controlPr defaultSize="0" print="0" autoFill="0" autoPict="0" macro="[0]!BracerUPgrade">
                <anchor moveWithCells="1" sizeWithCells="1">
                  <from>
                    <xdr:col>0</xdr:col>
                    <xdr:colOff>1733550</xdr:colOff>
                    <xdr:row>46</xdr:row>
                    <xdr:rowOff>0</xdr:rowOff>
                  </from>
                  <to>
                    <xdr:col>0</xdr:col>
                    <xdr:colOff>2705100</xdr:colOff>
                    <xdr:row>47</xdr:row>
                    <xdr:rowOff>9525</xdr:rowOff>
                  </to>
                </anchor>
              </controlPr>
            </control>
          </mc:Choice>
        </mc:AlternateContent>
        <mc:AlternateContent xmlns:mc="http://schemas.openxmlformats.org/markup-compatibility/2006">
          <mc:Choice Requires="x14">
            <control shapeId="5201" r:id="rId15" name="Button 81">
              <controlPr defaultSize="0" print="0" autoFill="0" autoPict="0" macro="[0]!HandUpgrade">
                <anchor moveWithCells="1" sizeWithCells="1">
                  <from>
                    <xdr:col>0</xdr:col>
                    <xdr:colOff>1733550</xdr:colOff>
                    <xdr:row>48</xdr:row>
                    <xdr:rowOff>142875</xdr:rowOff>
                  </from>
                  <to>
                    <xdr:col>1</xdr:col>
                    <xdr:colOff>0</xdr:colOff>
                    <xdr:row>50</xdr:row>
                    <xdr:rowOff>9525</xdr:rowOff>
                  </to>
                </anchor>
              </controlPr>
            </control>
          </mc:Choice>
        </mc:AlternateContent>
        <mc:AlternateContent xmlns:mc="http://schemas.openxmlformats.org/markup-compatibility/2006">
          <mc:Choice Requires="x14">
            <control shapeId="5202" r:id="rId16" name="Button 82">
              <controlPr defaultSize="0" print="0" autoFill="0" autoPict="0" macro="[0]!BeltUpgrade">
                <anchor moveWithCells="1" sizeWithCells="1">
                  <from>
                    <xdr:col>0</xdr:col>
                    <xdr:colOff>1733550</xdr:colOff>
                    <xdr:row>53</xdr:row>
                    <xdr:rowOff>0</xdr:rowOff>
                  </from>
                  <to>
                    <xdr:col>1</xdr:col>
                    <xdr:colOff>0</xdr:colOff>
                    <xdr:row>54</xdr:row>
                    <xdr:rowOff>9525</xdr:rowOff>
                  </to>
                </anchor>
              </controlPr>
            </control>
          </mc:Choice>
        </mc:AlternateContent>
        <mc:AlternateContent xmlns:mc="http://schemas.openxmlformats.org/markup-compatibility/2006">
          <mc:Choice Requires="x14">
            <control shapeId="5203" r:id="rId17" name="Button 83">
              <controlPr defaultSize="0" print="0" autoFill="0" autoPict="0" macro="[0]!LegUpgrade">
                <anchor moveWithCells="1" sizeWithCells="1">
                  <from>
                    <xdr:col>0</xdr:col>
                    <xdr:colOff>1733550</xdr:colOff>
                    <xdr:row>56</xdr:row>
                    <xdr:rowOff>0</xdr:rowOff>
                  </from>
                  <to>
                    <xdr:col>1</xdr:col>
                    <xdr:colOff>0</xdr:colOff>
                    <xdr:row>57</xdr:row>
                    <xdr:rowOff>9525</xdr:rowOff>
                  </to>
                </anchor>
              </controlPr>
            </control>
          </mc:Choice>
        </mc:AlternateContent>
        <mc:AlternateContent xmlns:mc="http://schemas.openxmlformats.org/markup-compatibility/2006">
          <mc:Choice Requires="x14">
            <control shapeId="5204" r:id="rId18" name="Button 84">
              <controlPr defaultSize="0" print="0" autoFill="0" autoPict="0" macro="[0]!BootUpgrade">
                <anchor moveWithCells="1" sizeWithCells="1">
                  <from>
                    <xdr:col>0</xdr:col>
                    <xdr:colOff>1733550</xdr:colOff>
                    <xdr:row>61</xdr:row>
                    <xdr:rowOff>0</xdr:rowOff>
                  </from>
                  <to>
                    <xdr:col>0</xdr:col>
                    <xdr:colOff>2705100</xdr:colOff>
                    <xdr:row>62</xdr:row>
                    <xdr:rowOff>9525</xdr:rowOff>
                  </to>
                </anchor>
              </controlPr>
            </control>
          </mc:Choice>
        </mc:AlternateContent>
        <mc:AlternateContent xmlns:mc="http://schemas.openxmlformats.org/markup-compatibility/2006">
          <mc:Choice Requires="x14">
            <control shapeId="5205" r:id="rId19" name="Button 85">
              <controlPr defaultSize="0" print="0" autoFill="0" autoPict="0" macro="[0]!Ring1Upgrade">
                <anchor moveWithCells="1" sizeWithCells="1">
                  <from>
                    <xdr:col>0</xdr:col>
                    <xdr:colOff>1733550</xdr:colOff>
                    <xdr:row>65</xdr:row>
                    <xdr:rowOff>0</xdr:rowOff>
                  </from>
                  <to>
                    <xdr:col>0</xdr:col>
                    <xdr:colOff>2705100</xdr:colOff>
                    <xdr:row>66</xdr:row>
                    <xdr:rowOff>9525</xdr:rowOff>
                  </to>
                </anchor>
              </controlPr>
            </control>
          </mc:Choice>
        </mc:AlternateContent>
        <mc:AlternateContent xmlns:mc="http://schemas.openxmlformats.org/markup-compatibility/2006">
          <mc:Choice Requires="x14">
            <control shapeId="5206" r:id="rId20" name="Button 86">
              <controlPr defaultSize="0" print="0" autoFill="0" autoPict="0" macro="[0]!Ring2Upgrade">
                <anchor moveWithCells="1" sizeWithCells="1">
                  <from>
                    <xdr:col>0</xdr:col>
                    <xdr:colOff>1733550</xdr:colOff>
                    <xdr:row>67</xdr:row>
                    <xdr:rowOff>9525</xdr:rowOff>
                  </from>
                  <to>
                    <xdr:col>1</xdr:col>
                    <xdr:colOff>0</xdr:colOff>
                    <xdr:row>68</xdr:row>
                    <xdr:rowOff>9525</xdr:rowOff>
                  </to>
                </anchor>
              </controlPr>
            </control>
          </mc:Choice>
        </mc:AlternateContent>
        <mc:AlternateContent xmlns:mc="http://schemas.openxmlformats.org/markup-compatibility/2006">
          <mc:Choice Requires="x14">
            <control shapeId="5207" r:id="rId21" name="Button 87">
              <controlPr defaultSize="0" print="0" autoFill="0" autoPict="0" macro="[0]!Trinket1Upgrade">
                <anchor moveWithCells="1" sizeWithCells="1">
                  <from>
                    <xdr:col>0</xdr:col>
                    <xdr:colOff>1733550</xdr:colOff>
                    <xdr:row>69</xdr:row>
                    <xdr:rowOff>0</xdr:rowOff>
                  </from>
                  <to>
                    <xdr:col>1</xdr:col>
                    <xdr:colOff>0</xdr:colOff>
                    <xdr:row>70</xdr:row>
                    <xdr:rowOff>0</xdr:rowOff>
                  </to>
                </anchor>
              </controlPr>
            </control>
          </mc:Choice>
        </mc:AlternateContent>
        <mc:AlternateContent xmlns:mc="http://schemas.openxmlformats.org/markup-compatibility/2006">
          <mc:Choice Requires="x14">
            <control shapeId="5208" r:id="rId22" name="Button 88">
              <controlPr defaultSize="0" print="0" autoFill="0" autoPict="0" macro="[0]!trinket2List">
                <anchor moveWithCells="1" sizeWithCells="1">
                  <from>
                    <xdr:col>0</xdr:col>
                    <xdr:colOff>1733550</xdr:colOff>
                    <xdr:row>69</xdr:row>
                    <xdr:rowOff>152400</xdr:rowOff>
                  </from>
                  <to>
                    <xdr:col>1</xdr:col>
                    <xdr:colOff>0</xdr:colOff>
                    <xdr:row>71</xdr:row>
                    <xdr:rowOff>9525</xdr:rowOff>
                  </to>
                </anchor>
              </controlPr>
            </control>
          </mc:Choice>
        </mc:AlternateContent>
        <mc:AlternateContent xmlns:mc="http://schemas.openxmlformats.org/markup-compatibility/2006">
          <mc:Choice Requires="x14">
            <control shapeId="5744" r:id="rId23" name="Button 624">
              <controlPr defaultSize="0" print="0" autoFill="0" autoPict="0" macro="[0]!AllUpgrades">
                <anchor moveWithCells="1" sizeWithCells="1">
                  <from>
                    <xdr:col>0</xdr:col>
                    <xdr:colOff>9525</xdr:colOff>
                    <xdr:row>4</xdr:row>
                    <xdr:rowOff>19050</xdr:rowOff>
                  </from>
                  <to>
                    <xdr:col>0</xdr:col>
                    <xdr:colOff>838200</xdr:colOff>
                    <xdr:row>6</xdr:row>
                    <xdr:rowOff>0</xdr:rowOff>
                  </to>
                </anchor>
              </controlPr>
            </control>
          </mc:Choice>
        </mc:AlternateContent>
        <mc:AlternateContent xmlns:mc="http://schemas.openxmlformats.org/markup-compatibility/2006">
          <mc:Choice Requires="x14">
            <control shapeId="5745" r:id="rId24" name="Button 625">
              <controlPr defaultSize="0" print="0" autoFill="0" autoPict="0" macro="[0]!GemUpgrades">
                <anchor moveWithCells="1" sizeWithCells="1">
                  <from>
                    <xdr:col>0</xdr:col>
                    <xdr:colOff>847725</xdr:colOff>
                    <xdr:row>4</xdr:row>
                    <xdr:rowOff>9525</xdr:rowOff>
                  </from>
                  <to>
                    <xdr:col>0</xdr:col>
                    <xdr:colOff>1666875</xdr:colOff>
                    <xdr:row>6</xdr:row>
                    <xdr:rowOff>0</xdr:rowOff>
                  </to>
                </anchor>
              </controlPr>
            </control>
          </mc:Choice>
        </mc:AlternateContent>
        <mc:AlternateContent xmlns:mc="http://schemas.openxmlformats.org/markup-compatibility/2006">
          <mc:Choice Requires="x14">
            <control shapeId="5746" r:id="rId25" name="Button 626">
              <controlPr defaultSize="0" print="0" autoFill="0" autoPict="0" macro="[0]!EnchantUpgrades">
                <anchor moveWithCells="1" sizeWithCells="1">
                  <from>
                    <xdr:col>0</xdr:col>
                    <xdr:colOff>1676400</xdr:colOff>
                    <xdr:row>4</xdr:row>
                    <xdr:rowOff>9525</xdr:rowOff>
                  </from>
                  <to>
                    <xdr:col>0</xdr:col>
                    <xdr:colOff>2686050</xdr:colOff>
                    <xdr:row>6</xdr:row>
                    <xdr:rowOff>0</xdr:rowOff>
                  </to>
                </anchor>
              </controlPr>
            </control>
          </mc:Choice>
        </mc:AlternateContent>
        <mc:AlternateContent xmlns:mc="http://schemas.openxmlformats.org/markup-compatibility/2006">
          <mc:Choice Requires="x14">
            <control shapeId="5756" r:id="rId26" name="IncludeSmith">
              <controlPr defaultSize="0" autoFill="0" autoLine="0" autoPict="0">
                <anchor moveWithCells="1" sizeWithCells="1">
                  <from>
                    <xdr:col>20</xdr:col>
                    <xdr:colOff>85725</xdr:colOff>
                    <xdr:row>50</xdr:row>
                    <xdr:rowOff>0</xdr:rowOff>
                  </from>
                  <to>
                    <xdr:col>21</xdr:col>
                    <xdr:colOff>38100</xdr:colOff>
                    <xdr:row>51</xdr:row>
                    <xdr:rowOff>0</xdr:rowOff>
                  </to>
                </anchor>
              </controlPr>
            </control>
          </mc:Choice>
        </mc:AlternateContent>
        <mc:AlternateContent xmlns:mc="http://schemas.openxmlformats.org/markup-compatibility/2006">
          <mc:Choice Requires="x14">
            <control shapeId="5759" r:id="rId27" name="Check Box 639">
              <controlPr defaultSize="0" autoFill="0" autoLine="0" autoPict="0">
                <anchor moveWithCells="1" sizeWithCells="1">
                  <from>
                    <xdr:col>20</xdr:col>
                    <xdr:colOff>85725</xdr:colOff>
                    <xdr:row>51</xdr:row>
                    <xdr:rowOff>0</xdr:rowOff>
                  </from>
                  <to>
                    <xdr:col>21</xdr:col>
                    <xdr:colOff>9525</xdr:colOff>
                    <xdr:row>52</xdr:row>
                    <xdr:rowOff>0</xdr:rowOff>
                  </to>
                </anchor>
              </controlPr>
            </control>
          </mc:Choice>
        </mc:AlternateContent>
        <mc:AlternateContent xmlns:mc="http://schemas.openxmlformats.org/markup-compatibility/2006">
          <mc:Choice Requires="x14">
            <control shapeId="5760" r:id="rId28" name="IncludeEng">
              <controlPr defaultSize="0" autoFill="0" autoLine="0" autoPict="0">
                <anchor moveWithCells="1" sizeWithCells="1">
                  <from>
                    <xdr:col>20</xdr:col>
                    <xdr:colOff>85725</xdr:colOff>
                    <xdr:row>52</xdr:row>
                    <xdr:rowOff>0</xdr:rowOff>
                  </from>
                  <to>
                    <xdr:col>21</xdr:col>
                    <xdr:colOff>38100</xdr:colOff>
                    <xdr:row>53</xdr:row>
                    <xdr:rowOff>0</xdr:rowOff>
                  </to>
                </anchor>
              </controlPr>
            </control>
          </mc:Choice>
        </mc:AlternateContent>
        <mc:AlternateContent xmlns:mc="http://schemas.openxmlformats.org/markup-compatibility/2006">
          <mc:Choice Requires="x14">
            <control shapeId="5766" r:id="rId29" name="CheckBox">
              <controlPr defaultSize="0" autoFill="0" autoLine="0" autoPict="0">
                <anchor moveWithCells="1" sizeWithCells="1">
                  <from>
                    <xdr:col>20</xdr:col>
                    <xdr:colOff>85725</xdr:colOff>
                    <xdr:row>57</xdr:row>
                    <xdr:rowOff>0</xdr:rowOff>
                  </from>
                  <to>
                    <xdr:col>21</xdr:col>
                    <xdr:colOff>38100</xdr:colOff>
                    <xdr:row>58</xdr:row>
                    <xdr:rowOff>0</xdr:rowOff>
                  </to>
                </anchor>
              </controlPr>
            </control>
          </mc:Choice>
        </mc:AlternateContent>
        <mc:AlternateContent xmlns:mc="http://schemas.openxmlformats.org/markup-compatibility/2006">
          <mc:Choice Requires="x14">
            <control shapeId="5767" r:id="rId30" name="Check Box 647">
              <controlPr defaultSize="0" autoFill="0" autoLine="0" autoPict="0">
                <anchor moveWithCells="1" sizeWithCells="1">
                  <from>
                    <xdr:col>20</xdr:col>
                    <xdr:colOff>85725</xdr:colOff>
                    <xdr:row>58</xdr:row>
                    <xdr:rowOff>0</xdr:rowOff>
                  </from>
                  <to>
                    <xdr:col>21</xdr:col>
                    <xdr:colOff>38100</xdr:colOff>
                    <xdr:row>59</xdr:row>
                    <xdr:rowOff>0</xdr:rowOff>
                  </to>
                </anchor>
              </controlPr>
            </control>
          </mc:Choice>
        </mc:AlternateContent>
        <mc:AlternateContent xmlns:mc="http://schemas.openxmlformats.org/markup-compatibility/2006">
          <mc:Choice Requires="x14">
            <control shapeId="5768" r:id="rId31" name="Check Box 648">
              <controlPr defaultSize="0" autoFill="0" autoLine="0" autoPict="0">
                <anchor moveWithCells="1" sizeWithCells="1">
                  <from>
                    <xdr:col>20</xdr:col>
                    <xdr:colOff>85725</xdr:colOff>
                    <xdr:row>61</xdr:row>
                    <xdr:rowOff>0</xdr:rowOff>
                  </from>
                  <to>
                    <xdr:col>21</xdr:col>
                    <xdr:colOff>38100</xdr:colOff>
                    <xdr:row>62</xdr:row>
                    <xdr:rowOff>0</xdr:rowOff>
                  </to>
                </anchor>
              </controlPr>
            </control>
          </mc:Choice>
        </mc:AlternateContent>
        <mc:AlternateContent xmlns:mc="http://schemas.openxmlformats.org/markup-compatibility/2006">
          <mc:Choice Requires="x14">
            <control shapeId="5769" r:id="rId32" name="Check Box 649">
              <controlPr defaultSize="0" autoFill="0" autoLine="0" autoPict="0">
                <anchor moveWithCells="1" sizeWithCells="1">
                  <from>
                    <xdr:col>20</xdr:col>
                    <xdr:colOff>85725</xdr:colOff>
                    <xdr:row>60</xdr:row>
                    <xdr:rowOff>0</xdr:rowOff>
                  </from>
                  <to>
                    <xdr:col>21</xdr:col>
                    <xdr:colOff>38100</xdr:colOff>
                    <xdr:row>61</xdr:row>
                    <xdr:rowOff>0</xdr:rowOff>
                  </to>
                </anchor>
              </controlPr>
            </control>
          </mc:Choice>
        </mc:AlternateContent>
        <mc:AlternateContent xmlns:mc="http://schemas.openxmlformats.org/markup-compatibility/2006">
          <mc:Choice Requires="x14">
            <control shapeId="5783" r:id="rId33" name="Check Box 663">
              <controlPr defaultSize="0" autoFill="0" autoLine="0" autoPict="0">
                <anchor moveWithCells="1" sizeWithCells="1">
                  <from>
                    <xdr:col>20</xdr:col>
                    <xdr:colOff>85725</xdr:colOff>
                    <xdr:row>59</xdr:row>
                    <xdr:rowOff>0</xdr:rowOff>
                  </from>
                  <to>
                    <xdr:col>21</xdr:col>
                    <xdr:colOff>38100</xdr:colOff>
                    <xdr:row>60</xdr:row>
                    <xdr:rowOff>0</xdr:rowOff>
                  </to>
                </anchor>
              </controlPr>
            </control>
          </mc:Choice>
        </mc:AlternateContent>
        <mc:AlternateContent xmlns:mc="http://schemas.openxmlformats.org/markup-compatibility/2006">
          <mc:Choice Requires="x14">
            <control shapeId="5797" r:id="rId34" name="Check Box 677">
              <controlPr defaultSize="0" autoFill="0" autoLine="0" autoPict="0">
                <anchor moveWithCells="1" sizeWithCells="1">
                  <from>
                    <xdr:col>20</xdr:col>
                    <xdr:colOff>85725</xdr:colOff>
                    <xdr:row>53</xdr:row>
                    <xdr:rowOff>0</xdr:rowOff>
                  </from>
                  <to>
                    <xdr:col>21</xdr:col>
                    <xdr:colOff>38100</xdr:colOff>
                    <xdr:row>54</xdr:row>
                    <xdr:rowOff>0</xdr:rowOff>
                  </to>
                </anchor>
              </controlPr>
            </control>
          </mc:Choice>
        </mc:AlternateContent>
        <mc:AlternateContent xmlns:mc="http://schemas.openxmlformats.org/markup-compatibility/2006">
          <mc:Choice Requires="x14">
            <control shapeId="5828" r:id="rId35" name="Button 708">
              <controlPr defaultSize="0" print="0" autoFill="0" autoPict="0" macro="[0]!DeleteComment">
                <anchor moveWithCells="1" sizeWithCells="1">
                  <from>
                    <xdr:col>0</xdr:col>
                    <xdr:colOff>9525</xdr:colOff>
                    <xdr:row>2</xdr:row>
                    <xdr:rowOff>9525</xdr:rowOff>
                  </from>
                  <to>
                    <xdr:col>0</xdr:col>
                    <xdr:colOff>2686050</xdr:colOff>
                    <xdr:row>4</xdr:row>
                    <xdr:rowOff>9525</xdr:rowOff>
                  </to>
                </anchor>
              </controlPr>
            </control>
          </mc:Choice>
        </mc:AlternateContent>
        <mc:AlternateContent xmlns:mc="http://schemas.openxmlformats.org/markup-compatibility/2006">
          <mc:Choice Requires="x14">
            <control shapeId="6031" r:id="rId36" name="Check Box 911">
              <controlPr defaultSize="0" autoFill="0" autoLine="0" autoPict="0">
                <anchor moveWithCells="1" sizeWithCells="1">
                  <from>
                    <xdr:col>20</xdr:col>
                    <xdr:colOff>85725</xdr:colOff>
                    <xdr:row>54</xdr:row>
                    <xdr:rowOff>0</xdr:rowOff>
                  </from>
                  <to>
                    <xdr:col>21</xdr:col>
                    <xdr:colOff>38100</xdr:colOff>
                    <xdr:row>55</xdr:row>
                    <xdr:rowOff>0</xdr:rowOff>
                  </to>
                </anchor>
              </controlPr>
            </control>
          </mc:Choice>
        </mc:AlternateContent>
        <mc:AlternateContent xmlns:mc="http://schemas.openxmlformats.org/markup-compatibility/2006">
          <mc:Choice Requires="x14">
            <control shapeId="6040" r:id="rId37" name="Check Box 920">
              <controlPr defaultSize="0" autoFill="0" autoLine="0" autoPict="0">
                <anchor moveWithCells="1" sizeWithCells="1">
                  <from>
                    <xdr:col>25</xdr:col>
                    <xdr:colOff>66675</xdr:colOff>
                    <xdr:row>43</xdr:row>
                    <xdr:rowOff>0</xdr:rowOff>
                  </from>
                  <to>
                    <xdr:col>26</xdr:col>
                    <xdr:colOff>190500</xdr:colOff>
                    <xdr:row>44</xdr:row>
                    <xdr:rowOff>0</xdr:rowOff>
                  </to>
                </anchor>
              </controlPr>
            </control>
          </mc:Choice>
        </mc:AlternateContent>
        <mc:AlternateContent xmlns:mc="http://schemas.openxmlformats.org/markup-compatibility/2006">
          <mc:Choice Requires="x14">
            <control shapeId="6103" r:id="rId38" name="Check Box 983">
              <controlPr defaultSize="0" autoFill="0" autoLine="0" autoPict="0">
                <anchor moveWithCells="1" sizeWithCells="1">
                  <from>
                    <xdr:col>24</xdr:col>
                    <xdr:colOff>57150</xdr:colOff>
                    <xdr:row>2</xdr:row>
                    <xdr:rowOff>19050</xdr:rowOff>
                  </from>
                  <to>
                    <xdr:col>25</xdr:col>
                    <xdr:colOff>0</xdr:colOff>
                    <xdr:row>2</xdr:row>
                    <xdr:rowOff>152400</xdr:rowOff>
                  </to>
                </anchor>
              </controlPr>
            </control>
          </mc:Choice>
        </mc:AlternateContent>
        <mc:AlternateContent xmlns:mc="http://schemas.openxmlformats.org/markup-compatibility/2006">
          <mc:Choice Requires="x14">
            <control shapeId="6104" r:id="rId39" name="Check Box 984">
              <controlPr defaultSize="0" autoFill="0" autoLine="0" autoPict="0">
                <anchor moveWithCells="1" sizeWithCells="1">
                  <from>
                    <xdr:col>24</xdr:col>
                    <xdr:colOff>57150</xdr:colOff>
                    <xdr:row>3</xdr:row>
                    <xdr:rowOff>0</xdr:rowOff>
                  </from>
                  <to>
                    <xdr:col>25</xdr:col>
                    <xdr:colOff>0</xdr:colOff>
                    <xdr:row>4</xdr:row>
                    <xdr:rowOff>0</xdr:rowOff>
                  </to>
                </anchor>
              </controlPr>
            </control>
          </mc:Choice>
        </mc:AlternateContent>
        <mc:AlternateContent xmlns:mc="http://schemas.openxmlformats.org/markup-compatibility/2006">
          <mc:Choice Requires="x14">
            <control shapeId="6105" r:id="rId40" name="Check Box 985">
              <controlPr defaultSize="0" autoFill="0" autoLine="0" autoPict="0">
                <anchor moveWithCells="1" sizeWithCells="1">
                  <from>
                    <xdr:col>24</xdr:col>
                    <xdr:colOff>57150</xdr:colOff>
                    <xdr:row>4</xdr:row>
                    <xdr:rowOff>9525</xdr:rowOff>
                  </from>
                  <to>
                    <xdr:col>25</xdr:col>
                    <xdr:colOff>0</xdr:colOff>
                    <xdr:row>4</xdr:row>
                    <xdr:rowOff>152400</xdr:rowOff>
                  </to>
                </anchor>
              </controlPr>
            </control>
          </mc:Choice>
        </mc:AlternateContent>
        <mc:AlternateContent xmlns:mc="http://schemas.openxmlformats.org/markup-compatibility/2006">
          <mc:Choice Requires="x14">
            <control shapeId="66928" r:id="rId41" name="Check Box 1392">
              <controlPr defaultSize="0" autoFill="0" autoLine="0" autoPict="0">
                <anchor moveWithCells="1" sizeWithCells="1">
                  <from>
                    <xdr:col>20</xdr:col>
                    <xdr:colOff>85725</xdr:colOff>
                    <xdr:row>41</xdr:row>
                    <xdr:rowOff>152400</xdr:rowOff>
                  </from>
                  <to>
                    <xdr:col>21</xdr:col>
                    <xdr:colOff>38100</xdr:colOff>
                    <xdr:row>42</xdr:row>
                    <xdr:rowOff>152400</xdr:rowOff>
                  </to>
                </anchor>
              </controlPr>
            </control>
          </mc:Choice>
        </mc:AlternateContent>
        <mc:AlternateContent xmlns:mc="http://schemas.openxmlformats.org/markup-compatibility/2006">
          <mc:Choice Requires="x14">
            <control shapeId="66995" r:id="rId42" name="Check Box 1459">
              <controlPr defaultSize="0" autoFill="0" autoLine="0" autoPict="0">
                <anchor moveWithCells="1" sizeWithCells="1">
                  <from>
                    <xdr:col>25</xdr:col>
                    <xdr:colOff>66675</xdr:colOff>
                    <xdr:row>49</xdr:row>
                    <xdr:rowOff>0</xdr:rowOff>
                  </from>
                  <to>
                    <xdr:col>26</xdr:col>
                    <xdr:colOff>190500</xdr:colOff>
                    <xdr:row>50</xdr:row>
                    <xdr:rowOff>0</xdr:rowOff>
                  </to>
                </anchor>
              </controlPr>
            </control>
          </mc:Choice>
        </mc:AlternateContent>
        <mc:AlternateContent xmlns:mc="http://schemas.openxmlformats.org/markup-compatibility/2006">
          <mc:Choice Requires="x14">
            <control shapeId="67303" r:id="rId43" name="Button 1767">
              <controlPr defaultSize="0" print="0" autoFill="0" autoPict="0" macro="[0]!saveGear">
                <anchor moveWithCells="1">
                  <from>
                    <xdr:col>0</xdr:col>
                    <xdr:colOff>9525</xdr:colOff>
                    <xdr:row>7</xdr:row>
                    <xdr:rowOff>19050</xdr:rowOff>
                  </from>
                  <to>
                    <xdr:col>0</xdr:col>
                    <xdr:colOff>838200</xdr:colOff>
                    <xdr:row>8</xdr:row>
                    <xdr:rowOff>133350</xdr:rowOff>
                  </to>
                </anchor>
              </controlPr>
            </control>
          </mc:Choice>
        </mc:AlternateContent>
        <mc:AlternateContent xmlns:mc="http://schemas.openxmlformats.org/markup-compatibility/2006">
          <mc:Choice Requires="x14">
            <control shapeId="67304" r:id="rId44" name="Button 1768">
              <controlPr defaultSize="0" print="0" autoFill="0" autoPict="0" macro="[0]!deleteGearBuild">
                <anchor moveWithCells="1">
                  <from>
                    <xdr:col>0</xdr:col>
                    <xdr:colOff>1676400</xdr:colOff>
                    <xdr:row>7</xdr:row>
                    <xdr:rowOff>9525</xdr:rowOff>
                  </from>
                  <to>
                    <xdr:col>0</xdr:col>
                    <xdr:colOff>2686050</xdr:colOff>
                    <xdr:row>8</xdr:row>
                    <xdr:rowOff>133350</xdr:rowOff>
                  </to>
                </anchor>
              </controlPr>
            </control>
          </mc:Choice>
        </mc:AlternateContent>
        <mc:AlternateContent xmlns:mc="http://schemas.openxmlformats.org/markup-compatibility/2006">
          <mc:Choice Requires="x14">
            <control shapeId="67305" r:id="rId45" name="gearBuildComboBox">
              <controlPr defaultSize="0" autoLine="0" autoPict="0" macro="[0]!gearBuildComboBox_Change">
                <anchor moveWithCells="1">
                  <from>
                    <xdr:col>1</xdr:col>
                    <xdr:colOff>200025</xdr:colOff>
                    <xdr:row>6</xdr:row>
                    <xdr:rowOff>47625</xdr:rowOff>
                  </from>
                  <to>
                    <xdr:col>1</xdr:col>
                    <xdr:colOff>2028825</xdr:colOff>
                    <xdr:row>7</xdr:row>
                    <xdr:rowOff>123825</xdr:rowOff>
                  </to>
                </anchor>
              </controlPr>
            </control>
          </mc:Choice>
        </mc:AlternateContent>
        <mc:AlternateContent xmlns:mc="http://schemas.openxmlformats.org/markup-compatibility/2006">
          <mc:Choice Requires="x14">
            <control shapeId="67359" r:id="rId46" name="buffBuildComboBox">
              <controlPr defaultSize="0" autoLine="0" autoPict="0" macro="[0]!buffBuildComboBox_Change">
                <anchor moveWithCells="1">
                  <from>
                    <xdr:col>0</xdr:col>
                    <xdr:colOff>323850</xdr:colOff>
                    <xdr:row>76</xdr:row>
                    <xdr:rowOff>38100</xdr:rowOff>
                  </from>
                  <to>
                    <xdr:col>0</xdr:col>
                    <xdr:colOff>2152650</xdr:colOff>
                    <xdr:row>77</xdr:row>
                    <xdr:rowOff>114300</xdr:rowOff>
                  </to>
                </anchor>
              </controlPr>
            </control>
          </mc:Choice>
        </mc:AlternateContent>
        <mc:AlternateContent xmlns:mc="http://schemas.openxmlformats.org/markup-compatibility/2006">
          <mc:Choice Requires="x14">
            <control shapeId="67360" r:id="rId47" name="Button 1824">
              <controlPr defaultSize="0" print="0" autoFill="0" autoPict="0" macro="[0]!resetBuff">
                <anchor moveWithCells="1">
                  <from>
                    <xdr:col>0</xdr:col>
                    <xdr:colOff>9525</xdr:colOff>
                    <xdr:row>72</xdr:row>
                    <xdr:rowOff>152400</xdr:rowOff>
                  </from>
                  <to>
                    <xdr:col>0</xdr:col>
                    <xdr:colOff>676275</xdr:colOff>
                    <xdr:row>75</xdr:row>
                    <xdr:rowOff>152400</xdr:rowOff>
                  </to>
                </anchor>
              </controlPr>
            </control>
          </mc:Choice>
        </mc:AlternateContent>
        <mc:AlternateContent xmlns:mc="http://schemas.openxmlformats.org/markup-compatibility/2006">
          <mc:Choice Requires="x14">
            <control shapeId="67361" r:id="rId48" name="Button 1825">
              <controlPr defaultSize="0" print="0" autoFill="0" autoPict="0" macro="[0]!saveBuff">
                <anchor moveWithCells="1">
                  <from>
                    <xdr:col>0</xdr:col>
                    <xdr:colOff>685800</xdr:colOff>
                    <xdr:row>72</xdr:row>
                    <xdr:rowOff>152400</xdr:rowOff>
                  </from>
                  <to>
                    <xdr:col>0</xdr:col>
                    <xdr:colOff>1352550</xdr:colOff>
                    <xdr:row>75</xdr:row>
                    <xdr:rowOff>152400</xdr:rowOff>
                  </to>
                </anchor>
              </controlPr>
            </control>
          </mc:Choice>
        </mc:AlternateContent>
        <mc:AlternateContent xmlns:mc="http://schemas.openxmlformats.org/markup-compatibility/2006">
          <mc:Choice Requires="x14">
            <control shapeId="67362" r:id="rId49" name="Button 1826">
              <controlPr defaultSize="0" print="0" autoFill="0" autoPict="0" macro="[0]!deleteBuffBuild">
                <anchor moveWithCells="1">
                  <from>
                    <xdr:col>0</xdr:col>
                    <xdr:colOff>2028825</xdr:colOff>
                    <xdr:row>73</xdr:row>
                    <xdr:rowOff>0</xdr:rowOff>
                  </from>
                  <to>
                    <xdr:col>0</xdr:col>
                    <xdr:colOff>2676525</xdr:colOff>
                    <xdr:row>76</xdr:row>
                    <xdr:rowOff>0</xdr:rowOff>
                  </to>
                </anchor>
              </controlPr>
            </control>
          </mc:Choice>
        </mc:AlternateContent>
        <mc:AlternateContent xmlns:mc="http://schemas.openxmlformats.org/markup-compatibility/2006">
          <mc:Choice Requires="x14">
            <control shapeId="67366" r:id="rId50" name="Check Box 1830">
              <controlPr defaultSize="0" autoFill="0" autoLine="0" autoPict="0">
                <anchor moveWithCells="1" sizeWithCells="1">
                  <from>
                    <xdr:col>24</xdr:col>
                    <xdr:colOff>57150</xdr:colOff>
                    <xdr:row>5</xdr:row>
                    <xdr:rowOff>9525</xdr:rowOff>
                  </from>
                  <to>
                    <xdr:col>25</xdr:col>
                    <xdr:colOff>0</xdr:colOff>
                    <xdr:row>5</xdr:row>
                    <xdr:rowOff>152400</xdr:rowOff>
                  </to>
                </anchor>
              </controlPr>
            </control>
          </mc:Choice>
        </mc:AlternateContent>
        <mc:AlternateContent xmlns:mc="http://schemas.openxmlformats.org/markup-compatibility/2006">
          <mc:Choice Requires="x14">
            <control shapeId="67367" r:id="rId51" name="Check Box 1831">
              <controlPr defaultSize="0" autoFill="0" autoLine="0" autoPict="0">
                <anchor moveWithCells="1" sizeWithCells="1">
                  <from>
                    <xdr:col>24</xdr:col>
                    <xdr:colOff>57150</xdr:colOff>
                    <xdr:row>6</xdr:row>
                    <xdr:rowOff>0</xdr:rowOff>
                  </from>
                  <to>
                    <xdr:col>25</xdr:col>
                    <xdr:colOff>0</xdr:colOff>
                    <xdr:row>6</xdr:row>
                    <xdr:rowOff>152400</xdr:rowOff>
                  </to>
                </anchor>
              </controlPr>
            </control>
          </mc:Choice>
        </mc:AlternateContent>
        <mc:AlternateContent xmlns:mc="http://schemas.openxmlformats.org/markup-compatibility/2006">
          <mc:Choice Requires="x14">
            <control shapeId="67440" r:id="rId52" name="Check Box 1904">
              <controlPr defaultSize="0" autoFill="0" autoLine="0" autoPict="0">
                <anchor moveWithCells="1" sizeWithCells="1">
                  <from>
                    <xdr:col>20</xdr:col>
                    <xdr:colOff>85725</xdr:colOff>
                    <xdr:row>43</xdr:row>
                    <xdr:rowOff>0</xdr:rowOff>
                  </from>
                  <to>
                    <xdr:col>21</xdr:col>
                    <xdr:colOff>19050</xdr:colOff>
                    <xdr:row>43</xdr:row>
                    <xdr:rowOff>142875</xdr:rowOff>
                  </to>
                </anchor>
              </controlPr>
            </control>
          </mc:Choice>
        </mc:AlternateContent>
        <mc:AlternateContent xmlns:mc="http://schemas.openxmlformats.org/markup-compatibility/2006">
          <mc:Choice Requires="x14">
            <control shapeId="67460" r:id="rId53" name="Check Box 1924">
              <controlPr defaultSize="0" autoFill="0" autoLine="0" autoPict="0">
                <anchor moveWithCells="1" sizeWithCells="1">
                  <from>
                    <xdr:col>20</xdr:col>
                    <xdr:colOff>85725</xdr:colOff>
                    <xdr:row>54</xdr:row>
                    <xdr:rowOff>152400</xdr:rowOff>
                  </from>
                  <to>
                    <xdr:col>21</xdr:col>
                    <xdr:colOff>38100</xdr:colOff>
                    <xdr:row>55</xdr:row>
                    <xdr:rowOff>152400</xdr:rowOff>
                  </to>
                </anchor>
              </controlPr>
            </control>
          </mc:Choice>
        </mc:AlternateContent>
        <mc:AlternateContent xmlns:mc="http://schemas.openxmlformats.org/markup-compatibility/2006">
          <mc:Choice Requires="x14">
            <control shapeId="67480" r:id="rId54" name="Check Box 1944">
              <controlPr defaultSize="0" autoFill="0" autoLine="0" autoPict="0">
                <anchor moveWithCells="1" sizeWithCells="1">
                  <from>
                    <xdr:col>25</xdr:col>
                    <xdr:colOff>66675</xdr:colOff>
                    <xdr:row>53</xdr:row>
                    <xdr:rowOff>142875</xdr:rowOff>
                  </from>
                  <to>
                    <xdr:col>26</xdr:col>
                    <xdr:colOff>190500</xdr:colOff>
                    <xdr:row>54</xdr:row>
                    <xdr:rowOff>142875</xdr:rowOff>
                  </to>
                </anchor>
              </controlPr>
            </control>
          </mc:Choice>
        </mc:AlternateContent>
        <mc:AlternateContent xmlns:mc="http://schemas.openxmlformats.org/markup-compatibility/2006">
          <mc:Choice Requires="x14">
            <control shapeId="5770" r:id="rId55" name="Check Box 650">
              <controlPr defaultSize="0" autoFill="0" autoLine="0" autoPict="0">
                <anchor moveWithCells="1" sizeWithCells="1">
                  <from>
                    <xdr:col>25</xdr:col>
                    <xdr:colOff>85725</xdr:colOff>
                    <xdr:row>59</xdr:row>
                    <xdr:rowOff>142875</xdr:rowOff>
                  </from>
                  <to>
                    <xdr:col>26</xdr:col>
                    <xdr:colOff>228600</xdr:colOff>
                    <xdr:row>61</xdr:row>
                    <xdr:rowOff>0</xdr:rowOff>
                  </to>
                </anchor>
              </controlPr>
            </control>
          </mc:Choice>
        </mc:AlternateContent>
        <mc:AlternateContent xmlns:mc="http://schemas.openxmlformats.org/markup-compatibility/2006">
          <mc:Choice Requires="x14">
            <control shapeId="5772" r:id="rId56" name="Check Box 652">
              <controlPr defaultSize="0" autoFill="0" autoLine="0" autoPict="0">
                <anchor moveWithCells="1" sizeWithCells="1">
                  <from>
                    <xdr:col>25</xdr:col>
                    <xdr:colOff>85725</xdr:colOff>
                    <xdr:row>61</xdr:row>
                    <xdr:rowOff>0</xdr:rowOff>
                  </from>
                  <to>
                    <xdr:col>26</xdr:col>
                    <xdr:colOff>371475</xdr:colOff>
                    <xdr:row>62</xdr:row>
                    <xdr:rowOff>0</xdr:rowOff>
                  </to>
                </anchor>
              </controlPr>
            </control>
          </mc:Choice>
        </mc:AlternateContent>
        <mc:AlternateContent xmlns:mc="http://schemas.openxmlformats.org/markup-compatibility/2006">
          <mc:Choice Requires="x14">
            <control shapeId="5773" r:id="rId57" name="Check Box 653">
              <controlPr defaultSize="0" autoFill="0" autoLine="0" autoPict="0">
                <anchor moveWithCells="1" sizeWithCells="1">
                  <from>
                    <xdr:col>25</xdr:col>
                    <xdr:colOff>85725</xdr:colOff>
                    <xdr:row>61</xdr:row>
                    <xdr:rowOff>152400</xdr:rowOff>
                  </from>
                  <to>
                    <xdr:col>26</xdr:col>
                    <xdr:colOff>447675</xdr:colOff>
                    <xdr:row>63</xdr:row>
                    <xdr:rowOff>0</xdr:rowOff>
                  </to>
                </anchor>
              </controlPr>
            </control>
          </mc:Choice>
        </mc:AlternateContent>
        <mc:AlternateContent xmlns:mc="http://schemas.openxmlformats.org/markup-compatibility/2006">
          <mc:Choice Requires="x14">
            <control shapeId="5774" r:id="rId58" name="Check Box 654">
              <controlPr defaultSize="0" autoFill="0" autoLine="0" autoPict="0">
                <anchor moveWithCells="1" sizeWithCells="1">
                  <from>
                    <xdr:col>25</xdr:col>
                    <xdr:colOff>85725</xdr:colOff>
                    <xdr:row>63</xdr:row>
                    <xdr:rowOff>0</xdr:rowOff>
                  </from>
                  <to>
                    <xdr:col>26</xdr:col>
                    <xdr:colOff>447675</xdr:colOff>
                    <xdr:row>64</xdr:row>
                    <xdr:rowOff>0</xdr:rowOff>
                  </to>
                </anchor>
              </controlPr>
            </control>
          </mc:Choice>
        </mc:AlternateContent>
        <mc:AlternateContent xmlns:mc="http://schemas.openxmlformats.org/markup-compatibility/2006">
          <mc:Choice Requires="x14">
            <control shapeId="5775" r:id="rId59" name="Check Box 655">
              <controlPr defaultSize="0" autoFill="0" autoLine="0" autoPict="0">
                <anchor moveWithCells="1" sizeWithCells="1">
                  <from>
                    <xdr:col>25</xdr:col>
                    <xdr:colOff>85725</xdr:colOff>
                    <xdr:row>64</xdr:row>
                    <xdr:rowOff>0</xdr:rowOff>
                  </from>
                  <to>
                    <xdr:col>26</xdr:col>
                    <xdr:colOff>295275</xdr:colOff>
                    <xdr:row>65</xdr:row>
                    <xdr:rowOff>9525</xdr:rowOff>
                  </to>
                </anchor>
              </controlPr>
            </control>
          </mc:Choice>
        </mc:AlternateContent>
        <mc:AlternateContent xmlns:mc="http://schemas.openxmlformats.org/markup-compatibility/2006">
          <mc:Choice Requires="x14">
            <control shapeId="5776" r:id="rId60" name="Check Box 656">
              <controlPr defaultSize="0" autoFill="0" autoLine="0" autoPict="0">
                <anchor moveWithCells="1" sizeWithCells="1">
                  <from>
                    <xdr:col>25</xdr:col>
                    <xdr:colOff>85725</xdr:colOff>
                    <xdr:row>64</xdr:row>
                    <xdr:rowOff>152400</xdr:rowOff>
                  </from>
                  <to>
                    <xdr:col>26</xdr:col>
                    <xdr:colOff>247650</xdr:colOff>
                    <xdr:row>66</xdr:row>
                    <xdr:rowOff>9525</xdr:rowOff>
                  </to>
                </anchor>
              </controlPr>
            </control>
          </mc:Choice>
        </mc:AlternateContent>
        <mc:AlternateContent xmlns:mc="http://schemas.openxmlformats.org/markup-compatibility/2006">
          <mc:Choice Requires="x14">
            <control shapeId="5777" r:id="rId61" name="Check Box 657">
              <controlPr defaultSize="0" autoFill="0" autoLine="0" autoPict="0">
                <anchor moveWithCells="1" sizeWithCells="1">
                  <from>
                    <xdr:col>25</xdr:col>
                    <xdr:colOff>85725</xdr:colOff>
                    <xdr:row>66</xdr:row>
                    <xdr:rowOff>0</xdr:rowOff>
                  </from>
                  <to>
                    <xdr:col>26</xdr:col>
                    <xdr:colOff>266700</xdr:colOff>
                    <xdr:row>67</xdr:row>
                    <xdr:rowOff>9525</xdr:rowOff>
                  </to>
                </anchor>
              </controlPr>
            </control>
          </mc:Choice>
        </mc:AlternateContent>
        <mc:AlternateContent xmlns:mc="http://schemas.openxmlformats.org/markup-compatibility/2006">
          <mc:Choice Requires="x14">
            <control shapeId="5778" r:id="rId62" name="Check Box 658">
              <controlPr defaultSize="0" autoFill="0" autoLine="0" autoPict="0">
                <anchor moveWithCells="1" sizeWithCells="1">
                  <from>
                    <xdr:col>25</xdr:col>
                    <xdr:colOff>85725</xdr:colOff>
                    <xdr:row>67</xdr:row>
                    <xdr:rowOff>0</xdr:rowOff>
                  </from>
                  <to>
                    <xdr:col>26</xdr:col>
                    <xdr:colOff>314325</xdr:colOff>
                    <xdr:row>68</xdr:row>
                    <xdr:rowOff>9525</xdr:rowOff>
                  </to>
                </anchor>
              </controlPr>
            </control>
          </mc:Choice>
        </mc:AlternateContent>
        <mc:AlternateContent xmlns:mc="http://schemas.openxmlformats.org/markup-compatibility/2006">
          <mc:Choice Requires="x14">
            <control shapeId="5779" r:id="rId63" name="Check Box 659">
              <controlPr defaultSize="0" autoFill="0" autoLine="0" autoPict="0">
                <anchor moveWithCells="1" sizeWithCells="1">
                  <from>
                    <xdr:col>25</xdr:col>
                    <xdr:colOff>85725</xdr:colOff>
                    <xdr:row>68</xdr:row>
                    <xdr:rowOff>0</xdr:rowOff>
                  </from>
                  <to>
                    <xdr:col>26</xdr:col>
                    <xdr:colOff>342900</xdr:colOff>
                    <xdr:row>69</xdr:row>
                    <xdr:rowOff>9525</xdr:rowOff>
                  </to>
                </anchor>
              </controlPr>
            </control>
          </mc:Choice>
        </mc:AlternateContent>
        <mc:AlternateContent xmlns:mc="http://schemas.openxmlformats.org/markup-compatibility/2006">
          <mc:Choice Requires="x14">
            <control shapeId="5780" r:id="rId64" name="Check Box 660">
              <controlPr defaultSize="0" autoFill="0" autoLine="0" autoPict="0">
                <anchor moveWithCells="1" sizeWithCells="1">
                  <from>
                    <xdr:col>25</xdr:col>
                    <xdr:colOff>85725</xdr:colOff>
                    <xdr:row>69</xdr:row>
                    <xdr:rowOff>0</xdr:rowOff>
                  </from>
                  <to>
                    <xdr:col>26</xdr:col>
                    <xdr:colOff>342900</xdr:colOff>
                    <xdr:row>70</xdr:row>
                    <xdr:rowOff>9525</xdr:rowOff>
                  </to>
                </anchor>
              </controlPr>
            </control>
          </mc:Choice>
        </mc:AlternateContent>
        <mc:AlternateContent xmlns:mc="http://schemas.openxmlformats.org/markup-compatibility/2006">
          <mc:Choice Requires="x14">
            <control shapeId="5781" r:id="rId65" name="Check Box 661">
              <controlPr defaultSize="0" autoFill="0" autoLine="0" autoPict="0">
                <anchor moveWithCells="1" sizeWithCells="1">
                  <from>
                    <xdr:col>25</xdr:col>
                    <xdr:colOff>85725</xdr:colOff>
                    <xdr:row>70</xdr:row>
                    <xdr:rowOff>0</xdr:rowOff>
                  </from>
                  <to>
                    <xdr:col>26</xdr:col>
                    <xdr:colOff>371475</xdr:colOff>
                    <xdr:row>71</xdr:row>
                    <xdr:rowOff>9525</xdr:rowOff>
                  </to>
                </anchor>
              </controlPr>
            </control>
          </mc:Choice>
        </mc:AlternateContent>
        <mc:AlternateContent xmlns:mc="http://schemas.openxmlformats.org/markup-compatibility/2006">
          <mc:Choice Requires="x14">
            <control shapeId="5782" r:id="rId66" name="Check Box 662">
              <controlPr defaultSize="0" autoFill="0" autoLine="0" autoPict="0">
                <anchor moveWithCells="1" sizeWithCells="1">
                  <from>
                    <xdr:col>25</xdr:col>
                    <xdr:colOff>85725</xdr:colOff>
                    <xdr:row>72</xdr:row>
                    <xdr:rowOff>142875</xdr:rowOff>
                  </from>
                  <to>
                    <xdr:col>26</xdr:col>
                    <xdr:colOff>323850</xdr:colOff>
                    <xdr:row>74</xdr:row>
                    <xdr:rowOff>0</xdr:rowOff>
                  </to>
                </anchor>
              </controlPr>
            </control>
          </mc:Choice>
        </mc:AlternateContent>
        <mc:AlternateContent xmlns:mc="http://schemas.openxmlformats.org/markup-compatibility/2006">
          <mc:Choice Requires="x14">
            <control shapeId="66749" r:id="rId67" name="Check Box 1213">
              <controlPr defaultSize="0" autoFill="0" autoLine="0" autoPict="0">
                <anchor moveWithCells="1" sizeWithCells="1">
                  <from>
                    <xdr:col>25</xdr:col>
                    <xdr:colOff>85725</xdr:colOff>
                    <xdr:row>71</xdr:row>
                    <xdr:rowOff>0</xdr:rowOff>
                  </from>
                  <to>
                    <xdr:col>26</xdr:col>
                    <xdr:colOff>371475</xdr:colOff>
                    <xdr:row>72</xdr:row>
                    <xdr:rowOff>9525</xdr:rowOff>
                  </to>
                </anchor>
              </controlPr>
            </control>
          </mc:Choice>
        </mc:AlternateContent>
        <mc:AlternateContent xmlns:mc="http://schemas.openxmlformats.org/markup-compatibility/2006">
          <mc:Choice Requires="x14">
            <control shapeId="67414" r:id="rId68" name="Check Box 1878">
              <controlPr defaultSize="0" autoFill="0" autoLine="0" autoPict="0">
                <anchor moveWithCells="1" sizeWithCells="1">
                  <from>
                    <xdr:col>25</xdr:col>
                    <xdr:colOff>85725</xdr:colOff>
                    <xdr:row>72</xdr:row>
                    <xdr:rowOff>0</xdr:rowOff>
                  </from>
                  <to>
                    <xdr:col>26</xdr:col>
                    <xdr:colOff>314325</xdr:colOff>
                    <xdr:row>73</xdr:row>
                    <xdr:rowOff>9525</xdr:rowOff>
                  </to>
                </anchor>
              </controlPr>
            </control>
          </mc:Choice>
        </mc:AlternateContent>
        <mc:AlternateContent xmlns:mc="http://schemas.openxmlformats.org/markup-compatibility/2006">
          <mc:Choice Requires="x14">
            <control shapeId="67517" r:id="rId69" name="Check Box 1981">
              <controlPr defaultSize="0" autoFill="0" autoLine="0" autoPict="0">
                <anchor moveWithCells="1" sizeWithCells="1">
                  <from>
                    <xdr:col>20</xdr:col>
                    <xdr:colOff>85725</xdr:colOff>
                    <xdr:row>63</xdr:row>
                    <xdr:rowOff>142875</xdr:rowOff>
                  </from>
                  <to>
                    <xdr:col>21</xdr:col>
                    <xdr:colOff>38100</xdr:colOff>
                    <xdr:row>65</xdr:row>
                    <xdr:rowOff>0</xdr:rowOff>
                  </to>
                </anchor>
              </controlPr>
            </control>
          </mc:Choice>
        </mc:AlternateContent>
        <mc:AlternateContent xmlns:mc="http://schemas.openxmlformats.org/markup-compatibility/2006">
          <mc:Choice Requires="x14">
            <control shapeId="67518" r:id="rId70" name="Check Box 1982">
              <controlPr defaultSize="0" autoFill="0" autoLine="0" autoPict="0">
                <anchor moveWithCells="1" sizeWithCells="1">
                  <from>
                    <xdr:col>20</xdr:col>
                    <xdr:colOff>85725</xdr:colOff>
                    <xdr:row>65</xdr:row>
                    <xdr:rowOff>9525</xdr:rowOff>
                  </from>
                  <to>
                    <xdr:col>21</xdr:col>
                    <xdr:colOff>38100</xdr:colOff>
                    <xdr:row>66</xdr:row>
                    <xdr:rowOff>0</xdr:rowOff>
                  </to>
                </anchor>
              </controlPr>
            </control>
          </mc:Choice>
        </mc:AlternateContent>
        <mc:AlternateContent xmlns:mc="http://schemas.openxmlformats.org/markup-compatibility/2006">
          <mc:Choice Requires="x14">
            <control shapeId="67519" r:id="rId71" name="Check Box 1983">
              <controlPr defaultSize="0" autoFill="0" autoLine="0" autoPict="0">
                <anchor moveWithCells="1" sizeWithCells="1">
                  <from>
                    <xdr:col>20</xdr:col>
                    <xdr:colOff>85725</xdr:colOff>
                    <xdr:row>65</xdr:row>
                    <xdr:rowOff>152400</xdr:rowOff>
                  </from>
                  <to>
                    <xdr:col>21</xdr:col>
                    <xdr:colOff>38100</xdr:colOff>
                    <xdr:row>67</xdr:row>
                    <xdr:rowOff>0</xdr:rowOff>
                  </to>
                </anchor>
              </controlPr>
            </control>
          </mc:Choice>
        </mc:AlternateContent>
        <mc:AlternateContent xmlns:mc="http://schemas.openxmlformats.org/markup-compatibility/2006">
          <mc:Choice Requires="x14">
            <control shapeId="67520" r:id="rId72" name="Check Box 1984">
              <controlPr defaultSize="0" autoFill="0" autoLine="0" autoPict="0">
                <anchor moveWithCells="1" sizeWithCells="1">
                  <from>
                    <xdr:col>20</xdr:col>
                    <xdr:colOff>85725</xdr:colOff>
                    <xdr:row>67</xdr:row>
                    <xdr:rowOff>0</xdr:rowOff>
                  </from>
                  <to>
                    <xdr:col>21</xdr:col>
                    <xdr:colOff>38100</xdr:colOff>
                    <xdr:row>68</xdr:row>
                    <xdr:rowOff>0</xdr:rowOff>
                  </to>
                </anchor>
              </controlPr>
            </control>
          </mc:Choice>
        </mc:AlternateContent>
        <mc:AlternateContent xmlns:mc="http://schemas.openxmlformats.org/markup-compatibility/2006">
          <mc:Choice Requires="x14">
            <control shapeId="67521" r:id="rId73" name="Check Box 1985">
              <controlPr defaultSize="0" autoFill="0" autoLine="0" autoPict="0">
                <anchor moveWithCells="1" sizeWithCells="1">
                  <from>
                    <xdr:col>20</xdr:col>
                    <xdr:colOff>85725</xdr:colOff>
                    <xdr:row>68</xdr:row>
                    <xdr:rowOff>0</xdr:rowOff>
                  </from>
                  <to>
                    <xdr:col>21</xdr:col>
                    <xdr:colOff>38100</xdr:colOff>
                    <xdr:row>69</xdr:row>
                    <xdr:rowOff>0</xdr:rowOff>
                  </to>
                </anchor>
              </controlPr>
            </control>
          </mc:Choice>
        </mc:AlternateContent>
        <mc:AlternateContent xmlns:mc="http://schemas.openxmlformats.org/markup-compatibility/2006">
          <mc:Choice Requires="x14">
            <control shapeId="67545" r:id="rId74" name="Button 2009">
              <controlPr defaultSize="0" print="0" autoFill="0" autoPict="0" macro="[0]!gearBuildComboBox_Change">
                <anchor moveWithCells="1">
                  <from>
                    <xdr:col>0</xdr:col>
                    <xdr:colOff>847725</xdr:colOff>
                    <xdr:row>7</xdr:row>
                    <xdr:rowOff>9525</xdr:rowOff>
                  </from>
                  <to>
                    <xdr:col>0</xdr:col>
                    <xdr:colOff>1666875</xdr:colOff>
                    <xdr:row>8</xdr:row>
                    <xdr:rowOff>133350</xdr:rowOff>
                  </to>
                </anchor>
              </controlPr>
            </control>
          </mc:Choice>
        </mc:AlternateContent>
        <mc:AlternateContent xmlns:mc="http://schemas.openxmlformats.org/markup-compatibility/2006">
          <mc:Choice Requires="x14">
            <control shapeId="67572" r:id="rId75" name="Button 2036">
              <controlPr defaultSize="0" print="0" autoFill="0" autoPict="0" macro="[0]!buffBuildComboBox_Change">
                <anchor moveWithCells="1">
                  <from>
                    <xdr:col>0</xdr:col>
                    <xdr:colOff>1352550</xdr:colOff>
                    <xdr:row>72</xdr:row>
                    <xdr:rowOff>152400</xdr:rowOff>
                  </from>
                  <to>
                    <xdr:col>0</xdr:col>
                    <xdr:colOff>2019300</xdr:colOff>
                    <xdr:row>75</xdr:row>
                    <xdr:rowOff>152400</xdr:rowOff>
                  </to>
                </anchor>
              </controlPr>
            </control>
          </mc:Choice>
        </mc:AlternateContent>
        <mc:AlternateContent xmlns:mc="http://schemas.openxmlformats.org/markup-compatibility/2006">
          <mc:Choice Requires="x14">
            <control shapeId="189469" r:id="rId76" name="Check Box 2077">
              <controlPr defaultSize="0" autoFill="0" autoLine="0" autoPict="0">
                <anchor moveWithCells="1" sizeWithCells="1">
                  <from>
                    <xdr:col>20</xdr:col>
                    <xdr:colOff>85725</xdr:colOff>
                    <xdr:row>71</xdr:row>
                    <xdr:rowOff>0</xdr:rowOff>
                  </from>
                  <to>
                    <xdr:col>21</xdr:col>
                    <xdr:colOff>38100</xdr:colOff>
                    <xdr:row>72</xdr:row>
                    <xdr:rowOff>9525</xdr:rowOff>
                  </to>
                </anchor>
              </controlPr>
            </control>
          </mc:Choice>
        </mc:AlternateContent>
        <mc:AlternateContent xmlns:mc="http://schemas.openxmlformats.org/markup-compatibility/2006">
          <mc:Choice Requires="x14">
            <control shapeId="189470" r:id="rId77" name="Check Box 2078">
              <controlPr defaultSize="0" autoFill="0" autoLine="0" autoPict="0">
                <anchor moveWithCells="1" sizeWithCells="1">
                  <from>
                    <xdr:col>20</xdr:col>
                    <xdr:colOff>85725</xdr:colOff>
                    <xdr:row>72</xdr:row>
                    <xdr:rowOff>0</xdr:rowOff>
                  </from>
                  <to>
                    <xdr:col>21</xdr:col>
                    <xdr:colOff>38100</xdr:colOff>
                    <xdr:row>73</xdr:row>
                    <xdr:rowOff>9525</xdr:rowOff>
                  </to>
                </anchor>
              </controlPr>
            </control>
          </mc:Choice>
        </mc:AlternateContent>
        <mc:AlternateContent xmlns:mc="http://schemas.openxmlformats.org/markup-compatibility/2006">
          <mc:Choice Requires="x14">
            <control shapeId="189471" r:id="rId78" name="Check Box 2079">
              <controlPr defaultSize="0" autoFill="0" autoLine="0" autoPict="0">
                <anchor moveWithCells="1" sizeWithCells="1">
                  <from>
                    <xdr:col>20</xdr:col>
                    <xdr:colOff>85725</xdr:colOff>
                    <xdr:row>73</xdr:row>
                    <xdr:rowOff>9525</xdr:rowOff>
                  </from>
                  <to>
                    <xdr:col>21</xdr:col>
                    <xdr:colOff>38100</xdr:colOff>
                    <xdr:row>74</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76"/>
  <sheetViews>
    <sheetView zoomScaleNormal="100" workbookViewId="0">
      <pane ySplit="8" topLeftCell="A9" activePane="bottomLeft" state="frozen"/>
      <selection pane="bottomLeft" activeCell="B3" sqref="B3:D4"/>
    </sheetView>
  </sheetViews>
  <sheetFormatPr defaultColWidth="11.42578125" defaultRowHeight="12.75"/>
  <cols>
    <col min="1" max="1" width="12.85546875" customWidth="1"/>
    <col min="2" max="2" width="10.7109375" customWidth="1"/>
    <col min="3" max="3" width="8.7109375" customWidth="1"/>
    <col min="4" max="4" width="11.85546875" customWidth="1"/>
    <col min="5" max="5" width="12.85546875" customWidth="1"/>
    <col min="6" max="6" width="8.7109375" customWidth="1"/>
    <col min="7" max="7" width="16" customWidth="1"/>
    <col min="8" max="8" width="8.42578125" customWidth="1"/>
    <col min="9" max="9" width="8.7109375" customWidth="1"/>
    <col min="10" max="10" width="1.140625" customWidth="1"/>
    <col min="11" max="11" width="8.42578125" customWidth="1"/>
    <col min="12" max="12" width="8.5703125" customWidth="1"/>
    <col min="13" max="13" width="10.7109375" customWidth="1"/>
    <col min="14" max="14" width="9.7109375" customWidth="1"/>
    <col min="15" max="15" width="10.7109375" customWidth="1"/>
    <col min="16" max="16" width="1.28515625" customWidth="1"/>
    <col min="17" max="17" width="7" customWidth="1"/>
    <col min="18" max="18" width="16.140625" customWidth="1"/>
    <col min="19" max="19" width="13.140625" customWidth="1"/>
    <col min="20" max="20" width="8.85546875" customWidth="1"/>
    <col min="21" max="21" width="9.140625" customWidth="1"/>
  </cols>
  <sheetData>
    <row r="1" spans="1:26" ht="12.75" customHeight="1">
      <c r="A1" s="1504" t="s">
        <v>1025</v>
      </c>
      <c r="B1" s="1451" t="str">
        <f>cycle</f>
        <v>Cycle: 1s/5r   SnD Slack: 1.24</v>
      </c>
      <c r="C1" s="1451"/>
      <c r="D1" s="1452"/>
      <c r="E1" s="1447" t="s">
        <v>591</v>
      </c>
      <c r="F1" s="1448"/>
      <c r="G1" s="1449" t="s">
        <v>592</v>
      </c>
      <c r="H1" s="1450"/>
      <c r="I1" s="1459" t="s">
        <v>593</v>
      </c>
      <c r="J1" s="1460"/>
      <c r="K1" s="1461"/>
      <c r="L1" s="1448"/>
      <c r="M1" s="1475" t="s">
        <v>2325</v>
      </c>
      <c r="N1" s="1476"/>
      <c r="O1" s="1476"/>
      <c r="P1" s="1476"/>
      <c r="Q1" s="1477"/>
    </row>
    <row r="2" spans="1:26" ht="12.75" customHeight="1" thickBot="1">
      <c r="A2" s="1505"/>
      <c r="B2" s="1453"/>
      <c r="C2" s="1453"/>
      <c r="D2" s="1454"/>
      <c r="E2" s="1076" t="s">
        <v>594</v>
      </c>
      <c r="F2" s="1016">
        <f>ap</f>
        <v>3165.5289383329646</v>
      </c>
      <c r="G2" s="907" t="s">
        <v>599</v>
      </c>
      <c r="H2" s="1016">
        <f>hp</f>
        <v>9674</v>
      </c>
      <c r="I2" s="1462"/>
      <c r="J2" s="1463"/>
      <c r="K2" s="1464"/>
      <c r="L2" s="908"/>
      <c r="M2" s="1484" t="s">
        <v>2320</v>
      </c>
      <c r="N2" s="1485"/>
      <c r="O2" s="1024" t="str">
        <f>ROUND(SUM('Damage Calc'!$J$2:$J$7),2)&amp;"  "</f>
        <v xml:space="preserve">1002.02  </v>
      </c>
      <c r="P2" s="1478" t="str">
        <f>ROUND(SUM('Damage Calc'!$J$2:$J$7)/'Damage Calc'!$J$16*100,0)&amp;"%  "</f>
        <v xml:space="preserve">64%  </v>
      </c>
      <c r="Q2" s="1479"/>
    </row>
    <row r="3" spans="1:26" ht="12.75" customHeight="1">
      <c r="A3" s="1443" t="s">
        <v>1538</v>
      </c>
      <c r="B3" s="1455">
        <f>'Damage Calc'!$J$16</f>
        <v>1555.182530256119</v>
      </c>
      <c r="C3" s="1455"/>
      <c r="D3" s="1456"/>
      <c r="E3" s="1012" t="s">
        <v>595</v>
      </c>
      <c r="F3" s="1013">
        <f>'Damage Calc'!Q2-Talents!F4</f>
        <v>0.26956097560975611</v>
      </c>
      <c r="G3" s="1012" t="s">
        <v>600</v>
      </c>
      <c r="H3" s="1013">
        <f>dodge</f>
        <v>0.38193314060168293</v>
      </c>
      <c r="I3" s="1465" t="s">
        <v>2316</v>
      </c>
      <c r="J3" s="1466"/>
      <c r="K3" s="1467"/>
      <c r="L3" s="1017">
        <f>CEILING(($F$4*100)*(10*conv),1)</f>
        <v>1</v>
      </c>
      <c r="M3" s="1498" t="str">
        <f>"  "&amp;instatklng&amp;" DPS"</f>
        <v xml:space="preserve">  Sinister Strike DPS</v>
      </c>
      <c r="N3" s="1499"/>
      <c r="O3" s="1081" t="str">
        <f>ROUND('Damage Calc'!$J$8,2)&amp;"  "</f>
        <v xml:space="preserve">327.58  </v>
      </c>
      <c r="P3" s="1480" t="str">
        <f>ROUND('Damage Calc'!$J$8/'Damage Calc'!$J$16*100,0)&amp;"%  "</f>
        <v xml:space="preserve">21%  </v>
      </c>
      <c r="Q3" s="1481"/>
    </row>
    <row r="4" spans="1:26" ht="12.75" customHeight="1" thickBot="1">
      <c r="A4" s="1444"/>
      <c r="B4" s="1457"/>
      <c r="C4" s="1457"/>
      <c r="D4" s="1458"/>
      <c r="E4" s="1078" t="s">
        <v>596</v>
      </c>
      <c r="F4" s="1018">
        <f>bMHmiss</f>
        <v>4.3902439024390283E-4</v>
      </c>
      <c r="G4" s="1019" t="s">
        <v>601</v>
      </c>
      <c r="H4" s="1020">
        <f>'Gear &amp; Buffs'!$J$143</f>
        <v>0</v>
      </c>
      <c r="I4" s="1468" t="s">
        <v>2317</v>
      </c>
      <c r="J4" s="1441"/>
      <c r="K4" s="1442"/>
      <c r="L4" s="1077">
        <f>'Damage Calc'!D34</f>
        <v>30</v>
      </c>
      <c r="M4" s="1500" t="s">
        <v>2321</v>
      </c>
      <c r="N4" s="1501"/>
      <c r="O4" s="1025" t="str">
        <f>ROUND('Damage Calc'!$J$10+'Damage Calc'!$J$11+'Damage Calc'!$J$12,2)&amp;"  "</f>
        <v xml:space="preserve">119.18  </v>
      </c>
      <c r="P4" s="1482" t="str">
        <f>ROUND(('Damage Calc'!$J$10+'Damage Calc'!$J$11+'Damage Calc'!$J$12)/'Damage Calc'!$J$16*100,0)&amp;"%  "</f>
        <v xml:space="preserve">8%  </v>
      </c>
      <c r="Q4" s="1483"/>
    </row>
    <row r="5" spans="1:26" ht="12.75" customHeight="1" thickBot="1">
      <c r="A5" s="1009" t="s">
        <v>1137</v>
      </c>
      <c r="B5" s="1445">
        <f>'Gear &amp; Buffs'!$C$7</f>
        <v>1555.182530256119</v>
      </c>
      <c r="C5" s="1445"/>
      <c r="D5" s="1446"/>
      <c r="E5" s="1012" t="s">
        <v>597</v>
      </c>
      <c r="F5" s="1013">
        <f>bMHcrit</f>
        <v>0.22111169225206101</v>
      </c>
      <c r="G5" s="1082" t="s">
        <v>1321</v>
      </c>
      <c r="H5" s="1013">
        <f>('Gear &amp; Buffs'!J143/(25*conv)+Talents!I17)/100</f>
        <v>0</v>
      </c>
      <c r="I5" s="1469"/>
      <c r="J5" s="1466"/>
      <c r="K5" s="1467"/>
      <c r="L5" s="1021"/>
      <c r="M5" s="1502" t="s">
        <v>2322</v>
      </c>
      <c r="N5" s="1503"/>
      <c r="O5" s="1083" t="str">
        <f>ROUND('Damage Calc'!$J$13+'Damage Calc'!$J$14+'Damage Calc'!$J$15+'Damage Calc'!$J$9,2)&amp;"  "</f>
        <v xml:space="preserve">106.4  </v>
      </c>
      <c r="P5" s="1520" t="str">
        <f>ROUND(('Damage Calc'!$J$13+'Damage Calc'!$J$14+'Damage Calc'!$J$15+'Damage Calc'!$J$9)/'Damage Calc'!$J$16*100,0)&amp;"%  "</f>
        <v xml:space="preserve">7%  </v>
      </c>
      <c r="Q5" s="1521"/>
    </row>
    <row r="6" spans="1:26" ht="12.75" customHeight="1" thickBot="1">
      <c r="A6" s="1156" t="s">
        <v>590</v>
      </c>
      <c r="B6" s="1157" t="str">
        <f>IF(($B$3-$B$5)&lt;0,ROUND($B$3-$B$5,2),"+"&amp;ROUND($B$3-$B$5,2))</f>
        <v>+0</v>
      </c>
      <c r="C6" s="1158"/>
      <c r="D6" s="1159" t="str">
        <f>IF(($B$6/$B$3)&lt;0,ROUND($B$6/$B$3*100,2)&amp;"%","+"&amp;ROUND($B$6/$B$3*100,2)&amp;"%")</f>
        <v>+0%</v>
      </c>
      <c r="E6" s="932" t="s">
        <v>635</v>
      </c>
      <c r="F6" s="1018">
        <f>bMHdod</f>
        <v>2.0000000000000004E-2</v>
      </c>
      <c r="G6" s="1022" t="s">
        <v>602</v>
      </c>
      <c r="H6" s="1018">
        <f>5%-((BossLevel-CharLevel)*0.2%)+(F18/100)+(ROUNDDOWN('Gear &amp; Buffs'!M143/defrating_def,0)*0.04/100)</f>
        <v>4.4000000000000004E-2</v>
      </c>
      <c r="I6" s="1440" t="s">
        <v>2318</v>
      </c>
      <c r="J6" s="1441"/>
      <c r="K6" s="1442"/>
      <c r="L6" s="1018">
        <f>sndup</f>
        <v>0.9966666666666667</v>
      </c>
      <c r="M6" s="1524" t="s">
        <v>2323</v>
      </c>
      <c r="N6" s="1525"/>
      <c r="O6" s="1010" t="str">
        <f>ROUND('Damage Calc'!$J$16,2)&amp;"  "</f>
        <v xml:space="preserve">1555.18  </v>
      </c>
      <c r="P6" s="1522" t="str">
        <f>"100%  "</f>
        <v xml:space="preserve">100%  </v>
      </c>
      <c r="Q6" s="1523"/>
    </row>
    <row r="7" spans="1:26" ht="12.75" customHeight="1">
      <c r="A7" s="1488"/>
      <c r="B7" s="1489"/>
      <c r="C7" s="1489"/>
      <c r="D7" s="1490"/>
      <c r="E7" s="1012" t="s">
        <v>634</v>
      </c>
      <c r="F7" s="1013">
        <f>bMHpar</f>
        <v>0</v>
      </c>
      <c r="G7" s="1082" t="s">
        <v>2168</v>
      </c>
      <c r="H7" s="1013">
        <f>MAX(5%+0.2%*(CharLevel-BossLevel)+(ROUNDDOWN('Gear &amp; Buffs'!M143/defrating_def,0)*0.04/100),0%)</f>
        <v>4.4000000000000004E-2</v>
      </c>
      <c r="I7" s="1469" t="s">
        <v>2319</v>
      </c>
      <c r="J7" s="1466"/>
      <c r="K7" s="1467"/>
      <c r="L7" s="1023">
        <f>ruptup</f>
        <v>0.98</v>
      </c>
      <c r="M7" s="1494" t="s">
        <v>2324</v>
      </c>
      <c r="N7" s="1495"/>
      <c r="O7" s="1011" t="str">
        <f>ROUND('Gear &amp; Buffs'!$C$7,2)&amp;"  "</f>
        <v xml:space="preserve">1555.18  </v>
      </c>
      <c r="P7" s="1528"/>
      <c r="Q7" s="1529"/>
    </row>
    <row r="8" spans="1:26" ht="12.75" customHeight="1" thickBot="1">
      <c r="A8" s="1491"/>
      <c r="B8" s="1492"/>
      <c r="C8" s="1492"/>
      <c r="D8" s="1493"/>
      <c r="E8" s="1014" t="s">
        <v>598</v>
      </c>
      <c r="F8" s="1079">
        <f>'Damage Calc'!$Q$42</f>
        <v>4010</v>
      </c>
      <c r="G8" s="1014" t="s">
        <v>2167</v>
      </c>
      <c r="H8" s="1015">
        <f>H3+H6+H7</f>
        <v>0.4699331406016829</v>
      </c>
      <c r="I8" s="1542" t="s">
        <v>1178</v>
      </c>
      <c r="J8" s="1543"/>
      <c r="K8" s="1544"/>
      <c r="L8" s="1080">
        <f>B3*0.71</f>
        <v>1104.1795964818443</v>
      </c>
      <c r="M8" s="1496" t="s">
        <v>2266</v>
      </c>
      <c r="N8" s="1497"/>
      <c r="O8" s="1026" t="str">
        <f>ROUND($O$6-'Gear &amp; Buffs'!$C$7,2)&amp;"  "</f>
        <v xml:space="preserve">0  </v>
      </c>
      <c r="P8" s="1526" t="str">
        <f>IF(($B$6/$B$3)&lt;0,ROUND($B$6/$B$3*100,2)&amp;"%  ","+"&amp;ROUND($B$6/$B$3*100,2)&amp;"%  ")</f>
        <v xml:space="preserve">+0%  </v>
      </c>
      <c r="Q8" s="1527"/>
    </row>
    <row r="9" spans="1:26" ht="7.5" customHeight="1" thickBot="1">
      <c r="M9" s="64"/>
      <c r="N9" s="64"/>
      <c r="O9" s="373"/>
    </row>
    <row r="10" spans="1:26" s="64" customFormat="1" ht="21.75" customHeight="1">
      <c r="A10" s="497"/>
      <c r="B10" s="498"/>
      <c r="C10" s="498"/>
      <c r="D10" s="1006"/>
      <c r="E10" s="1006">
        <v>1</v>
      </c>
      <c r="F10" s="1006">
        <v>1</v>
      </c>
      <c r="G10" s="498"/>
      <c r="H10" s="498"/>
      <c r="I10" s="499"/>
      <c r="K10" s="995"/>
      <c r="L10" s="1001"/>
      <c r="M10" s="1002"/>
      <c r="N10" s="1002"/>
      <c r="O10" s="1003"/>
      <c r="P10"/>
      <c r="Q10"/>
      <c r="R10" s="282">
        <v>1</v>
      </c>
      <c r="S10"/>
      <c r="T10"/>
      <c r="U10"/>
      <c r="V10"/>
      <c r="W10"/>
      <c r="X10"/>
      <c r="Y10"/>
    </row>
    <row r="11" spans="1:26" s="64" customFormat="1" ht="21.75" customHeight="1" thickBot="1">
      <c r="A11" s="990"/>
      <c r="B11" s="991"/>
      <c r="C11" s="991"/>
      <c r="D11" s="1532" t="s">
        <v>182</v>
      </c>
      <c r="E11" s="1532">
        <v>1</v>
      </c>
      <c r="F11" s="1532"/>
      <c r="G11" s="991"/>
      <c r="H11" s="991"/>
      <c r="I11" s="992"/>
      <c r="J11"/>
      <c r="K11" s="1004"/>
      <c r="L11" s="996"/>
      <c r="M11" s="996"/>
      <c r="N11" s="996"/>
      <c r="O11" s="1005"/>
      <c r="S11"/>
      <c r="T11"/>
      <c r="U11"/>
      <c r="V11"/>
      <c r="W11"/>
      <c r="X11"/>
      <c r="Y11"/>
      <c r="Z11"/>
    </row>
    <row r="12" spans="1:26" ht="21.75" customHeight="1" thickBot="1">
      <c r="A12" s="1486" t="s">
        <v>2146</v>
      </c>
      <c r="B12" s="1487"/>
      <c r="C12" s="1487"/>
      <c r="D12" s="1530" t="s">
        <v>2147</v>
      </c>
      <c r="E12" s="1487"/>
      <c r="F12" s="1487"/>
      <c r="G12" s="1530" t="s">
        <v>248</v>
      </c>
      <c r="H12" s="1487"/>
      <c r="I12" s="1531"/>
      <c r="K12" s="1007" t="s">
        <v>861</v>
      </c>
      <c r="L12" s="1008"/>
      <c r="M12" s="1008"/>
      <c r="N12" s="1008"/>
      <c r="O12" s="1003"/>
    </row>
    <row r="13" spans="1:26" ht="12.75" customHeight="1" thickBot="1">
      <c r="A13" s="1100" t="s">
        <v>2148</v>
      </c>
      <c r="B13" s="993"/>
      <c r="C13" s="1101" t="s">
        <v>2149</v>
      </c>
      <c r="D13" s="1104" t="s">
        <v>2148</v>
      </c>
      <c r="E13" s="994"/>
      <c r="F13" s="1105" t="s">
        <v>2149</v>
      </c>
      <c r="G13" s="1102" t="s">
        <v>2148</v>
      </c>
      <c r="H13" s="1102"/>
      <c r="I13" s="1103" t="s">
        <v>2149</v>
      </c>
      <c r="K13" s="1539" t="s">
        <v>881</v>
      </c>
      <c r="L13" s="1540"/>
      <c r="M13" s="1540"/>
      <c r="N13" s="1540">
        <v>1</v>
      </c>
      <c r="O13" s="1541"/>
      <c r="Q13" s="1533" t="s">
        <v>882</v>
      </c>
      <c r="R13" s="1534"/>
      <c r="S13" s="1534"/>
      <c r="T13" s="1534"/>
      <c r="U13" s="1534"/>
      <c r="V13" s="1535"/>
    </row>
    <row r="14" spans="1:26" ht="12.75" customHeight="1">
      <c r="A14" s="947" t="s">
        <v>134</v>
      </c>
      <c r="B14" s="948"/>
      <c r="C14" s="949">
        <v>0</v>
      </c>
      <c r="D14" s="950" t="s">
        <v>1511</v>
      </c>
      <c r="E14" s="951"/>
      <c r="F14" s="952">
        <v>3</v>
      </c>
      <c r="G14" s="953" t="s">
        <v>1513</v>
      </c>
      <c r="H14" s="954"/>
      <c r="I14" s="955">
        <v>0</v>
      </c>
      <c r="K14" s="1377" t="s">
        <v>2864</v>
      </c>
      <c r="L14" s="1056"/>
      <c r="M14" s="1056"/>
      <c r="N14" s="1378"/>
      <c r="O14" s="1067">
        <v>70</v>
      </c>
      <c r="Q14" s="1041">
        <v>8800</v>
      </c>
      <c r="R14" s="1042" t="s">
        <v>499</v>
      </c>
      <c r="S14" s="1043"/>
      <c r="T14" s="1043"/>
      <c r="U14" s="1043"/>
      <c r="V14" s="1044"/>
    </row>
    <row r="15" spans="1:26" ht="12.75" customHeight="1">
      <c r="A15" s="956" t="s">
        <v>1512</v>
      </c>
      <c r="B15" s="957"/>
      <c r="C15" s="958">
        <v>0</v>
      </c>
      <c r="D15" s="959" t="s">
        <v>2150</v>
      </c>
      <c r="E15" s="960"/>
      <c r="F15" s="961">
        <v>2</v>
      </c>
      <c r="G15" s="959" t="s">
        <v>2154</v>
      </c>
      <c r="H15" s="960"/>
      <c r="I15" s="962">
        <v>0</v>
      </c>
      <c r="K15" s="1377" t="s">
        <v>834</v>
      </c>
      <c r="L15" s="1056"/>
      <c r="M15" s="1056"/>
      <c r="N15" s="1378"/>
      <c r="O15" s="1067">
        <v>73</v>
      </c>
      <c r="Q15" s="928">
        <v>7685</v>
      </c>
      <c r="R15" s="929" t="s">
        <v>699</v>
      </c>
      <c r="S15" s="930"/>
      <c r="T15" s="930"/>
      <c r="U15" s="930"/>
      <c r="V15" s="931"/>
    </row>
    <row r="16" spans="1:26" ht="12.75" customHeight="1">
      <c r="A16" s="965" t="s">
        <v>135</v>
      </c>
      <c r="B16" s="963"/>
      <c r="C16" s="964">
        <v>5</v>
      </c>
      <c r="D16" s="965" t="s">
        <v>2152</v>
      </c>
      <c r="E16" s="963"/>
      <c r="F16" s="962">
        <v>0</v>
      </c>
      <c r="G16" s="966"/>
      <c r="H16" s="967"/>
      <c r="I16" s="968"/>
      <c r="K16" s="1379" t="s">
        <v>1297</v>
      </c>
      <c r="L16" s="1056"/>
      <c r="M16" s="1056"/>
      <c r="N16" s="1378"/>
      <c r="O16" s="1068" t="s">
        <v>1734</v>
      </c>
      <c r="Q16" s="928"/>
      <c r="R16" s="929" t="s">
        <v>3077</v>
      </c>
      <c r="S16" s="930"/>
      <c r="T16" s="930"/>
      <c r="U16" s="930"/>
      <c r="V16" s="931"/>
    </row>
    <row r="17" spans="1:22" ht="12.75" customHeight="1">
      <c r="A17" s="909" t="s">
        <v>2156</v>
      </c>
      <c r="B17" s="910"/>
      <c r="C17" s="911">
        <v>3</v>
      </c>
      <c r="D17" s="932" t="s">
        <v>2221</v>
      </c>
      <c r="E17" s="933"/>
      <c r="F17" s="914">
        <v>3</v>
      </c>
      <c r="G17" s="915" t="s">
        <v>1514</v>
      </c>
      <c r="H17" s="916"/>
      <c r="I17" s="917">
        <v>0</v>
      </c>
      <c r="K17" s="1377" t="s">
        <v>1212</v>
      </c>
      <c r="L17" s="1056"/>
      <c r="M17" s="1056"/>
      <c r="N17" s="1378"/>
      <c r="O17" s="1069" t="s">
        <v>144</v>
      </c>
      <c r="Q17" s="928" t="s">
        <v>883</v>
      </c>
      <c r="R17" s="929" t="s">
        <v>700</v>
      </c>
      <c r="S17" s="930"/>
      <c r="T17" s="930"/>
      <c r="U17" s="930"/>
      <c r="V17" s="931"/>
    </row>
    <row r="18" spans="1:22" ht="12.75" customHeight="1">
      <c r="A18" s="909" t="s">
        <v>411</v>
      </c>
      <c r="B18" s="910"/>
      <c r="C18" s="911">
        <v>2</v>
      </c>
      <c r="D18" s="912" t="s">
        <v>1515</v>
      </c>
      <c r="E18" s="913"/>
      <c r="F18" s="914">
        <v>0</v>
      </c>
      <c r="G18" s="915" t="s">
        <v>1516</v>
      </c>
      <c r="H18" s="916"/>
      <c r="I18" s="917">
        <v>0</v>
      </c>
      <c r="K18" s="1059" t="s">
        <v>2042</v>
      </c>
      <c r="L18" s="1056"/>
      <c r="M18" s="1056"/>
      <c r="N18" s="1378"/>
      <c r="O18" s="1069" t="s">
        <v>144</v>
      </c>
      <c r="Q18" s="928"/>
      <c r="R18" s="929" t="s">
        <v>3078</v>
      </c>
      <c r="S18" s="930"/>
      <c r="T18" s="930"/>
      <c r="U18" s="930"/>
      <c r="V18" s="931"/>
    </row>
    <row r="19" spans="1:22" ht="12.75" customHeight="1">
      <c r="A19" s="909" t="s">
        <v>629</v>
      </c>
      <c r="B19" s="910"/>
      <c r="C19" s="911">
        <v>0</v>
      </c>
      <c r="D19" s="909" t="s">
        <v>2222</v>
      </c>
      <c r="E19" s="913"/>
      <c r="F19" s="934">
        <v>5</v>
      </c>
      <c r="G19" s="915" t="s">
        <v>1517</v>
      </c>
      <c r="H19" s="916"/>
      <c r="I19" s="917">
        <v>0</v>
      </c>
      <c r="K19" s="1053" t="s">
        <v>3003</v>
      </c>
      <c r="L19" s="1054"/>
      <c r="M19" s="1054"/>
      <c r="N19" s="1055"/>
      <c r="O19" s="1069" t="s">
        <v>751</v>
      </c>
      <c r="Q19" s="928"/>
      <c r="R19" s="929" t="s">
        <v>3079</v>
      </c>
      <c r="S19" s="930"/>
      <c r="T19" s="930"/>
      <c r="U19" s="930"/>
      <c r="V19" s="931"/>
    </row>
    <row r="20" spans="1:22" ht="12.75" customHeight="1">
      <c r="A20" s="959" t="s">
        <v>163</v>
      </c>
      <c r="B20" s="960"/>
      <c r="C20" s="969">
        <v>1</v>
      </c>
      <c r="D20" s="970" t="s">
        <v>1518</v>
      </c>
      <c r="E20" s="971"/>
      <c r="F20" s="972">
        <v>0</v>
      </c>
      <c r="G20" s="973" t="s">
        <v>1519</v>
      </c>
      <c r="H20" s="971"/>
      <c r="I20" s="974">
        <v>0</v>
      </c>
      <c r="K20" s="1059" t="s">
        <v>1296</v>
      </c>
      <c r="L20" s="1056"/>
      <c r="M20" s="1056"/>
      <c r="N20" s="1378"/>
      <c r="O20" s="1068">
        <v>7685</v>
      </c>
      <c r="Q20" s="928"/>
      <c r="R20" s="929" t="s">
        <v>3076</v>
      </c>
      <c r="S20" s="930"/>
      <c r="T20" s="930"/>
      <c r="U20" s="930"/>
      <c r="V20" s="931"/>
    </row>
    <row r="21" spans="1:22" ht="12.75" customHeight="1" thickBot="1">
      <c r="A21" s="982" t="s">
        <v>1520</v>
      </c>
      <c r="B21" s="983"/>
      <c r="C21" s="977">
        <v>0</v>
      </c>
      <c r="D21" s="970" t="s">
        <v>1521</v>
      </c>
      <c r="E21" s="971"/>
      <c r="F21" s="972">
        <v>0</v>
      </c>
      <c r="G21" s="975" t="s">
        <v>1185</v>
      </c>
      <c r="H21" s="971"/>
      <c r="I21" s="961">
        <v>0</v>
      </c>
      <c r="K21" s="1059" t="s">
        <v>63</v>
      </c>
      <c r="L21" s="1056"/>
      <c r="M21" s="1056"/>
      <c r="N21" s="1378"/>
      <c r="O21" s="1069" t="s">
        <v>669</v>
      </c>
      <c r="Q21" s="1045">
        <v>6800</v>
      </c>
      <c r="R21" s="1046" t="s">
        <v>1400</v>
      </c>
      <c r="S21" s="1047"/>
      <c r="T21" s="1047"/>
      <c r="U21" s="1047"/>
      <c r="V21" s="1048"/>
    </row>
    <row r="22" spans="1:22" ht="12.75" customHeight="1" thickBot="1">
      <c r="A22" s="965" t="s">
        <v>2227</v>
      </c>
      <c r="B22" s="976"/>
      <c r="C22" s="977">
        <v>5</v>
      </c>
      <c r="D22" s="970" t="s">
        <v>1607</v>
      </c>
      <c r="E22" s="971"/>
      <c r="F22" s="972">
        <v>2</v>
      </c>
      <c r="G22" s="973" t="s">
        <v>1608</v>
      </c>
      <c r="H22" s="971"/>
      <c r="I22" s="974">
        <v>0</v>
      </c>
      <c r="K22" s="1536" t="s">
        <v>308</v>
      </c>
      <c r="L22" s="1537"/>
      <c r="M22" s="1537"/>
      <c r="N22" s="1537"/>
      <c r="O22" s="1538"/>
      <c r="Q22" s="928">
        <v>6200</v>
      </c>
      <c r="R22" s="929" t="s">
        <v>1145</v>
      </c>
      <c r="S22" s="930"/>
      <c r="T22" s="930"/>
      <c r="U22" s="930"/>
      <c r="V22" s="931"/>
    </row>
    <row r="23" spans="1:22" ht="12.75" customHeight="1">
      <c r="A23" s="918" t="s">
        <v>633</v>
      </c>
      <c r="B23" s="919"/>
      <c r="C23" s="920">
        <v>3</v>
      </c>
      <c r="D23" s="915" t="s">
        <v>413</v>
      </c>
      <c r="E23" s="913"/>
      <c r="F23" s="917">
        <v>0</v>
      </c>
      <c r="G23" s="915" t="s">
        <v>1609</v>
      </c>
      <c r="H23" s="935"/>
      <c r="I23" s="917">
        <v>0</v>
      </c>
      <c r="K23" s="1059" t="s">
        <v>1009</v>
      </c>
      <c r="L23" s="1056"/>
      <c r="M23" s="1056"/>
      <c r="N23" s="1060"/>
      <c r="O23" s="1070" t="s">
        <v>1011</v>
      </c>
      <c r="Q23" s="928"/>
      <c r="R23" s="929" t="s">
        <v>3080</v>
      </c>
      <c r="S23" s="930"/>
      <c r="T23" s="930"/>
      <c r="U23" s="930"/>
      <c r="V23" s="931"/>
    </row>
    <row r="24" spans="1:22" ht="12.75" customHeight="1">
      <c r="A24" s="918" t="s">
        <v>412</v>
      </c>
      <c r="B24" s="919"/>
      <c r="C24" s="920">
        <v>0</v>
      </c>
      <c r="D24" s="921" t="s">
        <v>414</v>
      </c>
      <c r="E24" s="922"/>
      <c r="F24" s="923">
        <v>0</v>
      </c>
      <c r="G24" s="924" t="s">
        <v>1610</v>
      </c>
      <c r="H24" s="925"/>
      <c r="I24" s="926">
        <v>0</v>
      </c>
      <c r="K24" s="1059" t="s">
        <v>1010</v>
      </c>
      <c r="L24" s="1056"/>
      <c r="M24" s="1056"/>
      <c r="N24" s="1061" t="b">
        <v>0</v>
      </c>
      <c r="O24" s="1071">
        <v>0.3</v>
      </c>
      <c r="Q24" s="928"/>
      <c r="R24" s="929" t="s">
        <v>3081</v>
      </c>
      <c r="S24" s="930"/>
      <c r="T24" s="930"/>
      <c r="U24" s="930"/>
      <c r="V24" s="931"/>
    </row>
    <row r="25" spans="1:22" ht="12.75" customHeight="1">
      <c r="A25" s="936"/>
      <c r="B25" s="935"/>
      <c r="C25" s="935"/>
      <c r="D25" s="921" t="s">
        <v>415</v>
      </c>
      <c r="E25" s="922"/>
      <c r="F25" s="923">
        <v>5</v>
      </c>
      <c r="G25" s="918" t="s">
        <v>2151</v>
      </c>
      <c r="H25" s="919"/>
      <c r="I25" s="927">
        <v>0</v>
      </c>
      <c r="K25" s="1059" t="s">
        <v>749</v>
      </c>
      <c r="L25" s="1056"/>
      <c r="M25" s="1056"/>
      <c r="N25" s="1060"/>
      <c r="O25" s="1072" t="s">
        <v>144</v>
      </c>
      <c r="Q25" s="941"/>
      <c r="R25" s="942" t="s">
        <v>3082</v>
      </c>
      <c r="S25" s="943"/>
      <c r="T25" s="943"/>
      <c r="U25" s="943"/>
      <c r="V25" s="944"/>
    </row>
    <row r="26" spans="1:22" ht="12.75" customHeight="1">
      <c r="A26" s="956" t="s">
        <v>1611</v>
      </c>
      <c r="B26" s="967"/>
      <c r="C26" s="958">
        <v>0</v>
      </c>
      <c r="D26" s="965" t="s">
        <v>416</v>
      </c>
      <c r="E26" s="963"/>
      <c r="F26" s="961">
        <v>0</v>
      </c>
      <c r="G26" s="956" t="s">
        <v>1612</v>
      </c>
      <c r="H26" s="967"/>
      <c r="I26" s="978">
        <v>0</v>
      </c>
      <c r="K26" s="1059" t="s">
        <v>755</v>
      </c>
      <c r="L26" s="1046"/>
      <c r="M26" s="1046"/>
      <c r="N26" s="1373"/>
      <c r="O26" s="1072" t="s">
        <v>751</v>
      </c>
      <c r="Q26" s="1045">
        <v>5475</v>
      </c>
      <c r="R26" s="1046" t="s">
        <v>1401</v>
      </c>
      <c r="S26" s="1047"/>
      <c r="T26" s="1047"/>
      <c r="U26" s="1047"/>
      <c r="V26" s="1048"/>
    </row>
    <row r="27" spans="1:22" ht="12.75" customHeight="1">
      <c r="A27" s="965" t="s">
        <v>1359</v>
      </c>
      <c r="B27" s="963"/>
      <c r="C27" s="969">
        <v>0</v>
      </c>
      <c r="D27" s="979" t="s">
        <v>746</v>
      </c>
      <c r="E27" s="980"/>
      <c r="F27" s="962">
        <v>1</v>
      </c>
      <c r="G27" s="956" t="s">
        <v>1613</v>
      </c>
      <c r="H27" s="967"/>
      <c r="I27" s="978">
        <v>0</v>
      </c>
      <c r="K27" s="1062" t="s">
        <v>1012</v>
      </c>
      <c r="L27" s="1057"/>
      <c r="M27" s="1063"/>
      <c r="N27" s="1064"/>
      <c r="O27" s="1070" t="s">
        <v>1013</v>
      </c>
      <c r="Q27" s="928">
        <v>3800</v>
      </c>
      <c r="R27" s="929" t="s">
        <v>1144</v>
      </c>
      <c r="S27" s="945"/>
      <c r="T27" s="945"/>
      <c r="U27" s="945"/>
      <c r="V27" s="946"/>
    </row>
    <row r="28" spans="1:22" ht="12.75" customHeight="1" thickBot="1">
      <c r="A28" s="970" t="s">
        <v>474</v>
      </c>
      <c r="B28" s="963"/>
      <c r="C28" s="981">
        <v>0</v>
      </c>
      <c r="D28" s="965" t="s">
        <v>418</v>
      </c>
      <c r="E28" s="963"/>
      <c r="F28" s="961">
        <v>5</v>
      </c>
      <c r="G28" s="965" t="s">
        <v>1593</v>
      </c>
      <c r="H28" s="963"/>
      <c r="I28" s="962">
        <v>0</v>
      </c>
      <c r="K28" s="1059" t="s">
        <v>3156</v>
      </c>
      <c r="L28" s="1056"/>
      <c r="M28" s="1056"/>
      <c r="N28" s="1060"/>
      <c r="O28" s="1072" t="s">
        <v>751</v>
      </c>
      <c r="Q28" s="1049">
        <v>0</v>
      </c>
      <c r="R28" s="1050" t="s">
        <v>1402</v>
      </c>
      <c r="S28" s="1051"/>
      <c r="T28" s="1051"/>
      <c r="U28" s="1051"/>
      <c r="V28" s="1052"/>
    </row>
    <row r="29" spans="1:22" ht="12.75" customHeight="1">
      <c r="A29" s="959" t="s">
        <v>745</v>
      </c>
      <c r="B29" s="960"/>
      <c r="C29" s="969">
        <v>0</v>
      </c>
      <c r="D29" s="965" t="s">
        <v>417</v>
      </c>
      <c r="E29" s="963"/>
      <c r="F29" s="961">
        <v>0</v>
      </c>
      <c r="G29" s="959" t="s">
        <v>2153</v>
      </c>
      <c r="H29" s="960"/>
      <c r="I29" s="961">
        <v>0</v>
      </c>
      <c r="K29" s="1307" t="s">
        <v>3157</v>
      </c>
      <c r="L29" s="1046"/>
      <c r="M29" s="1046"/>
      <c r="N29" s="1373"/>
      <c r="O29" s="1072" t="s">
        <v>751</v>
      </c>
    </row>
    <row r="30" spans="1:22" ht="12.75" customHeight="1">
      <c r="A30" s="921" t="s">
        <v>753</v>
      </c>
      <c r="B30" s="922"/>
      <c r="C30" s="937">
        <v>0</v>
      </c>
      <c r="D30" s="915" t="s">
        <v>475</v>
      </c>
      <c r="E30" s="935"/>
      <c r="F30" s="917">
        <v>0</v>
      </c>
      <c r="G30" s="915" t="s">
        <v>476</v>
      </c>
      <c r="H30" s="935"/>
      <c r="I30" s="917">
        <v>0</v>
      </c>
      <c r="K30" s="1062" t="s">
        <v>1014</v>
      </c>
      <c r="L30" s="1057"/>
      <c r="M30" s="1063"/>
      <c r="N30" s="1064"/>
      <c r="O30" s="1072" t="s">
        <v>1013</v>
      </c>
    </row>
    <row r="31" spans="1:22" ht="12.75" customHeight="1">
      <c r="A31" s="918" t="s">
        <v>747</v>
      </c>
      <c r="B31" s="919"/>
      <c r="C31" s="920">
        <v>0</v>
      </c>
      <c r="D31" s="918" t="s">
        <v>748</v>
      </c>
      <c r="E31" s="919"/>
      <c r="F31" s="927">
        <v>2</v>
      </c>
      <c r="G31" s="918" t="s">
        <v>2155</v>
      </c>
      <c r="H31" s="919"/>
      <c r="I31" s="927">
        <v>0</v>
      </c>
      <c r="K31" s="1307" t="s">
        <v>3192</v>
      </c>
      <c r="L31" s="1046"/>
      <c r="M31" s="1046"/>
      <c r="N31" s="1373"/>
      <c r="O31" s="1072" t="s">
        <v>751</v>
      </c>
    </row>
    <row r="32" spans="1:22" ht="12.75" customHeight="1">
      <c r="A32" s="936"/>
      <c r="B32" s="935"/>
      <c r="C32" s="935"/>
      <c r="D32" s="938" t="s">
        <v>2223</v>
      </c>
      <c r="E32" s="939"/>
      <c r="F32" s="927">
        <v>3</v>
      </c>
      <c r="G32" s="936"/>
      <c r="H32" s="935"/>
      <c r="I32" s="940"/>
      <c r="K32" s="1307" t="s">
        <v>3195</v>
      </c>
      <c r="L32" s="1046"/>
      <c r="M32" s="1046"/>
      <c r="N32" s="1380" t="b">
        <v>0</v>
      </c>
      <c r="O32" s="1072">
        <v>10000</v>
      </c>
    </row>
    <row r="33" spans="1:18" ht="12.75" customHeight="1">
      <c r="A33" s="982" t="s">
        <v>477</v>
      </c>
      <c r="B33" s="983"/>
      <c r="C33" s="977">
        <v>0</v>
      </c>
      <c r="D33" s="959" t="s">
        <v>754</v>
      </c>
      <c r="E33" s="960"/>
      <c r="F33" s="961">
        <v>2</v>
      </c>
      <c r="G33" s="984" t="s">
        <v>478</v>
      </c>
      <c r="H33" s="960"/>
      <c r="I33" s="974">
        <v>0</v>
      </c>
      <c r="K33" s="1062" t="s">
        <v>3000</v>
      </c>
      <c r="L33" s="1056"/>
      <c r="M33" s="1056"/>
      <c r="N33" s="1060"/>
      <c r="O33" s="1073">
        <v>1</v>
      </c>
      <c r="R33" s="494"/>
    </row>
    <row r="34" spans="1:18" ht="12.75" customHeight="1">
      <c r="A34" s="956" t="s">
        <v>479</v>
      </c>
      <c r="B34" s="967"/>
      <c r="C34" s="958">
        <v>0</v>
      </c>
      <c r="D34" s="959" t="s">
        <v>752</v>
      </c>
      <c r="E34" s="960"/>
      <c r="F34" s="961">
        <v>1</v>
      </c>
      <c r="G34" s="956" t="s">
        <v>480</v>
      </c>
      <c r="H34" s="967"/>
      <c r="I34" s="978">
        <v>0</v>
      </c>
      <c r="K34" s="1062" t="s">
        <v>3035</v>
      </c>
      <c r="L34" s="1056"/>
      <c r="M34" s="1056"/>
      <c r="N34" s="1060"/>
      <c r="O34" s="1074">
        <v>1</v>
      </c>
    </row>
    <row r="35" spans="1:18" ht="12.75" customHeight="1">
      <c r="A35" s="966"/>
      <c r="B35" s="967"/>
      <c r="C35" s="967"/>
      <c r="D35" s="956" t="s">
        <v>481</v>
      </c>
      <c r="E35" s="967"/>
      <c r="F35" s="978">
        <v>2</v>
      </c>
      <c r="G35" s="956" t="s">
        <v>409</v>
      </c>
      <c r="H35" s="967"/>
      <c r="I35" s="978">
        <v>0</v>
      </c>
      <c r="K35" s="1062" t="s">
        <v>2871</v>
      </c>
      <c r="L35" s="1056"/>
      <c r="M35" s="1056"/>
      <c r="N35" s="1060"/>
      <c r="O35" s="1072">
        <v>300</v>
      </c>
    </row>
    <row r="36" spans="1:18" ht="12.75" customHeight="1" thickBot="1">
      <c r="A36" s="921" t="s">
        <v>756</v>
      </c>
      <c r="B36" s="922"/>
      <c r="C36" s="937">
        <v>0</v>
      </c>
      <c r="D36" s="918" t="s">
        <v>761</v>
      </c>
      <c r="E36" s="919"/>
      <c r="F36" s="923">
        <v>5</v>
      </c>
      <c r="G36" s="918" t="s">
        <v>2157</v>
      </c>
      <c r="H36" s="919"/>
      <c r="I36" s="923">
        <v>0</v>
      </c>
      <c r="K36" s="1065" t="s">
        <v>919</v>
      </c>
      <c r="L36" s="1058"/>
      <c r="M36" s="1058"/>
      <c r="N36" s="1066"/>
      <c r="O36" s="1075" t="s">
        <v>751</v>
      </c>
      <c r="R36" s="64"/>
    </row>
    <row r="37" spans="1:18" ht="12.75" customHeight="1" thickBot="1">
      <c r="A37" s="985" t="s">
        <v>750</v>
      </c>
      <c r="B37" s="986"/>
      <c r="C37" s="987">
        <v>0</v>
      </c>
      <c r="D37" s="985" t="s">
        <v>762</v>
      </c>
      <c r="E37" s="986"/>
      <c r="F37" s="988">
        <v>1</v>
      </c>
      <c r="G37" s="985" t="s">
        <v>1524</v>
      </c>
      <c r="H37" s="986"/>
      <c r="I37" s="989">
        <v>0</v>
      </c>
    </row>
    <row r="38" spans="1:18" ht="12.75" customHeight="1" thickBot="1">
      <c r="A38" s="995"/>
      <c r="B38" s="996"/>
      <c r="C38" s="627">
        <f>SUM(C14:C37)</f>
        <v>19</v>
      </c>
      <c r="D38" s="997"/>
      <c r="E38" s="997"/>
      <c r="F38" s="627">
        <f>SUM(F14:F37)</f>
        <v>42</v>
      </c>
      <c r="G38" s="998"/>
      <c r="H38" s="999"/>
      <c r="I38" s="627">
        <f>SUM(I14:I37)</f>
        <v>0</v>
      </c>
    </row>
    <row r="39" spans="1:18" ht="17.25" customHeight="1" thickBot="1">
      <c r="A39" s="1513" t="s">
        <v>1441</v>
      </c>
      <c r="B39" s="1514"/>
      <c r="C39" s="495">
        <f>CharLevel-9-I39</f>
        <v>0</v>
      </c>
      <c r="D39" s="1000"/>
      <c r="E39" s="1000"/>
      <c r="F39" s="1000"/>
      <c r="G39" s="1518" t="s">
        <v>410</v>
      </c>
      <c r="H39" s="1519"/>
      <c r="I39" s="496">
        <f>C38+F38+I38</f>
        <v>61</v>
      </c>
    </row>
    <row r="40" spans="1:18" ht="13.5" thickBot="1">
      <c r="A40" s="167"/>
      <c r="B40" s="167"/>
      <c r="C40" s="167"/>
      <c r="D40" s="167"/>
      <c r="E40" s="167"/>
      <c r="F40" s="167"/>
      <c r="G40" s="167"/>
      <c r="H40" s="167"/>
      <c r="I40" s="167"/>
    </row>
    <row r="41" spans="1:18" ht="13.5" thickBot="1">
      <c r="A41" s="1515" t="s">
        <v>763</v>
      </c>
      <c r="B41" s="1516"/>
      <c r="C41" s="1516"/>
      <c r="D41" s="1516"/>
      <c r="E41" s="1516"/>
      <c r="F41" s="1516"/>
      <c r="G41" s="1517"/>
      <c r="H41" s="64"/>
      <c r="I41" s="64"/>
      <c r="J41" s="64"/>
    </row>
    <row r="42" spans="1:18" ht="13.5" thickBot="1">
      <c r="A42" s="1472" t="s">
        <v>3043</v>
      </c>
      <c r="B42" s="1473"/>
      <c r="C42" s="1473"/>
      <c r="D42" s="1473"/>
      <c r="E42" s="1473"/>
      <c r="F42" s="1473"/>
      <c r="G42" s="1474"/>
      <c r="H42" s="64"/>
      <c r="I42" s="64"/>
      <c r="J42" s="64"/>
    </row>
    <row r="43" spans="1:18">
      <c r="A43" s="1038"/>
      <c r="B43" s="1470"/>
      <c r="C43" s="1470"/>
      <c r="D43" s="502"/>
      <c r="E43" s="502"/>
      <c r="F43" s="502"/>
      <c r="G43" s="503"/>
      <c r="H43" s="64"/>
      <c r="I43" s="64"/>
      <c r="J43" s="64"/>
    </row>
    <row r="44" spans="1:18">
      <c r="A44" s="1039"/>
      <c r="B44" s="1471"/>
      <c r="C44" s="1471"/>
      <c r="D44" s="500"/>
      <c r="E44" s="500"/>
      <c r="F44" s="500"/>
      <c r="G44" s="501"/>
      <c r="H44" s="64"/>
      <c r="I44" s="64"/>
      <c r="J44" s="64"/>
    </row>
    <row r="45" spans="1:18">
      <c r="A45" s="1030"/>
      <c r="B45" s="1508" t="s">
        <v>864</v>
      </c>
      <c r="C45" s="1510"/>
      <c r="D45" s="1508" t="s">
        <v>863</v>
      </c>
      <c r="E45" s="1509"/>
      <c r="F45" s="1508" t="s">
        <v>862</v>
      </c>
      <c r="G45" s="1509"/>
      <c r="H45" s="64"/>
      <c r="I45" s="64"/>
      <c r="J45" s="64"/>
      <c r="K45" s="64"/>
      <c r="L45" s="64"/>
    </row>
    <row r="46" spans="1:18">
      <c r="A46" s="1028" t="s">
        <v>765</v>
      </c>
      <c r="B46" s="1031">
        <f>nextstat2!$H$4</f>
        <v>1</v>
      </c>
      <c r="C46" s="1032" t="s">
        <v>766</v>
      </c>
      <c r="D46" s="1031">
        <f>B46/B$48</f>
        <v>2.3149828155506516</v>
      </c>
      <c r="E46" s="1033" t="s">
        <v>768</v>
      </c>
      <c r="F46" s="1034">
        <f>nextstat2!$E$4</f>
        <v>0.8272128693349714</v>
      </c>
      <c r="G46" s="1033" t="s">
        <v>1538</v>
      </c>
      <c r="H46" s="64"/>
      <c r="I46" s="64"/>
      <c r="J46" s="64"/>
      <c r="K46" s="64"/>
      <c r="L46" s="64"/>
    </row>
    <row r="47" spans="1:18">
      <c r="A47" s="1028" t="s">
        <v>767</v>
      </c>
      <c r="B47" s="1031">
        <f>nextstat2!$H$11</f>
        <v>0.47516551423727965</v>
      </c>
      <c r="C47" s="1032" t="s">
        <v>766</v>
      </c>
      <c r="D47" s="1031">
        <f>B47/B$48</f>
        <v>1.1000000000015908</v>
      </c>
      <c r="E47" s="1032" t="s">
        <v>768</v>
      </c>
      <c r="F47" s="1034">
        <f>nextstat2!$E$11</f>
        <v>0.3930630284412473</v>
      </c>
      <c r="G47" s="1032" t="s">
        <v>1538</v>
      </c>
      <c r="H47" s="64"/>
      <c r="I47" s="64"/>
      <c r="J47" s="64"/>
      <c r="K47" s="64"/>
      <c r="L47" s="64"/>
    </row>
    <row r="48" spans="1:18">
      <c r="A48" s="1028" t="s">
        <v>768</v>
      </c>
      <c r="B48" s="1031">
        <f>nextstat2!$H$3</f>
        <v>0.43196864930599316</v>
      </c>
      <c r="C48" s="1032" t="s">
        <v>766</v>
      </c>
      <c r="D48" s="1031">
        <v>1</v>
      </c>
      <c r="E48" s="1032" t="s">
        <v>768</v>
      </c>
      <c r="F48" s="1034">
        <f>nextstat2!$E$3</f>
        <v>0.3573300258551626</v>
      </c>
      <c r="G48" s="1032" t="s">
        <v>1538</v>
      </c>
      <c r="H48" s="64"/>
      <c r="I48" s="64"/>
      <c r="J48" s="64"/>
      <c r="K48" s="64"/>
      <c r="L48" s="64"/>
      <c r="M48" s="64"/>
    </row>
    <row r="49" spans="1:25">
      <c r="A49" s="1028" t="s">
        <v>2139</v>
      </c>
      <c r="B49" s="1031">
        <f>nextstat2!$H$6</f>
        <v>6.7093147034680944</v>
      </c>
      <c r="C49" s="1032" t="s">
        <v>766</v>
      </c>
      <c r="D49" s="1031">
        <f>B49/B$48</f>
        <v>15.531948242649953</v>
      </c>
      <c r="E49" s="1032" t="s">
        <v>768</v>
      </c>
      <c r="F49" s="1034">
        <f>nextstat2!$E$6</f>
        <v>5.5500314671271553</v>
      </c>
      <c r="G49" s="1032" t="s">
        <v>1538</v>
      </c>
      <c r="H49" s="64"/>
      <c r="I49" s="64"/>
      <c r="J49" s="64"/>
      <c r="K49" s="64"/>
      <c r="L49" s="64"/>
      <c r="M49" s="64"/>
    </row>
    <row r="50" spans="1:25">
      <c r="A50" s="1028" t="s">
        <v>2140</v>
      </c>
      <c r="B50" s="1031">
        <f>nextstat2!$H$5</f>
        <v>0.82904453125931488</v>
      </c>
      <c r="C50" s="1032" t="s">
        <v>766</v>
      </c>
      <c r="D50" s="1031">
        <f>B50/B$48</f>
        <v>1.9192238431915589</v>
      </c>
      <c r="E50" s="1032" t="s">
        <v>768</v>
      </c>
      <c r="F50" s="1034">
        <f>nextstat2!$E$5</f>
        <v>0.68579630550948423</v>
      </c>
      <c r="G50" s="1032" t="s">
        <v>1538</v>
      </c>
      <c r="H50" s="64"/>
      <c r="I50" s="64"/>
      <c r="J50" s="64"/>
      <c r="K50" s="64"/>
      <c r="L50" s="64"/>
      <c r="M50" s="64"/>
    </row>
    <row r="51" spans="1:25">
      <c r="A51" s="1028" t="s">
        <v>1582</v>
      </c>
      <c r="B51" s="1031">
        <f>nextstat2!$H$9</f>
        <v>1.4247966757057076</v>
      </c>
      <c r="C51" s="1032" t="s">
        <v>766</v>
      </c>
      <c r="D51" s="1040">
        <f>B51/B$48</f>
        <v>3.2983798199124075</v>
      </c>
      <c r="E51" s="1032" t="s">
        <v>768</v>
      </c>
      <c r="F51" s="1034">
        <f>nextstat2!$E$9</f>
        <v>1.1786101463294472</v>
      </c>
      <c r="G51" s="1032" t="s">
        <v>1538</v>
      </c>
      <c r="H51" s="64"/>
      <c r="I51" s="64"/>
      <c r="J51" s="64"/>
      <c r="K51" s="64"/>
      <c r="L51" s="64"/>
    </row>
    <row r="52" spans="1:25">
      <c r="A52" s="1028" t="s">
        <v>770</v>
      </c>
      <c r="B52" s="1031">
        <f>nextstat2!$H$8</f>
        <v>0.14858158751251888</v>
      </c>
      <c r="C52" s="1032" t="s">
        <v>766</v>
      </c>
      <c r="D52" s="1031">
        <f>B52/B$48</f>
        <v>0.34396382179871648</v>
      </c>
      <c r="E52" s="1032" t="s">
        <v>768</v>
      </c>
      <c r="F52" s="1034">
        <f>nextstat2!$E$8</f>
        <v>0.12290860133657588</v>
      </c>
      <c r="G52" s="1032" t="s">
        <v>1538</v>
      </c>
      <c r="H52" s="64"/>
      <c r="I52" s="64"/>
      <c r="J52" s="64"/>
      <c r="K52" s="64"/>
      <c r="L52" s="64"/>
      <c r="P52" s="167"/>
    </row>
    <row r="53" spans="1:25" ht="13.5" thickBot="1">
      <c r="A53" s="1029" t="s">
        <v>771</v>
      </c>
      <c r="B53" s="1035">
        <f>nextstat2!$H$7</f>
        <v>4.4382587301521434</v>
      </c>
      <c r="C53" s="1036" t="s">
        <v>766</v>
      </c>
      <c r="D53" s="1035">
        <f>B53/B$48</f>
        <v>10.274492691269868</v>
      </c>
      <c r="E53" s="1036" t="s">
        <v>768</v>
      </c>
      <c r="F53" s="1037">
        <f>nextstat2!$E$7</f>
        <v>3.6713847390201408</v>
      </c>
      <c r="G53" s="1036" t="s">
        <v>1538</v>
      </c>
      <c r="H53" s="64"/>
      <c r="I53" s="64"/>
      <c r="J53" s="64"/>
      <c r="K53" s="64"/>
      <c r="L53" s="64"/>
      <c r="P53" s="167"/>
    </row>
    <row r="54" spans="1:25" ht="13.5" thickBot="1">
      <c r="A54" s="1472" t="s">
        <v>772</v>
      </c>
      <c r="B54" s="1473"/>
      <c r="C54" s="1473"/>
      <c r="D54" s="1473"/>
      <c r="E54" s="1473"/>
      <c r="F54" s="1474"/>
      <c r="H54" s="64"/>
      <c r="I54" s="64"/>
      <c r="J54" s="64"/>
      <c r="K54" s="64"/>
      <c r="L54" s="64"/>
      <c r="P54" s="64"/>
      <c r="Q54" s="64"/>
    </row>
    <row r="55" spans="1:25">
      <c r="A55" s="1511" t="s">
        <v>773</v>
      </c>
      <c r="B55" s="1512"/>
      <c r="C55" s="1096">
        <v>0</v>
      </c>
      <c r="D55" s="1084" t="s">
        <v>774</v>
      </c>
      <c r="E55" s="1085"/>
      <c r="F55" s="1099">
        <v>13</v>
      </c>
      <c r="H55" s="64"/>
      <c r="I55" s="64"/>
      <c r="J55" s="64"/>
      <c r="K55" s="64"/>
      <c r="L55" s="64"/>
      <c r="P55" s="64"/>
      <c r="Q55" s="64"/>
    </row>
    <row r="56" spans="1:25">
      <c r="A56" s="1506" t="s">
        <v>775</v>
      </c>
      <c r="B56" s="1507"/>
      <c r="C56" s="1097">
        <v>0</v>
      </c>
      <c r="D56" s="1086" t="s">
        <v>776</v>
      </c>
      <c r="E56" s="1087"/>
      <c r="F56" s="1098">
        <v>8</v>
      </c>
      <c r="H56" s="64"/>
      <c r="I56" s="64"/>
      <c r="J56" s="64"/>
      <c r="K56" s="64"/>
      <c r="L56" s="64"/>
      <c r="O56" s="167"/>
      <c r="P56" s="64"/>
      <c r="Q56" s="64"/>
    </row>
    <row r="57" spans="1:25">
      <c r="A57" s="1506" t="s">
        <v>777</v>
      </c>
      <c r="B57" s="1507"/>
      <c r="C57" s="1098">
        <v>0</v>
      </c>
      <c r="D57" s="1086" t="s">
        <v>778</v>
      </c>
      <c r="E57" s="1087"/>
      <c r="F57" s="1098">
        <v>8</v>
      </c>
      <c r="K57" s="64"/>
      <c r="L57" s="64"/>
      <c r="N57" s="167"/>
      <c r="O57" s="167"/>
      <c r="P57" s="64"/>
      <c r="Q57" s="64"/>
    </row>
    <row r="58" spans="1:25">
      <c r="A58" s="1506" t="s">
        <v>779</v>
      </c>
      <c r="B58" s="1507"/>
      <c r="C58" s="1098">
        <v>0</v>
      </c>
      <c r="D58" s="1086" t="s">
        <v>780</v>
      </c>
      <c r="E58" s="1087"/>
      <c r="F58" s="1098">
        <v>8</v>
      </c>
      <c r="M58" s="64"/>
      <c r="N58" s="64"/>
      <c r="O58" s="64"/>
      <c r="P58" s="64"/>
      <c r="Q58" s="64"/>
    </row>
    <row r="59" spans="1:25" ht="13.5" thickBot="1">
      <c r="A59" s="1506" t="s">
        <v>1474</v>
      </c>
      <c r="B59" s="1507"/>
      <c r="C59" s="1098">
        <v>0</v>
      </c>
      <c r="D59" s="1086" t="s">
        <v>1475</v>
      </c>
      <c r="E59" s="1087"/>
      <c r="F59" s="1098">
        <v>0</v>
      </c>
      <c r="M59" s="64"/>
      <c r="N59" s="64"/>
      <c r="O59" s="64"/>
      <c r="P59" s="64"/>
      <c r="Q59" s="64"/>
    </row>
    <row r="60" spans="1:25" ht="13.5" thickBot="1">
      <c r="A60" s="1088" t="s">
        <v>769</v>
      </c>
      <c r="B60" s="1089"/>
      <c r="C60" s="1089"/>
      <c r="D60" s="1089"/>
      <c r="E60" s="1089"/>
      <c r="F60" s="1089"/>
      <c r="G60" s="1089"/>
      <c r="H60" s="1089"/>
      <c r="I60" s="1089"/>
      <c r="J60" s="1089"/>
      <c r="P60" s="1089"/>
      <c r="Q60" s="1089"/>
      <c r="R60" s="1089"/>
      <c r="S60" s="1089"/>
      <c r="T60" s="1089"/>
      <c r="U60" s="1089"/>
      <c r="V60" s="1089"/>
      <c r="W60" s="1089"/>
      <c r="X60" s="1089"/>
      <c r="Y60" s="1091"/>
    </row>
    <row r="61" spans="1:25" ht="13.5" thickBot="1">
      <c r="A61" s="1092" t="str">
        <f>"(Pawn: v1: "&amp;CHAR(34)&amp;"AEP(spreadsheet)"&amp;CHAR(34)&amp;": Agility=1, Strength="&amp;ROUND(B47,2)&amp;", Ap="&amp;ROUND(B48,2)&amp;", HitRating="&amp;ROUND(B49,2)&amp;", CritRating="&amp;ROUND(B50,2)&amp;", HasteRating="&amp;ROUND(B53,2)&amp;", "&amp;IF(mhtype="Fist","Unarmed",mhtype)&amp;"Rating="&amp;ROUND(B51,2)&amp;", ArmorPen="&amp;ROUND(B52, 2)&amp;", Stamina="&amp;C55&amp;", DodgeRating="&amp;C56&amp;", Resilience="&amp;C57&amp;", ParryRating="&amp;C58&amp;", Armor="&amp;C59&amp;", MetaSocket="&amp;F55&amp;", RedSocket="&amp;F56&amp;", BlueSocket="&amp;F57&amp;", YellowSocket="&amp;F58&amp;", DefenseRating="&amp;F59&amp;")"</f>
        <v>(Pawn: v1: "AEP(spreadsheet)": Agility=1, Strength=0.48, Ap=0.43, HitRating=6.71, CritRating=0.83, HasteRating=4.44, SwordRating=1.42, ArmorPen=0.15, Stamina=0, DodgeRating=0, Resilience=0, ParryRating=0, Armor=0, MetaSocket=13, RedSocket=8, BlueSocket=8, YellowSocket=8, DefenseRating=0)</v>
      </c>
      <c r="B61" s="1093"/>
      <c r="C61" s="1093"/>
      <c r="D61" s="1094"/>
      <c r="E61" s="1094"/>
      <c r="F61" s="1094"/>
      <c r="G61" s="1094"/>
      <c r="H61" s="1094"/>
      <c r="I61" s="1094"/>
      <c r="J61" s="1094"/>
      <c r="K61" s="1089"/>
      <c r="L61" s="1089"/>
      <c r="M61" s="1089"/>
      <c r="N61" s="1090"/>
      <c r="O61" s="1089"/>
      <c r="P61" s="1094"/>
      <c r="Q61" s="1094"/>
      <c r="R61" s="1094"/>
      <c r="S61" s="1094"/>
      <c r="T61" s="1094"/>
      <c r="U61" s="1094"/>
      <c r="V61" s="1094"/>
      <c r="W61" s="1094"/>
      <c r="X61" s="1094"/>
      <c r="Y61" s="1095"/>
    </row>
    <row r="62" spans="1:25" ht="13.5" thickBot="1">
      <c r="K62" s="1094"/>
      <c r="L62" s="1094"/>
      <c r="M62" s="1094"/>
      <c r="N62" s="1094"/>
      <c r="O62" s="1094"/>
      <c r="P62" s="64"/>
    </row>
    <row r="63" spans="1:25">
      <c r="N63" s="64"/>
      <c r="O63" s="64"/>
      <c r="P63" s="167"/>
    </row>
    <row r="64" spans="1:25">
      <c r="A64" s="64"/>
      <c r="B64" s="64"/>
      <c r="C64" s="64"/>
      <c r="D64" s="64"/>
      <c r="E64" s="64"/>
      <c r="F64" s="64"/>
      <c r="G64" s="64"/>
      <c r="H64" s="64"/>
      <c r="I64" s="64"/>
      <c r="J64" s="64"/>
      <c r="K64" s="64"/>
      <c r="L64" s="64"/>
      <c r="M64" s="64"/>
      <c r="N64" s="64"/>
      <c r="O64" s="167"/>
      <c r="P64" s="167"/>
    </row>
    <row r="65" spans="1:26">
      <c r="N65" s="64"/>
    </row>
    <row r="66" spans="1:26">
      <c r="N66" s="167"/>
    </row>
    <row r="68" spans="1:26">
      <c r="O68" s="167"/>
      <c r="P68" s="167"/>
    </row>
    <row r="69" spans="1:26">
      <c r="O69" s="167"/>
      <c r="P69" s="167"/>
    </row>
    <row r="73" spans="1:26">
      <c r="O73" s="64"/>
    </row>
    <row r="74" spans="1:26">
      <c r="P74" s="64"/>
      <c r="Q74" s="64"/>
      <c r="R74" s="64"/>
      <c r="S74" s="64"/>
      <c r="T74" s="64"/>
      <c r="U74" s="64"/>
      <c r="V74" s="64"/>
      <c r="W74" s="64"/>
      <c r="X74" s="64"/>
      <c r="Y74" s="64"/>
    </row>
    <row r="75" spans="1:26">
      <c r="Z75" s="64"/>
    </row>
    <row r="76" spans="1:26" s="64" customFormat="1">
      <c r="A76"/>
      <c r="B76"/>
      <c r="C76"/>
      <c r="D76"/>
      <c r="E76"/>
      <c r="F76"/>
      <c r="G76"/>
      <c r="H76"/>
      <c r="I76"/>
      <c r="J76"/>
      <c r="K76"/>
      <c r="L76"/>
      <c r="M76"/>
      <c r="O76"/>
      <c r="P76"/>
      <c r="Q76"/>
      <c r="R76"/>
      <c r="S76"/>
      <c r="T76"/>
      <c r="U76"/>
      <c r="V76"/>
      <c r="W76"/>
      <c r="X76"/>
      <c r="Y76"/>
      <c r="Z76"/>
    </row>
  </sheetData>
  <dataConsolidate link="1"/>
  <mergeCells count="53">
    <mergeCell ref="A39:B39"/>
    <mergeCell ref="A41:G41"/>
    <mergeCell ref="G39:H39"/>
    <mergeCell ref="P5:Q5"/>
    <mergeCell ref="P6:Q6"/>
    <mergeCell ref="M6:N6"/>
    <mergeCell ref="I7:K7"/>
    <mergeCell ref="P8:Q8"/>
    <mergeCell ref="P7:Q7"/>
    <mergeCell ref="G12:I12"/>
    <mergeCell ref="D12:F12"/>
    <mergeCell ref="D11:F11"/>
    <mergeCell ref="Q13:V13"/>
    <mergeCell ref="K22:O22"/>
    <mergeCell ref="K13:O13"/>
    <mergeCell ref="I8:K8"/>
    <mergeCell ref="A59:B59"/>
    <mergeCell ref="A58:B58"/>
    <mergeCell ref="A57:B57"/>
    <mergeCell ref="F45:G45"/>
    <mergeCell ref="B45:C45"/>
    <mergeCell ref="D45:E45"/>
    <mergeCell ref="A56:B56"/>
    <mergeCell ref="A55:B55"/>
    <mergeCell ref="A54:F54"/>
    <mergeCell ref="B43:C43"/>
    <mergeCell ref="B44:C44"/>
    <mergeCell ref="A42:G42"/>
    <mergeCell ref="M1:Q1"/>
    <mergeCell ref="P2:Q2"/>
    <mergeCell ref="P3:Q3"/>
    <mergeCell ref="P4:Q4"/>
    <mergeCell ref="M2:N2"/>
    <mergeCell ref="A12:C12"/>
    <mergeCell ref="A7:D8"/>
    <mergeCell ref="M7:N7"/>
    <mergeCell ref="M8:N8"/>
    <mergeCell ref="M3:N3"/>
    <mergeCell ref="M4:N4"/>
    <mergeCell ref="M5:N5"/>
    <mergeCell ref="A1:A2"/>
    <mergeCell ref="I6:K6"/>
    <mergeCell ref="A3:A4"/>
    <mergeCell ref="B5:D5"/>
    <mergeCell ref="E1:F1"/>
    <mergeCell ref="G1:H1"/>
    <mergeCell ref="B1:D2"/>
    <mergeCell ref="B3:D4"/>
    <mergeCell ref="I1:L1"/>
    <mergeCell ref="I2:K2"/>
    <mergeCell ref="I3:K3"/>
    <mergeCell ref="I4:K4"/>
    <mergeCell ref="I5:K5"/>
  </mergeCells>
  <phoneticPr fontId="2" type="noConversion"/>
  <conditionalFormatting sqref="F38 I38 C38:C39">
    <cfRule type="cellIs" dxfId="55" priority="1" stopIfTrue="1" operator="greaterThan">
      <formula>0</formula>
    </cfRule>
  </conditionalFormatting>
  <conditionalFormatting sqref="I39">
    <cfRule type="cellIs" dxfId="54" priority="2" stopIfTrue="1" operator="lessThan">
      <formula>61</formula>
    </cfRule>
  </conditionalFormatting>
  <conditionalFormatting sqref="A6:D6 M8:Q8">
    <cfRule type="expression" dxfId="53" priority="3" stopIfTrue="1">
      <formula>($B$3-$B$5)&gt;0</formula>
    </cfRule>
    <cfRule type="expression" dxfId="52" priority="4" stopIfTrue="1">
      <formula>($B$3-$B$5)&lt;0</formula>
    </cfRule>
  </conditionalFormatting>
  <dataValidations count="21">
    <dataValidation type="list" allowBlank="1" showErrorMessage="1" sqref="I29 F37 F34 C20 C27 C37 F27 I37" xr:uid="{00000000-0002-0000-0200-000000000000}">
      <formula1>Talents0to1</formula1>
    </dataValidation>
    <dataValidation type="list" allowBlank="1" showErrorMessage="1" sqref="I25 F32 C14 C17 C19 F17 I33" xr:uid="{00000000-0002-0000-0200-000001000000}">
      <formula1>Talents0to3</formula1>
    </dataValidation>
    <dataValidation type="list" allowBlank="1" showErrorMessage="1" sqref="F33 F31 C18 C29 C31 F15 I28" xr:uid="{00000000-0002-0000-0200-000002000000}">
      <formula1>Talents0to2</formula1>
    </dataValidation>
    <dataValidation type="list" allowBlank="1" showErrorMessage="1" sqref="C55:C58 F59" xr:uid="{00000000-0002-0000-0200-000003000000}">
      <formula1>"0,.25,.50,.75,1,1.25,1.5,1.75,2"</formula1>
      <formula2>0</formula2>
    </dataValidation>
    <dataValidation type="list" allowBlank="1" showErrorMessage="1" sqref="C59" xr:uid="{00000000-0002-0000-0200-000004000000}">
      <formula1>"0,.01,.02,.03,.04,.05,.1"</formula1>
      <formula2>0</formula2>
    </dataValidation>
    <dataValidation type="whole" allowBlank="1" showErrorMessage="1" sqref="F55:F58" xr:uid="{00000000-0002-0000-0200-000005000000}">
      <formula1>0</formula1>
      <formula2>100</formula2>
    </dataValidation>
    <dataValidation type="list" allowBlank="1" showInputMessage="1" showErrorMessage="1" sqref="O23" xr:uid="{00000000-0002-0000-0200-000007000000}">
      <formula1>"Off,Always &lt;35%,Overall"</formula1>
    </dataValidation>
    <dataValidation type="list" allowBlank="1" showInputMessage="1" showErrorMessage="1" sqref="O16" xr:uid="{00000000-0002-0000-0200-000008000000}">
      <formula1>"Any,Beast,Demon,Dragonkin,Elemental,Giant,Humanoid,Undead,Other"</formula1>
    </dataValidation>
    <dataValidation type="list" allowBlank="1" showInputMessage="1" showErrorMessage="1" sqref="I24 C15 C21 C26 F20 F22:F23 F30 F35 I26 I17:I18" xr:uid="{00000000-0002-0000-0200-000009000000}">
      <formula1>Talents0to2</formula1>
    </dataValidation>
    <dataValidation type="list" allowBlank="1" showInputMessage="1" showErrorMessage="1" sqref="I22:I23 C28 F14 I30 I35 I20" xr:uid="{00000000-0002-0000-0200-00000A000000}">
      <formula1>Talents0to3</formula1>
    </dataValidation>
    <dataValidation type="list" allowBlank="1" showInputMessage="1" showErrorMessage="1" sqref="I27 C33 F21 I34 I21" xr:uid="{00000000-0002-0000-0200-00000B000000}">
      <formula1>Talents0to1</formula1>
    </dataValidation>
    <dataValidation type="list" allowBlank="1" showInputMessage="1" showErrorMessage="1" sqref="I19 C22 C34 F18 I14 O34" xr:uid="{00000000-0002-0000-0200-00000C000000}">
      <formula1>Talents0to5</formula1>
    </dataValidation>
    <dataValidation type="whole" allowBlank="1" showInputMessage="1" showErrorMessage="1" sqref="O14:O15" xr:uid="{00000000-0002-0000-0200-00000D000000}">
      <formula1>1</formula1>
      <formula2>73</formula2>
    </dataValidation>
    <dataValidation type="list" allowBlank="1" showInputMessage="1" showErrorMessage="1" sqref="O17:O19 O28:O29 O25:O26 O31" xr:uid="{00000000-0002-0000-0200-00000E000000}">
      <formula1>"Yes,No"</formula1>
    </dataValidation>
    <dataValidation type="list" allowBlank="1" showInputMessage="1" showErrorMessage="1" sqref="O30 O27 O28" xr:uid="{00000000-0002-0000-0200-00000F000000}">
      <formula1>"Instants,Finishers"</formula1>
    </dataValidation>
    <dataValidation type="list" allowBlank="1" showErrorMessage="1" sqref="C16 C23:C24 C30 C36 F16 F19 F24:F26 F28:F29 F36 I36 I15 I31" xr:uid="{00000000-0002-0000-0200-000010000000}">
      <formula1>Talents0to5</formula1>
    </dataValidation>
    <dataValidation type="list" allowBlank="1" showInputMessage="1" showErrorMessage="1" sqref="O36" xr:uid="{00000000-0002-0000-0200-000011000000}">
      <formula1>"Yes, No"</formula1>
    </dataValidation>
    <dataValidation type="list" allowBlank="1" showInputMessage="1" showErrorMessage="1" sqref="O21" xr:uid="{00000000-0002-0000-0200-000013000000}">
      <formula1>"Back,Front"</formula1>
    </dataValidation>
    <dataValidation type="decimal" allowBlank="1" showInputMessage="1" showErrorMessage="1" sqref="O35" xr:uid="{BAF1FBB8-DF27-4301-BE15-6177ACA8E86E}">
      <formula1>0</formula1>
      <formula2>600</formula2>
    </dataValidation>
    <dataValidation type="decimal" allowBlank="1" showInputMessage="1" showErrorMessage="1" sqref="O33" xr:uid="{0408EC07-A088-4CF4-8301-BA28B76E025D}">
      <formula1>0</formula1>
      <formula2>1</formula2>
    </dataValidation>
    <dataValidation type="decimal" operator="greaterThanOrEqual" allowBlank="1" showInputMessage="1" showErrorMessage="1" sqref="O32" xr:uid="{9EACEB94-3980-411D-9938-D3521398B00E}">
      <formula1>0</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77" r:id="rId4" name="Check Box 81">
              <controlPr defaultSize="0" autoFill="0" autoLine="0" autoPict="0">
                <anchor moveWithCells="1">
                  <from>
                    <xdr:col>13</xdr:col>
                    <xdr:colOff>333375</xdr:colOff>
                    <xdr:row>22</xdr:row>
                    <xdr:rowOff>114300</xdr:rowOff>
                  </from>
                  <to>
                    <xdr:col>14</xdr:col>
                    <xdr:colOff>0</xdr:colOff>
                    <xdr:row>24</xdr:row>
                    <xdr:rowOff>28575</xdr:rowOff>
                  </to>
                </anchor>
              </controlPr>
            </control>
          </mc:Choice>
        </mc:AlternateContent>
        <mc:AlternateContent xmlns:mc="http://schemas.openxmlformats.org/markup-compatibility/2006">
          <mc:Choice Requires="x14">
            <control shapeId="4102" r:id="rId5" name="CommandButton">
              <controlPr defaultSize="0" print="0" autoFill="0" autoLine="0" autoPict="0" macro="[0]!nextstat">
                <anchor moveWithCells="1" sizeWithCells="1">
                  <from>
                    <xdr:col>0</xdr:col>
                    <xdr:colOff>9525</xdr:colOff>
                    <xdr:row>42</xdr:row>
                    <xdr:rowOff>19050</xdr:rowOff>
                  </from>
                  <to>
                    <xdr:col>6</xdr:col>
                    <xdr:colOff>1047750</xdr:colOff>
                    <xdr:row>43</xdr:row>
                    <xdr:rowOff>152400</xdr:rowOff>
                  </to>
                </anchor>
              </controlPr>
            </control>
          </mc:Choice>
        </mc:AlternateContent>
        <mc:AlternateContent xmlns:mc="http://schemas.openxmlformats.org/markup-compatibility/2006">
          <mc:Choice Requires="x14">
            <control shapeId="4104" r:id="rId6" name="Button 8">
              <controlPr defaultSize="0" print="0" autoFill="0" autoLine="0" autoPict="0" macro="[0]!save_dps">
                <anchor moveWithCells="1" sizeWithCells="1">
                  <from>
                    <xdr:col>0</xdr:col>
                    <xdr:colOff>19050</xdr:colOff>
                    <xdr:row>6</xdr:row>
                    <xdr:rowOff>9525</xdr:rowOff>
                  </from>
                  <to>
                    <xdr:col>3</xdr:col>
                    <xdr:colOff>781050</xdr:colOff>
                    <xdr:row>7</xdr:row>
                    <xdr:rowOff>142875</xdr:rowOff>
                  </to>
                </anchor>
              </controlPr>
            </control>
          </mc:Choice>
        </mc:AlternateContent>
        <mc:AlternateContent xmlns:mc="http://schemas.openxmlformats.org/markup-compatibility/2006">
          <mc:Choice Requires="x14">
            <control shapeId="4195" r:id="rId7" name="Button 99">
              <controlPr defaultSize="0" print="0" autoFill="0" autoPict="0" macro="[0]!resetTalents">
                <anchor moveWithCells="1">
                  <from>
                    <xdr:col>7</xdr:col>
                    <xdr:colOff>114300</xdr:colOff>
                    <xdr:row>9</xdr:row>
                    <xdr:rowOff>9525</xdr:rowOff>
                  </from>
                  <to>
                    <xdr:col>8</xdr:col>
                    <xdr:colOff>571500</xdr:colOff>
                    <xdr:row>10</xdr:row>
                    <xdr:rowOff>266700</xdr:rowOff>
                  </to>
                </anchor>
              </controlPr>
            </control>
          </mc:Choice>
        </mc:AlternateContent>
        <mc:AlternateContent xmlns:mc="http://schemas.openxmlformats.org/markup-compatibility/2006">
          <mc:Choice Requires="x14">
            <control shapeId="4197" r:id="rId8" name="Button 101">
              <controlPr defaultSize="0" print="0" autoFill="0" autoPict="0" macro="[0]!saveTalents">
                <anchor moveWithCells="1">
                  <from>
                    <xdr:col>1</xdr:col>
                    <xdr:colOff>238125</xdr:colOff>
                    <xdr:row>9</xdr:row>
                    <xdr:rowOff>9525</xdr:rowOff>
                  </from>
                  <to>
                    <xdr:col>3</xdr:col>
                    <xdr:colOff>0</xdr:colOff>
                    <xdr:row>10</xdr:row>
                    <xdr:rowOff>266700</xdr:rowOff>
                  </to>
                </anchor>
              </controlPr>
            </control>
          </mc:Choice>
        </mc:AlternateContent>
        <mc:AlternateContent xmlns:mc="http://schemas.openxmlformats.org/markup-compatibility/2006">
          <mc:Choice Requires="x14">
            <control shapeId="4199" r:id="rId9" name="talentBuildComboBox">
              <controlPr defaultSize="0" autoLine="0" autoPict="0" macro="[0]!talentBuildComboBox_Change">
                <anchor moveWithCells="1">
                  <from>
                    <xdr:col>3</xdr:col>
                    <xdr:colOff>19050</xdr:colOff>
                    <xdr:row>9</xdr:row>
                    <xdr:rowOff>19050</xdr:rowOff>
                  </from>
                  <to>
                    <xdr:col>5</xdr:col>
                    <xdr:colOff>561975</xdr:colOff>
                    <xdr:row>9</xdr:row>
                    <xdr:rowOff>247650</xdr:rowOff>
                  </to>
                </anchor>
              </controlPr>
            </control>
          </mc:Choice>
        </mc:AlternateContent>
        <mc:AlternateContent xmlns:mc="http://schemas.openxmlformats.org/markup-compatibility/2006">
          <mc:Choice Requires="x14">
            <control shapeId="4203" r:id="rId10" name="Button 107">
              <controlPr defaultSize="0" print="0" autoFill="0" autoPict="0" macro="[0]!deleteTalentBuild">
                <anchor moveWithCells="1">
                  <from>
                    <xdr:col>6</xdr:col>
                    <xdr:colOff>9525</xdr:colOff>
                    <xdr:row>9</xdr:row>
                    <xdr:rowOff>9525</xdr:rowOff>
                  </from>
                  <to>
                    <xdr:col>7</xdr:col>
                    <xdr:colOff>95250</xdr:colOff>
                    <xdr:row>10</xdr:row>
                    <xdr:rowOff>266700</xdr:rowOff>
                  </to>
                </anchor>
              </controlPr>
            </control>
          </mc:Choice>
        </mc:AlternateContent>
        <mc:AlternateContent xmlns:mc="http://schemas.openxmlformats.org/markup-compatibility/2006">
          <mc:Choice Requires="x14">
            <control shapeId="4207" r:id="rId11" name="optionBuildComboBox">
              <controlPr defaultSize="0" autoLine="0" autoPict="0" macro="[0]!optionBuildComboBox_Change">
                <anchor moveWithCells="1">
                  <from>
                    <xdr:col>12</xdr:col>
                    <xdr:colOff>104775</xdr:colOff>
                    <xdr:row>11</xdr:row>
                    <xdr:rowOff>19050</xdr:rowOff>
                  </from>
                  <to>
                    <xdr:col>14</xdr:col>
                    <xdr:colOff>695325</xdr:colOff>
                    <xdr:row>11</xdr:row>
                    <xdr:rowOff>238125</xdr:rowOff>
                  </to>
                </anchor>
              </controlPr>
            </control>
          </mc:Choice>
        </mc:AlternateContent>
        <mc:AlternateContent xmlns:mc="http://schemas.openxmlformats.org/markup-compatibility/2006">
          <mc:Choice Requires="x14">
            <control shapeId="4221" r:id="rId12" name="Button 125">
              <controlPr defaultSize="0" print="0" autoFill="0" autoPict="0" macro="[0]!saveOptions">
                <anchor moveWithCells="1">
                  <from>
                    <xdr:col>11</xdr:col>
                    <xdr:colOff>466725</xdr:colOff>
                    <xdr:row>9</xdr:row>
                    <xdr:rowOff>9525</xdr:rowOff>
                  </from>
                  <to>
                    <xdr:col>13</xdr:col>
                    <xdr:colOff>304800</xdr:colOff>
                    <xdr:row>10</xdr:row>
                    <xdr:rowOff>257175</xdr:rowOff>
                  </to>
                </anchor>
              </controlPr>
            </control>
          </mc:Choice>
        </mc:AlternateContent>
        <mc:AlternateContent xmlns:mc="http://schemas.openxmlformats.org/markup-compatibility/2006">
          <mc:Choice Requires="x14">
            <control shapeId="4222" r:id="rId13" name="Button 2">
              <controlPr defaultSize="0" print="0" autoFill="0" autoPict="0" macro="[0]!deleteOptionBuild">
                <anchor moveWithCells="1">
                  <from>
                    <xdr:col>13</xdr:col>
                    <xdr:colOff>333375</xdr:colOff>
                    <xdr:row>9</xdr:row>
                    <xdr:rowOff>9525</xdr:rowOff>
                  </from>
                  <to>
                    <xdr:col>14</xdr:col>
                    <xdr:colOff>704850</xdr:colOff>
                    <xdr:row>10</xdr:row>
                    <xdr:rowOff>257175</xdr:rowOff>
                  </to>
                </anchor>
              </controlPr>
            </control>
          </mc:Choice>
        </mc:AlternateContent>
        <mc:AlternateContent xmlns:mc="http://schemas.openxmlformats.org/markup-compatibility/2006">
          <mc:Choice Requires="x14">
            <control shapeId="4258" r:id="rId14" name="Button 162">
              <controlPr defaultSize="0" print="0" autoFill="0" autoPict="0" macro="[0]!talentBuildComboBox_Change">
                <anchor moveWithCells="1" sizeWithCells="1">
                  <from>
                    <xdr:col>0</xdr:col>
                    <xdr:colOff>28575</xdr:colOff>
                    <xdr:row>9</xdr:row>
                    <xdr:rowOff>9525</xdr:rowOff>
                  </from>
                  <to>
                    <xdr:col>1</xdr:col>
                    <xdr:colOff>219075</xdr:colOff>
                    <xdr:row>10</xdr:row>
                    <xdr:rowOff>266700</xdr:rowOff>
                  </to>
                </anchor>
              </controlPr>
            </control>
          </mc:Choice>
        </mc:AlternateContent>
        <mc:AlternateContent xmlns:mc="http://schemas.openxmlformats.org/markup-compatibility/2006">
          <mc:Choice Requires="x14">
            <control shapeId="4323" r:id="rId15" name="Button 227">
              <controlPr defaultSize="0" print="0" autoFill="0" autoPict="0" macro="[0]!optionBuildComboBox_Change">
                <anchor moveWithCells="1" sizeWithCells="1">
                  <from>
                    <xdr:col>10</xdr:col>
                    <xdr:colOff>9525</xdr:colOff>
                    <xdr:row>9</xdr:row>
                    <xdr:rowOff>9525</xdr:rowOff>
                  </from>
                  <to>
                    <xdr:col>11</xdr:col>
                    <xdr:colOff>447675</xdr:colOff>
                    <xdr:row>10</xdr:row>
                    <xdr:rowOff>257175</xdr:rowOff>
                  </to>
                </anchor>
              </controlPr>
            </control>
          </mc:Choice>
        </mc:AlternateContent>
        <mc:AlternateContent xmlns:mc="http://schemas.openxmlformats.org/markup-compatibility/2006">
          <mc:Choice Requires="x14">
            <control shapeId="4354" r:id="rId16" name="Check Box 258">
              <controlPr defaultSize="0" autoFill="0" autoLine="0" autoPict="0">
                <anchor moveWithCells="1">
                  <from>
                    <xdr:col>13</xdr:col>
                    <xdr:colOff>333375</xdr:colOff>
                    <xdr:row>30</xdr:row>
                    <xdr:rowOff>114300</xdr:rowOff>
                  </from>
                  <to>
                    <xdr:col>14</xdr:col>
                    <xdr:colOff>0</xdr:colOff>
                    <xdr:row>32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9C48E-917E-433D-80CA-40B5D8F8F7BF}">
  <sheetPr codeName="Sheet6"/>
  <dimension ref="B1:J34"/>
  <sheetViews>
    <sheetView zoomScaleNormal="100" workbookViewId="0">
      <pane ySplit="4" topLeftCell="A5" activePane="bottomLeft" state="frozen"/>
      <selection pane="bottomLeft" activeCell="G1" sqref="G1:I2"/>
    </sheetView>
  </sheetViews>
  <sheetFormatPr defaultRowHeight="12.75"/>
  <cols>
    <col min="2" max="2" width="39.28515625" bestFit="1" customWidth="1"/>
    <col min="3" max="3" width="11.140625" customWidth="1"/>
    <col min="4" max="4" width="7" bestFit="1" customWidth="1"/>
    <col min="5" max="5" width="39.28515625" bestFit="1" customWidth="1"/>
    <col min="6" max="6" width="11.140625" customWidth="1"/>
    <col min="7" max="7" width="7" bestFit="1" customWidth="1"/>
    <col min="8" max="8" width="36.42578125" bestFit="1" customWidth="1"/>
    <col min="9" max="9" width="11.140625" customWidth="1"/>
    <col min="10" max="10" width="7" bestFit="1" customWidth="1"/>
  </cols>
  <sheetData>
    <row r="1" spans="2:10" ht="12.75" customHeight="1">
      <c r="B1" s="1546" t="s">
        <v>3049</v>
      </c>
      <c r="F1" s="1504" t="s">
        <v>1538</v>
      </c>
      <c r="G1" s="1547">
        <f>'Damage Calc'!$J$16</f>
        <v>1555.182530256119</v>
      </c>
      <c r="H1" s="1547"/>
      <c r="I1" s="1548"/>
    </row>
    <row r="2" spans="2:10" ht="13.5" customHeight="1" thickBot="1">
      <c r="B2" s="1546"/>
      <c r="F2" s="1545"/>
      <c r="G2" s="1549"/>
      <c r="H2" s="1549"/>
      <c r="I2" s="1550"/>
    </row>
    <row r="3" spans="2:10">
      <c r="B3" s="889">
        <v>1</v>
      </c>
      <c r="F3" s="1009" t="s">
        <v>1137</v>
      </c>
      <c r="G3" s="1445">
        <f>'Gear &amp; Buffs'!$C$7</f>
        <v>1555.182530256119</v>
      </c>
      <c r="H3" s="1445"/>
      <c r="I3" s="1446"/>
    </row>
    <row r="4" spans="2:10" ht="13.5" thickBot="1">
      <c r="B4" s="889"/>
      <c r="F4" s="1160" t="s">
        <v>590</v>
      </c>
      <c r="G4" s="1157" t="str">
        <f>IF(($G$1-$G$3)&lt;0,ROUND($G$1-$G$3,2),"+"&amp;ROUND($G$1-$G$3,2))</f>
        <v>+0</v>
      </c>
      <c r="H4" s="1158"/>
      <c r="I4" s="1159" t="str">
        <f>IF(($G$4/$G$1)&lt;0,ROUND($G$4/$G$1*100,2)&amp;"%","+"&amp;ROUND($G$4/$G$1*100,2)&amp;"%")</f>
        <v>+0%</v>
      </c>
    </row>
    <row r="5" spans="2:10">
      <c r="D5" s="889"/>
      <c r="G5" s="889"/>
    </row>
    <row r="6" spans="2:10" ht="13.5" thickBot="1">
      <c r="D6" s="889"/>
      <c r="G6" s="889"/>
    </row>
    <row r="7" spans="2:10" ht="13.5" thickBot="1">
      <c r="B7" s="619" t="s">
        <v>2917</v>
      </c>
      <c r="C7" s="1163"/>
      <c r="D7" s="889"/>
      <c r="E7" s="619" t="s">
        <v>2919</v>
      </c>
      <c r="F7" s="1163"/>
      <c r="G7" s="889"/>
      <c r="H7" s="619" t="str">
        <f>IF(arush&gt;0,"", "No ")&amp;"Adrenaline Rush"</f>
        <v>Adrenaline Rush</v>
      </c>
      <c r="I7" s="1163"/>
      <c r="J7" s="889"/>
    </row>
    <row r="8" spans="2:10">
      <c r="B8" s="1169" t="str">
        <f>IF(COUNTIF(trinket60list, trinket1)+COUNTIF(trinket60list, trinket2)&gt;1, IF(COUNTIF(trinket60list, trinket1)&gt;0, trinket1)&amp;" &amp; "&amp;IF(COUNTIF(trinket60list, trinket2)&gt;0, trinket2), IF(COUNTIF(trinket60list, trinket1)&gt;0, trinket1, IF(COUNTIF(trinket60list, trinket2)&gt;0, trinket2, "No 1m trinkets equipped")))</f>
        <v>No 1m trinkets equipped</v>
      </c>
      <c r="C8" s="1164"/>
      <c r="D8" s="889"/>
      <c r="E8" s="1171" t="str">
        <f>IF(COUNTIF(trinket120list, trinket1)+COUNTIF(trinket120list, trinket2)&gt;1, IF(COUNTIF(trinket120list, trinket1)&gt;0, trinket1)&amp;" &amp; "&amp;IF(COUNTIF(trinket120list, trinket2)&gt;0, trinket2), IF(COUNTIF(trinket120list, trinket1)&gt;0, trinket1, IF(COUNTIF(trinket120list, trinket2)&gt;0, trinket2, "No 2m trinkets equipped")))</f>
        <v>Bloodlust Brooch</v>
      </c>
      <c r="F8" s="1172"/>
      <c r="G8" s="889"/>
      <c r="H8" s="1162" t="s">
        <v>3050</v>
      </c>
      <c r="I8" s="1161" t="s">
        <v>751</v>
      </c>
      <c r="J8" s="889" t="b">
        <f>I8="Yes"</f>
        <v>0</v>
      </c>
    </row>
    <row r="9" spans="2:10">
      <c r="B9" s="1162" t="s">
        <v>3051</v>
      </c>
      <c r="C9" s="1161" t="s">
        <v>751</v>
      </c>
      <c r="D9" s="889" t="b">
        <f>C9="Yes"</f>
        <v>0</v>
      </c>
      <c r="E9" s="1170" t="str">
        <f>"| "&amp;IF(blfl&gt;0, "Blade Flurry | ", "")&amp;IF(CharRace="Orc", "Blood Fury | ", "")&amp;IF(CharRace="Blood Elf", "Arcane Torrent | ", "")&amp;IF(AND(Talents!O36="No", 'Gear &amp; Buffs'!B135&gt;0), "Haste Potion | ", "")&amp;IF(AND(Talents!O36="No",'Gear &amp; Buffs'!B136&gt;0), "Drums of Battle | ", IF(AND(Talents!O36="No",'Gear &amp; Buffs'!B137&gt;0), "Drums of War | ", ""))</f>
        <v xml:space="preserve">| Blade Flurry | Haste Potion | Drums of Battle | </v>
      </c>
      <c r="F9" s="1173"/>
      <c r="G9" s="889"/>
      <c r="H9" s="1166" t="s">
        <v>2971</v>
      </c>
      <c r="I9" s="1021">
        <v>0</v>
      </c>
      <c r="J9" s="889"/>
    </row>
    <row r="10" spans="2:10" ht="13.5" thickBot="1">
      <c r="B10" s="1166" t="s">
        <v>2929</v>
      </c>
      <c r="C10" s="1021">
        <v>0</v>
      </c>
      <c r="D10" s="889"/>
      <c r="E10" s="1162" t="s">
        <v>3051</v>
      </c>
      <c r="F10" s="1161" t="s">
        <v>751</v>
      </c>
      <c r="G10" s="889" t="b">
        <f>F10="Yes"</f>
        <v>0</v>
      </c>
      <c r="H10" s="1167" t="s">
        <v>2972</v>
      </c>
      <c r="I10" s="1168">
        <v>300</v>
      </c>
      <c r="J10" s="889"/>
    </row>
    <row r="11" spans="2:10" ht="13.5" thickBot="1">
      <c r="B11" s="1162" t="s">
        <v>3052</v>
      </c>
      <c r="C11" s="1161" t="s">
        <v>751</v>
      </c>
      <c r="D11" s="889" t="b">
        <f>C11="Yes"</f>
        <v>0</v>
      </c>
      <c r="E11" s="1166" t="s">
        <v>2945</v>
      </c>
      <c r="F11" s="1021">
        <v>0</v>
      </c>
      <c r="G11" s="889"/>
      <c r="J11" s="889"/>
    </row>
    <row r="12" spans="2:10" ht="13.5" thickBot="1">
      <c r="B12" s="1166" t="s">
        <v>2930</v>
      </c>
      <c r="C12" s="1021">
        <v>60</v>
      </c>
      <c r="D12" s="889"/>
      <c r="E12" s="1162" t="s">
        <v>3052</v>
      </c>
      <c r="F12" s="1161" t="s">
        <v>751</v>
      </c>
      <c r="G12" s="889" t="b">
        <f>F12="Yes"</f>
        <v>0</v>
      </c>
      <c r="H12" s="619" t="str">
        <f>IF('Cooldowns Calc'!AL38,"","No ")&amp;"Thistle Tea"</f>
        <v>Thistle Tea</v>
      </c>
      <c r="I12" s="1163"/>
      <c r="J12" s="889"/>
    </row>
    <row r="13" spans="2:10">
      <c r="B13" s="1166" t="s">
        <v>2931</v>
      </c>
      <c r="C13" s="1021">
        <v>120</v>
      </c>
      <c r="D13" s="889"/>
      <c r="E13" s="1166" t="s">
        <v>2946</v>
      </c>
      <c r="F13" s="1021">
        <v>120</v>
      </c>
      <c r="G13" s="889"/>
      <c r="H13" s="1162" t="s">
        <v>3055</v>
      </c>
      <c r="I13" s="1161" t="s">
        <v>751</v>
      </c>
      <c r="J13" s="889" t="b">
        <f>I13="Yes"</f>
        <v>0</v>
      </c>
    </row>
    <row r="14" spans="2:10">
      <c r="B14" s="1166" t="s">
        <v>2932</v>
      </c>
      <c r="C14" s="1021">
        <v>180</v>
      </c>
      <c r="D14" s="889"/>
      <c r="E14" s="1166" t="s">
        <v>2947</v>
      </c>
      <c r="F14" s="1021">
        <v>240</v>
      </c>
      <c r="G14" s="889"/>
      <c r="H14" s="1166" t="s">
        <v>2973</v>
      </c>
      <c r="I14" s="1021">
        <v>0</v>
      </c>
      <c r="J14" s="889"/>
    </row>
    <row r="15" spans="2:10" ht="13.5" thickBot="1">
      <c r="B15" s="1166" t="s">
        <v>2933</v>
      </c>
      <c r="C15" s="1021">
        <v>240</v>
      </c>
      <c r="D15" s="889"/>
      <c r="E15" s="1166" t="s">
        <v>2948</v>
      </c>
      <c r="F15" s="1021">
        <v>360</v>
      </c>
      <c r="G15" s="889"/>
      <c r="H15" s="1167" t="s">
        <v>2974</v>
      </c>
      <c r="I15" s="1168">
        <v>300</v>
      </c>
      <c r="J15" s="889"/>
    </row>
    <row r="16" spans="2:10" ht="13.5" thickBot="1">
      <c r="B16" s="1166" t="s">
        <v>2934</v>
      </c>
      <c r="C16" s="1021">
        <v>300</v>
      </c>
      <c r="D16" s="889"/>
      <c r="E16" s="1167" t="s">
        <v>2949</v>
      </c>
      <c r="F16" s="1168">
        <v>480</v>
      </c>
      <c r="G16" s="889"/>
      <c r="J16" s="889"/>
    </row>
    <row r="17" spans="2:10" ht="13.5" thickBot="1">
      <c r="B17" s="1166" t="s">
        <v>2935</v>
      </c>
      <c r="C17" s="1021">
        <v>360</v>
      </c>
      <c r="D17" s="889"/>
      <c r="G17" s="889"/>
      <c r="H17" s="619" t="str">
        <f>IF(blust,"","No ")&amp;"Bloodlust / Heroism"</f>
        <v>Bloodlust / Heroism</v>
      </c>
      <c r="I17" s="1163"/>
      <c r="J17" s="889"/>
    </row>
    <row r="18" spans="2:10">
      <c r="B18" s="1166" t="s">
        <v>2936</v>
      </c>
      <c r="C18" s="1021">
        <v>420</v>
      </c>
      <c r="D18" s="889"/>
      <c r="H18" s="1162" t="s">
        <v>3056</v>
      </c>
      <c r="I18" s="1161" t="s">
        <v>751</v>
      </c>
      <c r="J18" s="889" t="b">
        <f>I18="Yes"</f>
        <v>0</v>
      </c>
    </row>
    <row r="19" spans="2:10">
      <c r="B19" s="1166" t="s">
        <v>2937</v>
      </c>
      <c r="C19" s="1021">
        <v>480</v>
      </c>
      <c r="D19" s="889"/>
      <c r="H19" s="1166" t="s">
        <v>2924</v>
      </c>
      <c r="I19" s="1021">
        <v>0</v>
      </c>
      <c r="J19" s="889"/>
    </row>
    <row r="20" spans="2:10" ht="13.5" thickBot="1">
      <c r="B20" s="1167" t="s">
        <v>2938</v>
      </c>
      <c r="C20" s="1168">
        <v>540</v>
      </c>
      <c r="D20" s="889"/>
      <c r="H20" s="1166" t="s">
        <v>2925</v>
      </c>
      <c r="I20" s="1021">
        <v>40</v>
      </c>
      <c r="J20" s="889"/>
    </row>
    <row r="21" spans="2:10" ht="13.5" thickBot="1">
      <c r="D21" s="889"/>
      <c r="H21" s="1166" t="s">
        <v>2926</v>
      </c>
      <c r="I21" s="1021">
        <v>80</v>
      </c>
      <c r="J21" s="889"/>
    </row>
    <row r="22" spans="2:10" ht="13.5" thickBot="1">
      <c r="B22" s="619" t="s">
        <v>2918</v>
      </c>
      <c r="C22" s="1163"/>
      <c r="D22" s="889"/>
      <c r="E22" s="619" t="s">
        <v>2921</v>
      </c>
      <c r="F22" s="1163"/>
      <c r="G22" s="889"/>
      <c r="H22" s="1166" t="s">
        <v>2927</v>
      </c>
      <c r="I22" s="1021">
        <v>120</v>
      </c>
      <c r="J22" s="889"/>
    </row>
    <row r="23" spans="2:10">
      <c r="B23" s="1170" t="str">
        <f>IF(COUNTIF(trinket90list, trinket1)+COUNTIF(trinket90list, trinket2)&gt;1, IF(COUNTIF(trinket90list, trinket1)&gt;0, trinket1)&amp;" &amp; "&amp;IF(COUNTIF(trinket90list, trinket2)&gt;0, trinket2), IF(COUNTIF(trinket90list, trinket1)&gt;0, trinket1, IF(COUNTIF(trinket90list, trinket2)&gt;0, trinket2, "No 1.5m trinkets equipped")))</f>
        <v>No 1.5m trinkets equipped</v>
      </c>
      <c r="C23" s="1165"/>
      <c r="D23" s="889"/>
      <c r="E23" s="1171" t="str">
        <f>IF(COUNTIF(trinket180list, trinket1)+COUNTIF(trinket180list, trinket2)&gt;1, IF(COUNTIF(trinket180list, trinket1)&gt;0, trinket1)&amp;" &amp; "&amp;IF(COUNTIF(trinket180list, trinket2)&gt;0, trinket2), IF(COUNTIF(trinket180list, trinket1)&gt;0, trinket1, IF(COUNTIF(trinket180list, trinket2)&gt;0, trinket2, "No 3m trinkets equipped")))</f>
        <v>No 3m trinkets equipped</v>
      </c>
      <c r="F23" s="1172"/>
      <c r="G23" s="889"/>
      <c r="H23" s="1166" t="s">
        <v>2928</v>
      </c>
      <c r="I23" s="1021">
        <v>160</v>
      </c>
      <c r="J23" s="889"/>
    </row>
    <row r="24" spans="2:10">
      <c r="B24" s="1162" t="s">
        <v>3051</v>
      </c>
      <c r="C24" s="1161" t="s">
        <v>751</v>
      </c>
      <c r="D24" s="889" t="b">
        <f>C24="Yes"</f>
        <v>0</v>
      </c>
      <c r="E24" s="1170" t="str">
        <f>"| "&amp;IF(CharRace="Troll","Berserking | ","")</f>
        <v xml:space="preserve">| </v>
      </c>
      <c r="F24" s="1173"/>
      <c r="G24" s="889"/>
      <c r="H24" s="1166" t="s">
        <v>2957</v>
      </c>
      <c r="I24" s="1021">
        <v>200</v>
      </c>
      <c r="J24" s="889"/>
    </row>
    <row r="25" spans="2:10">
      <c r="B25" s="1166" t="s">
        <v>2939</v>
      </c>
      <c r="C25" s="1021">
        <v>0</v>
      </c>
      <c r="D25" s="889"/>
      <c r="E25" s="1162" t="s">
        <v>3051</v>
      </c>
      <c r="F25" s="1161" t="s">
        <v>751</v>
      </c>
      <c r="G25" s="889" t="b">
        <f>F25="Yes"</f>
        <v>0</v>
      </c>
      <c r="H25" s="1166" t="s">
        <v>2958</v>
      </c>
      <c r="I25" s="1021">
        <v>240</v>
      </c>
      <c r="J25" s="889"/>
    </row>
    <row r="26" spans="2:10">
      <c r="B26" s="1162" t="s">
        <v>3052</v>
      </c>
      <c r="C26" s="1161" t="s">
        <v>751</v>
      </c>
      <c r="D26" s="889" t="b">
        <f>C26="Yes"</f>
        <v>0</v>
      </c>
      <c r="E26" s="1166" t="s">
        <v>2950</v>
      </c>
      <c r="F26" s="1021">
        <v>0</v>
      </c>
      <c r="G26" s="889"/>
      <c r="H26" s="1166" t="s">
        <v>2959</v>
      </c>
      <c r="I26" s="1021">
        <v>280</v>
      </c>
      <c r="J26" s="889"/>
    </row>
    <row r="27" spans="2:10">
      <c r="B27" s="1162" t="s">
        <v>3053</v>
      </c>
      <c r="C27" s="1161" t="s">
        <v>751</v>
      </c>
      <c r="D27" s="889" t="b">
        <f>C27="Yes"</f>
        <v>0</v>
      </c>
      <c r="E27" s="1162" t="s">
        <v>3052</v>
      </c>
      <c r="F27" s="1161" t="s">
        <v>751</v>
      </c>
      <c r="G27" s="889" t="b">
        <f>F27="Yes"</f>
        <v>0</v>
      </c>
      <c r="H27" s="1166" t="s">
        <v>2960</v>
      </c>
      <c r="I27" s="1021">
        <v>320</v>
      </c>
      <c r="J27" s="889"/>
    </row>
    <row r="28" spans="2:10">
      <c r="B28" s="1166" t="s">
        <v>2940</v>
      </c>
      <c r="C28" s="1021">
        <v>90</v>
      </c>
      <c r="D28" s="889"/>
      <c r="E28" s="1162" t="s">
        <v>3054</v>
      </c>
      <c r="F28" s="1161" t="s">
        <v>751</v>
      </c>
      <c r="G28" s="889" t="b">
        <f>F28="Yes"</f>
        <v>0</v>
      </c>
      <c r="H28" s="1166" t="s">
        <v>2961</v>
      </c>
      <c r="I28" s="1021">
        <v>360</v>
      </c>
      <c r="J28" s="889"/>
    </row>
    <row r="29" spans="2:10">
      <c r="B29" s="1166" t="s">
        <v>2941</v>
      </c>
      <c r="C29" s="1021">
        <v>180</v>
      </c>
      <c r="D29" s="889"/>
      <c r="E29" s="1166" t="s">
        <v>2951</v>
      </c>
      <c r="F29" s="1021">
        <v>180</v>
      </c>
      <c r="G29" s="889"/>
      <c r="H29" s="1166" t="s">
        <v>2962</v>
      </c>
      <c r="I29" s="1021">
        <v>400</v>
      </c>
      <c r="J29" s="889"/>
    </row>
    <row r="30" spans="2:10">
      <c r="B30" s="1166" t="s">
        <v>2942</v>
      </c>
      <c r="C30" s="1021">
        <v>270</v>
      </c>
      <c r="D30" s="889"/>
      <c r="E30" s="1166" t="s">
        <v>2952</v>
      </c>
      <c r="F30" s="1021">
        <v>360</v>
      </c>
      <c r="G30" s="889"/>
      <c r="H30" s="1166" t="s">
        <v>2963</v>
      </c>
      <c r="I30" s="1021">
        <v>440</v>
      </c>
      <c r="J30" s="889"/>
    </row>
    <row r="31" spans="2:10" ht="13.5" thickBot="1">
      <c r="B31" s="1166" t="s">
        <v>2943</v>
      </c>
      <c r="C31" s="1021">
        <v>360</v>
      </c>
      <c r="D31" s="889"/>
      <c r="E31" s="1167" t="s">
        <v>2953</v>
      </c>
      <c r="F31" s="1168">
        <v>540</v>
      </c>
      <c r="G31" s="889"/>
      <c r="H31" s="1166" t="s">
        <v>2964</v>
      </c>
      <c r="I31" s="1021">
        <v>480</v>
      </c>
      <c r="J31" s="889"/>
    </row>
    <row r="32" spans="2:10">
      <c r="B32" s="1166" t="s">
        <v>2944</v>
      </c>
      <c r="C32" s="1021">
        <v>450</v>
      </c>
      <c r="D32" s="889"/>
      <c r="H32" s="1166" t="s">
        <v>2965</v>
      </c>
      <c r="I32" s="1021">
        <v>520</v>
      </c>
      <c r="J32" s="889"/>
    </row>
    <row r="33" spans="2:10" ht="13.5" thickBot="1">
      <c r="B33" s="1167" t="s">
        <v>2954</v>
      </c>
      <c r="C33" s="1168">
        <v>540</v>
      </c>
      <c r="D33" s="889"/>
      <c r="H33" s="1167" t="s">
        <v>2966</v>
      </c>
      <c r="I33" s="1168">
        <v>560</v>
      </c>
      <c r="J33" s="889"/>
    </row>
    <row r="34" spans="2:10">
      <c r="J34" s="889"/>
    </row>
  </sheetData>
  <mergeCells count="4">
    <mergeCell ref="F1:F2"/>
    <mergeCell ref="B1:B2"/>
    <mergeCell ref="G3:I3"/>
    <mergeCell ref="G1:I2"/>
  </mergeCells>
  <conditionalFormatting sqref="F4:I4">
    <cfRule type="expression" dxfId="51" priority="1" stopIfTrue="1">
      <formula>($G$1-$G$3)&gt;0</formula>
    </cfRule>
    <cfRule type="expression" dxfId="50" priority="2" stopIfTrue="1">
      <formula>($G$1-$G$3)&lt;0</formula>
    </cfRule>
  </conditionalFormatting>
  <dataValidations count="2">
    <dataValidation type="list" allowBlank="1" showInputMessage="1" showErrorMessage="1" sqref="C9 C11 C24 C26:C27 I8 I13 I18 F10 F12 F25 F27:F28" xr:uid="{D94FA781-EFDF-4C04-879A-E2EF70C722C3}">
      <formula1>"Yes,No"</formula1>
    </dataValidation>
    <dataValidation type="decimal" allowBlank="1" showInputMessage="1" showErrorMessage="1" sqref="C25 C10 F26 I9 F11 I19 I14 C12:C20 C28:C33 F29:F31 F13:F16 I20:I33 I15 I10" xr:uid="{58FD9468-0671-43D8-928D-55C08B179951}">
      <formula1>0</formula1>
      <formula2>600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4689" r:id="rId3" name="Button 1">
              <controlPr defaultSize="0" print="0" autoFill="0" autoLine="0" autoPict="0" macro="[0]!save_dps">
                <anchor moveWithCells="1" sizeWithCells="1">
                  <from>
                    <xdr:col>9</xdr:col>
                    <xdr:colOff>38100</xdr:colOff>
                    <xdr:row>0</xdr:row>
                    <xdr:rowOff>19050</xdr:rowOff>
                  </from>
                  <to>
                    <xdr:col>10</xdr:col>
                    <xdr:colOff>447675</xdr:colOff>
                    <xdr:row>3</xdr:row>
                    <xdr:rowOff>142875</xdr:rowOff>
                  </to>
                </anchor>
              </controlPr>
            </control>
          </mc:Choice>
        </mc:AlternateContent>
        <mc:AlternateContent xmlns:mc="http://schemas.openxmlformats.org/markup-compatibility/2006">
          <mc:Choice Requires="x14">
            <control shapeId="114692" r:id="rId4" name="Button 4">
              <controlPr defaultSize="0" print="0" autoFill="0" autoPict="0" macro="[0]!saveCooldownSettings">
                <anchor moveWithCells="1">
                  <from>
                    <xdr:col>3</xdr:col>
                    <xdr:colOff>161925</xdr:colOff>
                    <xdr:row>0</xdr:row>
                    <xdr:rowOff>57150</xdr:rowOff>
                  </from>
                  <to>
                    <xdr:col>4</xdr:col>
                    <xdr:colOff>485775</xdr:colOff>
                    <xdr:row>3</xdr:row>
                    <xdr:rowOff>85725</xdr:rowOff>
                  </to>
                </anchor>
              </controlPr>
            </control>
          </mc:Choice>
        </mc:AlternateContent>
        <mc:AlternateContent xmlns:mc="http://schemas.openxmlformats.org/markup-compatibility/2006">
          <mc:Choice Requires="x14">
            <control shapeId="114693" r:id="rId5" name="Button 2">
              <controlPr defaultSize="0" print="0" autoFill="0" autoPict="0" macro="[0]!deleteCooldownBuild">
                <anchor moveWithCells="1">
                  <from>
                    <xdr:col>4</xdr:col>
                    <xdr:colOff>504825</xdr:colOff>
                    <xdr:row>0</xdr:row>
                    <xdr:rowOff>57150</xdr:rowOff>
                  </from>
                  <to>
                    <xdr:col>4</xdr:col>
                    <xdr:colOff>1333500</xdr:colOff>
                    <xdr:row>3</xdr:row>
                    <xdr:rowOff>85725</xdr:rowOff>
                  </to>
                </anchor>
              </controlPr>
            </control>
          </mc:Choice>
        </mc:AlternateContent>
        <mc:AlternateContent xmlns:mc="http://schemas.openxmlformats.org/markup-compatibility/2006">
          <mc:Choice Requires="x14">
            <control shapeId="114694" r:id="rId6" name="Button 6">
              <controlPr defaultSize="0" print="0" autoFill="0" autoPict="0" macro="[0]!cooldownBuildComboBox_Change">
                <anchor moveWithCells="1" sizeWithCells="1">
                  <from>
                    <xdr:col>2</xdr:col>
                    <xdr:colOff>95250</xdr:colOff>
                    <xdr:row>0</xdr:row>
                    <xdr:rowOff>57150</xdr:rowOff>
                  </from>
                  <to>
                    <xdr:col>3</xdr:col>
                    <xdr:colOff>142875</xdr:colOff>
                    <xdr:row>3</xdr:row>
                    <xdr:rowOff>85725</xdr:rowOff>
                  </to>
                </anchor>
              </controlPr>
            </control>
          </mc:Choice>
        </mc:AlternateContent>
        <mc:AlternateContent xmlns:mc="http://schemas.openxmlformats.org/markup-compatibility/2006">
          <mc:Choice Requires="x14">
            <control shapeId="114695" r:id="rId7" name="optionBuildComboBox">
              <controlPr defaultSize="0" autoLine="0" autoPict="0" macro="[0]!cooldownBuildComboBox_Change">
                <anchor moveWithCells="1">
                  <from>
                    <xdr:col>1</xdr:col>
                    <xdr:colOff>333375</xdr:colOff>
                    <xdr:row>2</xdr:row>
                    <xdr:rowOff>57150</xdr:rowOff>
                  </from>
                  <to>
                    <xdr:col>1</xdr:col>
                    <xdr:colOff>2286000</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Q285"/>
  <sheetViews>
    <sheetView topLeftCell="A51" zoomScale="85" zoomScaleNormal="85" workbookViewId="0">
      <selection activeCell="J52" sqref="J52"/>
    </sheetView>
  </sheetViews>
  <sheetFormatPr defaultColWidth="11.42578125" defaultRowHeight="12.75"/>
  <cols>
    <col min="1" max="1" width="3.7109375" customWidth="1"/>
    <col min="2" max="10" width="11.42578125" customWidth="1"/>
    <col min="11" max="11" width="15.85546875" customWidth="1"/>
    <col min="12" max="19" width="11.42578125" customWidth="1"/>
    <col min="20" max="27" width="10.7109375" customWidth="1"/>
    <col min="28" max="28" width="16" customWidth="1"/>
    <col min="29" max="29" width="18.5703125" customWidth="1"/>
    <col min="30" max="33" width="11.42578125" customWidth="1"/>
    <col min="34" max="34" width="22.85546875" customWidth="1"/>
    <col min="35" max="42" width="11.42578125" customWidth="1"/>
    <col min="43" max="43" width="11.5703125" customWidth="1"/>
    <col min="44" max="44" width="11.42578125" customWidth="1"/>
    <col min="45" max="45" width="9.5703125" customWidth="1"/>
  </cols>
  <sheetData>
    <row r="1" spans="2:31">
      <c r="B1" s="15"/>
      <c r="C1" s="1304" t="s">
        <v>126</v>
      </c>
      <c r="D1" s="1304" t="s">
        <v>1095</v>
      </c>
      <c r="E1" s="15" t="s">
        <v>1096</v>
      </c>
      <c r="F1" s="390"/>
      <c r="G1" s="1298" t="s">
        <v>3057</v>
      </c>
      <c r="H1" s="1299">
        <f>ohhit</f>
        <v>0.97956097560975608</v>
      </c>
      <c r="I1" s="1300">
        <f>H1/H2*3*0.2*cpot*'Damage Calc'!$Q$39</f>
        <v>2.5784731215973284</v>
      </c>
      <c r="N1" s="87" t="s">
        <v>786</v>
      </c>
      <c r="O1" s="88">
        <f>bcpdodge+bcpmiss</f>
        <v>2.0000000000000004E-2</v>
      </c>
      <c r="P1" s="88">
        <f>bfindodge+bfinmiss</f>
        <v>0</v>
      </c>
      <c r="Q1" s="88"/>
      <c r="R1" s="88"/>
      <c r="S1" s="88"/>
      <c r="T1" s="88"/>
      <c r="U1" s="89"/>
      <c r="V1" s="1174"/>
      <c r="W1" s="1175"/>
      <c r="X1" s="1176" t="s">
        <v>1537</v>
      </c>
      <c r="Y1" s="1176" t="s">
        <v>1753</v>
      </c>
      <c r="Z1" s="1175"/>
      <c r="AA1" s="1175"/>
      <c r="AB1" s="1177"/>
    </row>
    <row r="2" spans="2:31">
      <c r="B2" s="15" t="s">
        <v>2008</v>
      </c>
      <c r="C2" s="1304">
        <f>IF(dm4p,Optimize!C30,0)</f>
        <v>0</v>
      </c>
      <c r="D2" s="1304">
        <f>IF(dm4p,Optimize!C35,0)</f>
        <v>0</v>
      </c>
      <c r="E2" s="1304">
        <f>IF(dm4p,Optimize!C40,0)</f>
        <v>0</v>
      </c>
      <c r="F2" s="390"/>
      <c r="G2" s="1301" t="s">
        <v>3058</v>
      </c>
      <c r="H2" s="1302">
        <f>ohspd</f>
        <v>1.4</v>
      </c>
      <c r="I2" s="1303"/>
      <c r="N2" s="32" t="s">
        <v>787</v>
      </c>
      <c r="O2" s="90">
        <f>Q2*(O1/(1-O1))+P2</f>
        <v>40.163265306122447</v>
      </c>
      <c r="P2" s="33">
        <f>IF(Talents!O28="Yes", 45-impSS, IF(instatk="V",20+ohspd*10-cpot*3*0.2,IF(mhtype="dagger",60,IF(hemo,35,45-impSS))))</f>
        <v>40</v>
      </c>
      <c r="Q2" s="33">
        <f>ROUNDUP(P2*0.2, 0)</f>
        <v>8</v>
      </c>
      <c r="R2" s="33" t="s">
        <v>570</v>
      </c>
      <c r="S2" s="33">
        <v>180</v>
      </c>
      <c r="T2" s="33"/>
      <c r="U2" s="91"/>
      <c r="V2" s="1178" t="s">
        <v>1538</v>
      </c>
      <c r="W2" s="1179"/>
      <c r="X2" s="1180">
        <f>IF(allowrupt,IF(AND(poison,allowenv),MAX(AG56:AG284),MAX(AG56:AG150,AG234:AG284)),IF(AND(poison,allowenv),MAX(AG198:AG284),MAX(AG234:AG284)))</f>
        <v>570.51064106310048</v>
      </c>
      <c r="Y2" s="1180"/>
      <c r="Z2" s="1181">
        <f>MATCH(X2,AG55:AG284,0)+60</f>
        <v>77</v>
      </c>
      <c r="AA2" s="1179" t="s">
        <v>1539</v>
      </c>
      <c r="AB2" s="1182"/>
      <c r="AC2" s="108"/>
      <c r="AD2" s="27"/>
      <c r="AE2" s="391"/>
    </row>
    <row r="3" spans="2:31">
      <c r="B3" s="15" t="s">
        <v>2009</v>
      </c>
      <c r="C3" s="1304">
        <f>IF(dm4p,Optimize!C31,0)</f>
        <v>0</v>
      </c>
      <c r="D3" s="1304">
        <f>IF(dm4p,Optimize!C36,0)</f>
        <v>0</v>
      </c>
      <c r="E3" s="1304">
        <f>IF(dm4p,Optimize!C41,0)</f>
        <v>0</v>
      </c>
      <c r="F3" s="390"/>
      <c r="I3" s="44" t="s">
        <v>2254</v>
      </c>
      <c r="J3" s="44" t="s">
        <v>2255</v>
      </c>
      <c r="K3" t="s">
        <v>571</v>
      </c>
      <c r="L3" t="s">
        <v>572</v>
      </c>
      <c r="N3" s="32" t="s">
        <v>3024</v>
      </c>
      <c r="O3" s="33">
        <f>P3*(P1/(1-P1))*(1-Qrec)+P3</f>
        <v>25</v>
      </c>
      <c r="P3" s="33">
        <f>25</f>
        <v>25</v>
      </c>
      <c r="Q3" s="33"/>
      <c r="R3" s="33" t="s">
        <v>573</v>
      </c>
      <c r="S3" s="33">
        <f>(60+180)/2</f>
        <v>120</v>
      </c>
      <c r="T3" s="92">
        <f>1-P1-T4</f>
        <v>0.77888830774793893</v>
      </c>
      <c r="U3" s="93">
        <f>T3/T5</f>
        <v>0.77888830774793893</v>
      </c>
      <c r="V3" s="1178" t="s">
        <v>1541</v>
      </c>
      <c r="W3" s="1179"/>
      <c r="X3" s="1183">
        <f>VLOOKUP($X$2,CHOOSE({1,2},AG56:AG284,E56:E284),2,FALSE)/VLOOKUP($X$2,CHOOSE({1,2},AG56:AG284,Q56:Q284),2,FALSE)+IF(arush,IF(time=0,MIN(1,150/(instcost*N43+evicost))/300,MIN(1,totalARTicks*10/(instcost*N43+evicost))/time)*$F$24/IF(evidmg&gt;0,evidmg,$F$24),0)</f>
        <v>2.3616278845597733E-3</v>
      </c>
      <c r="Y3" s="1183">
        <f>IF($W$15&gt;1, X3/$W$15, X3)</f>
        <v>2.3616278845597733E-3</v>
      </c>
      <c r="Z3" s="1180">
        <f>VLOOKUP($X$2,CHOOSE({1,2},AG56:AG284,Q56:Q284),2,FALSE)</f>
        <v>16.158312420109564</v>
      </c>
      <c r="AA3" s="1179" t="s">
        <v>1542</v>
      </c>
      <c r="AB3" s="1182"/>
      <c r="AC3" s="110"/>
      <c r="AD3" s="96"/>
      <c r="AE3" s="392"/>
    </row>
    <row r="4" spans="2:31">
      <c r="B4" s="15" t="s">
        <v>2010</v>
      </c>
      <c r="C4" s="1304">
        <f>IF(dm4p,Optimize!C32,0)</f>
        <v>0</v>
      </c>
      <c r="D4" s="1304">
        <f>IF(dm4p,Optimize!C37,0)</f>
        <v>0</v>
      </c>
      <c r="E4" s="1304">
        <f>IF(dm4p,Optimize!C42,0)</f>
        <v>0</v>
      </c>
      <c r="F4" s="394"/>
      <c r="G4" t="s">
        <v>574</v>
      </c>
      <c r="I4" s="111">
        <f>10-IF(time=0,25/120,25*total120sIter/time)*blfl+bonenergy+I1-IF(Talents!I37=1,10/IF(time=0,30,MIN(30,time)),0)-IF(gs=1,40/IF(time=0,20,MIN(20,time)),0)-IF(AND(includeracials,'Gear &amp; Buffs'!B74="troll"),IF(time=0,10/180,10*total180sIter/time),0)+IF(AND(includeracials,'Gear &amp; Buffs'!B74="Blood Elf",hasmana),IF(time=0,30/120,30*total120sIter/time),0)-IF(OR(time=0, firstsndCP=0), 0, (25-5*firstsndCP)/time)</f>
        <v>12.395139788263995</v>
      </c>
      <c r="J4" s="86">
        <f>eec+I1*(Slayer2val-1)</f>
        <v>13.168681724743193</v>
      </c>
      <c r="K4" s="29">
        <f>armor</f>
        <v>0.7417881608993474</v>
      </c>
      <c r="L4" s="29">
        <f>armor</f>
        <v>0.7417881608993474</v>
      </c>
      <c r="N4" s="32" t="s">
        <v>575</v>
      </c>
      <c r="O4" s="33">
        <f>P4*(P1/(1-P1))*(1-Qrec)+P4</f>
        <v>35</v>
      </c>
      <c r="P4" s="33">
        <f>35-as4p*10</f>
        <v>35</v>
      </c>
      <c r="Q4" s="33"/>
      <c r="R4" s="33" t="s">
        <v>576</v>
      </c>
      <c r="S4" s="33">
        <f>185+40*dm2p</f>
        <v>185</v>
      </c>
      <c r="T4" s="92">
        <f>fincrit</f>
        <v>0.22111169225206101</v>
      </c>
      <c r="U4" s="93">
        <f>T4/T5</f>
        <v>0.22111169225206101</v>
      </c>
      <c r="V4" s="1178" t="s">
        <v>1544</v>
      </c>
      <c r="W4" s="1179"/>
      <c r="X4" s="1183">
        <f>VLOOKUP($X$2,CHOOSE({1,2},AG56:AG284,D56:D284),2,FALSE)/VLOOKUP($X$2,CHOOSE({1,2},AG56:AG284,Q56:Q284),2,FALSE)</f>
        <v>6.1887651012086285E-2</v>
      </c>
      <c r="Y4" s="1183">
        <f>IF($W$15&gt;1, X4/$W$15, X4)</f>
        <v>6.1887651012086285E-2</v>
      </c>
      <c r="Z4" s="1180"/>
      <c r="AA4" s="1179" t="s">
        <v>1545</v>
      </c>
      <c r="AB4" s="1182" t="str">
        <f>"Cycle: "&amp;VLOOKUP($X$2,CHOOSE({1,2},AG56:AG284,AK56:AK284),2,FALSE)&amp;IF(forceea,"   EA Slack: "&amp;ROUND(VLOOKUP($X$2,CHOOSE({1,2},AG56:AG284,AJ56:AJ284),2,FALSE),2),"   SnD Slack: "&amp;ROUND(VLOOKUP($X$2,CHOOSE({1,2},AG56:AG284,AH56:AH284),2,FALSE),2))</f>
        <v>Cycle: 1s/5r   SnD Slack: 1.24</v>
      </c>
      <c r="AC4" s="108"/>
      <c r="AD4" s="27"/>
    </row>
    <row r="5" spans="2:31">
      <c r="B5" s="15" t="s">
        <v>2011</v>
      </c>
      <c r="C5" s="1304">
        <f>IF(dm4p,Optimize!C33,0)</f>
        <v>0</v>
      </c>
      <c r="D5" s="1304">
        <f>IF(dm4p,Optimize!C38,0)</f>
        <v>0</v>
      </c>
      <c r="E5" s="1304">
        <f>IF(dm4p,Optimize!C43,0)</f>
        <v>0</v>
      </c>
      <c r="F5" s="394"/>
      <c r="G5" s="27" t="s">
        <v>3001</v>
      </c>
      <c r="I5" s="95">
        <f>25</f>
        <v>25</v>
      </c>
      <c r="J5" s="86"/>
      <c r="N5" s="32" t="s">
        <v>577</v>
      </c>
      <c r="O5" s="33">
        <f>1*(1+(ievis*0.05))*(1+(agg*0.02))</f>
        <v>1.06</v>
      </c>
      <c r="P5" s="90">
        <f>(1*U3+2*U4)</f>
        <v>1.2211116922520611</v>
      </c>
      <c r="Q5" s="33"/>
      <c r="R5" s="33" t="s">
        <v>578</v>
      </c>
      <c r="S5" s="90">
        <f>(ohavg+ap/APtoDPS*OHnorm)*(instactualhit+(1+((leth*0.06+2)-1)*(cfact-1))*instactualcrit)*(1+sa*0.1)*(0.5+0.05*dws)+avipdam</f>
        <v>850.31292568652589</v>
      </c>
      <c r="T5" s="92">
        <f>T4+T3</f>
        <v>1</v>
      </c>
      <c r="U5" s="91"/>
      <c r="V5" s="1178" t="s">
        <v>1546</v>
      </c>
      <c r="W5" s="1179"/>
      <c r="X5" s="1183">
        <f>VLOOKUP($X$2,CHOOSE({1,2},AG56:AG284,I56:I284),2,FALSE)/VLOOKUP($X$2,CHOOSE({1,2},AG56:AG284,Q56:Q284),2,FALSE)+IF(arush,IF(time=0,MIN(1,150/(instcost*N43+evicost))*5/300,MIN(1,totalARTicks*10/(instcost*N43+evicost))*5/time),0)</f>
        <v>0.30886886428081306</v>
      </c>
      <c r="Y5" s="1183">
        <f>IF($W$15&gt;1, X5/$W$15, X5)</f>
        <v>0.30886886428081306</v>
      </c>
      <c r="Z5" s="1184">
        <f>IF(time=0, VLOOKUP($X$2,CHOOSE({1,2},AG56:AG284,V56:V284),2,FALSE), MIN(VLOOKUP($X$2,CHOOSE({1,2},AG56:AG284,V56:V284),2,FALSE),MIN(1,1-$S$49/time)))</f>
        <v>0.98</v>
      </c>
      <c r="AA5" s="1179" t="s">
        <v>407</v>
      </c>
      <c r="AB5" s="1182"/>
      <c r="AC5" s="108"/>
      <c r="AD5" s="27"/>
    </row>
    <row r="6" spans="2:31">
      <c r="B6" s="15" t="s">
        <v>2012</v>
      </c>
      <c r="C6" s="1304">
        <f>IF(dm4p,Optimize!C34,0)</f>
        <v>0</v>
      </c>
      <c r="D6" s="1304">
        <f>IF(dm4p,Optimize!C39,0)</f>
        <v>0</v>
      </c>
      <c r="E6" s="1304">
        <f>IF(dm4p,Optimize!C44,0)</f>
        <v>0</v>
      </c>
      <c r="F6" s="394"/>
      <c r="G6" t="s">
        <v>579</v>
      </c>
      <c r="J6" s="86"/>
      <c r="K6" t="s">
        <v>580</v>
      </c>
      <c r="L6" t="str">
        <f>IF(Talents!O28="Yes", "SS", IF(AND(Talents!$O$29="Yes",ohtemp="Instant Poison VII"),"V",IF(mhtype="dagger",IF(AND(ohtype="dagger",mutilate=1),"Mut","BS"),IF(hemo,"HEMO","SS"))))</f>
        <v>SS</v>
      </c>
      <c r="N6" s="32" t="s">
        <v>581</v>
      </c>
      <c r="O6" s="90">
        <f>mhdps+ohdps</f>
        <v>797.97744112991768</v>
      </c>
      <c r="P6" s="33"/>
      <c r="Q6" s="33"/>
      <c r="R6" s="33" t="s">
        <v>582</v>
      </c>
      <c r="S6" s="90">
        <f>(1.5+talSCallInstBon)*(MHavg+ap/APtoDPS*MHnorm+170)*(instactualhit+(1+((leth*0.06+2)-1)*(cfact-1))*instactualcrit)*(1+sa*0.1+0.04*opp+0.02*agg+Slayer4value-1)</f>
        <v>2096.8643883549157</v>
      </c>
      <c r="T6" s="92">
        <f>insthit</f>
        <v>0.76331054159298017</v>
      </c>
      <c r="U6" s="93">
        <f>T6/T8</f>
        <v>0.77888830774793893</v>
      </c>
      <c r="V6" s="1178" t="s">
        <v>1547</v>
      </c>
      <c r="W6" s="1179"/>
      <c r="X6" s="1180">
        <f>IF(VLOOKUP($X$2,CHOOSE({1,2},AG56:AG284,AB56:AB284),2,FALSE)&gt;0,VLOOKUP($X$2,CHOOSE({1,2},AG56:AG284,AB56:AB284),2,FALSE)/VLOOKUP($X$2,CHOOSE({1,2},AG56:AG284,E56:E284),2,FALSE),F24)</f>
        <v>1459.2710844590233</v>
      </c>
      <c r="Y6" s="1180"/>
      <c r="Z6" s="1184">
        <f>IF(time=0, VLOOKUP($X$2,CHOOSE({1,2},AG56:AG284,U56:U284),2,FALSE), MIN(VLOOKUP($X$2,CHOOSE({1,2},AG56:AG284,U56:U284),2,FALSE), MIN(1,1-$R$49/time)))</f>
        <v>0.9966666666666667</v>
      </c>
      <c r="AA6" s="1179" t="s">
        <v>1548</v>
      </c>
      <c r="AB6" s="1182"/>
      <c r="AC6" s="108"/>
      <c r="AD6" s="27"/>
    </row>
    <row r="7" spans="2:31">
      <c r="B7" s="17" t="s">
        <v>2014</v>
      </c>
      <c r="C7" s="26">
        <f>eec*10+I1*(Slayer2val-1)</f>
        <v>124.72493981911916</v>
      </c>
      <c r="D7" s="15"/>
      <c r="E7" s="26"/>
      <c r="F7" s="394"/>
      <c r="G7" s="86"/>
      <c r="H7" s="86"/>
      <c r="I7" s="86"/>
      <c r="J7" s="86"/>
      <c r="L7" t="str">
        <f>IF(Talents!O28="Yes", "Sinister Strike", IF(AND(Talents!$O$29="Yes",ohtemp="Instant Poison VII"),"Shiv",IF(mhtype="dagger",IF(AND(ohtype="dagger",mutilate=1),"Mutilate","Backstab"),IF(hemo,"Hemo","Sinister Strike"))))</f>
        <v>Sinister Strike</v>
      </c>
      <c r="N7" s="32" t="s">
        <v>583</v>
      </c>
      <c r="O7" s="90">
        <f>IF(L6="v",S5,IF(L6="mut",S10,IF(L6="BS",S6,IF(L6="HEMO",S8,S7))))</f>
        <v>1288.9417237527728</v>
      </c>
      <c r="P7" s="90">
        <f>O7/O2</f>
        <v>32.092553081242819</v>
      </c>
      <c r="Q7" s="33" t="s">
        <v>584</v>
      </c>
      <c r="R7" s="33" t="s">
        <v>585</v>
      </c>
      <c r="S7" s="90">
        <f>(MHavg+ap/APtoDPS*MHnorm+98)*(instactualhit+(1+((leth*0.06+2)-1)*(cfact-1))*instactualcrit)*(1+sa*0.1+0.02*agg+Slayer4value-1)</f>
        <v>1288.9417237527728</v>
      </c>
      <c r="T7" s="92">
        <f>instcrit</f>
        <v>0.21668945840701978</v>
      </c>
      <c r="U7" s="93">
        <f>T7/T8</f>
        <v>0.22111169225206101</v>
      </c>
      <c r="V7" s="1178" t="s">
        <v>1549</v>
      </c>
      <c r="W7" s="1179"/>
      <c r="X7" s="1180">
        <f>VLOOKUP($X$2,CHOOSE({1,2},AG56:AG284,AA56:AA284),2,FALSE)</f>
        <v>1759.7269451999114</v>
      </c>
      <c r="Y7" s="1180"/>
      <c r="Z7" s="1184">
        <f>IF(time=0, VLOOKUP($X$2,CHOOSE({1,2},AG56:AG284,W56:W284),2,FALSE), MIN(VLOOKUP($X$2,CHOOSE({1,2},AG56:AG284,W56:W284),2,FALSE),MIN(1,1-$T$49/time)))</f>
        <v>0</v>
      </c>
      <c r="AA7" s="1179" t="s">
        <v>3029</v>
      </c>
      <c r="AB7" s="1182"/>
      <c r="AC7" s="108"/>
      <c r="AD7" s="27"/>
    </row>
    <row r="8" spans="2:31">
      <c r="B8" s="393"/>
      <c r="C8" s="394"/>
      <c r="D8" s="390"/>
      <c r="E8" s="394"/>
      <c r="F8" s="394"/>
      <c r="G8" t="s">
        <v>320</v>
      </c>
      <c r="H8">
        <f>eec</f>
        <v>12.395139788263995</v>
      </c>
      <c r="I8" s="86"/>
      <c r="J8" s="86"/>
      <c r="N8" s="32"/>
      <c r="O8" s="98"/>
      <c r="P8" s="33"/>
      <c r="Q8" s="33"/>
      <c r="R8" s="33" t="s">
        <v>586</v>
      </c>
      <c r="S8" s="90">
        <f>Slayer4value*(MHavg+ap/APtoDPS*MHnorm)*(1.1+talSCallInstBon)*(instactualhit+(1+((leth*0.06+2)-1)*(cfact-1))*instactualcrit)+420*(1+raidcrit)*debuffon</f>
        <v>1606.626536142983</v>
      </c>
      <c r="T8" s="92">
        <f>T6+T7</f>
        <v>0.98</v>
      </c>
      <c r="U8" s="91"/>
      <c r="V8" s="1185" t="s">
        <v>1550</v>
      </c>
      <c r="W8" s="1179"/>
      <c r="X8" s="1180">
        <f>VLOOKUP($X$2,CHOOSE({1,2},AG56:AG284,Z56:Z284),2,FALSE)</f>
        <v>2869.3780204034333</v>
      </c>
      <c r="Y8" s="1180">
        <f>X8/$Z$3</f>
        <v>177.57906554847867</v>
      </c>
      <c r="Z8" s="1180"/>
      <c r="AA8" s="1179"/>
      <c r="AB8" s="1182"/>
      <c r="AC8" s="27"/>
      <c r="AD8" s="27"/>
      <c r="AE8" s="197"/>
    </row>
    <row r="9" spans="2:31">
      <c r="B9" s="393"/>
      <c r="C9" s="394"/>
      <c r="D9" s="390"/>
      <c r="E9" s="394"/>
      <c r="F9" s="390"/>
      <c r="G9" t="s">
        <v>324</v>
      </c>
      <c r="H9">
        <f>sndeec</f>
        <v>13.168681724743193</v>
      </c>
      <c r="I9" s="28"/>
      <c r="J9" s="396"/>
      <c r="K9" s="395"/>
      <c r="L9" s="395"/>
      <c r="N9" s="32"/>
      <c r="O9" s="99"/>
      <c r="P9" s="33"/>
      <c r="Q9" s="33"/>
      <c r="R9" s="33" t="s">
        <v>587</v>
      </c>
      <c r="S9" s="90">
        <f>((MHavg+ap/APtoDPS*MHspd)*1.25)*(instactualhit+(1+((leth*0.06+2)-1)*(cfact-1))*instactualcrit)</f>
        <v>1302.8717781345997</v>
      </c>
      <c r="T9" s="33"/>
      <c r="U9" s="91"/>
      <c r="V9" s="1178" t="s">
        <v>1551</v>
      </c>
      <c r="W9" s="1179"/>
      <c r="X9" s="1180">
        <v>0</v>
      </c>
      <c r="Y9" s="1180">
        <f>X9/$Z$3</f>
        <v>0</v>
      </c>
      <c r="Z9" s="1179">
        <f>VLOOKUP($X$2,CHOOSE({1,2},AG56:AG284,X56:X284),2,FALSE)</f>
        <v>1</v>
      </c>
      <c r="AA9" s="1179" t="s">
        <v>321</v>
      </c>
      <c r="AB9" s="1182"/>
      <c r="AC9" s="108"/>
      <c r="AD9" s="27"/>
      <c r="AE9" s="197"/>
    </row>
    <row r="10" spans="2:31">
      <c r="B10" s="393"/>
      <c r="C10" s="394"/>
      <c r="D10" s="390"/>
      <c r="E10" s="394"/>
      <c r="F10" s="390"/>
      <c r="G10" s="390"/>
      <c r="H10" s="390"/>
      <c r="I10" s="390"/>
      <c r="K10" s="86"/>
      <c r="M10" s="97"/>
      <c r="N10" s="32"/>
      <c r="O10" s="33"/>
      <c r="P10" s="33"/>
      <c r="Q10" s="33"/>
      <c r="R10" s="33" t="s">
        <v>839</v>
      </c>
      <c r="S10" s="90">
        <f>Slayer4value*((1+0.04*opp)*(MHavg+101+ap/APtoDPS*MHnorm+(0.5+0.05*dws)*(ohavg+ap/APtoDPS*OHnorm)+101*(1+0.1*dws))*(1+0.5*IF(Talents!$O$18="Yes",1,0))*(instactualhit+(1+((leth*0.06+2)-1)*(cfact-1))*instactualcrit))</f>
        <v>2913.1167823175683</v>
      </c>
      <c r="T10" s="33"/>
      <c r="U10" s="91"/>
      <c r="V10" s="1186" t="s">
        <v>115</v>
      </c>
      <c r="W10" s="1187"/>
      <c r="X10" s="1188">
        <f>IF(gs=0,0,S9*(1-O1)*gs)</f>
        <v>0</v>
      </c>
      <c r="Y10" s="1188">
        <f>X10/20*gs</f>
        <v>0</v>
      </c>
      <c r="Z10" s="1189"/>
      <c r="AA10" s="1189"/>
      <c r="AB10" s="1190" t="s">
        <v>116</v>
      </c>
      <c r="AC10" s="108"/>
      <c r="AD10" s="27"/>
      <c r="AE10" s="197"/>
    </row>
    <row r="11" spans="2:31">
      <c r="G11" s="390"/>
      <c r="H11" s="390"/>
      <c r="I11" s="390"/>
      <c r="K11" s="86"/>
      <c r="M11" s="97"/>
      <c r="N11" s="100" t="s">
        <v>840</v>
      </c>
      <c r="O11" s="33"/>
      <c r="P11" s="33"/>
      <c r="Q11" s="33"/>
      <c r="R11" s="33"/>
      <c r="S11" s="33"/>
      <c r="T11" s="33"/>
      <c r="U11" s="91"/>
      <c r="V11" s="1191" t="s">
        <v>316</v>
      </c>
      <c r="W11" s="1183">
        <f>VLOOKUP($X$2,CHOOSE({1,2},AG56:AG284,F56:F284),2,FALSE)/VLOOKUP($X$2,CHOOSE({1,2},AG56:AG284,Q56:Q284),2,FALSE)</f>
        <v>0</v>
      </c>
      <c r="X11" s="1183">
        <f>IF($W$15&gt;1, W11/$W$15, W11)</f>
        <v>0</v>
      </c>
      <c r="Y11" s="1192"/>
      <c r="Z11" s="1192" t="s">
        <v>1540</v>
      </c>
      <c r="AA11" s="1192">
        <f>VLOOKUP($X$2,CHOOSE({1,2},AG56:AG284,H56:H284),2,FALSE)</f>
        <v>2</v>
      </c>
      <c r="AB11" s="1192"/>
      <c r="AC11" s="108"/>
      <c r="AD11" s="27"/>
      <c r="AE11" s="397"/>
    </row>
    <row r="12" spans="2:31">
      <c r="B12" s="17" t="s">
        <v>420</v>
      </c>
      <c r="C12" s="313" t="s">
        <v>923</v>
      </c>
      <c r="D12" s="313" t="s">
        <v>125</v>
      </c>
      <c r="E12" s="313" t="s">
        <v>814</v>
      </c>
      <c r="F12" s="313" t="s">
        <v>318</v>
      </c>
      <c r="G12" s="390"/>
      <c r="H12" s="390"/>
      <c r="I12" s="390"/>
      <c r="K12" s="86"/>
      <c r="M12" s="97"/>
      <c r="N12" s="101" t="s">
        <v>90</v>
      </c>
      <c r="O12" s="102"/>
      <c r="P12" s="102"/>
      <c r="Q12" s="102"/>
      <c r="R12" s="102"/>
      <c r="S12" s="102"/>
      <c r="T12" s="102"/>
      <c r="U12" s="103"/>
      <c r="V12" s="1191" t="s">
        <v>317</v>
      </c>
      <c r="W12" s="1193">
        <f>VLOOKUP($X$2,CHOOSE({1,2},AG56:AG284,AC56:AC284),2,FALSE)</f>
        <v>0</v>
      </c>
      <c r="X12" s="1193"/>
      <c r="Y12" s="1192"/>
      <c r="Z12" s="1192" t="s">
        <v>1543</v>
      </c>
      <c r="AA12" s="1192">
        <f>VLOOKUP($X$2,CHOOSE({1,2},AG56:AG284,M56:M284),2,FALSE)/VLOOKUP($X$2,CHOOSE({1,2},AG56:AG284,H56:H284),2,FALSE)</f>
        <v>3</v>
      </c>
      <c r="AB12" s="1192"/>
      <c r="AC12" s="28"/>
      <c r="AD12" s="28"/>
      <c r="AE12" s="197"/>
    </row>
    <row r="13" spans="2:31" ht="13.5" thickBot="1">
      <c r="B13" s="207" t="s">
        <v>126</v>
      </c>
      <c r="C13">
        <v>1</v>
      </c>
      <c r="D13" s="25">
        <f>(6+3*C13+3*nb2p)*(1+0.15*isnd)</f>
        <v>17.399999999999999</v>
      </c>
      <c r="E13" s="398">
        <f>25-(5*relent*C13)-(25*C2)</f>
        <v>20</v>
      </c>
      <c r="F13" s="375" t="s">
        <v>322</v>
      </c>
      <c r="G13" s="390"/>
      <c r="H13" s="390"/>
      <c r="I13" s="390"/>
      <c r="K13" s="97"/>
      <c r="L13" s="97"/>
      <c r="M13" s="97"/>
      <c r="N13" s="97"/>
      <c r="O13" s="395"/>
      <c r="P13" s="395"/>
      <c r="Q13" s="395"/>
      <c r="R13" s="97"/>
      <c r="S13" s="28"/>
      <c r="V13" s="1191" t="s">
        <v>1027</v>
      </c>
      <c r="W13" s="1193"/>
      <c r="X13" s="1193"/>
      <c r="Y13" s="1192"/>
      <c r="Z13" s="1192" t="s">
        <v>270</v>
      </c>
      <c r="AA13" s="1183">
        <f>VLOOKUP($X$2,CHOOSE({1,2},AG56:AG284,C56:C284),2,FALSE)/VLOOKUP($X$2,CHOOSE({1,2},AG56:AG284,Q56:Q284),2,FALSE)</f>
        <v>6.1887651012086285E-2</v>
      </c>
      <c r="AB13" s="1183">
        <f>IF($W$15&gt;1, AA13/$W$15, AA13)</f>
        <v>6.1887651012086285E-2</v>
      </c>
      <c r="AE13" s="197"/>
    </row>
    <row r="14" spans="2:31">
      <c r="B14" s="207" t="s">
        <v>126</v>
      </c>
      <c r="C14">
        <v>2</v>
      </c>
      <c r="D14" s="25">
        <f>(6+3*C14+3*nb2p)*(1+0.15*isnd)</f>
        <v>21.75</v>
      </c>
      <c r="E14" s="398">
        <f>25-(5*relent*C14)-(25*C3)</f>
        <v>15</v>
      </c>
      <c r="F14" s="375" t="s">
        <v>322</v>
      </c>
      <c r="G14" s="390"/>
      <c r="H14" s="1564" t="s">
        <v>319</v>
      </c>
      <c r="I14" s="1565"/>
      <c r="J14" s="1286">
        <v>1</v>
      </c>
      <c r="K14" s="1287">
        <v>2</v>
      </c>
      <c r="L14" s="1287">
        <v>3</v>
      </c>
      <c r="M14" s="1287">
        <v>4</v>
      </c>
      <c r="N14" s="1288">
        <v>5</v>
      </c>
      <c r="O14" s="395"/>
      <c r="P14" s="395"/>
      <c r="Q14" s="395"/>
      <c r="R14" s="97"/>
      <c r="V14" s="1191" t="s">
        <v>3022</v>
      </c>
      <c r="W14" s="1183">
        <f>VLOOKUP($X$2,CHOOSE({1,2},AG56:AG284,G56:G284),2,FALSE)/VLOOKUP($X$2,CHOOSE({1,2},AG56:AG284,Q56:Q284),2,FALSE)</f>
        <v>0</v>
      </c>
      <c r="X14" s="1183">
        <f>IF($W$15&gt;1, W14/$W$15, W14)</f>
        <v>0</v>
      </c>
      <c r="Y14" s="1192"/>
      <c r="Z14" s="1192" t="s">
        <v>3199</v>
      </c>
      <c r="AA14" s="1192">
        <f>IF(Talents!N32,(physicaldps*armorpostEA-physicaldps*armorpreEA)*Z7,0)</f>
        <v>0</v>
      </c>
      <c r="AB14" s="1192"/>
      <c r="AE14" s="397"/>
    </row>
    <row r="15" spans="2:31">
      <c r="B15" s="207" t="s">
        <v>126</v>
      </c>
      <c r="C15">
        <v>3</v>
      </c>
      <c r="D15" s="25">
        <f>(6+3*C15+3*nb2p)*(1+0.15*isnd)</f>
        <v>26.099999999999998</v>
      </c>
      <c r="E15" s="398">
        <f>25-(5*relent*C15)-(25*C4)</f>
        <v>10</v>
      </c>
      <c r="F15" s="375" t="s">
        <v>322</v>
      </c>
      <c r="G15" s="390"/>
      <c r="H15" s="1562" t="s">
        <v>323</v>
      </c>
      <c r="I15" s="1563"/>
      <c r="J15" s="1295">
        <f t="shared" ref="J15:N18" si="0">IF(instatk="Mut",R36,J43)</f>
        <v>0.39999999999999991</v>
      </c>
      <c r="K15" s="1296">
        <f t="shared" si="0"/>
        <v>1.4</v>
      </c>
      <c r="L15" s="1296">
        <f t="shared" si="0"/>
        <v>2.4</v>
      </c>
      <c r="M15" s="1296">
        <f t="shared" si="0"/>
        <v>3.4</v>
      </c>
      <c r="N15" s="1297">
        <f t="shared" si="0"/>
        <v>4.4000000000000004</v>
      </c>
      <c r="O15" s="86"/>
      <c r="P15" s="86"/>
      <c r="Q15" s="86"/>
      <c r="V15" s="1191" t="s">
        <v>3021</v>
      </c>
      <c r="W15" s="1183">
        <f>X3+X4+X5+AA13+W11+W14</f>
        <v>0.43500579418954538</v>
      </c>
      <c r="X15" s="1183">
        <f>envsec+easec+evisec+rupsec+sndsec+instsec</f>
        <v>0.43500579418954544</v>
      </c>
      <c r="Y15" s="1192"/>
      <c r="Z15" s="1192"/>
      <c r="AA15" s="1192"/>
      <c r="AB15" s="1192"/>
      <c r="AE15" s="197"/>
    </row>
    <row r="16" spans="2:31">
      <c r="B16" s="207" t="s">
        <v>126</v>
      </c>
      <c r="C16">
        <v>4</v>
      </c>
      <c r="D16" s="25">
        <f>(6+3*C16+3*nb2p)*(1+0.15*isnd)</f>
        <v>30.45</v>
      </c>
      <c r="E16" s="398">
        <f>25-(5*relent*C16)-(25*C5)</f>
        <v>5</v>
      </c>
      <c r="F16" s="375" t="s">
        <v>322</v>
      </c>
      <c r="G16" s="390"/>
      <c r="H16" s="1559" t="s">
        <v>325</v>
      </c>
      <c r="I16" s="1011" t="s">
        <v>326</v>
      </c>
      <c r="J16" s="1280">
        <f t="shared" si="0"/>
        <v>1</v>
      </c>
      <c r="K16" s="1281">
        <f t="shared" si="0"/>
        <v>1</v>
      </c>
      <c r="L16" s="1281">
        <f t="shared" si="0"/>
        <v>1</v>
      </c>
      <c r="M16" s="1281">
        <f t="shared" si="0"/>
        <v>1</v>
      </c>
      <c r="N16" s="1282">
        <f t="shared" si="0"/>
        <v>1</v>
      </c>
      <c r="O16" s="86"/>
      <c r="P16" s="86"/>
      <c r="Q16" s="86"/>
      <c r="AE16" s="197"/>
    </row>
    <row r="17" spans="2:31">
      <c r="B17" s="207" t="s">
        <v>126</v>
      </c>
      <c r="C17">
        <v>5</v>
      </c>
      <c r="D17" s="25">
        <f>(6+3*C17+3*nb2p)*(1+0.15*isnd)</f>
        <v>34.799999999999997</v>
      </c>
      <c r="E17" s="398">
        <f>25-(5*relent*C17)-(25*C6)</f>
        <v>0</v>
      </c>
      <c r="F17" s="375" t="s">
        <v>322</v>
      </c>
      <c r="G17" s="390"/>
      <c r="H17" s="1560"/>
      <c r="I17" s="1011" t="s">
        <v>327</v>
      </c>
      <c r="J17" s="1280">
        <f t="shared" si="0"/>
        <v>0</v>
      </c>
      <c r="K17" s="1281">
        <f t="shared" si="0"/>
        <v>0</v>
      </c>
      <c r="L17" s="1281">
        <f t="shared" si="0"/>
        <v>0</v>
      </c>
      <c r="M17" s="1281">
        <f t="shared" si="0"/>
        <v>0</v>
      </c>
      <c r="N17" s="1282">
        <f t="shared" si="0"/>
        <v>0</v>
      </c>
      <c r="O17" s="86"/>
      <c r="P17" s="86"/>
      <c r="Q17" s="86"/>
      <c r="AE17" s="197"/>
    </row>
    <row r="18" spans="2:31" ht="13.5" thickBot="1">
      <c r="B18" s="400"/>
      <c r="C18" s="401"/>
      <c r="D18" s="402"/>
      <c r="E18" s="401"/>
      <c r="F18" s="401"/>
      <c r="G18" s="390"/>
      <c r="H18" s="1561"/>
      <c r="I18" s="1027" t="s">
        <v>328</v>
      </c>
      <c r="J18" s="1283">
        <f t="shared" si="0"/>
        <v>0</v>
      </c>
      <c r="K18" s="1284">
        <f t="shared" si="0"/>
        <v>0</v>
      </c>
      <c r="L18" s="1284">
        <f t="shared" si="0"/>
        <v>0</v>
      </c>
      <c r="M18" s="1284">
        <f t="shared" si="0"/>
        <v>0</v>
      </c>
      <c r="N18" s="1285">
        <f t="shared" si="0"/>
        <v>0</v>
      </c>
      <c r="O18" s="86"/>
      <c r="P18" s="86"/>
      <c r="Q18" s="86"/>
      <c r="AE18" s="197"/>
    </row>
    <row r="19" spans="2:31">
      <c r="B19" s="400"/>
      <c r="C19" s="401"/>
      <c r="D19" s="402"/>
      <c r="E19" s="401"/>
      <c r="F19" s="401"/>
      <c r="H19" s="104"/>
      <c r="AE19" s="197"/>
    </row>
    <row r="20" spans="2:31" ht="18" customHeight="1">
      <c r="B20" s="207" t="s">
        <v>128</v>
      </c>
      <c r="C20">
        <v>1</v>
      </c>
      <c r="D20" s="403" t="s">
        <v>322</v>
      </c>
      <c r="E20" s="398">
        <f>$O$4-(5*relent*C20)-(35*E2)</f>
        <v>30</v>
      </c>
      <c r="F20" s="398">
        <f>(($S$3+$S$4*C20+ap*0.03*C20)*$O$5+IF(AND(Hemorrhage=1,OR(Talents!O25="No",instatk&lt;&gt;"HEMO")),42*HDebuff,0))*$K$4*$P$5</f>
        <v>384.02905544238831</v>
      </c>
      <c r="H20" s="1551" t="s">
        <v>329</v>
      </c>
      <c r="I20" s="1551"/>
      <c r="J20" s="1551"/>
      <c r="K20" s="1551"/>
      <c r="L20" s="1551"/>
      <c r="M20" s="1551"/>
      <c r="N20" s="1551"/>
      <c r="P20" s="1551" t="s">
        <v>330</v>
      </c>
      <c r="Q20" s="1551"/>
      <c r="R20" s="1551"/>
      <c r="S20" s="1551"/>
      <c r="T20" s="1551"/>
      <c r="U20" s="1551"/>
      <c r="V20" s="1551"/>
      <c r="AE20" s="197"/>
    </row>
    <row r="21" spans="2:31" ht="18" customHeight="1">
      <c r="B21" s="207" t="s">
        <v>128</v>
      </c>
      <c r="C21">
        <v>2</v>
      </c>
      <c r="D21" s="403" t="s">
        <v>322</v>
      </c>
      <c r="E21" s="398">
        <f>$O$4-(5*relent*C21)-(35*E3)</f>
        <v>25</v>
      </c>
      <c r="F21" s="398">
        <f>(($S$3+$S$4*C21+ap*0.03*C21)*$O$5+IF(AND(Hemorrhage=1,OR(Talents!O25="No",instatk&lt;&gt;"HEMO")),42*HDebuff,0))*$K$4*$P$5</f>
        <v>652.8395626965472</v>
      </c>
      <c r="H21" s="1552"/>
      <c r="I21" s="1552"/>
      <c r="J21" s="1552"/>
      <c r="K21" s="1552"/>
      <c r="L21" s="1552"/>
      <c r="M21" s="1552"/>
      <c r="N21" s="1552"/>
      <c r="P21" s="1552"/>
      <c r="Q21" s="1552"/>
      <c r="R21" s="1552"/>
      <c r="S21" s="1552"/>
      <c r="T21" s="1552"/>
      <c r="U21" s="1552"/>
      <c r="V21" s="1552"/>
      <c r="AE21" s="197"/>
    </row>
    <row r="22" spans="2:31">
      <c r="B22" s="207" t="s">
        <v>128</v>
      </c>
      <c r="C22">
        <v>3</v>
      </c>
      <c r="D22" s="403" t="s">
        <v>322</v>
      </c>
      <c r="E22" s="398">
        <f>$O$4-(5*relent*C22)-(35*E4)</f>
        <v>20</v>
      </c>
      <c r="F22" s="398">
        <f>(($S$3+$S$4*C22+ap*0.03*C22)*$O$5+IF(AND(Hemorrhage=1,OR(Talents!O25="No",instatk&lt;&gt;"HEMO")),42*HDebuff,0))*$K$4*$P$5</f>
        <v>921.65006995070587</v>
      </c>
      <c r="G22" s="399"/>
      <c r="H22" s="1553" t="s">
        <v>319</v>
      </c>
      <c r="I22" s="1554"/>
      <c r="J22" s="1289">
        <v>1</v>
      </c>
      <c r="K22" s="1290">
        <v>2</v>
      </c>
      <c r="L22" s="1290">
        <v>3</v>
      </c>
      <c r="M22" s="1290">
        <v>4</v>
      </c>
      <c r="N22" s="1291">
        <v>5</v>
      </c>
      <c r="P22" s="1553" t="s">
        <v>319</v>
      </c>
      <c r="Q22" s="1554"/>
      <c r="R22" s="1292">
        <v>1</v>
      </c>
      <c r="S22" s="1293">
        <v>2</v>
      </c>
      <c r="T22" s="1293">
        <v>3</v>
      </c>
      <c r="U22" s="1293">
        <v>4</v>
      </c>
      <c r="V22" s="1294">
        <v>5</v>
      </c>
      <c r="AE22" s="197"/>
    </row>
    <row r="23" spans="2:31" ht="12.75" customHeight="1">
      <c r="B23" s="207" t="s">
        <v>128</v>
      </c>
      <c r="C23">
        <v>4</v>
      </c>
      <c r="D23" s="403" t="s">
        <v>322</v>
      </c>
      <c r="E23" s="398">
        <f>$O$4-(5*relent*C23)-(35*E5)</f>
        <v>15</v>
      </c>
      <c r="F23" s="398">
        <f>(($S$3+$S$4*C23+ap*0.03*C23)*$O$5+IF(AND(Hemorrhage=1,OR(Talents!O25="No",instatk&lt;&gt;"HEMO")),42*HDebuff,0))*$K$4*$P$5</f>
        <v>1190.4605772048644</v>
      </c>
      <c r="H23" s="1566" t="s">
        <v>331</v>
      </c>
      <c r="I23" s="1567"/>
      <c r="J23" s="1194"/>
      <c r="K23" s="1195"/>
      <c r="L23" s="1195"/>
      <c r="M23" s="1195"/>
      <c r="N23" s="1196"/>
      <c r="P23" s="1555" t="s">
        <v>331</v>
      </c>
      <c r="Q23" s="1556"/>
      <c r="R23" s="1232"/>
      <c r="S23" s="1233"/>
      <c r="T23" s="1233"/>
      <c r="U23" s="1233"/>
      <c r="V23" s="1234"/>
      <c r="AE23" s="197"/>
    </row>
    <row r="24" spans="2:31" ht="12.75" customHeight="1">
      <c r="B24" s="207" t="s">
        <v>128</v>
      </c>
      <c r="C24">
        <v>5</v>
      </c>
      <c r="D24" s="403" t="s">
        <v>322</v>
      </c>
      <c r="E24" s="398">
        <f>$O$4-(5*relent*C24)-(35*E6)</f>
        <v>10</v>
      </c>
      <c r="F24" s="398">
        <f>(($S$3+$S$4*C24+ap*0.03*C24)*$O$5+IF(AND(Hemorrhage=1,OR(Talents!O25="No",instatk&lt;&gt;"HEMO")),42*HDebuff,0))*$K$4*$P$5</f>
        <v>1459.2710844590233</v>
      </c>
      <c r="H24" s="1197" t="s">
        <v>923</v>
      </c>
      <c r="I24" s="1198" t="s">
        <v>2299</v>
      </c>
      <c r="J24" s="1199"/>
      <c r="K24" s="1106"/>
      <c r="L24" s="1106"/>
      <c r="M24" s="1106"/>
      <c r="N24" s="1200"/>
      <c r="P24" s="1235" t="s">
        <v>923</v>
      </c>
      <c r="Q24" s="1236" t="s">
        <v>2299</v>
      </c>
      <c r="R24" s="1237"/>
      <c r="S24" s="1238"/>
      <c r="T24" s="1238"/>
      <c r="U24" s="1238"/>
      <c r="V24" s="1239"/>
      <c r="AE24" s="197"/>
    </row>
    <row r="25" spans="2:31">
      <c r="B25" s="400"/>
      <c r="C25" s="401"/>
      <c r="D25" s="402"/>
      <c r="E25" s="401"/>
      <c r="F25" s="401"/>
      <c r="H25" s="1201">
        <v>0</v>
      </c>
      <c r="I25" s="1202">
        <v>0</v>
      </c>
      <c r="J25" s="1203">
        <f>(1-$Q$44)*(1-$Q$45)</f>
        <v>0.39999999999999991</v>
      </c>
      <c r="K25" s="1204">
        <f>(1-$Q$44)*(1-$Q$45)</f>
        <v>0.39999999999999991</v>
      </c>
      <c r="L25" s="1204">
        <f>(1-$Q$44)*(1-$Q$45)</f>
        <v>0.39999999999999991</v>
      </c>
      <c r="M25" s="1204">
        <f>(1-$Q$44)*(1-$Q$45)</f>
        <v>0.39999999999999991</v>
      </c>
      <c r="N25" s="1205">
        <f>(1-$Q$44)*(1-$Q$45)</f>
        <v>0.39999999999999991</v>
      </c>
      <c r="P25" s="1240">
        <v>0</v>
      </c>
      <c r="Q25" s="1241">
        <v>0</v>
      </c>
      <c r="R25" s="1242">
        <f>(1-$R$44)*(1-$R$45)</f>
        <v>0.39999999999999991</v>
      </c>
      <c r="S25" s="1243">
        <f>(1-$R$44)*(1-$R$45)</f>
        <v>0.39999999999999991</v>
      </c>
      <c r="T25" s="1243">
        <f>(1-$R$44)*(1-$R$45)</f>
        <v>0.39999999999999991</v>
      </c>
      <c r="U25" s="1243">
        <f>(1-$R$44)*(1-$R$45)</f>
        <v>0.39999999999999991</v>
      </c>
      <c r="V25" s="1244">
        <f>(1-$R$44)*(1-$R$45)</f>
        <v>0.39999999999999991</v>
      </c>
      <c r="AE25" s="197"/>
    </row>
    <row r="26" spans="2:31">
      <c r="B26" s="400"/>
      <c r="C26" s="401"/>
      <c r="D26" s="402"/>
      <c r="E26" s="401"/>
      <c r="F26" s="401"/>
      <c r="H26" s="1201">
        <v>1</v>
      </c>
      <c r="I26" s="1202">
        <v>0</v>
      </c>
      <c r="J26" s="1206">
        <f>(1-$Q$44)*$Q$45+$Q$44*(1-$Q$45)</f>
        <v>0.60000000000000009</v>
      </c>
      <c r="K26" s="1204">
        <f>(1-$Q$44)*$Q$45+$Q$44*(1-$Q$45)</f>
        <v>0.60000000000000009</v>
      </c>
      <c r="L26" s="1204">
        <f>(1-$Q$44)*$Q$45+$Q$44*(1-$Q$45)</f>
        <v>0.60000000000000009</v>
      </c>
      <c r="M26" s="1204">
        <f>(1-$Q$44)*$Q$45+$Q$44*(1-$Q$45)</f>
        <v>0.60000000000000009</v>
      </c>
      <c r="N26" s="1205">
        <f>(1-$Q$44)*$Q$45+$Q$44*(1-$Q$45)</f>
        <v>0.60000000000000009</v>
      </c>
      <c r="P26" s="1240">
        <v>1</v>
      </c>
      <c r="Q26" s="1241">
        <v>0</v>
      </c>
      <c r="R26" s="1245">
        <f>(1-$R$44)*$R$45+$R$44*(1-$R$45)</f>
        <v>0.60000000000000009</v>
      </c>
      <c r="S26" s="1243">
        <f>(1-$R$44)*$R$45+$R$44*(1-$R$45)</f>
        <v>0.60000000000000009</v>
      </c>
      <c r="T26" s="1243">
        <f>(1-$R$44)*$R$45+$R$44*(1-$R$45)</f>
        <v>0.60000000000000009</v>
      </c>
      <c r="U26" s="1243">
        <f>(1-$R$44)*$R$45+$R$44*(1-$R$45)</f>
        <v>0.60000000000000009</v>
      </c>
      <c r="V26" s="1244">
        <f>(1-$R$44)*$R$45+$R$44*(1-$R$45)</f>
        <v>0.60000000000000009</v>
      </c>
      <c r="AE26" s="197"/>
    </row>
    <row r="27" spans="2:31" ht="12.75" customHeight="1">
      <c r="B27" s="207" t="s">
        <v>1348</v>
      </c>
      <c r="C27">
        <v>1</v>
      </c>
      <c r="D27" s="25">
        <f>(6+2*C27)</f>
        <v>8</v>
      </c>
      <c r="E27" s="398">
        <f>$O$3-(5*relent*C27)-(25*D2)</f>
        <v>20</v>
      </c>
      <c r="F27" s="398">
        <f>(324+0.04*ap)*(1+0.1*serrb)*(1+mangle*0.3)</f>
        <v>450.62115753331858</v>
      </c>
      <c r="H27" s="1207">
        <v>2</v>
      </c>
      <c r="I27" s="1208">
        <v>0</v>
      </c>
      <c r="J27" s="1209">
        <f>$Q$44*$Q$45</f>
        <v>0</v>
      </c>
      <c r="K27" s="1210">
        <f>$Q$44*$Q$45</f>
        <v>0</v>
      </c>
      <c r="L27" s="1211">
        <f>$Q$44*$Q$45</f>
        <v>0</v>
      </c>
      <c r="M27" s="1211">
        <f>$Q$44*$Q$45</f>
        <v>0</v>
      </c>
      <c r="N27" s="1212">
        <f>$Q$44*$Q$45</f>
        <v>0</v>
      </c>
      <c r="P27" s="1246">
        <v>2</v>
      </c>
      <c r="Q27" s="1247">
        <v>0</v>
      </c>
      <c r="R27" s="1248">
        <f>$R$44*$R$45</f>
        <v>0</v>
      </c>
      <c r="S27" s="1249">
        <f>$R$44*$R$45</f>
        <v>0</v>
      </c>
      <c r="T27" s="1250">
        <f>$R$44*$R$45</f>
        <v>0</v>
      </c>
      <c r="U27" s="1250">
        <f>$R$44*$R$45</f>
        <v>0</v>
      </c>
      <c r="V27" s="1251">
        <f>$R$44*$R$45</f>
        <v>0</v>
      </c>
      <c r="AE27" s="197"/>
    </row>
    <row r="28" spans="2:31" ht="12.75" customHeight="1">
      <c r="B28" s="207" t="s">
        <v>1348</v>
      </c>
      <c r="C28">
        <v>2</v>
      </c>
      <c r="D28" s="25">
        <f>(6+2*C28)</f>
        <v>10</v>
      </c>
      <c r="E28" s="398">
        <f>$O$3-(5*relent*C28)-(25*D3)</f>
        <v>15</v>
      </c>
      <c r="F28" s="25">
        <f>(460+ap*0.1)*(1+0.1*serrb)*(1+mangle*0.3)</f>
        <v>776.55289383329648</v>
      </c>
      <c r="H28" s="1213">
        <v>1</v>
      </c>
      <c r="I28" s="1214">
        <v>1</v>
      </c>
      <c r="J28" s="1215">
        <f>J25*(1-$Q$46)</f>
        <v>0.39999999999999991</v>
      </c>
      <c r="K28" s="1216">
        <f>K25*(1-$Q$46)</f>
        <v>0.39999999999999991</v>
      </c>
      <c r="L28" s="1216">
        <f>L25*(1-$Q$46)</f>
        <v>0.39999999999999991</v>
      </c>
      <c r="M28" s="1216">
        <f>M25*(1-$Q$46)</f>
        <v>0.39999999999999991</v>
      </c>
      <c r="N28" s="1217">
        <f>N25*(1-$Q$46)</f>
        <v>0.39999999999999991</v>
      </c>
      <c r="P28" s="1252">
        <v>2</v>
      </c>
      <c r="Q28" s="1253">
        <v>1</v>
      </c>
      <c r="R28" s="1254">
        <f>R25*(1-$R$46)</f>
        <v>0.39999999999999991</v>
      </c>
      <c r="S28" s="1255">
        <f>S25*(1-$R$46)</f>
        <v>0.39999999999999991</v>
      </c>
      <c r="T28" s="1256">
        <f>T25*(1-$R$46)</f>
        <v>0.39999999999999991</v>
      </c>
      <c r="U28" s="1257">
        <f>U25*(1-$R$46)</f>
        <v>0.39999999999999991</v>
      </c>
      <c r="V28" s="1258">
        <f>V25*(1-$R$46)</f>
        <v>0.39999999999999991</v>
      </c>
      <c r="AE28" s="197"/>
    </row>
    <row r="29" spans="2:31">
      <c r="B29" s="207" t="s">
        <v>1348</v>
      </c>
      <c r="C29">
        <v>3</v>
      </c>
      <c r="D29" s="25">
        <f>(6+2*C29)</f>
        <v>12</v>
      </c>
      <c r="E29" s="398">
        <f>$O$3-(5*relent*C29)-(25*D4)</f>
        <v>10</v>
      </c>
      <c r="F29" s="25">
        <f>(618+ap*0.18)*(1+0.1*serrb)*(1+mangle*0.3)</f>
        <v>1187.7952088999336</v>
      </c>
      <c r="H29" s="1201">
        <v>2</v>
      </c>
      <c r="I29" s="1202">
        <v>1</v>
      </c>
      <c r="J29" s="1206">
        <f>J25*$Q$46</f>
        <v>0</v>
      </c>
      <c r="K29" s="1218">
        <f>K25*$Q$46+K26*(1-$Q$46)</f>
        <v>0.60000000000000009</v>
      </c>
      <c r="L29" s="1204">
        <f>L25*$Q$46+L26*(1-$Q$46)</f>
        <v>0.60000000000000009</v>
      </c>
      <c r="M29" s="1204">
        <f>M25*$Q$46+M26*(1-$Q$46)</f>
        <v>0.60000000000000009</v>
      </c>
      <c r="N29" s="1205">
        <f>N25*$Q$46+N26*(1-$Q$46)</f>
        <v>0.60000000000000009</v>
      </c>
      <c r="P29" s="1240">
        <v>3</v>
      </c>
      <c r="Q29" s="1241">
        <v>1</v>
      </c>
      <c r="R29" s="1245">
        <f>R25*$R$46</f>
        <v>0</v>
      </c>
      <c r="S29" s="1259">
        <f>R25*$R$46+S26*(1-$R$46)</f>
        <v>0.60000000000000009</v>
      </c>
      <c r="T29" s="1259">
        <f>S25*$R$46+T26*(1-$R$46)</f>
        <v>0.60000000000000009</v>
      </c>
      <c r="U29" s="1243">
        <f>T25*$R$46+U26*(1-$R$46)</f>
        <v>0.60000000000000009</v>
      </c>
      <c r="V29" s="1244">
        <f>U25*$R$46+V26*(1-$R$46)</f>
        <v>0.60000000000000009</v>
      </c>
      <c r="AE29" s="197"/>
    </row>
    <row r="30" spans="2:31">
      <c r="B30" s="207" t="s">
        <v>1348</v>
      </c>
      <c r="C30">
        <v>4</v>
      </c>
      <c r="D30" s="25">
        <f>(6+2*C30)</f>
        <v>14</v>
      </c>
      <c r="E30" s="398">
        <f>$O$3-(5*relent*C30)-(25*D5)</f>
        <v>5</v>
      </c>
      <c r="F30" s="25">
        <f>(798+ap*0.21)*(1+0.1*serrb)*(1+mangle*0.3)</f>
        <v>1462.7610770499225</v>
      </c>
      <c r="H30" s="1201">
        <v>3</v>
      </c>
      <c r="I30" s="1202">
        <v>1</v>
      </c>
      <c r="J30" s="1219">
        <v>0</v>
      </c>
      <c r="K30" s="1218">
        <f>K26*$Q$46</f>
        <v>0</v>
      </c>
      <c r="L30" s="1218">
        <f>L26*$Q$46+L27*(1-$Q$46)</f>
        <v>0</v>
      </c>
      <c r="M30" s="1204">
        <f>M26*$Q$46+M27*(1-$Q$46)</f>
        <v>0</v>
      </c>
      <c r="N30" s="1205">
        <f>N26*$Q$46+N27*(1-$Q$46)</f>
        <v>0</v>
      </c>
      <c r="P30" s="1240">
        <v>4</v>
      </c>
      <c r="Q30" s="1241">
        <v>1</v>
      </c>
      <c r="R30" s="1260">
        <v>0</v>
      </c>
      <c r="S30" s="1259">
        <f>S26*$R$46</f>
        <v>0</v>
      </c>
      <c r="T30" s="1259">
        <f>T26*$R$46+T27*(1-$R$46)</f>
        <v>0</v>
      </c>
      <c r="U30" s="1259">
        <f>U26*$R$46+U27*(1-$R$46)</f>
        <v>0</v>
      </c>
      <c r="V30" s="1244">
        <f>V26*$R$46+V27*(1-$R$46)</f>
        <v>0</v>
      </c>
      <c r="AE30" s="197"/>
    </row>
    <row r="31" spans="2:31">
      <c r="B31" s="207" t="s">
        <v>1348</v>
      </c>
      <c r="C31">
        <v>5</v>
      </c>
      <c r="D31" s="25">
        <f>(6+2*C31)</f>
        <v>16</v>
      </c>
      <c r="E31" s="398">
        <f>$O$3-(5*relent*C31)-(25*D6)</f>
        <v>0</v>
      </c>
      <c r="F31" s="25">
        <f>(1000+ap*0.24)*(1+0.1*serrb)*(1+mangle*0.3)</f>
        <v>1759.7269451999114</v>
      </c>
      <c r="H31" s="1207">
        <v>4</v>
      </c>
      <c r="I31" s="1208">
        <v>1</v>
      </c>
      <c r="J31" s="1220">
        <v>0</v>
      </c>
      <c r="K31" s="1221">
        <v>0</v>
      </c>
      <c r="L31" s="1210">
        <f>L27*$Q$46</f>
        <v>0</v>
      </c>
      <c r="M31" s="1210">
        <f>M27*$Q$46</f>
        <v>0</v>
      </c>
      <c r="N31" s="1212">
        <f>N27*$Q$46</f>
        <v>0</v>
      </c>
      <c r="P31" s="1246">
        <v>5</v>
      </c>
      <c r="Q31" s="1247">
        <v>1</v>
      </c>
      <c r="R31" s="1261">
        <v>0</v>
      </c>
      <c r="S31" s="1262">
        <v>0</v>
      </c>
      <c r="T31" s="1249">
        <f>T27*$R$46</f>
        <v>0</v>
      </c>
      <c r="U31" s="1249">
        <f>U27*$R$46</f>
        <v>0</v>
      </c>
      <c r="V31" s="1263">
        <f>V27*$R$46</f>
        <v>0</v>
      </c>
      <c r="AE31" s="197"/>
    </row>
    <row r="32" spans="2:31">
      <c r="B32" s="400"/>
      <c r="C32" s="401"/>
      <c r="D32" s="402"/>
      <c r="E32" s="401"/>
      <c r="F32" s="401"/>
      <c r="H32" s="1213">
        <v>2</v>
      </c>
      <c r="I32" s="1214">
        <v>2</v>
      </c>
      <c r="J32" s="1222">
        <v>0</v>
      </c>
      <c r="K32" s="1223">
        <f>K28*(1-$Q$46)</f>
        <v>0.39999999999999991</v>
      </c>
      <c r="L32" s="1216">
        <f>L28*(1-$Q$46)</f>
        <v>0.39999999999999991</v>
      </c>
      <c r="M32" s="1216">
        <f>M28*(1-$Q$46)</f>
        <v>0.39999999999999991</v>
      </c>
      <c r="N32" s="1217">
        <f>N28*(1-$Q$46)</f>
        <v>0.39999999999999991</v>
      </c>
      <c r="P32" s="1252">
        <v>4</v>
      </c>
      <c r="Q32" s="1253">
        <v>2</v>
      </c>
      <c r="R32" s="1264">
        <v>0</v>
      </c>
      <c r="S32" s="1265">
        <v>0</v>
      </c>
      <c r="T32" s="1255">
        <f>T28*(1-$R$46)</f>
        <v>0.39999999999999991</v>
      </c>
      <c r="U32" s="1255">
        <f>U28*(1-$R$46)</f>
        <v>0.39999999999999991</v>
      </c>
      <c r="V32" s="1258">
        <f>V28*(1-$R$46)</f>
        <v>0.39999999999999991</v>
      </c>
      <c r="AE32" s="404"/>
    </row>
    <row r="33" spans="2:31">
      <c r="B33" s="400"/>
      <c r="C33" s="401"/>
      <c r="D33" s="402"/>
      <c r="E33" s="401"/>
      <c r="F33" s="401"/>
      <c r="H33" s="1201">
        <v>3</v>
      </c>
      <c r="I33" s="1202">
        <v>2</v>
      </c>
      <c r="J33" s="1219">
        <v>0</v>
      </c>
      <c r="K33" s="1218">
        <f>K28*$Q$46</f>
        <v>0</v>
      </c>
      <c r="L33" s="1218">
        <f>L28*$Q$46+L29*(1-$Q$46)</f>
        <v>0.60000000000000009</v>
      </c>
      <c r="M33" s="1204">
        <f>M28*$Q$46+M29*(1-$Q$46)</f>
        <v>0.60000000000000009</v>
      </c>
      <c r="N33" s="1205">
        <f>N28*$Q$46+N29*(1-$Q$46)</f>
        <v>0.60000000000000009</v>
      </c>
      <c r="P33" s="1246">
        <v>5</v>
      </c>
      <c r="Q33" s="1247">
        <v>2</v>
      </c>
      <c r="R33" s="1261">
        <v>0</v>
      </c>
      <c r="S33" s="1262">
        <v>0</v>
      </c>
      <c r="T33" s="1249">
        <f>T28*$R$46</f>
        <v>0</v>
      </c>
      <c r="U33" s="1249">
        <f>U28*$R$46+U29</f>
        <v>0.60000000000000009</v>
      </c>
      <c r="V33" s="1263">
        <f>V28*$R$46+V29+V30</f>
        <v>0.60000000000000009</v>
      </c>
      <c r="AE33" s="397"/>
    </row>
    <row r="34" spans="2:31">
      <c r="B34" s="207" t="s">
        <v>127</v>
      </c>
      <c r="C34">
        <v>1</v>
      </c>
      <c r="D34" s="403" t="s">
        <v>322</v>
      </c>
      <c r="E34" s="398">
        <f>$O$4-(5*relent*C34)-(35*E2)</f>
        <v>30</v>
      </c>
      <c r="F34" s="398">
        <f>($S$2*C34+ap*0.03*C34)*$P$5*vp*(1+(0.01*miseryimp)*misery)*(1+(thunderfury*thunderfurydps))</f>
        <v>394.85850700419155</v>
      </c>
      <c r="H34" s="1201">
        <v>4</v>
      </c>
      <c r="I34" s="1202">
        <v>2</v>
      </c>
      <c r="J34" s="1219">
        <v>0</v>
      </c>
      <c r="K34" s="1224">
        <v>0</v>
      </c>
      <c r="L34" s="1218">
        <f>L29*$Q$46</f>
        <v>0</v>
      </c>
      <c r="M34" s="1218">
        <f>M29*$Q$46+M30*(1-$Q$46)</f>
        <v>0</v>
      </c>
      <c r="N34" s="1205">
        <f>N29*$Q$46+N30*(1-$Q$46)</f>
        <v>0</v>
      </c>
      <c r="P34" s="1266">
        <v>5</v>
      </c>
      <c r="Q34" s="1267">
        <v>3</v>
      </c>
      <c r="R34" s="1268">
        <v>0</v>
      </c>
      <c r="S34" s="1269">
        <v>0</v>
      </c>
      <c r="T34" s="1269">
        <v>0</v>
      </c>
      <c r="U34" s="1269">
        <v>0</v>
      </c>
      <c r="V34" s="1270">
        <f>V32</f>
        <v>0.39999999999999991</v>
      </c>
      <c r="AE34" s="405"/>
    </row>
    <row r="35" spans="2:31" ht="13.5" thickBot="1">
      <c r="B35" s="207" t="s">
        <v>127</v>
      </c>
      <c r="C35">
        <v>2</v>
      </c>
      <c r="D35" s="403" t="s">
        <v>322</v>
      </c>
      <c r="E35" s="398">
        <f>$O$4-(5*relent*C35)-(35*E3)</f>
        <v>25</v>
      </c>
      <c r="F35" s="398">
        <f>($S$2*C35+ap*0.03*C35)*$P$5*vp*(1+(0.01*miseryimp)*misery)*(1+(thunderfury*thunderfurydps))</f>
        <v>789.7170140083831</v>
      </c>
      <c r="H35" s="1207">
        <v>5</v>
      </c>
      <c r="I35" s="1208">
        <v>2</v>
      </c>
      <c r="J35" s="1220">
        <v>0</v>
      </c>
      <c r="K35" s="1221">
        <v>0</v>
      </c>
      <c r="L35" s="1221">
        <v>0</v>
      </c>
      <c r="M35" s="1210">
        <f>M30*$Q$46</f>
        <v>0</v>
      </c>
      <c r="N35" s="1225">
        <f>N30*$Q$46+N31</f>
        <v>0</v>
      </c>
      <c r="P35" s="406"/>
      <c r="Q35" s="406"/>
      <c r="R35" s="407">
        <f>SUM(R26:R29)</f>
        <v>1</v>
      </c>
      <c r="S35" s="407">
        <f>SUM(S27:S30)</f>
        <v>1</v>
      </c>
      <c r="T35" s="407">
        <f>SUM(T29:T33)</f>
        <v>1</v>
      </c>
      <c r="U35" s="407">
        <f>SUM(U30:U33)</f>
        <v>1</v>
      </c>
      <c r="V35" s="407">
        <f>SUM(V31)+SUM(V33:V34)</f>
        <v>1</v>
      </c>
    </row>
    <row r="36" spans="2:31">
      <c r="B36" s="207" t="s">
        <v>127</v>
      </c>
      <c r="C36">
        <v>3</v>
      </c>
      <c r="D36" s="403" t="s">
        <v>322</v>
      </c>
      <c r="E36" s="398">
        <f>$O$4-(5*relent*C36)-(35*E4)</f>
        <v>20</v>
      </c>
      <c r="F36" s="398">
        <f>($S$2*C36+ap*0.03*C36)*$P$5*vp*(1+(0.01*miseryimp)*misery)*(1+(thunderfury*thunderfurydps))</f>
        <v>1184.5755210125749</v>
      </c>
      <c r="H36" s="1201">
        <v>3</v>
      </c>
      <c r="I36" s="1202">
        <v>3</v>
      </c>
      <c r="J36" s="1219">
        <v>0</v>
      </c>
      <c r="K36" s="1224">
        <v>0</v>
      </c>
      <c r="L36" s="1218">
        <f>L32*(1-$Q$46)</f>
        <v>0.39999999999999991</v>
      </c>
      <c r="M36" s="1204">
        <f>M32*(1-$Q$46)</f>
        <v>0.39999999999999991</v>
      </c>
      <c r="N36" s="1205">
        <f>N32*(1-$Q$46)</f>
        <v>0.39999999999999991</v>
      </c>
      <c r="P36" s="1557" t="s">
        <v>323</v>
      </c>
      <c r="Q36" s="1558"/>
      <c r="R36" s="408">
        <f>SUMPRODUCT(R26:R29,$Q26:$Q29)</f>
        <v>0.39999999999999991</v>
      </c>
      <c r="S36" s="409">
        <f>SUMPRODUCT(S27:S30,$Q27:$Q30)</f>
        <v>1</v>
      </c>
      <c r="T36" s="409">
        <f>SUMPRODUCT(T29:T33,$Q29:$Q33)</f>
        <v>1.4</v>
      </c>
      <c r="U36" s="409">
        <f>SUMPRODUCT(U30:U33,$Q30:$Q33)</f>
        <v>2</v>
      </c>
      <c r="V36" s="410">
        <f>SUMPRODUCT(V31,$Q31)+SUMPRODUCT(V33:V34,$Q33:$Q34)</f>
        <v>2.4</v>
      </c>
    </row>
    <row r="37" spans="2:31">
      <c r="B37" s="207" t="s">
        <v>127</v>
      </c>
      <c r="C37">
        <v>4</v>
      </c>
      <c r="D37" s="403" t="s">
        <v>322</v>
      </c>
      <c r="E37" s="398">
        <f>$O$4-(5*relent*C37)-(35*E5)</f>
        <v>15</v>
      </c>
      <c r="F37" s="398">
        <f>($S$2*C37+ap*0.03*C37)*$P$5*vp*(1+(0.01*miseryimp)*misery)*(1+(thunderfury*thunderfurydps))</f>
        <v>1579.4340280167662</v>
      </c>
      <c r="H37" s="1201">
        <v>4</v>
      </c>
      <c r="I37" s="1202">
        <v>3</v>
      </c>
      <c r="J37" s="1219">
        <v>0</v>
      </c>
      <c r="K37" s="1224">
        <v>0</v>
      </c>
      <c r="L37" s="1218">
        <f>L32*$Q$46</f>
        <v>0</v>
      </c>
      <c r="M37" s="1218">
        <f>M32*$Q$46+M33*(1-$Q$46)</f>
        <v>0.60000000000000009</v>
      </c>
      <c r="N37" s="1205">
        <f>N32*$Q$46+N33*(1-$Q$46)</f>
        <v>0.60000000000000009</v>
      </c>
      <c r="P37" s="1559" t="s">
        <v>325</v>
      </c>
      <c r="Q37" s="1305" t="s">
        <v>326</v>
      </c>
      <c r="R37" s="1242">
        <f>R26</f>
        <v>0.60000000000000009</v>
      </c>
      <c r="S37" s="1243">
        <f>S27+S28</f>
        <v>0.39999999999999991</v>
      </c>
      <c r="T37" s="1243">
        <f>T29</f>
        <v>0.60000000000000009</v>
      </c>
      <c r="U37" s="1243">
        <f>U30+U32</f>
        <v>0.39999999999999991</v>
      </c>
      <c r="V37" s="1271">
        <f>V31+V33+V34</f>
        <v>1</v>
      </c>
    </row>
    <row r="38" spans="2:31">
      <c r="B38" s="207" t="s">
        <v>127</v>
      </c>
      <c r="C38">
        <v>5</v>
      </c>
      <c r="D38" s="403" t="s">
        <v>322</v>
      </c>
      <c r="E38" s="398">
        <f>$O$4-(5*relent*C38)-(35*E6)</f>
        <v>10</v>
      </c>
      <c r="F38" s="398">
        <f>($S$2*C38+ap*0.03*C38)*$P$5*vp*(1+(0.01*miseryimp)*misery)*(1+(thunderfury*thunderfurydps))</f>
        <v>1974.2925350209578</v>
      </c>
      <c r="H38" s="1207">
        <v>5</v>
      </c>
      <c r="I38" s="1208">
        <v>3</v>
      </c>
      <c r="J38" s="1220">
        <v>0</v>
      </c>
      <c r="K38" s="1221">
        <v>0</v>
      </c>
      <c r="L38" s="1221">
        <v>0</v>
      </c>
      <c r="M38" s="1210">
        <f>M33*$Q$46</f>
        <v>0</v>
      </c>
      <c r="N38" s="1225">
        <f>N33*$Q$46+N34</f>
        <v>0</v>
      </c>
      <c r="P38" s="1560"/>
      <c r="Q38" s="1305" t="s">
        <v>327</v>
      </c>
      <c r="R38" s="1242">
        <f>R27+R28</f>
        <v>0.39999999999999991</v>
      </c>
      <c r="S38" s="1243">
        <f>S29</f>
        <v>0.60000000000000009</v>
      </c>
      <c r="T38" s="1243">
        <f>T30+T32</f>
        <v>0.39999999999999991</v>
      </c>
      <c r="U38" s="1243">
        <f>U31+U33</f>
        <v>0.60000000000000009</v>
      </c>
      <c r="V38" s="1272">
        <v>0</v>
      </c>
    </row>
    <row r="39" spans="2:31" ht="13.5" thickBot="1">
      <c r="B39" s="412" t="s">
        <v>3147</v>
      </c>
      <c r="C39" s="401"/>
      <c r="D39" s="401"/>
      <c r="E39" s="401"/>
      <c r="F39" s="401"/>
      <c r="H39" s="1201">
        <v>4</v>
      </c>
      <c r="I39" s="1202">
        <v>4</v>
      </c>
      <c r="J39" s="1219">
        <v>0</v>
      </c>
      <c r="K39" s="1224">
        <v>0</v>
      </c>
      <c r="L39" s="1224">
        <v>0</v>
      </c>
      <c r="M39" s="1218">
        <f>M36*(1-$Q$46)</f>
        <v>0.39999999999999991</v>
      </c>
      <c r="N39" s="1205">
        <f>N36*(1-$Q$46)</f>
        <v>0.39999999999999991</v>
      </c>
      <c r="P39" s="1561"/>
      <c r="Q39" s="1306" t="s">
        <v>328</v>
      </c>
      <c r="R39" s="1276">
        <f>R29</f>
        <v>0</v>
      </c>
      <c r="S39" s="1277">
        <f>S30</f>
        <v>0</v>
      </c>
      <c r="T39" s="1277">
        <f>T31+T33</f>
        <v>0</v>
      </c>
      <c r="U39" s="1278">
        <v>0</v>
      </c>
      <c r="V39" s="1279">
        <v>0</v>
      </c>
    </row>
    <row r="40" spans="2:31">
      <c r="B40" s="400"/>
      <c r="C40" s="401"/>
      <c r="D40" s="401"/>
      <c r="E40" s="401"/>
      <c r="F40" s="401"/>
      <c r="H40" s="1201">
        <v>5</v>
      </c>
      <c r="I40" s="1202">
        <v>4</v>
      </c>
      <c r="J40" s="1219">
        <v>0</v>
      </c>
      <c r="K40" s="1224">
        <v>0</v>
      </c>
      <c r="L40" s="1224">
        <v>0</v>
      </c>
      <c r="M40" s="1218">
        <f>M36*$Q$46</f>
        <v>0</v>
      </c>
      <c r="N40" s="1226">
        <f>N36*$Q$46+N37</f>
        <v>0.60000000000000009</v>
      </c>
      <c r="P40" s="411"/>
      <c r="Q40" s="411"/>
      <c r="R40" s="407">
        <f>SUM(R37:R39)</f>
        <v>1</v>
      </c>
      <c r="S40" s="407">
        <f>SUM(S37:S39)</f>
        <v>1</v>
      </c>
      <c r="T40" s="407">
        <f>SUM(T37:T39)</f>
        <v>1</v>
      </c>
      <c r="U40" s="407">
        <f>SUM(U37:U39)</f>
        <v>1</v>
      </c>
      <c r="V40" s="407">
        <f>SUM(V37:V39)</f>
        <v>1</v>
      </c>
    </row>
    <row r="41" spans="2:31">
      <c r="B41" s="415" t="s">
        <v>332</v>
      </c>
      <c r="C41" s="415">
        <v>1</v>
      </c>
      <c r="D41" s="416">
        <v>30</v>
      </c>
      <c r="E41" s="417">
        <f>$O$3-(5*relent*C41)-(25*D2)</f>
        <v>20</v>
      </c>
      <c r="F41" s="417"/>
      <c r="H41" s="1227">
        <v>5</v>
      </c>
      <c r="I41" s="1228">
        <v>5</v>
      </c>
      <c r="J41" s="1229">
        <v>0</v>
      </c>
      <c r="K41" s="1230">
        <v>0</v>
      </c>
      <c r="L41" s="1230">
        <v>0</v>
      </c>
      <c r="M41" s="1230">
        <v>0</v>
      </c>
      <c r="N41" s="1231">
        <f>N39</f>
        <v>0.39999999999999991</v>
      </c>
      <c r="P41" s="411"/>
      <c r="Q41" s="413"/>
      <c r="R41" s="414"/>
      <c r="S41" s="197"/>
      <c r="T41" s="197"/>
      <c r="U41" s="197"/>
      <c r="V41" s="197"/>
    </row>
    <row r="42" spans="2:31" ht="13.5" thickBot="1">
      <c r="B42" s="415" t="s">
        <v>332</v>
      </c>
      <c r="C42" s="415">
        <v>2</v>
      </c>
      <c r="D42" s="416">
        <v>30</v>
      </c>
      <c r="E42" s="417">
        <f>$O$3-(5*relent*C42)-(25*D3)</f>
        <v>15</v>
      </c>
      <c r="F42" s="417"/>
      <c r="H42" s="28"/>
      <c r="I42" s="28"/>
      <c r="J42" s="407">
        <f>SUM(J26:J29)</f>
        <v>1</v>
      </c>
      <c r="K42" s="407">
        <f>SUM(K27)+SUM(K29:K30)+SUM(K32:K33)</f>
        <v>1</v>
      </c>
      <c r="L42" s="407">
        <f>SUM(L30:L31)+SUM(L33:L34)+SUM(L36:L37)</f>
        <v>1</v>
      </c>
      <c r="M42" s="407">
        <f>SUM(M31)+SUM(M34:M35)++SUM(M37:M40)</f>
        <v>1</v>
      </c>
      <c r="N42" s="407">
        <f>SUM(N35)+SUM(N38)++SUM(N40:N41)</f>
        <v>1</v>
      </c>
      <c r="Q42" s="28"/>
      <c r="R42" s="28"/>
      <c r="S42" s="28"/>
      <c r="T42" s="28"/>
      <c r="U42" s="28"/>
      <c r="V42" s="28"/>
    </row>
    <row r="43" spans="2:31">
      <c r="B43" s="415" t="s">
        <v>332</v>
      </c>
      <c r="C43" s="415">
        <v>3</v>
      </c>
      <c r="D43" s="416">
        <v>30</v>
      </c>
      <c r="E43" s="417">
        <f>$O$3-(5*relent*C43)-(25*D4)</f>
        <v>10</v>
      </c>
      <c r="F43" s="417"/>
      <c r="H43" s="1571" t="s">
        <v>323</v>
      </c>
      <c r="I43" s="1572"/>
      <c r="J43" s="408">
        <f>SUMPRODUCT(J26:J29,$I26:$I29)</f>
        <v>0.39999999999999991</v>
      </c>
      <c r="K43" s="409">
        <f>SUMPRODUCT(K27,$I27)+SUMPRODUCT(K29:K30,$I29:$I30)+SUMPRODUCT(K32:K33,$I32:$I33)</f>
        <v>1.4</v>
      </c>
      <c r="L43" s="409">
        <f>SUMPRODUCT(L30:L31,$I30:$I31)+SUMPRODUCT(L33:L34,$I33:$I34)+SUMPRODUCT(L36:L37,$I36:$I37)</f>
        <v>2.4</v>
      </c>
      <c r="M43" s="409">
        <f>SUMPRODUCT(M31,$I31)+SUMPRODUCT(M34:M35,$I34:$I35)+SUMPRODUCT(M37:M40,$I37:$I40)</f>
        <v>3.4</v>
      </c>
      <c r="N43" s="410">
        <f>SUMPRODUCT(N35,$I35)+SUMPRODUCT(N38,$I38)+SUMPRODUCT(N40:N41,$I40:$I41)</f>
        <v>4.4000000000000004</v>
      </c>
      <c r="Q43" s="418" t="s">
        <v>333</v>
      </c>
      <c r="R43" s="418" t="s">
        <v>334</v>
      </c>
    </row>
    <row r="44" spans="2:31" ht="12.75" customHeight="1">
      <c r="B44" s="415" t="s">
        <v>332</v>
      </c>
      <c r="C44" s="415">
        <v>4</v>
      </c>
      <c r="D44" s="416">
        <v>30</v>
      </c>
      <c r="E44" s="417">
        <f>$O$3-(5*relent*C44)-(25*D5)</f>
        <v>5</v>
      </c>
      <c r="F44" s="417"/>
      <c r="H44" s="1560" t="s">
        <v>325</v>
      </c>
      <c r="I44" s="1305" t="s">
        <v>326</v>
      </c>
      <c r="J44" s="1242">
        <f>J26+J28</f>
        <v>1</v>
      </c>
      <c r="K44" s="1243">
        <f>K27+K29+K32</f>
        <v>1</v>
      </c>
      <c r="L44" s="1243">
        <f>L30+L33+L36</f>
        <v>1</v>
      </c>
      <c r="M44" s="1243">
        <f>M31+M34+M37+M39</f>
        <v>1</v>
      </c>
      <c r="N44" s="1271">
        <f>N35+N38+N40+N41</f>
        <v>1</v>
      </c>
      <c r="P44" s="51" t="s">
        <v>335</v>
      </c>
      <c r="Q44" s="94">
        <f>0.2*ruth</f>
        <v>0.60000000000000009</v>
      </c>
      <c r="R44" s="94">
        <f>0.2*ruth</f>
        <v>0.60000000000000009</v>
      </c>
    </row>
    <row r="45" spans="2:31">
      <c r="B45" s="207" t="s">
        <v>332</v>
      </c>
      <c r="C45">
        <v>5</v>
      </c>
      <c r="D45" s="403">
        <v>30</v>
      </c>
      <c r="E45" s="398">
        <f>$O$3-(5*relent*C45)-(25*D6)</f>
        <v>0</v>
      </c>
      <c r="F45" s="398"/>
      <c r="H45" s="1560"/>
      <c r="I45" s="1305" t="s">
        <v>327</v>
      </c>
      <c r="J45" s="1242">
        <f>J27+J29</f>
        <v>0</v>
      </c>
      <c r="K45" s="1243">
        <f>K30+K33</f>
        <v>0</v>
      </c>
      <c r="L45" s="1243">
        <f>L31+L34+L37</f>
        <v>0</v>
      </c>
      <c r="M45" s="1243">
        <f>M35+M38+M40</f>
        <v>0</v>
      </c>
      <c r="N45" s="1272">
        <v>0</v>
      </c>
      <c r="P45" s="17" t="s">
        <v>336</v>
      </c>
      <c r="Q45" s="94">
        <f>0.15*nb4p</f>
        <v>0</v>
      </c>
      <c r="R45" s="94">
        <f>0.15*nb4p</f>
        <v>0</v>
      </c>
    </row>
    <row r="46" spans="2:31" ht="13.5" thickBot="1">
      <c r="B46" s="412"/>
      <c r="C46" s="401"/>
      <c r="D46" s="401"/>
      <c r="E46" s="401"/>
      <c r="F46" s="401"/>
      <c r="H46" s="1561"/>
      <c r="I46" s="1306" t="s">
        <v>328</v>
      </c>
      <c r="J46" s="1273">
        <v>0</v>
      </c>
      <c r="K46" s="1274">
        <v>0</v>
      </c>
      <c r="L46" s="1274">
        <v>0</v>
      </c>
      <c r="M46" s="1274">
        <v>0</v>
      </c>
      <c r="N46" s="1275">
        <v>0</v>
      </c>
      <c r="P46" s="17" t="s">
        <v>337</v>
      </c>
      <c r="Q46" s="94">
        <f>instcrit*Sealfate</f>
        <v>0</v>
      </c>
      <c r="R46" s="94">
        <f>(2*instcrit-(instcrit*instcrit))*Sealfate</f>
        <v>0</v>
      </c>
    </row>
    <row r="47" spans="2:31">
      <c r="B47" s="400"/>
      <c r="C47" s="401"/>
      <c r="D47" s="401"/>
      <c r="E47" s="401"/>
      <c r="F47" s="401"/>
      <c r="H47" s="419"/>
      <c r="I47" s="314"/>
      <c r="J47" s="407">
        <f>SUM(J44:J46)</f>
        <v>1</v>
      </c>
      <c r="K47" s="407">
        <f>SUM(K44:K46)</f>
        <v>1</v>
      </c>
      <c r="L47" s="407">
        <f>SUM(L44:L46)</f>
        <v>1</v>
      </c>
      <c r="M47" s="407">
        <f>SUM(M44:M46)</f>
        <v>1</v>
      </c>
      <c r="N47" s="407">
        <f>SUM(N44:N46)</f>
        <v>1</v>
      </c>
    </row>
    <row r="48" spans="2:31">
      <c r="R48" s="905" t="s">
        <v>3142</v>
      </c>
      <c r="S48" s="905" t="s">
        <v>3143</v>
      </c>
      <c r="T48" s="905" t="s">
        <v>3144</v>
      </c>
    </row>
    <row r="49" spans="2:43">
      <c r="R49" s="905">
        <f>IF(time=0,0,VLOOKUP(0,CHOOSE({1,2},'Cooldowns Calc'!AH$3:AH$602,'Cooldowns Calc'!$A$3:$A$602),2,FALSE))</f>
        <v>1</v>
      </c>
      <c r="S49" s="905">
        <f>IF(time=0,0,VLOOKUP(0,CHOOSE({1,2},'Cooldowns Calc'!AI$3:AI$602,'Cooldowns Calc'!$A$3:$A$602),2,FALSE))</f>
        <v>6</v>
      </c>
      <c r="T49" s="905">
        <f>IF(time=0,0,VLOOKUP(0,CHOOSE({1,2},'Cooldowns Calc'!AJ$3:AJ$602,'Cooldowns Calc'!$A$3:$A$602),2,FALSE))</f>
        <v>0</v>
      </c>
    </row>
    <row r="50" spans="2:43">
      <c r="R50" s="905"/>
      <c r="S50" s="905"/>
      <c r="T50" s="905"/>
    </row>
    <row r="51" spans="2:43">
      <c r="I51" t="str">
        <f>cycle</f>
        <v>Cycle: 1s/5r   SnD Slack: 1.24</v>
      </c>
      <c r="L51" s="906" t="s">
        <v>1137</v>
      </c>
      <c r="M51" s="1576" t="s">
        <v>3106</v>
      </c>
      <c r="N51" s="1576"/>
    </row>
    <row r="52" spans="2:43" ht="30">
      <c r="B52" s="1368" t="s">
        <v>338</v>
      </c>
      <c r="C52" s="1368"/>
      <c r="D52" s="1368"/>
      <c r="E52" s="1368"/>
      <c r="F52" s="1368"/>
      <c r="G52" s="1368"/>
      <c r="H52" s="1368"/>
      <c r="I52" s="1369" t="s">
        <v>1538</v>
      </c>
      <c r="J52" s="1370">
        <f>'Damage Calc'!$J$16</f>
        <v>1555.182530256119</v>
      </c>
      <c r="K52" s="1369"/>
      <c r="L52" s="1371">
        <f>'Gear &amp; Buffs'!$C$7</f>
        <v>1555.182530256119</v>
      </c>
      <c r="M52" s="1575" t="str">
        <f>ROUNDUP(J52-L52,2)&amp;" ("&amp;ROUNDUP((J52-L52)/J52,2)&amp;"%)"</f>
        <v>0 (0%)</v>
      </c>
      <c r="N52" s="1575"/>
    </row>
    <row r="53" spans="2:43">
      <c r="B53" s="1568" t="s">
        <v>1025</v>
      </c>
      <c r="C53" s="1569" t="s">
        <v>339</v>
      </c>
      <c r="D53" s="1569"/>
      <c r="E53" s="1569"/>
      <c r="F53" s="1569"/>
      <c r="G53" s="1569"/>
      <c r="H53" s="1569"/>
      <c r="I53" s="421" t="s">
        <v>340</v>
      </c>
      <c r="J53" s="1569" t="s">
        <v>341</v>
      </c>
      <c r="K53" s="1569"/>
      <c r="L53" s="1569"/>
      <c r="M53" s="422" t="s">
        <v>923</v>
      </c>
      <c r="N53" s="1569" t="s">
        <v>342</v>
      </c>
      <c r="O53" s="1569"/>
      <c r="P53" s="1569"/>
      <c r="Q53" s="1569"/>
      <c r="R53" s="1569" t="s">
        <v>3028</v>
      </c>
      <c r="S53" s="1569"/>
      <c r="T53" s="1569"/>
      <c r="U53" s="1569" t="s">
        <v>343</v>
      </c>
      <c r="V53" s="1569"/>
      <c r="W53" s="1569"/>
      <c r="X53" s="420" t="s">
        <v>321</v>
      </c>
      <c r="Y53" s="1569" t="s">
        <v>318</v>
      </c>
      <c r="Z53" s="1569"/>
      <c r="AA53" s="1569"/>
      <c r="AB53" s="1569"/>
      <c r="AC53" s="1569"/>
      <c r="AD53" s="1569"/>
      <c r="AE53" s="1569"/>
      <c r="AF53" s="1569"/>
      <c r="AG53" s="1574" t="s">
        <v>1538</v>
      </c>
      <c r="AH53" s="1570" t="s">
        <v>344</v>
      </c>
      <c r="AI53" s="1570"/>
      <c r="AJ53" s="1570"/>
      <c r="AK53" s="1573" t="s">
        <v>345</v>
      </c>
      <c r="AP53">
        <v>1</v>
      </c>
      <c r="AQ53" s="906" t="s">
        <v>3034</v>
      </c>
    </row>
    <row r="54" spans="2:43">
      <c r="B54" s="1568"/>
      <c r="C54" s="423" t="s">
        <v>126</v>
      </c>
      <c r="D54" s="423" t="s">
        <v>346</v>
      </c>
      <c r="E54" s="423" t="s">
        <v>347</v>
      </c>
      <c r="F54" s="423" t="s">
        <v>348</v>
      </c>
      <c r="G54" s="1376" t="s">
        <v>332</v>
      </c>
      <c r="H54" s="425" t="s">
        <v>1895</v>
      </c>
      <c r="I54" s="426" t="s">
        <v>1895</v>
      </c>
      <c r="J54" s="423" t="s">
        <v>2299</v>
      </c>
      <c r="K54" s="423" t="s">
        <v>1013</v>
      </c>
      <c r="L54" s="425" t="s">
        <v>1895</v>
      </c>
      <c r="M54" s="427" t="s">
        <v>1895</v>
      </c>
      <c r="N54" s="423" t="s">
        <v>126</v>
      </c>
      <c r="O54" s="423" t="s">
        <v>1189</v>
      </c>
      <c r="P54" s="1376" t="s">
        <v>332</v>
      </c>
      <c r="Q54" s="428" t="s">
        <v>1025</v>
      </c>
      <c r="R54" s="429" t="s">
        <v>126</v>
      </c>
      <c r="S54" s="429" t="s">
        <v>1189</v>
      </c>
      <c r="T54" s="1376" t="s">
        <v>332</v>
      </c>
      <c r="U54" s="429" t="s">
        <v>126</v>
      </c>
      <c r="V54" s="429" t="s">
        <v>1189</v>
      </c>
      <c r="W54" s="1376" t="s">
        <v>332</v>
      </c>
      <c r="X54" s="425"/>
      <c r="Y54" s="423" t="s">
        <v>2299</v>
      </c>
      <c r="Z54" s="423" t="s">
        <v>126</v>
      </c>
      <c r="AA54" s="423" t="s">
        <v>346</v>
      </c>
      <c r="AB54" s="423" t="s">
        <v>347</v>
      </c>
      <c r="AC54" s="423" t="s">
        <v>348</v>
      </c>
      <c r="AD54" s="424" t="s">
        <v>332</v>
      </c>
      <c r="AE54" s="423" t="s">
        <v>2058</v>
      </c>
      <c r="AF54" s="425" t="s">
        <v>1895</v>
      </c>
      <c r="AG54" s="1574"/>
      <c r="AH54" s="423" t="s">
        <v>126</v>
      </c>
      <c r="AI54" s="423" t="s">
        <v>346</v>
      </c>
      <c r="AJ54" s="1376" t="s">
        <v>332</v>
      </c>
      <c r="AK54" s="1573"/>
    </row>
    <row r="55" spans="2:43" ht="12.75" customHeight="1">
      <c r="B55" s="430" t="s">
        <v>349</v>
      </c>
      <c r="C55" s="431"/>
      <c r="D55" s="432"/>
      <c r="E55" s="432"/>
      <c r="F55" s="432"/>
      <c r="G55" s="432"/>
      <c r="H55" s="433"/>
      <c r="I55" s="434"/>
      <c r="J55" s="434"/>
      <c r="K55" s="434"/>
      <c r="L55" s="435"/>
      <c r="M55" s="436"/>
      <c r="N55" s="437"/>
      <c r="O55" s="437"/>
      <c r="P55" s="437"/>
      <c r="Q55" s="438"/>
      <c r="R55" s="439"/>
      <c r="S55" s="439"/>
      <c r="T55" s="439"/>
      <c r="U55" s="439"/>
      <c r="V55" s="439"/>
      <c r="W55" s="439"/>
      <c r="X55" s="440"/>
      <c r="Y55" s="434"/>
      <c r="Z55" s="434"/>
      <c r="AA55" s="434"/>
      <c r="AB55" s="434"/>
      <c r="AC55" s="434"/>
      <c r="AD55" s="434"/>
      <c r="AE55" s="434"/>
      <c r="AF55" s="435"/>
      <c r="AG55" s="441"/>
      <c r="AH55" s="442"/>
      <c r="AI55" s="437"/>
      <c r="AJ55" s="443"/>
      <c r="AK55" s="444"/>
      <c r="AL55">
        <v>0</v>
      </c>
    </row>
    <row r="56" spans="2:43">
      <c r="B56" t="s">
        <v>350</v>
      </c>
      <c r="C56" s="445">
        <v>0</v>
      </c>
      <c r="D56" s="64">
        <v>1</v>
      </c>
      <c r="E56" s="64">
        <v>0</v>
      </c>
      <c r="F56" s="197">
        <v>0</v>
      </c>
      <c r="G56" s="197">
        <v>0</v>
      </c>
      <c r="H56" s="446">
        <f t="shared" ref="H56:H81" si="1">SUM(C56:G56)</f>
        <v>1</v>
      </c>
      <c r="I56" s="447">
        <f>J$15</f>
        <v>0.39999999999999991</v>
      </c>
      <c r="J56" s="447">
        <f t="shared" ref="J56:J87" si="2">I56*$O$2</f>
        <v>16.065306122448977</v>
      </c>
      <c r="K56" s="94">
        <f>SUMPRODUCT($E$27:$E$29,$J$16:$J$18)</f>
        <v>20</v>
      </c>
      <c r="L56" s="448">
        <f t="shared" ref="L56:L81" si="3">J56+K56</f>
        <v>36.065306122448973</v>
      </c>
      <c r="M56" s="449">
        <f>SUMPRODUCT($C$27:$C$29,$J$16:$J$18)</f>
        <v>1</v>
      </c>
      <c r="N56" s="104">
        <v>0</v>
      </c>
      <c r="O56" s="104">
        <f>SUMPRODUCT($D$27:$D$29,$J$16:$J$18)</f>
        <v>8</v>
      </c>
      <c r="P56" s="104">
        <v>0</v>
      </c>
      <c r="Q56" s="450">
        <f>IF(N56&gt;L56/sndeps,L56/sndeps,N56+(L56/sndeps-N56)*sndeps/eps)</f>
        <v>2.9096328672788698</v>
      </c>
      <c r="R56" s="1310">
        <v>0</v>
      </c>
      <c r="S56" s="1310">
        <f>(I56+1-$J$15)*$O$2+D56*$O$3</f>
        <v>65.16326530612244</v>
      </c>
      <c r="T56" s="1310">
        <v>0</v>
      </c>
      <c r="U56" s="451">
        <v>0</v>
      </c>
      <c r="V56" s="451">
        <f t="shared" ref="V56:V87" si="4">IF(O56&gt;0,MIN(1,O56/Q56),0)</f>
        <v>1</v>
      </c>
      <c r="W56" s="451">
        <v>0</v>
      </c>
      <c r="X56" s="452">
        <f t="shared" ref="X56:X87" si="5">MIN(1,H56*10/Q56)*fw+(1-(MIN(1,H56*10/Q56)))*1</f>
        <v>1</v>
      </c>
      <c r="Y56" s="447">
        <f t="shared" ref="Y56:Y87" si="6">(I56*avginst)*X56*$K$4</f>
        <v>382.44868430760147</v>
      </c>
      <c r="Z56" s="447">
        <v>0</v>
      </c>
      <c r="AA56" s="447">
        <f>SUMPRODUCT($F$27:$F$29,$J$16:$J$18)*MIN(Q56/O56,1)*X56</f>
        <v>163.89276633127412</v>
      </c>
      <c r="AB56" s="447">
        <v>0</v>
      </c>
      <c r="AC56" s="447">
        <v>0</v>
      </c>
      <c r="AD56" s="447">
        <v>0</v>
      </c>
      <c r="AE56" s="447">
        <v>0</v>
      </c>
      <c r="AF56" s="448">
        <f t="shared" ref="AF56:AF81" si="7">SUM(Y56:AE56)</f>
        <v>546.34145063887559</v>
      </c>
      <c r="AG56" s="453">
        <f t="shared" ref="AG56:AG87" si="8">IF(AND(forceea,W56=0),0,IF(time=0, AF56/Q56, IF(time&lt;Q56, 0, AF56/Q56))*AQ56)</f>
        <v>187.76989247781694</v>
      </c>
      <c r="AH56" s="454">
        <v>0</v>
      </c>
      <c r="AI56" s="104">
        <f t="shared" ref="AI56:AI87" si="9">O56-$Q56</f>
        <v>5.0903671327211306</v>
      </c>
      <c r="AJ56" s="455">
        <v>0</v>
      </c>
      <c r="AK56" s="456" t="str">
        <f>IF(instatk="Mut","1-3r",IF(Sealfate&gt;0,"1-2r","1r"))</f>
        <v>1r</v>
      </c>
      <c r="AL56" t="str">
        <f>IF(AND(OR(allowrupt,NOT(D56)),OR(AND(poison,allowenv),NOT(F56)),$X$2-AG56&lt;50),MAX($AL$55:$AL55)+1,"")</f>
        <v/>
      </c>
      <c r="AO56">
        <v>1</v>
      </c>
      <c r="AP56" t="str">
        <f t="shared" ref="AP56:AP87" si="10">IF(ISNA(INDEX($AK$56:$AK$284,MATCH(AO56,AL$56:AL$284,0))),"",INDEX($AK$56:$AK$284,MATCH(AO56,AL$56:AL$284,0)))</f>
        <v>1s/3r</v>
      </c>
      <c r="AQ56" t="b">
        <v>1</v>
      </c>
    </row>
    <row r="57" spans="2:43">
      <c r="B57" t="s">
        <v>351</v>
      </c>
      <c r="C57" s="445">
        <v>0</v>
      </c>
      <c r="D57" s="64">
        <v>1</v>
      </c>
      <c r="E57" s="64">
        <v>0</v>
      </c>
      <c r="F57" s="197">
        <v>0</v>
      </c>
      <c r="G57" s="197">
        <v>0</v>
      </c>
      <c r="H57" s="446">
        <f t="shared" si="1"/>
        <v>1</v>
      </c>
      <c r="I57" s="447">
        <f>K$15</f>
        <v>1.4</v>
      </c>
      <c r="J57" s="447">
        <f t="shared" si="2"/>
        <v>56.228571428571421</v>
      </c>
      <c r="K57" s="94">
        <f>SUMPRODUCT($E$28:$E$30,$K$16:$K$18)</f>
        <v>15</v>
      </c>
      <c r="L57" s="448">
        <f t="shared" si="3"/>
        <v>71.228571428571428</v>
      </c>
      <c r="M57" s="449">
        <f>SUMPRODUCT($C$28:$C$30,$K$16:$K$18)</f>
        <v>2</v>
      </c>
      <c r="N57" s="104">
        <v>0</v>
      </c>
      <c r="O57" s="104">
        <f>SUMPRODUCT($D$28:$D$30,$K$16:$K$18)</f>
        <v>10</v>
      </c>
      <c r="P57" s="104">
        <v>0</v>
      </c>
      <c r="Q57" s="450">
        <f t="shared" ref="Q57:Q65" si="11">IF(N57&gt;L57/sndeps,L57/sndeps,N57+(L57/sndeps-N57)*sndeps/eps)</f>
        <v>5.746491983576683</v>
      </c>
      <c r="R57" s="1310">
        <v>0</v>
      </c>
      <c r="S57" s="1310">
        <f>(I57+1-$J$15)*$O$2+D57*$O$3</f>
        <v>105.32653061224489</v>
      </c>
      <c r="T57" s="1310">
        <v>0</v>
      </c>
      <c r="U57" s="451">
        <v>0</v>
      </c>
      <c r="V57" s="451">
        <f t="shared" si="4"/>
        <v>1</v>
      </c>
      <c r="W57" s="451">
        <v>0</v>
      </c>
      <c r="X57" s="452">
        <f t="shared" si="5"/>
        <v>1</v>
      </c>
      <c r="Y57" s="447">
        <f t="shared" si="6"/>
        <v>1338.5703950766056</v>
      </c>
      <c r="Z57" s="447">
        <v>0</v>
      </c>
      <c r="AA57" s="447">
        <f>SUMPRODUCT($F$28:$F$30,$K$16:$K$18)*MIN(Q57/O57,1)*X57</f>
        <v>446.24549792363126</v>
      </c>
      <c r="AB57" s="447">
        <v>0</v>
      </c>
      <c r="AC57" s="447">
        <v>0</v>
      </c>
      <c r="AD57" s="447">
        <v>0</v>
      </c>
      <c r="AE57" s="447">
        <v>0</v>
      </c>
      <c r="AF57" s="448">
        <f t="shared" si="7"/>
        <v>1784.8158930002369</v>
      </c>
      <c r="AG57" s="453">
        <f t="shared" si="8"/>
        <v>310.59225316961931</v>
      </c>
      <c r="AH57" s="454">
        <v>0</v>
      </c>
      <c r="AI57" s="104">
        <f t="shared" si="9"/>
        <v>4.253508016423317</v>
      </c>
      <c r="AJ57" s="455">
        <v>0</v>
      </c>
      <c r="AK57" s="456" t="str">
        <f>IF(instatk="Mut","2-4r",IF(Sealfate&gt;0,"2-3r","2r"))</f>
        <v>2r</v>
      </c>
      <c r="AL57" t="str">
        <f>IF(AND(OR(allowrupt,NOT(D57)),OR(AND(poison,allowenv),NOT(F57)),$X$2-AG57&lt;50),MAX($AL$55:$AL56)+1,"")</f>
        <v/>
      </c>
      <c r="AO57">
        <f>AO56+1</f>
        <v>2</v>
      </c>
      <c r="AP57" t="str">
        <f t="shared" si="10"/>
        <v>2s/3r</v>
      </c>
      <c r="AQ57" t="b">
        <v>1</v>
      </c>
    </row>
    <row r="58" spans="2:43">
      <c r="B58" t="s">
        <v>352</v>
      </c>
      <c r="C58" s="445">
        <v>0</v>
      </c>
      <c r="D58" s="64">
        <v>1</v>
      </c>
      <c r="E58" s="64">
        <v>0</v>
      </c>
      <c r="F58" s="197">
        <v>0</v>
      </c>
      <c r="G58" s="197">
        <v>0</v>
      </c>
      <c r="H58" s="446">
        <f t="shared" si="1"/>
        <v>1</v>
      </c>
      <c r="I58" s="447">
        <f>L$15</f>
        <v>2.4</v>
      </c>
      <c r="J58" s="447">
        <f t="shared" si="2"/>
        <v>96.391836734693868</v>
      </c>
      <c r="K58" s="94">
        <f>SUMPRODUCT($E$29:$E$31,$L$16:$L$18)</f>
        <v>10</v>
      </c>
      <c r="L58" s="448">
        <f t="shared" si="3"/>
        <v>106.39183673469387</v>
      </c>
      <c r="M58" s="449">
        <f>SUMPRODUCT($C$29:$C$31,$L$16:$L$18)</f>
        <v>3</v>
      </c>
      <c r="N58" s="104">
        <v>0</v>
      </c>
      <c r="O58" s="104">
        <f>SUMPRODUCT($D$29:$D$31,$L$16:$L$18)</f>
        <v>12</v>
      </c>
      <c r="P58" s="104">
        <v>0</v>
      </c>
      <c r="Q58" s="450">
        <f t="shared" si="11"/>
        <v>8.5833510998744931</v>
      </c>
      <c r="R58" s="1310">
        <v>0</v>
      </c>
      <c r="S58" s="1310">
        <f>(I58+1-$J$15)*$O$2+D58*$O$3</f>
        <v>145.48979591836735</v>
      </c>
      <c r="T58" s="1310">
        <v>0</v>
      </c>
      <c r="U58" s="451">
        <v>0</v>
      </c>
      <c r="V58" s="451">
        <f t="shared" si="4"/>
        <v>1</v>
      </c>
      <c r="W58" s="451">
        <v>0</v>
      </c>
      <c r="X58" s="452">
        <f t="shared" si="5"/>
        <v>1</v>
      </c>
      <c r="Y58" s="447">
        <f t="shared" si="6"/>
        <v>2294.6921058456096</v>
      </c>
      <c r="Z58" s="447">
        <v>0</v>
      </c>
      <c r="AA58" s="447">
        <f>SUMPRODUCT($F$29:$F$31,$L$16:$L$18)*MIN(Q58/O58,1)*X58</f>
        <v>849.60527606140818</v>
      </c>
      <c r="AB58" s="447">
        <v>0</v>
      </c>
      <c r="AC58" s="447">
        <v>0</v>
      </c>
      <c r="AD58" s="447">
        <v>0</v>
      </c>
      <c r="AE58" s="447">
        <v>0</v>
      </c>
      <c r="AF58" s="448">
        <f t="shared" si="7"/>
        <v>3144.2973819070176</v>
      </c>
      <c r="AG58" s="453">
        <f t="shared" si="8"/>
        <v>366.32515031955222</v>
      </c>
      <c r="AH58" s="454">
        <v>0</v>
      </c>
      <c r="AI58" s="104">
        <f t="shared" si="9"/>
        <v>3.4166489001255069</v>
      </c>
      <c r="AJ58" s="455">
        <v>0</v>
      </c>
      <c r="AK58" s="456" t="str">
        <f>IF(instatk="Mut","3-5r",IF(Sealfate&gt;0,"3-4r","3r"))</f>
        <v>3r</v>
      </c>
      <c r="AL58" t="str">
        <f>IF(AND(OR(allowrupt,NOT(D58)),OR(AND(poison,allowenv),NOT(F58)),$X$2-AG58&lt;50),MAX($AL$55:$AL57)+1,"")</f>
        <v/>
      </c>
      <c r="AO58">
        <f t="shared" ref="AO58:AO121" si="12">AO57+1</f>
        <v>3</v>
      </c>
      <c r="AP58" t="str">
        <f t="shared" si="10"/>
        <v>3s/3r</v>
      </c>
      <c r="AQ58" t="b">
        <v>1</v>
      </c>
    </row>
    <row r="59" spans="2:43">
      <c r="B59" t="s">
        <v>202</v>
      </c>
      <c r="C59" s="445">
        <v>0</v>
      </c>
      <c r="D59">
        <v>1</v>
      </c>
      <c r="E59" s="64">
        <v>0</v>
      </c>
      <c r="F59" s="197">
        <v>0</v>
      </c>
      <c r="G59" s="197">
        <v>0</v>
      </c>
      <c r="H59" s="446">
        <f t="shared" si="1"/>
        <v>1</v>
      </c>
      <c r="I59" s="447">
        <f>M$15</f>
        <v>3.4</v>
      </c>
      <c r="J59" s="447">
        <f t="shared" si="2"/>
        <v>136.55510204081631</v>
      </c>
      <c r="K59" s="94">
        <f>SUMPRODUCT($E$30:$E$32,$M$16:$M$18)</f>
        <v>5</v>
      </c>
      <c r="L59" s="448">
        <f t="shared" si="3"/>
        <v>141.55510204081631</v>
      </c>
      <c r="M59" s="449">
        <f>SUMPRODUCT($C$30:$C$32,$M$16:$M$18)</f>
        <v>4</v>
      </c>
      <c r="N59" s="105">
        <v>0</v>
      </c>
      <c r="O59" s="104">
        <f>SUMPRODUCT($D$30:$D$32,$M$16:$M$18)</f>
        <v>14</v>
      </c>
      <c r="P59" s="104">
        <v>0</v>
      </c>
      <c r="Q59" s="450">
        <f t="shared" si="11"/>
        <v>11.420210216172306</v>
      </c>
      <c r="R59" s="1310">
        <v>0</v>
      </c>
      <c r="S59" s="1310">
        <f>(I59+1-$J$15)*$O$2+D59*$O$3</f>
        <v>185.65306122448979</v>
      </c>
      <c r="T59" s="1310">
        <v>0</v>
      </c>
      <c r="U59" s="451">
        <v>0</v>
      </c>
      <c r="V59" s="451">
        <f t="shared" si="4"/>
        <v>1</v>
      </c>
      <c r="W59" s="451">
        <v>0</v>
      </c>
      <c r="X59" s="452">
        <f t="shared" si="5"/>
        <v>1</v>
      </c>
      <c r="Y59" s="447">
        <f t="shared" si="6"/>
        <v>3250.8138166146132</v>
      </c>
      <c r="Z59" s="106">
        <v>0</v>
      </c>
      <c r="AA59" s="447">
        <f>SUMPRODUCT($F$30:$F$32,$M$16:$M$18)*MIN(Q59/O59,1)*X59</f>
        <v>1193.2170711389094</v>
      </c>
      <c r="AB59" s="447">
        <v>0</v>
      </c>
      <c r="AC59" s="447">
        <v>0</v>
      </c>
      <c r="AD59" s="447">
        <v>0</v>
      </c>
      <c r="AE59" s="447">
        <v>0</v>
      </c>
      <c r="AF59" s="448">
        <f t="shared" si="7"/>
        <v>4444.0308877535226</v>
      </c>
      <c r="AG59" s="453">
        <f t="shared" si="8"/>
        <v>389.13739796665681</v>
      </c>
      <c r="AH59" s="454">
        <v>0</v>
      </c>
      <c r="AI59" s="104">
        <f t="shared" si="9"/>
        <v>2.5797897838276942</v>
      </c>
      <c r="AJ59" s="455">
        <v>0</v>
      </c>
      <c r="AK59" s="456" t="str">
        <f>IF(instatk="Mut","4-5r",IF(Sealfate&gt;0,"4-5r","4r"))</f>
        <v>4r</v>
      </c>
      <c r="AL59" t="str">
        <f>IF(AND(OR(allowrupt,NOT(D59)),OR(AND(poison,allowenv),NOT(F59)),$X$2-AG59&lt;50),MAX($AL$55:$AL58)+1,"")</f>
        <v/>
      </c>
      <c r="AO59">
        <f t="shared" si="12"/>
        <v>4</v>
      </c>
      <c r="AP59" t="str">
        <f t="shared" si="10"/>
        <v>4s/3r</v>
      </c>
      <c r="AQ59" t="b">
        <v>1</v>
      </c>
    </row>
    <row r="60" spans="2:43">
      <c r="B60" t="s">
        <v>120</v>
      </c>
      <c r="C60" s="445">
        <v>0</v>
      </c>
      <c r="D60" s="64">
        <v>1</v>
      </c>
      <c r="E60" s="64">
        <v>0</v>
      </c>
      <c r="F60" s="197">
        <v>0</v>
      </c>
      <c r="G60" s="197">
        <v>0</v>
      </c>
      <c r="H60" s="446">
        <f t="shared" si="1"/>
        <v>1</v>
      </c>
      <c r="I60" s="447">
        <f>N$15</f>
        <v>4.4000000000000004</v>
      </c>
      <c r="J60" s="447">
        <f t="shared" si="2"/>
        <v>176.71836734693878</v>
      </c>
      <c r="K60" s="94">
        <f>SUMPRODUCT($E$31:$E$33,$N$16:$N$18)</f>
        <v>0</v>
      </c>
      <c r="L60" s="448">
        <f t="shared" si="3"/>
        <v>176.71836734693878</v>
      </c>
      <c r="M60" s="449">
        <f>SUMPRODUCT($C$31:$C$33,$N$16:$N$18)</f>
        <v>5</v>
      </c>
      <c r="N60" s="104">
        <v>0</v>
      </c>
      <c r="O60" s="104">
        <f>SUMPRODUCT($D$31:$D$33,$N$16:$N$18)</f>
        <v>16</v>
      </c>
      <c r="P60" s="104">
        <v>0</v>
      </c>
      <c r="Q60" s="450">
        <f t="shared" si="11"/>
        <v>14.25706933247012</v>
      </c>
      <c r="R60" s="1310">
        <v>0</v>
      </c>
      <c r="S60" s="1310">
        <f>(I60+1-$J$15)*$O$2+D60*$O$3</f>
        <v>225.81632653061223</v>
      </c>
      <c r="T60" s="1310">
        <v>0</v>
      </c>
      <c r="U60" s="451">
        <v>0</v>
      </c>
      <c r="V60" s="451">
        <f t="shared" si="4"/>
        <v>1</v>
      </c>
      <c r="W60" s="451">
        <v>0</v>
      </c>
      <c r="X60" s="452">
        <f t="shared" si="5"/>
        <v>1</v>
      </c>
      <c r="Y60" s="447">
        <f t="shared" si="6"/>
        <v>4206.9355273836181</v>
      </c>
      <c r="Z60" s="447">
        <v>0</v>
      </c>
      <c r="AA60" s="447">
        <f>SUMPRODUCT($F$31:$F$33,$N$16:$N$18)*MIN(Q60/O60,1)*X60</f>
        <v>1568.0343164956864</v>
      </c>
      <c r="AB60" s="447">
        <v>0</v>
      </c>
      <c r="AC60" s="447">
        <v>0</v>
      </c>
      <c r="AD60" s="447">
        <v>0</v>
      </c>
      <c r="AE60" s="447">
        <v>0</v>
      </c>
      <c r="AF60" s="448">
        <f t="shared" si="7"/>
        <v>5774.9698438793048</v>
      </c>
      <c r="AG60" s="453">
        <f t="shared" si="8"/>
        <v>405.06009399329741</v>
      </c>
      <c r="AH60" s="454">
        <v>0</v>
      </c>
      <c r="AI60" s="104">
        <f t="shared" si="9"/>
        <v>1.7429306675298797</v>
      </c>
      <c r="AJ60" s="455">
        <v>0</v>
      </c>
      <c r="AK60" s="456" t="str">
        <f>IF(instatk="Mut","5-5r",IF(Sealfate&gt;0,"5-5r","5r"))</f>
        <v>5r</v>
      </c>
      <c r="AL60" t="str">
        <f>IF(AND(OR(allowrupt,NOT(D60)),OR(AND(poison,allowenv),NOT(F60)),$X$2-AG60&lt;50),MAX($AL$55:$AL59)+1,"")</f>
        <v/>
      </c>
      <c r="AO60">
        <f t="shared" si="12"/>
        <v>5</v>
      </c>
      <c r="AP60" t="str">
        <f t="shared" si="10"/>
        <v>5s/3r</v>
      </c>
      <c r="AQ60" t="b">
        <v>1</v>
      </c>
    </row>
    <row r="61" spans="2:43">
      <c r="B61" t="s">
        <v>217</v>
      </c>
      <c r="C61" s="445">
        <v>1</v>
      </c>
      <c r="D61" s="64">
        <v>1</v>
      </c>
      <c r="E61" s="64">
        <v>0</v>
      </c>
      <c r="F61" s="197">
        <v>0</v>
      </c>
      <c r="G61" s="197">
        <v>0</v>
      </c>
      <c r="H61" s="446">
        <f t="shared" si="1"/>
        <v>2</v>
      </c>
      <c r="I61" s="447">
        <f>J$15+L$15</f>
        <v>2.8</v>
      </c>
      <c r="J61" s="447">
        <f t="shared" si="2"/>
        <v>112.45714285714284</v>
      </c>
      <c r="K61" s="447">
        <f>SUMPRODUCT($E$13:$E$15,$J$16:$J$18)+SUMPRODUCT($E$29:$E$31,$L$16:$L$18)</f>
        <v>30</v>
      </c>
      <c r="L61" s="448">
        <f>J61+K61</f>
        <v>142.45714285714286</v>
      </c>
      <c r="M61" s="449">
        <f>SUMPRODUCT($C$13:$C$15,$J$16:$J$18)+SUMPRODUCT($C$29:$C$31,$L$16:$L$18)</f>
        <v>4</v>
      </c>
      <c r="N61" s="104">
        <f>SUMPRODUCT($D$13:$D$15,$J$16:$J$18)</f>
        <v>17.399999999999999</v>
      </c>
      <c r="O61" s="104">
        <f>SUMPRODUCT($D$29:$D$31,$L$16:$L$18)</f>
        <v>12</v>
      </c>
      <c r="P61" s="104">
        <v>0</v>
      </c>
      <c r="Q61" s="450">
        <f t="shared" si="11"/>
        <v>10.817874243970381</v>
      </c>
      <c r="R61" s="1310">
        <f>(J$15+1-$J$15)*$O$2+25</f>
        <v>65.16326530612244</v>
      </c>
      <c r="S61" s="1310">
        <f>(I61+1-$J$15)*$O$2+C61*$E$13+D61*$O$3</f>
        <v>181.55510204081631</v>
      </c>
      <c r="T61" s="1310">
        <v>0</v>
      </c>
      <c r="U61" s="451">
        <f t="shared" ref="U61:U92" si="13">IF(N61&gt;0,MIN(1,N61/Q61),0)</f>
        <v>1</v>
      </c>
      <c r="V61" s="451">
        <f t="shared" si="4"/>
        <v>1</v>
      </c>
      <c r="W61" s="451">
        <v>0</v>
      </c>
      <c r="X61" s="452">
        <f t="shared" si="5"/>
        <v>1</v>
      </c>
      <c r="Y61" s="447">
        <f t="shared" si="6"/>
        <v>2677.1407901532111</v>
      </c>
      <c r="Z61" s="447">
        <f t="shared" ref="Z61:Z92" si="14">Q61*U61*$O$6*(sndfact-1)*$K$4</f>
        <v>1921.0279994652158</v>
      </c>
      <c r="AA61" s="447">
        <f>SUMPRODUCT($F$29:$F$31,$L$16:$L$18)*MIN(Q61/O61,1)*X61</f>
        <v>1070.7849331225009</v>
      </c>
      <c r="AB61" s="447">
        <v>0</v>
      </c>
      <c r="AC61" s="447">
        <v>0</v>
      </c>
      <c r="AD61" s="447">
        <v>0</v>
      </c>
      <c r="AE61" s="447">
        <v>0</v>
      </c>
      <c r="AF61" s="448">
        <f t="shared" si="7"/>
        <v>5668.9537227409273</v>
      </c>
      <c r="AG61" s="453">
        <f t="shared" si="8"/>
        <v>524.03583133725772</v>
      </c>
      <c r="AH61" s="454">
        <f t="shared" ref="AH61:AH92" si="15">N61-$Q61</f>
        <v>6.5821257560296171</v>
      </c>
      <c r="AI61" s="104">
        <f t="shared" si="9"/>
        <v>1.1821257560296186</v>
      </c>
      <c r="AJ61" s="455">
        <v>0</v>
      </c>
      <c r="AK61" s="456" t="str">
        <f>IF(instatk="Mut","1-3s/3-5r",IF(Sealfate&gt;0,"1-2s/3-4r","1s/3r"))</f>
        <v>1s/3r</v>
      </c>
      <c r="AL61">
        <f>IF(AND(OR(allowrupt,NOT(D61)),OR(AND(poison,allowenv),NOT(F61)),$X$2-AG61&lt;50),MAX($AL$55:$AL60)+1,"")</f>
        <v>1</v>
      </c>
      <c r="AO61">
        <f t="shared" si="12"/>
        <v>6</v>
      </c>
      <c r="AP61" t="str">
        <f t="shared" si="10"/>
        <v>1s/4r</v>
      </c>
      <c r="AQ61" t="b">
        <v>1</v>
      </c>
    </row>
    <row r="62" spans="2:43">
      <c r="B62" t="s">
        <v>353</v>
      </c>
      <c r="C62" s="445">
        <v>1</v>
      </c>
      <c r="D62" s="64">
        <v>1</v>
      </c>
      <c r="E62" s="64">
        <v>0</v>
      </c>
      <c r="F62" s="197">
        <v>0</v>
      </c>
      <c r="G62" s="197">
        <v>0</v>
      </c>
      <c r="H62" s="446">
        <f t="shared" si="1"/>
        <v>2</v>
      </c>
      <c r="I62" s="447">
        <f>K$15+L$15</f>
        <v>3.8</v>
      </c>
      <c r="J62" s="447">
        <f t="shared" si="2"/>
        <v>152.6204081632653</v>
      </c>
      <c r="K62" s="447">
        <f>SUMPRODUCT($E$14:$E$16,$K$16:$K$18)+SUMPRODUCT($E$29:$E$31,$L$16:$L$18)</f>
        <v>25</v>
      </c>
      <c r="L62" s="448">
        <f t="shared" si="3"/>
        <v>177.6204081632653</v>
      </c>
      <c r="M62" s="449">
        <f>SUMPRODUCT($C$14:$C$16,$K$16:$K$18)+SUMPRODUCT($C$29:$C$31,$L$16:$L$18)</f>
        <v>5</v>
      </c>
      <c r="N62" s="104">
        <f>SUMPRODUCT($D$14:$D$16,$K$16:$K$18)</f>
        <v>21.75</v>
      </c>
      <c r="O62" s="104">
        <f>SUMPRODUCT($D$29:$D$31,$L$16:$L$18)</f>
        <v>12</v>
      </c>
      <c r="P62" s="104">
        <v>0</v>
      </c>
      <c r="Q62" s="450">
        <f t="shared" si="11"/>
        <v>13.488093332039972</v>
      </c>
      <c r="R62" s="1310">
        <f>(K$15+1-$J$15)*$O$2+25</f>
        <v>105.32653061224489</v>
      </c>
      <c r="S62" s="1310">
        <f>(I62+1-$J$15)*$O$2+C62*$E$14+D62*$O$3</f>
        <v>216.71836734693878</v>
      </c>
      <c r="T62" s="1310">
        <v>0</v>
      </c>
      <c r="U62" s="451">
        <f t="shared" si="13"/>
        <v>1</v>
      </c>
      <c r="V62" s="451">
        <f t="shared" si="4"/>
        <v>0.88967355908598911</v>
      </c>
      <c r="W62" s="451">
        <v>0</v>
      </c>
      <c r="X62" s="452">
        <f t="shared" si="5"/>
        <v>1</v>
      </c>
      <c r="Y62" s="447">
        <f t="shared" si="6"/>
        <v>3633.2625009222152</v>
      </c>
      <c r="Z62" s="447">
        <f t="shared" si="14"/>
        <v>2395.2030099343247</v>
      </c>
      <c r="AA62" s="447">
        <f>SUMPRODUCT($F$29:$F$31,$L$16:$L$18)*MIN(Q62/O62,1)*X62</f>
        <v>1187.7952088999336</v>
      </c>
      <c r="AB62" s="447">
        <v>0</v>
      </c>
      <c r="AC62" s="447">
        <v>0</v>
      </c>
      <c r="AD62" s="447">
        <v>0</v>
      </c>
      <c r="AE62" s="447">
        <v>0</v>
      </c>
      <c r="AF62" s="448">
        <f t="shared" si="7"/>
        <v>7216.2607197564739</v>
      </c>
      <c r="AG62" s="453">
        <f t="shared" si="8"/>
        <v>535.00969648651369</v>
      </c>
      <c r="AH62" s="454">
        <f t="shared" si="15"/>
        <v>8.2619066679600284</v>
      </c>
      <c r="AI62" s="104">
        <f t="shared" si="9"/>
        <v>-1.4880933320399716</v>
      </c>
      <c r="AJ62" s="455">
        <v>0</v>
      </c>
      <c r="AK62" s="456" t="str">
        <f>IF(instatk="Mut","2-4s/3-5r",IF(Sealfate&gt;0,"2-3s/3-4r","2s/3r"))</f>
        <v>2s/3r</v>
      </c>
      <c r="AL62">
        <f>IF(AND(OR(allowrupt,NOT(D62)),OR(AND(poison,allowenv),NOT(F62)),$X$2-AG62&lt;50),MAX($AL$55:$AL61)+1,"")</f>
        <v>2</v>
      </c>
      <c r="AO62">
        <f t="shared" si="12"/>
        <v>7</v>
      </c>
      <c r="AP62" t="str">
        <f t="shared" si="10"/>
        <v>2s/4r</v>
      </c>
      <c r="AQ62" t="b">
        <v>1</v>
      </c>
    </row>
    <row r="63" spans="2:43">
      <c r="B63" t="s">
        <v>354</v>
      </c>
      <c r="C63" s="445">
        <v>1</v>
      </c>
      <c r="D63" s="64">
        <v>1</v>
      </c>
      <c r="E63" s="64">
        <v>0</v>
      </c>
      <c r="F63" s="197">
        <v>0</v>
      </c>
      <c r="G63" s="197">
        <v>0</v>
      </c>
      <c r="H63" s="446">
        <f t="shared" si="1"/>
        <v>2</v>
      </c>
      <c r="I63" s="447">
        <f>L$15+L$15</f>
        <v>4.8</v>
      </c>
      <c r="J63" s="447">
        <f t="shared" si="2"/>
        <v>192.78367346938774</v>
      </c>
      <c r="K63" s="447">
        <f>SUMPRODUCT($E$15:$E$17,$L$16:$L$18)+SUMPRODUCT($E$29:$E$31,$L$16:$L$18)</f>
        <v>20</v>
      </c>
      <c r="L63" s="448">
        <f t="shared" si="3"/>
        <v>212.78367346938774</v>
      </c>
      <c r="M63" s="449">
        <f>SUMPRODUCT($C$15:$C$17,$L$16:$L$18)+SUMPRODUCT($C$29:$C$31,$L$16:$L$18)</f>
        <v>6</v>
      </c>
      <c r="N63" s="104">
        <f>SUMPRODUCT($D$15:$D$17,$L$16:$L$18)</f>
        <v>26.099999999999998</v>
      </c>
      <c r="O63" s="104">
        <f>SUMPRODUCT($D$29:$D$31,$L$16:$L$18)</f>
        <v>12</v>
      </c>
      <c r="P63" s="104">
        <v>0</v>
      </c>
      <c r="Q63" s="450">
        <f t="shared" si="11"/>
        <v>16.15831242010956</v>
      </c>
      <c r="R63" s="1310">
        <f>(L$15+1-$J$15)*$O$2+25</f>
        <v>145.48979591836735</v>
      </c>
      <c r="S63" s="1310">
        <f>(I63+1-$J$15)*$O$2+C63*$E$15+D63*$O$3</f>
        <v>251.88163265306122</v>
      </c>
      <c r="T63" s="1310">
        <v>0</v>
      </c>
      <c r="U63" s="451">
        <f t="shared" si="13"/>
        <v>1</v>
      </c>
      <c r="V63" s="451">
        <f t="shared" si="4"/>
        <v>0.74265181214503562</v>
      </c>
      <c r="W63" s="451">
        <v>0</v>
      </c>
      <c r="X63" s="452">
        <f t="shared" si="5"/>
        <v>1</v>
      </c>
      <c r="Y63" s="447">
        <f t="shared" si="6"/>
        <v>4589.3842116912192</v>
      </c>
      <c r="Z63" s="447">
        <f t="shared" si="14"/>
        <v>2869.3780204034329</v>
      </c>
      <c r="AA63" s="447">
        <f>SUMPRODUCT($F$29:$F$31,$L$16:$L$18)*MIN(Q63/O63,1)*X63</f>
        <v>1187.7952088999336</v>
      </c>
      <c r="AB63" s="447">
        <v>0</v>
      </c>
      <c r="AC63" s="447">
        <v>0</v>
      </c>
      <c r="AD63" s="447">
        <v>0</v>
      </c>
      <c r="AE63" s="447">
        <v>0</v>
      </c>
      <c r="AF63" s="448">
        <f t="shared" si="7"/>
        <v>8646.5574409945857</v>
      </c>
      <c r="AG63" s="453">
        <f t="shared" si="8"/>
        <v>535.11512936423082</v>
      </c>
      <c r="AH63" s="454">
        <f t="shared" si="15"/>
        <v>9.9416875798904378</v>
      </c>
      <c r="AI63" s="104">
        <f t="shared" si="9"/>
        <v>-4.15831242010956</v>
      </c>
      <c r="AJ63" s="455">
        <v>0</v>
      </c>
      <c r="AK63" s="456" t="str">
        <f>IF(instatk="Mut","3-5s/3-5r",IF(Sealfate&gt;0,"3-4s/3-4r","3s/3r"))</f>
        <v>3s/3r</v>
      </c>
      <c r="AL63">
        <f>IF(AND(OR(allowrupt,NOT(D63)),OR(AND(poison,allowenv),NOT(F63)),$X$2-AG63&lt;50),MAX($AL$55:$AL62)+1,"")</f>
        <v>3</v>
      </c>
      <c r="AO63">
        <f t="shared" si="12"/>
        <v>8</v>
      </c>
      <c r="AP63" t="str">
        <f t="shared" si="10"/>
        <v>3s/4r</v>
      </c>
      <c r="AQ63" t="b">
        <v>1</v>
      </c>
    </row>
    <row r="64" spans="2:43">
      <c r="B64" t="s">
        <v>195</v>
      </c>
      <c r="C64" s="445">
        <v>1</v>
      </c>
      <c r="D64" s="64">
        <v>1</v>
      </c>
      <c r="E64" s="64">
        <v>0</v>
      </c>
      <c r="F64" s="197">
        <v>0</v>
      </c>
      <c r="G64" s="197">
        <v>0</v>
      </c>
      <c r="H64" s="446">
        <f t="shared" si="1"/>
        <v>2</v>
      </c>
      <c r="I64" s="447">
        <f>M$15+L$15</f>
        <v>5.8</v>
      </c>
      <c r="J64" s="447">
        <f t="shared" si="2"/>
        <v>232.94693877551018</v>
      </c>
      <c r="K64" s="447">
        <f>SUMPRODUCT($E$16:$E$18,$M$16:$M$18)+SUMPRODUCT($E$29:$E$31,$L$16:$L$18)</f>
        <v>15</v>
      </c>
      <c r="L64" s="448">
        <f t="shared" si="3"/>
        <v>247.94693877551018</v>
      </c>
      <c r="M64" s="449">
        <f>SUMPRODUCT($C$16:$C$18,$M$16:$M$18)+SUMPRODUCT($C$29:$C$31,$L$16:$L$18)</f>
        <v>7</v>
      </c>
      <c r="N64" s="104">
        <f>SUMPRODUCT($D$16:$D$18,$M$16:$M$18)</f>
        <v>30.45</v>
      </c>
      <c r="O64" s="104">
        <f>SUMPRODUCT($D$29:$D$31,$L$16:$L$18)</f>
        <v>12</v>
      </c>
      <c r="P64" s="104">
        <v>0</v>
      </c>
      <c r="Q64" s="450">
        <f t="shared" si="11"/>
        <v>18.82853150817915</v>
      </c>
      <c r="R64" s="1310">
        <f>(M$15+1-$J$15)*$O$2+25</f>
        <v>185.65306122448979</v>
      </c>
      <c r="S64" s="1310">
        <f>(I64+1-$J$15)*$O$2+C64*$E$16+D64*$O$3</f>
        <v>287.04489795918369</v>
      </c>
      <c r="T64" s="1310">
        <v>0</v>
      </c>
      <c r="U64" s="451">
        <f t="shared" si="13"/>
        <v>1</v>
      </c>
      <c r="V64" s="451">
        <f t="shared" si="4"/>
        <v>0.63733063806846413</v>
      </c>
      <c r="W64" s="451">
        <v>0</v>
      </c>
      <c r="X64" s="452">
        <f t="shared" si="5"/>
        <v>1</v>
      </c>
      <c r="Y64" s="447">
        <f t="shared" si="6"/>
        <v>5545.5059224602228</v>
      </c>
      <c r="Z64" s="447">
        <f t="shared" si="14"/>
        <v>3343.5530308725415</v>
      </c>
      <c r="AA64" s="447">
        <f>SUMPRODUCT($F$29:$F$31,$L$16:$L$18)*MIN(Q64/O64,1)*X64</f>
        <v>1187.7952088999336</v>
      </c>
      <c r="AB64" s="447">
        <v>0</v>
      </c>
      <c r="AC64" s="447">
        <v>0</v>
      </c>
      <c r="AD64" s="447">
        <v>0</v>
      </c>
      <c r="AE64" s="447">
        <v>0</v>
      </c>
      <c r="AF64" s="448">
        <f t="shared" si="7"/>
        <v>10076.854162232697</v>
      </c>
      <c r="AG64" s="453">
        <f t="shared" si="8"/>
        <v>535.19065774488536</v>
      </c>
      <c r="AH64" s="454">
        <f t="shared" si="15"/>
        <v>11.621468491820849</v>
      </c>
      <c r="AI64" s="104">
        <f t="shared" si="9"/>
        <v>-6.8285315081791502</v>
      </c>
      <c r="AJ64" s="455">
        <v>0</v>
      </c>
      <c r="AK64" s="456" t="str">
        <f>IF(instatk="Mut","4-5s/3-5r",IF(Sealfate&gt;0,"4-5s/3-4r","4s/3r"))</f>
        <v>4s/3r</v>
      </c>
      <c r="AL64">
        <f>IF(AND(OR(allowrupt,NOT(D64)),OR(AND(poison,allowenv),NOT(F64)),$X$2-AG64&lt;50),MAX($AL$55:$AL63)+1,"")</f>
        <v>4</v>
      </c>
      <c r="AO64">
        <f t="shared" si="12"/>
        <v>9</v>
      </c>
      <c r="AP64" t="str">
        <f t="shared" si="10"/>
        <v>4s/4r</v>
      </c>
      <c r="AQ64" t="b">
        <v>1</v>
      </c>
    </row>
    <row r="65" spans="2:43">
      <c r="B65" t="s">
        <v>196</v>
      </c>
      <c r="C65" s="445">
        <v>1</v>
      </c>
      <c r="D65" s="64">
        <v>1</v>
      </c>
      <c r="E65" s="64">
        <v>0</v>
      </c>
      <c r="F65" s="197">
        <v>0</v>
      </c>
      <c r="G65" s="197">
        <v>0</v>
      </c>
      <c r="H65" s="446">
        <f t="shared" si="1"/>
        <v>2</v>
      </c>
      <c r="I65" s="447">
        <f>N$15+L$15</f>
        <v>6.8000000000000007</v>
      </c>
      <c r="J65" s="447">
        <f t="shared" si="2"/>
        <v>273.11020408163267</v>
      </c>
      <c r="K65" s="447">
        <f>SUMPRODUCT($E$17:$E$19,$N$16:$N$18)+SUMPRODUCT($E$29:$E$31,$L$16:$L$18)</f>
        <v>10</v>
      </c>
      <c r="L65" s="448">
        <f t="shared" si="3"/>
        <v>283.11020408163267</v>
      </c>
      <c r="M65" s="449">
        <f>SUMPRODUCT($C$17:$C$19,$N$16:$N$18)+SUMPRODUCT($C$29:$C$31,$L$16:$L$18)</f>
        <v>8</v>
      </c>
      <c r="N65" s="104">
        <f>SUMPRODUCT($D$17:$D$19,$N$16:$N$18)</f>
        <v>34.799999999999997</v>
      </c>
      <c r="O65" s="104">
        <f>SUMPRODUCT($D$29:$D$31,$L$16:$L$18)</f>
        <v>12</v>
      </c>
      <c r="P65" s="104">
        <v>0</v>
      </c>
      <c r="Q65" s="450">
        <f t="shared" si="11"/>
        <v>21.498750596248744</v>
      </c>
      <c r="R65" s="1310">
        <f>(N$15+1-$J$15)*$O$2+25</f>
        <v>225.81632653061223</v>
      </c>
      <c r="S65" s="1310">
        <f>(I65+1-$J$15)*$O$2+C65*$E$17+D65*$O$3</f>
        <v>322.2081632653061</v>
      </c>
      <c r="T65" s="1310">
        <v>0</v>
      </c>
      <c r="U65" s="451">
        <f t="shared" si="13"/>
        <v>1</v>
      </c>
      <c r="V65" s="451">
        <f t="shared" si="4"/>
        <v>0.55817197126301121</v>
      </c>
      <c r="W65" s="451">
        <v>0</v>
      </c>
      <c r="X65" s="452">
        <f t="shared" si="5"/>
        <v>1</v>
      </c>
      <c r="Y65" s="447">
        <f t="shared" si="6"/>
        <v>6501.6276332292282</v>
      </c>
      <c r="Z65" s="447">
        <f t="shared" si="14"/>
        <v>3817.7280413416511</v>
      </c>
      <c r="AA65" s="447">
        <f>SUMPRODUCT($F$29:$F$31,$L$16:$L$18)*MIN(Q65/O65,1)*X65</f>
        <v>1187.7952088999336</v>
      </c>
      <c r="AB65" s="447">
        <v>0</v>
      </c>
      <c r="AC65" s="447">
        <v>0</v>
      </c>
      <c r="AD65" s="447">
        <v>0</v>
      </c>
      <c r="AE65" s="447">
        <v>0</v>
      </c>
      <c r="AF65" s="448">
        <f t="shared" si="7"/>
        <v>11507.150883470813</v>
      </c>
      <c r="AG65" s="453">
        <f t="shared" si="8"/>
        <v>535.24742435398377</v>
      </c>
      <c r="AH65" s="454">
        <f t="shared" si="15"/>
        <v>13.301249403751253</v>
      </c>
      <c r="AI65" s="104">
        <f t="shared" si="9"/>
        <v>-9.498750596248744</v>
      </c>
      <c r="AJ65" s="455">
        <v>0</v>
      </c>
      <c r="AK65" s="456" t="str">
        <f>IF(instatk="Mut","5-5s/3-5r",IF(Sealfate&gt;0,"5-5s/3-4r","5s/3r"))</f>
        <v>5s/3r</v>
      </c>
      <c r="AL65">
        <f>IF(AND(OR(allowrupt,NOT(D65)),OR(AND(poison,allowenv),NOT(F65)),$X$2-AG65&lt;50),MAX($AL$55:$AL64)+1,"")</f>
        <v>5</v>
      </c>
      <c r="AO65">
        <f t="shared" si="12"/>
        <v>10</v>
      </c>
      <c r="AP65" t="str">
        <f t="shared" si="10"/>
        <v>5s/4r</v>
      </c>
      <c r="AQ65" t="b">
        <v>1</v>
      </c>
    </row>
    <row r="66" spans="2:43">
      <c r="B66" t="s">
        <v>199</v>
      </c>
      <c r="C66" s="445">
        <v>1</v>
      </c>
      <c r="D66" s="64">
        <v>1</v>
      </c>
      <c r="E66" s="64">
        <v>0</v>
      </c>
      <c r="F66" s="197">
        <v>0</v>
      </c>
      <c r="G66" s="197">
        <v>0</v>
      </c>
      <c r="H66" s="446">
        <f t="shared" si="1"/>
        <v>2</v>
      </c>
      <c r="I66" s="447">
        <f>J$15+M$15</f>
        <v>3.8</v>
      </c>
      <c r="J66" s="447">
        <f t="shared" si="2"/>
        <v>152.6204081632653</v>
      </c>
      <c r="K66" s="447">
        <f>SUMPRODUCT($E$13:$E$15,$J$16:$J$18)+SUMPRODUCT($E$30:$E$32,$M$16:$M$18)</f>
        <v>25</v>
      </c>
      <c r="L66" s="448">
        <f t="shared" si="3"/>
        <v>177.6204081632653</v>
      </c>
      <c r="M66" s="449">
        <f>SUMPRODUCT($C$13:$C$15,$J$16:$J$18)+SUMPRODUCT($C$30:$C$32,$M$16:$M$18)</f>
        <v>5</v>
      </c>
      <c r="N66" s="104">
        <f>SUMPRODUCT($D$13:$D$15,$J$16:$J$18)</f>
        <v>17.399999999999999</v>
      </c>
      <c r="O66" s="104">
        <f>SUMPRODUCT($D$30:$D$32,$M$16:$M$18)</f>
        <v>14</v>
      </c>
      <c r="P66" s="104">
        <v>0</v>
      </c>
      <c r="Q66" s="450">
        <f t="shared" ref="Q66:Q81" si="16">IF(N66&gt;L66/sndeps,L66/sndeps,N66+(L66/sndeps-N66)*sndeps/eps)</f>
        <v>13.488093332039972</v>
      </c>
      <c r="R66" s="1310">
        <f>(J$15+1-$J$15)*$O$2+C66*25</f>
        <v>65.16326530612244</v>
      </c>
      <c r="S66" s="1310">
        <f>(I66+1-$J$15)*$O$2+C66*$E$13+D66*$O$3</f>
        <v>221.71836734693878</v>
      </c>
      <c r="T66" s="1310">
        <v>0</v>
      </c>
      <c r="U66" s="451">
        <f t="shared" si="13"/>
        <v>1</v>
      </c>
      <c r="V66" s="451">
        <f t="shared" si="4"/>
        <v>1</v>
      </c>
      <c r="W66" s="451">
        <v>0</v>
      </c>
      <c r="X66" s="452">
        <f t="shared" si="5"/>
        <v>1</v>
      </c>
      <c r="Y66" s="447">
        <f t="shared" si="6"/>
        <v>3633.2625009222152</v>
      </c>
      <c r="Z66" s="447">
        <f t="shared" si="14"/>
        <v>2395.2030099343247</v>
      </c>
      <c r="AA66" s="447">
        <f>SUMPRODUCT($F$30:$F$32,$M$16:$M$18)*MIN(Q66/O66,1)*X66</f>
        <v>1409.2755664089048</v>
      </c>
      <c r="AB66" s="447">
        <v>0</v>
      </c>
      <c r="AC66" s="447">
        <v>0</v>
      </c>
      <c r="AD66" s="447">
        <v>0</v>
      </c>
      <c r="AE66" s="447">
        <v>0</v>
      </c>
      <c r="AF66" s="448">
        <f t="shared" si="7"/>
        <v>7437.7410772654448</v>
      </c>
      <c r="AG66" s="453">
        <f t="shared" si="8"/>
        <v>551.4301313142339</v>
      </c>
      <c r="AH66" s="454">
        <f t="shared" si="15"/>
        <v>3.911906667960027</v>
      </c>
      <c r="AI66" s="104">
        <f t="shared" si="9"/>
        <v>0.51190666796002837</v>
      </c>
      <c r="AJ66" s="455">
        <v>0</v>
      </c>
      <c r="AK66" s="456" t="str">
        <f>IF(instatk="Mut","1-3s/4-5r",IF(Sealfate&gt;0,"1-2s/4-5r","1s/4r"))</f>
        <v>1s/4r</v>
      </c>
      <c r="AL66">
        <f>IF(AND(OR(allowrupt,NOT(D66)),OR(AND(poison,allowenv),NOT(F66)),$X$2-AG66&lt;50),MAX($AL$55:$AL65)+1,"")</f>
        <v>6</v>
      </c>
      <c r="AO66">
        <f t="shared" si="12"/>
        <v>11</v>
      </c>
      <c r="AP66" t="str">
        <f t="shared" si="10"/>
        <v>1s/5r</v>
      </c>
      <c r="AQ66" t="b">
        <v>1</v>
      </c>
    </row>
    <row r="67" spans="2:43">
      <c r="B67" t="s">
        <v>200</v>
      </c>
      <c r="C67" s="445">
        <v>1</v>
      </c>
      <c r="D67" s="64">
        <v>1</v>
      </c>
      <c r="E67" s="64">
        <v>0</v>
      </c>
      <c r="F67" s="197">
        <v>0</v>
      </c>
      <c r="G67" s="197">
        <v>0</v>
      </c>
      <c r="H67" s="446">
        <f t="shared" si="1"/>
        <v>2</v>
      </c>
      <c r="I67" s="447">
        <f>K$15+M$15</f>
        <v>4.8</v>
      </c>
      <c r="J67" s="447">
        <f t="shared" si="2"/>
        <v>192.78367346938774</v>
      </c>
      <c r="K67" s="447">
        <f>SUMPRODUCT($E$14:$E$16,$K$16:$K$18)+SUMPRODUCT($E$30:$E$32,$M$16:$M$18)</f>
        <v>20</v>
      </c>
      <c r="L67" s="448">
        <f t="shared" si="3"/>
        <v>212.78367346938774</v>
      </c>
      <c r="M67" s="449">
        <f>SUMPRODUCT($C$14:$C$16,$K$16:$K$18)+SUMPRODUCT($C$30:$C$32,$M$16:$M$18)</f>
        <v>6</v>
      </c>
      <c r="N67" s="104">
        <f>SUMPRODUCT($D$14:$D$16,$K$16:$K$18)</f>
        <v>21.75</v>
      </c>
      <c r="O67" s="104">
        <f>SUMPRODUCT($D$30:$D$32,$M$16:$M$18)</f>
        <v>14</v>
      </c>
      <c r="P67" s="104">
        <v>0</v>
      </c>
      <c r="Q67" s="450">
        <f t="shared" si="16"/>
        <v>16.15831242010956</v>
      </c>
      <c r="R67" s="1310">
        <f>(K$15+1-$J$15)*$O$2+C67*25</f>
        <v>105.32653061224489</v>
      </c>
      <c r="S67" s="1310">
        <f>(I67+1-$J$15)*$O$2+C67*$E$14+D67*$O$3</f>
        <v>256.88163265306122</v>
      </c>
      <c r="T67" s="1310">
        <v>0</v>
      </c>
      <c r="U67" s="451">
        <f t="shared" si="13"/>
        <v>1</v>
      </c>
      <c r="V67" s="451">
        <f t="shared" si="4"/>
        <v>0.86642711416920815</v>
      </c>
      <c r="W67" s="451">
        <v>0</v>
      </c>
      <c r="X67" s="452">
        <f t="shared" si="5"/>
        <v>1</v>
      </c>
      <c r="Y67" s="447">
        <f t="shared" si="6"/>
        <v>4589.3842116912192</v>
      </c>
      <c r="Z67" s="447">
        <f t="shared" si="14"/>
        <v>2869.3780204034329</v>
      </c>
      <c r="AA67" s="447">
        <f>SUMPRODUCT($F$30:$F$32,$M$16:$M$18)*MIN(Q67/O67,1)*X67</f>
        <v>1462.7610770499225</v>
      </c>
      <c r="AB67" s="447">
        <v>0</v>
      </c>
      <c r="AC67" s="447">
        <v>0</v>
      </c>
      <c r="AD67" s="447">
        <v>0</v>
      </c>
      <c r="AE67" s="447">
        <v>0</v>
      </c>
      <c r="AF67" s="448">
        <f t="shared" si="7"/>
        <v>8921.5233091445753</v>
      </c>
      <c r="AG67" s="453">
        <f t="shared" si="8"/>
        <v>552.13212105253274</v>
      </c>
      <c r="AH67" s="454">
        <f t="shared" si="15"/>
        <v>5.59168757989044</v>
      </c>
      <c r="AI67" s="104">
        <f t="shared" si="9"/>
        <v>-2.15831242010956</v>
      </c>
      <c r="AJ67" s="455">
        <v>0</v>
      </c>
      <c r="AK67" s="456" t="str">
        <f>IF(instatk="Mut","2-4s/4-5r",IF(Sealfate&gt;0,"2-3s/4-5r","2s/4r"))</f>
        <v>2s/4r</v>
      </c>
      <c r="AL67">
        <f>IF(AND(OR(allowrupt,NOT(D67)),OR(AND(poison,allowenv),NOT(F67)),$X$2-AG67&lt;50),MAX($AL$55:$AL66)+1,"")</f>
        <v>7</v>
      </c>
      <c r="AO67">
        <f t="shared" si="12"/>
        <v>12</v>
      </c>
      <c r="AP67" t="str">
        <f t="shared" si="10"/>
        <v>2s/5r</v>
      </c>
      <c r="AQ67" t="b">
        <v>1</v>
      </c>
    </row>
    <row r="68" spans="2:43">
      <c r="B68" t="s">
        <v>201</v>
      </c>
      <c r="C68" s="445">
        <v>1</v>
      </c>
      <c r="D68" s="64">
        <v>1</v>
      </c>
      <c r="E68" s="64">
        <v>0</v>
      </c>
      <c r="F68" s="197">
        <v>0</v>
      </c>
      <c r="G68" s="197">
        <v>0</v>
      </c>
      <c r="H68" s="446">
        <f t="shared" si="1"/>
        <v>2</v>
      </c>
      <c r="I68" s="447">
        <f>L$15+M$15</f>
        <v>5.8</v>
      </c>
      <c r="J68" s="447">
        <f t="shared" si="2"/>
        <v>232.94693877551018</v>
      </c>
      <c r="K68" s="447">
        <f>SUMPRODUCT($E$15:$E$17,$L$16:$L$18)+SUMPRODUCT($E$30:$E$32,$M$16:$M$18)</f>
        <v>15</v>
      </c>
      <c r="L68" s="448">
        <f t="shared" si="3"/>
        <v>247.94693877551018</v>
      </c>
      <c r="M68" s="449">
        <f>SUMPRODUCT($C$15:$C$17,$L$16:$L$18)+SUMPRODUCT($C$30:$C$32,$M$16:$M$18)</f>
        <v>7</v>
      </c>
      <c r="N68" s="104">
        <f>SUMPRODUCT($D$15:$D$17,$L$16:$L$18)</f>
        <v>26.099999999999998</v>
      </c>
      <c r="O68" s="104">
        <f>SUMPRODUCT($D$30:$D$32,$M$16:$M$18)</f>
        <v>14</v>
      </c>
      <c r="P68" s="104">
        <v>0</v>
      </c>
      <c r="Q68" s="450">
        <f t="shared" si="16"/>
        <v>18.82853150817915</v>
      </c>
      <c r="R68" s="1310">
        <f>(L$15+1-$J$15)*$O$2+C68*25</f>
        <v>145.48979591836735</v>
      </c>
      <c r="S68" s="1310">
        <f>(I68+1-$J$15)*$O$2+C68*$E$15+D68*$O$3</f>
        <v>292.04489795918369</v>
      </c>
      <c r="T68" s="1310">
        <v>0</v>
      </c>
      <c r="U68" s="451">
        <f t="shared" si="13"/>
        <v>1</v>
      </c>
      <c r="V68" s="451">
        <f t="shared" si="4"/>
        <v>0.74355241107987491</v>
      </c>
      <c r="W68" s="451">
        <v>0</v>
      </c>
      <c r="X68" s="452">
        <f t="shared" si="5"/>
        <v>1</v>
      </c>
      <c r="Y68" s="447">
        <f t="shared" si="6"/>
        <v>5545.5059224602228</v>
      </c>
      <c r="Z68" s="447">
        <f t="shared" si="14"/>
        <v>3343.5530308725415</v>
      </c>
      <c r="AA68" s="447">
        <f>SUMPRODUCT($F$30:$F$32,$M$16:$M$18)*MIN(Q68/O68,1)*X68</f>
        <v>1462.7610770499225</v>
      </c>
      <c r="AB68" s="447">
        <v>0</v>
      </c>
      <c r="AC68" s="447">
        <v>0</v>
      </c>
      <c r="AD68" s="447">
        <v>0</v>
      </c>
      <c r="AE68" s="447">
        <v>0</v>
      </c>
      <c r="AF68" s="448">
        <f t="shared" si="7"/>
        <v>10351.820030382687</v>
      </c>
      <c r="AG68" s="453">
        <f t="shared" si="8"/>
        <v>549.79433876114217</v>
      </c>
      <c r="AH68" s="454">
        <f t="shared" si="15"/>
        <v>7.2714684918208476</v>
      </c>
      <c r="AI68" s="104">
        <f t="shared" si="9"/>
        <v>-4.8285315081791502</v>
      </c>
      <c r="AJ68" s="455">
        <v>0</v>
      </c>
      <c r="AK68" s="456" t="str">
        <f>IF(instatk="Mut","3-5s/4-5r",IF(Sealfate&gt;0,"3-4s/4-5r","3s/4r"))</f>
        <v>3s/4r</v>
      </c>
      <c r="AL68">
        <f>IF(AND(OR(allowrupt,NOT(D68)),OR(AND(poison,allowenv),NOT(F68)),$X$2-AG68&lt;50),MAX($AL$55:$AL67)+1,"")</f>
        <v>8</v>
      </c>
      <c r="AO68">
        <f t="shared" si="12"/>
        <v>13</v>
      </c>
      <c r="AP68" t="str">
        <f t="shared" si="10"/>
        <v>3s/5r</v>
      </c>
      <c r="AQ68" t="b">
        <v>1</v>
      </c>
    </row>
    <row r="69" spans="2:43">
      <c r="B69" t="s">
        <v>194</v>
      </c>
      <c r="C69" s="445">
        <v>1</v>
      </c>
      <c r="D69" s="64">
        <v>1</v>
      </c>
      <c r="E69" s="64">
        <v>0</v>
      </c>
      <c r="F69" s="197">
        <v>0</v>
      </c>
      <c r="G69" s="197">
        <v>0</v>
      </c>
      <c r="H69" s="446">
        <f t="shared" si="1"/>
        <v>2</v>
      </c>
      <c r="I69" s="447">
        <f>M$15+M$15</f>
        <v>6.8</v>
      </c>
      <c r="J69" s="447">
        <f t="shared" si="2"/>
        <v>273.11020408163262</v>
      </c>
      <c r="K69" s="447">
        <f>SUMPRODUCT($E$16:$E$18,$M$16:$M$18)+SUMPRODUCT($E$30:$E$32,$M$16:$M$18)</f>
        <v>10</v>
      </c>
      <c r="L69" s="448">
        <f t="shared" si="3"/>
        <v>283.11020408163262</v>
      </c>
      <c r="M69" s="449">
        <f>SUMPRODUCT($C$16:$C$18,$M$16:$M$18)+SUMPRODUCT($C$30:$C$32,$M$16:$M$18)</f>
        <v>8</v>
      </c>
      <c r="N69" s="104">
        <f>SUMPRODUCT($D$16:$D$18,$M$16:$M$18)</f>
        <v>30.45</v>
      </c>
      <c r="O69" s="104">
        <f>SUMPRODUCT($D$30:$D$32,$M$16:$M$18)</f>
        <v>14</v>
      </c>
      <c r="P69" s="104">
        <v>0</v>
      </c>
      <c r="Q69" s="450">
        <f>IF(N69&gt;L69/sndeps,L69/sndeps,N69+(L69/sndeps-N69)*sndeps/eps)</f>
        <v>21.49875059624874</v>
      </c>
      <c r="R69" s="1310">
        <f>(M$15+1-$J$15)*$O$2+C69*25</f>
        <v>185.65306122448979</v>
      </c>
      <c r="S69" s="1310">
        <f>(I69+1-$J$15)*$O$2+C69*$E$16+D69*$O$3</f>
        <v>327.2081632653061</v>
      </c>
      <c r="T69" s="1310">
        <v>0</v>
      </c>
      <c r="U69" s="451">
        <f t="shared" si="13"/>
        <v>1</v>
      </c>
      <c r="V69" s="451">
        <f t="shared" si="4"/>
        <v>0.65120063314017995</v>
      </c>
      <c r="W69" s="451">
        <v>0</v>
      </c>
      <c r="X69" s="452">
        <f t="shared" si="5"/>
        <v>1</v>
      </c>
      <c r="Y69" s="447">
        <f t="shared" si="6"/>
        <v>6501.6276332292264</v>
      </c>
      <c r="Z69" s="447">
        <f t="shared" si="14"/>
        <v>3817.7280413416506</v>
      </c>
      <c r="AA69" s="447">
        <f>SUMPRODUCT($F$30:$F$32,$M$16:$M$18)*MIN(Q69/O69,1)*X69</f>
        <v>1462.7610770499225</v>
      </c>
      <c r="AB69" s="447">
        <v>0</v>
      </c>
      <c r="AC69" s="447">
        <v>0</v>
      </c>
      <c r="AD69" s="447">
        <v>0</v>
      </c>
      <c r="AE69" s="447">
        <v>0</v>
      </c>
      <c r="AF69" s="448">
        <f t="shared" si="7"/>
        <v>11782.116751620801</v>
      </c>
      <c r="AG69" s="453">
        <f t="shared" si="8"/>
        <v>548.03727774192748</v>
      </c>
      <c r="AH69" s="454">
        <f t="shared" si="15"/>
        <v>8.9512494037512589</v>
      </c>
      <c r="AI69" s="104">
        <f t="shared" si="9"/>
        <v>-7.4987505962487404</v>
      </c>
      <c r="AJ69" s="455">
        <v>0</v>
      </c>
      <c r="AK69" s="456" t="str">
        <f>IF(instatk="Mut","4-5s/4-5r",IF(Sealfate&gt;0,"4-5s/4-5r","4s/4r"))</f>
        <v>4s/4r</v>
      </c>
      <c r="AL69">
        <f>IF(AND(OR(allowrupt,NOT(D69)),OR(AND(poison,allowenv),NOT(F69)),$X$2-AG69&lt;50),MAX($AL$55:$AL68)+1,"")</f>
        <v>9</v>
      </c>
      <c r="AO69">
        <f t="shared" si="12"/>
        <v>14</v>
      </c>
      <c r="AP69" t="str">
        <f t="shared" si="10"/>
        <v>4s/5r</v>
      </c>
      <c r="AQ69" t="b">
        <v>1</v>
      </c>
    </row>
    <row r="70" spans="2:43">
      <c r="B70" t="s">
        <v>2257</v>
      </c>
      <c r="C70" s="445">
        <v>1</v>
      </c>
      <c r="D70" s="64">
        <v>1</v>
      </c>
      <c r="E70" s="64">
        <v>0</v>
      </c>
      <c r="F70" s="197">
        <v>0</v>
      </c>
      <c r="G70" s="197">
        <v>0</v>
      </c>
      <c r="H70" s="446">
        <f t="shared" si="1"/>
        <v>2</v>
      </c>
      <c r="I70" s="447">
        <f>N$15+M$15</f>
        <v>7.8000000000000007</v>
      </c>
      <c r="J70" s="447">
        <f t="shared" si="2"/>
        <v>313.27346938775514</v>
      </c>
      <c r="K70" s="447">
        <f>SUMPRODUCT($E$17:$E$19,$N$16:$N$18)+SUMPRODUCT($E$30:$E$32,$M$16:$M$18)</f>
        <v>5</v>
      </c>
      <c r="L70" s="448">
        <f t="shared" si="3"/>
        <v>318.27346938775514</v>
      </c>
      <c r="M70" s="449">
        <f>SUMPRODUCT($C$17:$C$19,$N$16:$N$18)+SUMPRODUCT($C$30:$C$32,$M$16:$M$18)</f>
        <v>9</v>
      </c>
      <c r="N70" s="104">
        <f>SUMPRODUCT($D$17:$D$19,$N$16:$N$18)</f>
        <v>34.799999999999997</v>
      </c>
      <c r="O70" s="104">
        <f>SUMPRODUCT($D$30:$D$32,$M$16:$M$18)</f>
        <v>14</v>
      </c>
      <c r="P70" s="104">
        <v>0</v>
      </c>
      <c r="Q70" s="450">
        <f t="shared" si="16"/>
        <v>24.168969684318338</v>
      </c>
      <c r="R70" s="1310">
        <f>(N$15+1-$J$15)*$O$2+C70*25</f>
        <v>225.81632653061223</v>
      </c>
      <c r="S70" s="1310">
        <f>(I70+1-$J$15)*$O$2+C70*$E$17+D70*$O$3</f>
        <v>362.37142857142857</v>
      </c>
      <c r="T70" s="1310">
        <v>0</v>
      </c>
      <c r="U70" s="451">
        <f t="shared" si="13"/>
        <v>1</v>
      </c>
      <c r="V70" s="451">
        <f t="shared" si="4"/>
        <v>0.57925514338675688</v>
      </c>
      <c r="W70" s="451">
        <v>0</v>
      </c>
      <c r="X70" s="452">
        <f t="shared" si="5"/>
        <v>1</v>
      </c>
      <c r="Y70" s="447">
        <f t="shared" si="6"/>
        <v>7457.7493439982318</v>
      </c>
      <c r="Z70" s="447">
        <f t="shared" si="14"/>
        <v>4291.9030518107611</v>
      </c>
      <c r="AA70" s="447">
        <f>SUMPRODUCT($F$30:$F$32,$M$16:$M$18)*MIN(Q70/O70,1)*X70</f>
        <v>1462.7610770499225</v>
      </c>
      <c r="AB70" s="447">
        <v>0</v>
      </c>
      <c r="AC70" s="447">
        <v>0</v>
      </c>
      <c r="AD70" s="447">
        <v>0</v>
      </c>
      <c r="AE70" s="447">
        <v>0</v>
      </c>
      <c r="AF70" s="448">
        <f t="shared" si="7"/>
        <v>13212.413472858916</v>
      </c>
      <c r="AG70" s="453">
        <f t="shared" si="8"/>
        <v>546.66846147900071</v>
      </c>
      <c r="AH70" s="454">
        <f t="shared" si="15"/>
        <v>10.631030315681659</v>
      </c>
      <c r="AI70" s="104">
        <f t="shared" si="9"/>
        <v>-10.168969684318338</v>
      </c>
      <c r="AJ70" s="455">
        <v>0</v>
      </c>
      <c r="AK70" s="456" t="str">
        <f>IF(instatk="Mut","5-5s/4-5r",IF(Sealfate&gt;0,"5-5s/4-5r","5s/4r"))</f>
        <v>5s/4r</v>
      </c>
      <c r="AL70">
        <f>IF(AND(OR(allowrupt,NOT(D70)),OR(AND(poison,allowenv),NOT(F70)),$X$2-AG70&lt;50),MAX($AL$55:$AL69)+1,"")</f>
        <v>10</v>
      </c>
      <c r="AO70">
        <f t="shared" si="12"/>
        <v>15</v>
      </c>
      <c r="AP70" t="str">
        <f t="shared" si="10"/>
        <v>5s/5r</v>
      </c>
      <c r="AQ70" t="b">
        <v>1</v>
      </c>
    </row>
    <row r="71" spans="2:43">
      <c r="B71" t="s">
        <v>1908</v>
      </c>
      <c r="C71" s="445">
        <v>1</v>
      </c>
      <c r="D71" s="64">
        <v>1</v>
      </c>
      <c r="E71" s="64">
        <v>0</v>
      </c>
      <c r="F71" s="197">
        <v>0</v>
      </c>
      <c r="G71" s="197">
        <v>0</v>
      </c>
      <c r="H71" s="446">
        <f t="shared" si="1"/>
        <v>2</v>
      </c>
      <c r="I71" s="447">
        <f>J$15+N$15</f>
        <v>4.8000000000000007</v>
      </c>
      <c r="J71" s="447">
        <f t="shared" si="2"/>
        <v>192.78367346938776</v>
      </c>
      <c r="K71" s="447">
        <f>SUMPRODUCT($E$13:$E$15,$J$16:$J$18)+SUMPRODUCT($E$31:$E$33,$N$16:$N$18)</f>
        <v>20</v>
      </c>
      <c r="L71" s="448">
        <f t="shared" si="3"/>
        <v>212.78367346938776</v>
      </c>
      <c r="M71" s="449">
        <f>SUMPRODUCT($C$13:$C$15,$J$16:$J$18)+SUMPRODUCT($C$31:$C$33,$N$16:$N$18)</f>
        <v>6</v>
      </c>
      <c r="N71" s="104">
        <f>SUMPRODUCT($D$13:$D$15,$J$16:$J$18)</f>
        <v>17.399999999999999</v>
      </c>
      <c r="O71" s="104">
        <f>SUMPRODUCT($D$31:$D$33,$N$16:$N$18)</f>
        <v>16</v>
      </c>
      <c r="P71" s="104">
        <v>0</v>
      </c>
      <c r="Q71" s="450">
        <f t="shared" si="16"/>
        <v>16.158312420109564</v>
      </c>
      <c r="R71" s="1310">
        <f>(J$15+1-$J$15)*$O$2+C71*25</f>
        <v>65.16326530612244</v>
      </c>
      <c r="S71" s="1310">
        <f>(I71+1-$J$15)*$O$2+C71*$E$13+D71*$O$3</f>
        <v>261.88163265306122</v>
      </c>
      <c r="T71" s="1310">
        <v>0</v>
      </c>
      <c r="U71" s="451">
        <f t="shared" si="13"/>
        <v>1</v>
      </c>
      <c r="V71" s="451">
        <f t="shared" si="4"/>
        <v>0.99020241619338056</v>
      </c>
      <c r="W71" s="451">
        <v>0</v>
      </c>
      <c r="X71" s="452">
        <f t="shared" si="5"/>
        <v>1</v>
      </c>
      <c r="Y71" s="447">
        <f t="shared" si="6"/>
        <v>4589.3842116912201</v>
      </c>
      <c r="Z71" s="447">
        <f t="shared" si="14"/>
        <v>2869.3780204034333</v>
      </c>
      <c r="AA71" s="447">
        <f>SUMPRODUCT($F$31:$F$33,$N$16:$N$18)*MIN(Q71/O71,1)*X71</f>
        <v>1759.7269451999114</v>
      </c>
      <c r="AB71" s="447">
        <v>0</v>
      </c>
      <c r="AC71" s="447">
        <v>0</v>
      </c>
      <c r="AD71" s="447">
        <v>0</v>
      </c>
      <c r="AE71" s="447">
        <v>0</v>
      </c>
      <c r="AF71" s="448">
        <f t="shared" si="7"/>
        <v>9218.4891772945648</v>
      </c>
      <c r="AG71" s="453">
        <f t="shared" si="8"/>
        <v>570.51064106310048</v>
      </c>
      <c r="AH71" s="454">
        <f t="shared" si="15"/>
        <v>1.241687579890435</v>
      </c>
      <c r="AI71" s="104">
        <f t="shared" si="9"/>
        <v>-0.15831242010956359</v>
      </c>
      <c r="AJ71" s="455">
        <v>0</v>
      </c>
      <c r="AK71" s="456" t="str">
        <f>IF(instatk="Mut","1-3s/5-5r",IF(Sealfate&gt;0,"1-2s/5-5r","1s/5r"))</f>
        <v>1s/5r</v>
      </c>
      <c r="AL71">
        <f>IF(AND(OR(allowrupt,NOT(D71)),OR(AND(poison,allowenv),NOT(F71)),$X$2-AG71&lt;50),MAX($AL$55:$AL70)+1,"")</f>
        <v>11</v>
      </c>
      <c r="AO71">
        <f t="shared" si="12"/>
        <v>16</v>
      </c>
      <c r="AP71" t="str">
        <f t="shared" si="10"/>
        <v>1s/4s/4r</v>
      </c>
      <c r="AQ71" t="b">
        <v>1</v>
      </c>
    </row>
    <row r="72" spans="2:43">
      <c r="B72" t="s">
        <v>1909</v>
      </c>
      <c r="C72" s="445">
        <v>1</v>
      </c>
      <c r="D72" s="64">
        <v>1</v>
      </c>
      <c r="E72" s="64">
        <v>0</v>
      </c>
      <c r="F72" s="197">
        <v>0</v>
      </c>
      <c r="G72" s="197">
        <v>0</v>
      </c>
      <c r="H72" s="446">
        <f t="shared" si="1"/>
        <v>2</v>
      </c>
      <c r="I72" s="447">
        <f>K$15+N$15</f>
        <v>5.8000000000000007</v>
      </c>
      <c r="J72" s="447">
        <f t="shared" si="2"/>
        <v>232.94693877551023</v>
      </c>
      <c r="K72" s="447">
        <f>SUMPRODUCT($E$14:$E$16,$K$16:$K$18)+SUMPRODUCT($E$31:$E$33,$N$16:$N$18)</f>
        <v>15</v>
      </c>
      <c r="L72" s="448">
        <f t="shared" si="3"/>
        <v>247.94693877551023</v>
      </c>
      <c r="M72" s="449">
        <f>SUMPRODUCT($C$14:$C$16,$K$16:$K$18)+SUMPRODUCT($C$31:$C$33,$N$16:$N$18)</f>
        <v>7</v>
      </c>
      <c r="N72" s="104">
        <f>SUMPRODUCT($D$14:$D$16,$K$16:$K$18)</f>
        <v>21.75</v>
      </c>
      <c r="O72" s="104">
        <f>SUMPRODUCT($D$31:$D$33,$N$16:$N$18)</f>
        <v>16</v>
      </c>
      <c r="P72" s="104">
        <v>0</v>
      </c>
      <c r="Q72" s="450">
        <f t="shared" si="16"/>
        <v>18.828531508179157</v>
      </c>
      <c r="R72" s="1310">
        <f>(K$15+1-$J$15)*$O$2+C72*25</f>
        <v>105.32653061224489</v>
      </c>
      <c r="S72" s="1310">
        <f>(I72+1-$J$15)*$O$2+C72*$E$14+D72*$O$3</f>
        <v>297.04489795918369</v>
      </c>
      <c r="T72" s="1310">
        <v>0</v>
      </c>
      <c r="U72" s="451">
        <f t="shared" si="13"/>
        <v>1</v>
      </c>
      <c r="V72" s="451">
        <f t="shared" si="4"/>
        <v>0.84977418409128525</v>
      </c>
      <c r="W72" s="451">
        <v>0</v>
      </c>
      <c r="X72" s="452">
        <f t="shared" si="5"/>
        <v>1</v>
      </c>
      <c r="Y72" s="447">
        <f t="shared" si="6"/>
        <v>5545.5059224602237</v>
      </c>
      <c r="Z72" s="447">
        <f t="shared" si="14"/>
        <v>3343.5530308725429</v>
      </c>
      <c r="AA72" s="447">
        <f>SUMPRODUCT($F$31:$F$33,$N$16:$N$18)*MIN(Q72/O72,1)*X72</f>
        <v>1759.7269451999114</v>
      </c>
      <c r="AB72" s="447">
        <v>0</v>
      </c>
      <c r="AC72" s="447">
        <v>0</v>
      </c>
      <c r="AD72" s="447">
        <v>0</v>
      </c>
      <c r="AE72" s="447">
        <v>0</v>
      </c>
      <c r="AF72" s="448">
        <f t="shared" si="7"/>
        <v>10648.785898532677</v>
      </c>
      <c r="AG72" s="453">
        <f t="shared" si="8"/>
        <v>565.56645928052433</v>
      </c>
      <c r="AH72" s="454">
        <f t="shared" si="15"/>
        <v>2.9214684918208427</v>
      </c>
      <c r="AI72" s="104">
        <f t="shared" si="9"/>
        <v>-2.8285315081791573</v>
      </c>
      <c r="AJ72" s="455">
        <v>0</v>
      </c>
      <c r="AK72" s="456" t="str">
        <f>IF(instatk="Mut","2-4s/5-5r",IF(Sealfate&gt;0,"2-3s/5-5r","2s/5r"))</f>
        <v>2s/5r</v>
      </c>
      <c r="AL72">
        <f>IF(AND(OR(allowrupt,NOT(D72)),OR(AND(poison,allowenv),NOT(F72)),$X$2-AG72&lt;50),MAX($AL$55:$AL71)+1,"")</f>
        <v>12</v>
      </c>
      <c r="AO72">
        <f t="shared" si="12"/>
        <v>17</v>
      </c>
      <c r="AP72" t="str">
        <f t="shared" si="10"/>
        <v>2s/4s/4r</v>
      </c>
      <c r="AQ72" t="b">
        <v>1</v>
      </c>
    </row>
    <row r="73" spans="2:43">
      <c r="B73" t="s">
        <v>117</v>
      </c>
      <c r="C73" s="445">
        <v>1</v>
      </c>
      <c r="D73" s="64">
        <v>1</v>
      </c>
      <c r="E73" s="64">
        <v>0</v>
      </c>
      <c r="F73" s="197">
        <v>0</v>
      </c>
      <c r="G73" s="197">
        <v>0</v>
      </c>
      <c r="H73" s="446">
        <f t="shared" si="1"/>
        <v>2</v>
      </c>
      <c r="I73" s="447">
        <f>L$15+N$15</f>
        <v>6.8000000000000007</v>
      </c>
      <c r="J73" s="447">
        <f t="shared" si="2"/>
        <v>273.11020408163267</v>
      </c>
      <c r="K73" s="447">
        <f>SUMPRODUCT($E$15:$E$17,$L$16:$L$18)+SUMPRODUCT($E$31:$E$33,$N$16:$N$18)</f>
        <v>10</v>
      </c>
      <c r="L73" s="448">
        <f t="shared" si="3"/>
        <v>283.11020408163267</v>
      </c>
      <c r="M73" s="449">
        <f>SUMPRODUCT($C$15:$C$17,$L$16:$L$18)+SUMPRODUCT($C$31:$C$33,$N$16:$N$18)</f>
        <v>8</v>
      </c>
      <c r="N73" s="104">
        <f>SUMPRODUCT($D$15:$D$17,$L$16:$L$18)</f>
        <v>26.099999999999998</v>
      </c>
      <c r="O73" s="104">
        <f>SUMPRODUCT($D$31:$D$33,$N$16:$N$18)</f>
        <v>16</v>
      </c>
      <c r="P73" s="104">
        <v>0</v>
      </c>
      <c r="Q73" s="450">
        <f t="shared" si="16"/>
        <v>21.498750596248744</v>
      </c>
      <c r="R73" s="1310">
        <f>(L$15+1-$J$15)*$O$2+C73*25</f>
        <v>145.48979591836735</v>
      </c>
      <c r="S73" s="1310">
        <f>(I73+1-$J$15)*$O$2+C73*$E$15+D73*$O$3</f>
        <v>332.2081632653061</v>
      </c>
      <c r="T73" s="1310">
        <v>0</v>
      </c>
      <c r="U73" s="451">
        <f t="shared" si="13"/>
        <v>1</v>
      </c>
      <c r="V73" s="451">
        <f t="shared" si="4"/>
        <v>0.74422929501734836</v>
      </c>
      <c r="W73" s="451">
        <v>0</v>
      </c>
      <c r="X73" s="452">
        <f t="shared" si="5"/>
        <v>1</v>
      </c>
      <c r="Y73" s="447">
        <f t="shared" si="6"/>
        <v>6501.6276332292282</v>
      </c>
      <c r="Z73" s="447">
        <f t="shared" si="14"/>
        <v>3817.7280413416511</v>
      </c>
      <c r="AA73" s="447">
        <f>SUMPRODUCT($F$31:$F$33,$N$16:$N$18)*MIN(Q73/O73,1)*X73</f>
        <v>1759.7269451999114</v>
      </c>
      <c r="AB73" s="447">
        <v>0</v>
      </c>
      <c r="AC73" s="447">
        <v>0</v>
      </c>
      <c r="AD73" s="447">
        <v>0</v>
      </c>
      <c r="AE73" s="447">
        <v>0</v>
      </c>
      <c r="AF73" s="448">
        <f t="shared" si="7"/>
        <v>12079.08261977079</v>
      </c>
      <c r="AG73" s="453">
        <f t="shared" si="8"/>
        <v>561.85044641052002</v>
      </c>
      <c r="AH73" s="454">
        <f t="shared" si="15"/>
        <v>4.6012494037512539</v>
      </c>
      <c r="AI73" s="104">
        <f t="shared" si="9"/>
        <v>-5.498750596248744</v>
      </c>
      <c r="AJ73" s="455">
        <v>0</v>
      </c>
      <c r="AK73" s="456" t="str">
        <f>IF(instatk="Mut","3-5s/5-5r",IF(Sealfate&gt;0,"3-4s/5-5r","3s/5r"))</f>
        <v>3s/5r</v>
      </c>
      <c r="AL73">
        <f>IF(AND(OR(allowrupt,NOT(D73)),OR(AND(poison,allowenv),NOT(F73)),$X$2-AG73&lt;50),MAX($AL$55:$AL72)+1,"")</f>
        <v>13</v>
      </c>
      <c r="AO73">
        <f t="shared" si="12"/>
        <v>18</v>
      </c>
      <c r="AP73" t="str">
        <f t="shared" si="10"/>
        <v>1s/4s/5r</v>
      </c>
      <c r="AQ73" t="b">
        <v>1</v>
      </c>
    </row>
    <row r="74" spans="2:43">
      <c r="B74" t="s">
        <v>118</v>
      </c>
      <c r="C74" s="445">
        <v>1</v>
      </c>
      <c r="D74" s="64">
        <v>1</v>
      </c>
      <c r="E74" s="64">
        <v>0</v>
      </c>
      <c r="F74" s="197">
        <v>0</v>
      </c>
      <c r="G74" s="197">
        <v>0</v>
      </c>
      <c r="H74" s="446">
        <f t="shared" si="1"/>
        <v>2</v>
      </c>
      <c r="I74" s="447">
        <f>M$15+N$15</f>
        <v>7.8000000000000007</v>
      </c>
      <c r="J74" s="447">
        <f t="shared" si="2"/>
        <v>313.27346938775514</v>
      </c>
      <c r="K74" s="447">
        <f>SUMPRODUCT($E$16:$E$18,$M$16:$M$18)+SUMPRODUCT($E$31:$E$33,$N$16:$N$18)</f>
        <v>5</v>
      </c>
      <c r="L74" s="448">
        <f t="shared" si="3"/>
        <v>318.27346938775514</v>
      </c>
      <c r="M74" s="449">
        <f>SUMPRODUCT($C$16:$C$18,$M$16:$M$18)+SUMPRODUCT($C$31:$C$33,$N$16:$N$18)</f>
        <v>9</v>
      </c>
      <c r="N74" s="104">
        <f>SUMPRODUCT($D$16:$D$18,$M$16:$M$18)</f>
        <v>30.45</v>
      </c>
      <c r="O74" s="104">
        <f>SUMPRODUCT($D$31:$D$33,$N$16:$N$18)</f>
        <v>16</v>
      </c>
      <c r="P74" s="104">
        <v>0</v>
      </c>
      <c r="Q74" s="450">
        <f t="shared" si="16"/>
        <v>24.168969684318338</v>
      </c>
      <c r="R74" s="1310">
        <f>(M$15+1-$J$15)*$O$2+C74*25</f>
        <v>185.65306122448979</v>
      </c>
      <c r="S74" s="1310">
        <f>(I74+1-$J$15)*$O$2+C74*$E$16+D74*$O$3</f>
        <v>367.37142857142857</v>
      </c>
      <c r="T74" s="1310">
        <v>0</v>
      </c>
      <c r="U74" s="451">
        <f t="shared" si="13"/>
        <v>1</v>
      </c>
      <c r="V74" s="451">
        <f t="shared" si="4"/>
        <v>0.66200587815629364</v>
      </c>
      <c r="W74" s="451">
        <v>0</v>
      </c>
      <c r="X74" s="452">
        <f t="shared" si="5"/>
        <v>1</v>
      </c>
      <c r="Y74" s="447">
        <f t="shared" si="6"/>
        <v>7457.7493439982318</v>
      </c>
      <c r="Z74" s="447">
        <f t="shared" si="14"/>
        <v>4291.9030518107611</v>
      </c>
      <c r="AA74" s="447">
        <f>SUMPRODUCT($F$31:$F$33,$N$16:$N$18)*MIN(Q74/O74,1)*X74</f>
        <v>1759.7269451999114</v>
      </c>
      <c r="AB74" s="447">
        <v>0</v>
      </c>
      <c r="AC74" s="447">
        <v>0</v>
      </c>
      <c r="AD74" s="447">
        <v>0</v>
      </c>
      <c r="AE74" s="447">
        <v>0</v>
      </c>
      <c r="AF74" s="448">
        <f t="shared" si="7"/>
        <v>13509.379341008904</v>
      </c>
      <c r="AG74" s="453">
        <f t="shared" si="8"/>
        <v>558.95553337444312</v>
      </c>
      <c r="AH74" s="454">
        <f t="shared" si="15"/>
        <v>6.2810303156816616</v>
      </c>
      <c r="AI74" s="104">
        <f t="shared" si="9"/>
        <v>-8.1689696843183377</v>
      </c>
      <c r="AJ74" s="455">
        <v>0</v>
      </c>
      <c r="AK74" s="456" t="str">
        <f>IF(instatk="Mut","4-5s/5-5r",IF(Sealfate&gt;0,"4-5s/5-5r","4s/5r"))</f>
        <v>4s/5r</v>
      </c>
      <c r="AL74">
        <f>IF(AND(OR(allowrupt,NOT(D74)),OR(AND(poison,allowenv),NOT(F74)),$X$2-AG74&lt;50),MAX($AL$55:$AL73)+1,"")</f>
        <v>14</v>
      </c>
      <c r="AO74">
        <f t="shared" si="12"/>
        <v>19</v>
      </c>
      <c r="AP74" t="str">
        <f t="shared" si="10"/>
        <v>2s/4s/5r</v>
      </c>
      <c r="AQ74" t="b">
        <v>1</v>
      </c>
    </row>
    <row r="75" spans="2:43" ht="12.75" customHeight="1">
      <c r="B75" t="s">
        <v>119</v>
      </c>
      <c r="C75" s="445">
        <v>1</v>
      </c>
      <c r="D75" s="64">
        <v>1</v>
      </c>
      <c r="E75" s="64">
        <v>0</v>
      </c>
      <c r="F75" s="197">
        <v>0</v>
      </c>
      <c r="G75" s="197">
        <v>0</v>
      </c>
      <c r="H75" s="446">
        <f t="shared" si="1"/>
        <v>2</v>
      </c>
      <c r="I75" s="447">
        <f>N$15+N$15</f>
        <v>8.8000000000000007</v>
      </c>
      <c r="J75" s="447">
        <f t="shared" si="2"/>
        <v>353.43673469387755</v>
      </c>
      <c r="K75" s="447">
        <f>SUMPRODUCT($E$17:$E$19,$N$16:$N$18)+SUMPRODUCT($E$31:$E$33,$N$16:$N$18)</f>
        <v>0</v>
      </c>
      <c r="L75" s="448">
        <f t="shared" si="3"/>
        <v>353.43673469387755</v>
      </c>
      <c r="M75" s="449">
        <f>SUMPRODUCT($C$17:$C$19,$N$16:$N$18)+SUMPRODUCT($C$31:$C$33,$N$16:$N$18)</f>
        <v>10</v>
      </c>
      <c r="N75" s="104">
        <f>SUMPRODUCT($D$17:$D$19,$N$16:$N$18)</f>
        <v>34.799999999999997</v>
      </c>
      <c r="O75" s="104">
        <f>SUMPRODUCT($D$31:$D$33,$N$16:$N$18)</f>
        <v>16</v>
      </c>
      <c r="P75" s="104">
        <v>0</v>
      </c>
      <c r="Q75" s="450">
        <f t="shared" si="16"/>
        <v>26.839188772387924</v>
      </c>
      <c r="R75" s="1310">
        <f>(N$15+1-$J$15)*$O$2+C75*25</f>
        <v>225.81632653061223</v>
      </c>
      <c r="S75" s="1310">
        <f>(I75+1-$J$15)*$O$2+C75*$E$17+D75*$O$3</f>
        <v>402.53469387755104</v>
      </c>
      <c r="T75" s="1310">
        <v>0</v>
      </c>
      <c r="U75" s="451">
        <f t="shared" si="13"/>
        <v>1</v>
      </c>
      <c r="V75" s="451">
        <f t="shared" si="4"/>
        <v>0.5961432044645385</v>
      </c>
      <c r="W75" s="451">
        <v>0</v>
      </c>
      <c r="X75" s="452">
        <f t="shared" si="5"/>
        <v>1</v>
      </c>
      <c r="Y75" s="447">
        <f t="shared" si="6"/>
        <v>8413.8710547672363</v>
      </c>
      <c r="Z75" s="447">
        <f t="shared" si="14"/>
        <v>4766.0780622798693</v>
      </c>
      <c r="AA75" s="447">
        <f>SUMPRODUCT($F$31:$F$33,$N$16:$N$18)*MIN(Q75/O75,1)*X75</f>
        <v>1759.7269451999114</v>
      </c>
      <c r="AB75" s="447">
        <v>0</v>
      </c>
      <c r="AC75" s="447">
        <v>0</v>
      </c>
      <c r="AD75" s="447">
        <v>0</v>
      </c>
      <c r="AE75" s="447">
        <v>0</v>
      </c>
      <c r="AF75" s="448">
        <f t="shared" si="7"/>
        <v>14939.676062247016</v>
      </c>
      <c r="AG75" s="453">
        <f t="shared" si="8"/>
        <v>556.63664758813081</v>
      </c>
      <c r="AH75" s="454">
        <f t="shared" si="15"/>
        <v>7.9608112276120728</v>
      </c>
      <c r="AI75" s="104">
        <f t="shared" si="9"/>
        <v>-10.839188772387924</v>
      </c>
      <c r="AJ75" s="455">
        <v>0</v>
      </c>
      <c r="AK75" s="456" t="str">
        <f>IF(instatk="Mut","5-5s/5-5r",IF(Sealfate&gt;0,"5-5s/5-5r","5s/5r"))</f>
        <v>5s/5r</v>
      </c>
      <c r="AL75">
        <f>IF(AND(OR(allowrupt,NOT(D75)),OR(AND(poison,allowenv),NOT(F75)),$X$2-AG75&lt;50),MAX($AL$55:$AL74)+1,"")</f>
        <v>15</v>
      </c>
      <c r="AO75">
        <f t="shared" si="12"/>
        <v>20</v>
      </c>
      <c r="AP75" t="str">
        <f t="shared" si="10"/>
        <v>1s/5s/4r</v>
      </c>
      <c r="AQ75" t="b">
        <v>1</v>
      </c>
    </row>
    <row r="76" spans="2:43" ht="12.75" customHeight="1">
      <c r="B76" t="s">
        <v>355</v>
      </c>
      <c r="C76" s="445">
        <v>2</v>
      </c>
      <c r="D76">
        <v>1</v>
      </c>
      <c r="E76" s="64">
        <v>0</v>
      </c>
      <c r="F76" s="197">
        <v>0</v>
      </c>
      <c r="G76" s="197">
        <v>0</v>
      </c>
      <c r="H76" s="446">
        <f t="shared" si="1"/>
        <v>3</v>
      </c>
      <c r="I76" s="447">
        <f>J$15+M$15+L$15</f>
        <v>6.1999999999999993</v>
      </c>
      <c r="J76" s="447">
        <f t="shared" si="2"/>
        <v>249.01224489795914</v>
      </c>
      <c r="K76" s="94">
        <f>SUMPRODUCT($E$13:$E$15,$J$16:$J$18)+SUMPRODUCT($E$16:$E$18,$M$16:$M$18)+SUMPRODUCT($E$29:$E$31,$L$16:$L$18)</f>
        <v>35</v>
      </c>
      <c r="L76" s="448">
        <f t="shared" si="3"/>
        <v>284.01224489795914</v>
      </c>
      <c r="M76" s="457">
        <f>SUMPRODUCT($C$13:$C$15,$J$16:$J$18)+SUMPRODUCT($C$16:$C$18,$M$16:$M$18)+SUMPRODUCT($C$29:$C$31,$L$16:$L$18)</f>
        <v>8</v>
      </c>
      <c r="N76" s="104">
        <f>SUMPRODUCT($D$13:$D$15,$J$16:$J$18)+SUMPRODUCT($D$16:$D$18,$M$16:$M$18)</f>
        <v>47.849999999999994</v>
      </c>
      <c r="O76" s="104">
        <f>SUMPRODUCT($D$29:$D$31,$L$16:$L$18)</f>
        <v>12</v>
      </c>
      <c r="P76" s="104">
        <v>0</v>
      </c>
      <c r="Q76" s="450">
        <f t="shared" si="16"/>
        <v>21.56724954209475</v>
      </c>
      <c r="R76" s="1310">
        <f>(J$15+1-$J$15)*$O$2+25</f>
        <v>65.16326530612244</v>
      </c>
      <c r="S76" s="1310">
        <f>(I76+1-$J$15)*$O$2+$E$13+$E$16+D76*$O$3</f>
        <v>323.11020408163262</v>
      </c>
      <c r="T76" s="1310">
        <v>0</v>
      </c>
      <c r="U76" s="451">
        <f t="shared" si="13"/>
        <v>1</v>
      </c>
      <c r="V76" s="451">
        <f t="shared" si="4"/>
        <v>0.5563991818510986</v>
      </c>
      <c r="W76" s="451">
        <v>0</v>
      </c>
      <c r="X76" s="452">
        <f t="shared" si="5"/>
        <v>1</v>
      </c>
      <c r="Y76" s="447">
        <f t="shared" si="6"/>
        <v>5927.9546067678239</v>
      </c>
      <c r="Z76" s="447">
        <f t="shared" si="14"/>
        <v>3829.8920201360402</v>
      </c>
      <c r="AA76" s="447">
        <f>SUMPRODUCT($F$29:$F$31,$L$16:$L$18)*MIN(Q76/O76,1)*X76</f>
        <v>1187.7952088999336</v>
      </c>
      <c r="AB76" s="447">
        <v>0</v>
      </c>
      <c r="AC76" s="447">
        <v>0</v>
      </c>
      <c r="AD76" s="447">
        <v>0</v>
      </c>
      <c r="AE76" s="447">
        <v>0</v>
      </c>
      <c r="AF76" s="448">
        <f t="shared" si="7"/>
        <v>10945.641835803797</v>
      </c>
      <c r="AG76" s="453">
        <f t="shared" si="8"/>
        <v>507.51218018969917</v>
      </c>
      <c r="AH76" s="454">
        <f t="shared" si="15"/>
        <v>26.282750457905244</v>
      </c>
      <c r="AI76" s="104">
        <f t="shared" si="9"/>
        <v>-9.5672495420947499</v>
      </c>
      <c r="AJ76" s="455">
        <v>0</v>
      </c>
      <c r="AK76" s="456" t="str">
        <f>IF(instatk="Mut","1-3s/4-5s/3-5r",IF(Sealfate&gt;0,"1-2s/4-5s/3-4r","1s/4s/3r"))</f>
        <v>1s/4s/3r</v>
      </c>
      <c r="AL76" t="str">
        <f>IF(AND(OR(allowrupt,NOT(D76)),OR(AND(poison,allowenv),NOT(F76)),$X$2-AG76&lt;50),MAX($AL$55:$AL75)+1,"")</f>
        <v/>
      </c>
      <c r="AO76">
        <f t="shared" si="12"/>
        <v>21</v>
      </c>
      <c r="AP76" t="str">
        <f t="shared" si="10"/>
        <v>2s/5s/4r</v>
      </c>
      <c r="AQ76" t="b">
        <v>1</v>
      </c>
    </row>
    <row r="77" spans="2:43" ht="12.75" customHeight="1">
      <c r="B77" t="s">
        <v>356</v>
      </c>
      <c r="C77" s="445">
        <v>2</v>
      </c>
      <c r="D77">
        <v>1</v>
      </c>
      <c r="E77" s="64">
        <v>0</v>
      </c>
      <c r="F77" s="197">
        <v>0</v>
      </c>
      <c r="G77" s="197">
        <v>0</v>
      </c>
      <c r="H77" s="446">
        <f t="shared" si="1"/>
        <v>3</v>
      </c>
      <c r="I77" s="447">
        <f>K$15+M$15+L$15</f>
        <v>7.1999999999999993</v>
      </c>
      <c r="J77" s="447">
        <f t="shared" si="2"/>
        <v>289.1755102040816</v>
      </c>
      <c r="K77" s="94">
        <f>SUMPRODUCT($E$14:$E$16,$K$16:$K$18)+SUMPRODUCT($E$16:$E$18,$M$16:$M$18)+SUMPRODUCT($E$29:$E$31,$L$16:$L$18)</f>
        <v>30</v>
      </c>
      <c r="L77" s="448">
        <f t="shared" si="3"/>
        <v>319.1755102040816</v>
      </c>
      <c r="M77" s="457">
        <f>SUMPRODUCT($C$14:$C$16,$K$16:$K$18)+SUMPRODUCT($C$16:$C$18,$M$16:$M$18)+SUMPRODUCT($C$29:$C$31,$L$16:$L$18)</f>
        <v>9</v>
      </c>
      <c r="N77" s="104">
        <f>SUMPRODUCT($D$14:$D$16,$K$16:$K$18)+SUMPRODUCT($D$16:$D$18,$M$16:$M$18)</f>
        <v>52.2</v>
      </c>
      <c r="O77" s="104">
        <f>SUMPRODUCT($D$29:$D$31,$L$16:$L$18)</f>
        <v>12</v>
      </c>
      <c r="P77" s="104">
        <v>0</v>
      </c>
      <c r="Q77" s="450">
        <f t="shared" si="16"/>
        <v>24.237468630164344</v>
      </c>
      <c r="R77" s="1310">
        <f>(K$15+1-$J$15)*$O$2+25</f>
        <v>105.32653061224489</v>
      </c>
      <c r="S77" s="1310">
        <f>(I77+1-$J$15)*$O$2+$E$14+$E$16+D77*$O$3</f>
        <v>358.27346938775503</v>
      </c>
      <c r="T77" s="1310">
        <v>0</v>
      </c>
      <c r="U77" s="451">
        <f t="shared" si="13"/>
        <v>1</v>
      </c>
      <c r="V77" s="451">
        <f t="shared" si="4"/>
        <v>0.49510120809669028</v>
      </c>
      <c r="W77" s="451">
        <v>0</v>
      </c>
      <c r="X77" s="452">
        <f t="shared" si="5"/>
        <v>1</v>
      </c>
      <c r="Y77" s="447">
        <f t="shared" si="6"/>
        <v>6884.0763175368284</v>
      </c>
      <c r="Z77" s="447">
        <f t="shared" si="14"/>
        <v>4304.0670306051506</v>
      </c>
      <c r="AA77" s="447">
        <f>SUMPRODUCT($F$29:$F$31,$L$16:$L$18)*MIN(Q77/O77,1)*X77</f>
        <v>1187.7952088999336</v>
      </c>
      <c r="AB77" s="447">
        <v>0</v>
      </c>
      <c r="AC77" s="447">
        <v>0</v>
      </c>
      <c r="AD77" s="447">
        <v>0</v>
      </c>
      <c r="AE77" s="447">
        <v>0</v>
      </c>
      <c r="AF77" s="448">
        <f t="shared" si="7"/>
        <v>12375.938557041913</v>
      </c>
      <c r="AG77" s="453">
        <f t="shared" si="8"/>
        <v>510.61184424348841</v>
      </c>
      <c r="AH77" s="454">
        <f t="shared" si="15"/>
        <v>27.962531369835659</v>
      </c>
      <c r="AI77" s="104">
        <f t="shared" si="9"/>
        <v>-12.237468630164344</v>
      </c>
      <c r="AJ77" s="455">
        <v>0</v>
      </c>
      <c r="AK77" s="456" t="str">
        <f>IF(instatk="Mut","2-4s/4-5s/3-5r",IF(Sealfate&gt;0,"2-3s/4-5s/3-4r","2s/4s/3r"))</f>
        <v>2s/4s/3r</v>
      </c>
      <c r="AL77" t="str">
        <f>IF(AND(OR(allowrupt,NOT(D77)),OR(AND(poison,allowenv),NOT(F77)),$X$2-AG77&lt;50),MAX($AL$55:$AL76)+1,"")</f>
        <v/>
      </c>
      <c r="AO77">
        <f t="shared" si="12"/>
        <v>22</v>
      </c>
      <c r="AP77" t="str">
        <f t="shared" si="10"/>
        <v>3s/5s/4r</v>
      </c>
      <c r="AQ77" t="b">
        <v>1</v>
      </c>
    </row>
    <row r="78" spans="2:43" ht="12.75" customHeight="1">
      <c r="B78" t="s">
        <v>357</v>
      </c>
      <c r="C78" s="445">
        <v>2</v>
      </c>
      <c r="D78">
        <v>1</v>
      </c>
      <c r="E78" s="64">
        <v>0</v>
      </c>
      <c r="F78" s="197">
        <v>0</v>
      </c>
      <c r="G78" s="197">
        <v>0</v>
      </c>
      <c r="H78" s="446">
        <f t="shared" si="1"/>
        <v>3</v>
      </c>
      <c r="I78" s="447">
        <f>J$15+M$15+M$15</f>
        <v>7.1999999999999993</v>
      </c>
      <c r="J78" s="447">
        <f t="shared" si="2"/>
        <v>289.1755102040816</v>
      </c>
      <c r="K78" s="94">
        <f>SUMPRODUCT($E$13:$E$15,$J$16:$J$18)+SUMPRODUCT($E$16:$E$18,$M$16:$M$18)+SUMPRODUCT($E$30:$E$32,$M$16:$M$18)</f>
        <v>30</v>
      </c>
      <c r="L78" s="448">
        <f t="shared" si="3"/>
        <v>319.1755102040816</v>
      </c>
      <c r="M78" s="457">
        <f>SUMPRODUCT($C$13:$C$15,$J$16:$J$18)+SUMPRODUCT($C$16:$C$18,$M$16:$M$18)+SUMPRODUCT($C$30:$C$32,$M$16:$M$18)</f>
        <v>9</v>
      </c>
      <c r="N78" s="104">
        <f>SUMPRODUCT($D$13:$D$15,$J$16:$J$18)+SUMPRODUCT($D$16:$D$18,$M$16:$M$18)</f>
        <v>47.849999999999994</v>
      </c>
      <c r="O78" s="104">
        <f>SUMPRODUCT($D$30:$D$32,$M$16:$M$18)</f>
        <v>14</v>
      </c>
      <c r="P78" s="104">
        <v>0</v>
      </c>
      <c r="Q78" s="450">
        <f t="shared" si="16"/>
        <v>24.237468630164344</v>
      </c>
      <c r="R78" s="1310">
        <f>(J$15+1-$J$15)*$O$2+25</f>
        <v>65.16326530612244</v>
      </c>
      <c r="S78" s="1310">
        <f>(I78+1-$J$15)*$O$2+$E$13+$E$16+D78*$O$3</f>
        <v>363.27346938775503</v>
      </c>
      <c r="T78" s="1310">
        <v>0</v>
      </c>
      <c r="U78" s="451">
        <f t="shared" si="13"/>
        <v>1</v>
      </c>
      <c r="V78" s="451">
        <f t="shared" si="4"/>
        <v>0.57761807611280536</v>
      </c>
      <c r="W78" s="451">
        <v>0</v>
      </c>
      <c r="X78" s="452">
        <f t="shared" si="5"/>
        <v>1</v>
      </c>
      <c r="Y78" s="447">
        <f t="shared" si="6"/>
        <v>6884.0763175368284</v>
      </c>
      <c r="Z78" s="447">
        <f t="shared" si="14"/>
        <v>4304.0670306051506</v>
      </c>
      <c r="AA78" s="447">
        <f>SUMPRODUCT($F$30:$F$32,$M$16:$M$18)*MIN(Q78/O78,1)*X78</f>
        <v>1462.7610770499225</v>
      </c>
      <c r="AB78" s="447">
        <v>0</v>
      </c>
      <c r="AC78" s="447">
        <v>0</v>
      </c>
      <c r="AD78" s="447">
        <v>0</v>
      </c>
      <c r="AE78" s="447">
        <v>0</v>
      </c>
      <c r="AF78" s="448">
        <f t="shared" si="7"/>
        <v>12650.904425191902</v>
      </c>
      <c r="AG78" s="453">
        <f t="shared" si="8"/>
        <v>521.95650536902303</v>
      </c>
      <c r="AH78" s="454">
        <f t="shared" si="15"/>
        <v>23.612531369835651</v>
      </c>
      <c r="AI78" s="104">
        <f t="shared" si="9"/>
        <v>-10.237468630164344</v>
      </c>
      <c r="AJ78" s="455">
        <v>0</v>
      </c>
      <c r="AK78" s="456" t="str">
        <f>IF(instatk="Mut","1-3s/4-5s/4-5r",IF(Sealfate&gt;0,"1-2s/4-5s/4-5r","1s/4s/4r"))</f>
        <v>1s/4s/4r</v>
      </c>
      <c r="AL78">
        <f>IF(AND(OR(allowrupt,NOT(D78)),OR(AND(poison,allowenv),NOT(F78)),$X$2-AG78&lt;50),MAX($AL$55:$AL77)+1,"")</f>
        <v>16</v>
      </c>
      <c r="AO78">
        <f t="shared" si="12"/>
        <v>23</v>
      </c>
      <c r="AP78" t="str">
        <f t="shared" si="10"/>
        <v>1s/5s/5r</v>
      </c>
      <c r="AQ78" t="b">
        <v>1</v>
      </c>
    </row>
    <row r="79" spans="2:43" ht="12.75" customHeight="1">
      <c r="B79" t="s">
        <v>212</v>
      </c>
      <c r="C79" s="445">
        <v>2</v>
      </c>
      <c r="D79">
        <v>1</v>
      </c>
      <c r="E79" s="64">
        <v>0</v>
      </c>
      <c r="F79" s="197">
        <v>0</v>
      </c>
      <c r="G79" s="197">
        <v>0</v>
      </c>
      <c r="H79" s="446">
        <f t="shared" si="1"/>
        <v>3</v>
      </c>
      <c r="I79" s="447">
        <f>K$15+M$15+M$15</f>
        <v>8.1999999999999993</v>
      </c>
      <c r="J79" s="447">
        <f t="shared" si="2"/>
        <v>329.33877551020402</v>
      </c>
      <c r="K79" s="94">
        <f>SUMPRODUCT($E$14:$E$16,$K$16:$K$18)+SUMPRODUCT($E$16:$E$18,$M$16:$M$18)+SUMPRODUCT($E$30:$E$32,$M$16:$M$18)</f>
        <v>25</v>
      </c>
      <c r="L79" s="448">
        <f t="shared" si="3"/>
        <v>354.33877551020402</v>
      </c>
      <c r="M79" s="457">
        <f>SUMPRODUCT($C$14:$C$16,$K$16:$K$18)+SUMPRODUCT($C$16:$C$18,$M$16:$M$18)+SUMPRODUCT($C$30:$C$32,$M$16:$M$18)</f>
        <v>10</v>
      </c>
      <c r="N79" s="104">
        <f>SUMPRODUCT($D$14:$D$16,$K$16:$K$18)+SUMPRODUCT($D$16:$D$18,$M$16:$M$18)</f>
        <v>52.2</v>
      </c>
      <c r="O79" s="104">
        <f>SUMPRODUCT($D$30:$D$32,$M$16:$M$18)</f>
        <v>14</v>
      </c>
      <c r="P79" s="104">
        <v>0</v>
      </c>
      <c r="Q79" s="450">
        <f t="shared" si="16"/>
        <v>26.90768771823393</v>
      </c>
      <c r="R79" s="1310">
        <f>(K$15+1-$J$15)*$O$2+25</f>
        <v>105.32653061224489</v>
      </c>
      <c r="S79" s="1310">
        <f>(I79+1-$J$15)*$O$2+$E$14+$E$16+D79*$O$3</f>
        <v>398.4367346938775</v>
      </c>
      <c r="T79" s="1310">
        <v>0</v>
      </c>
      <c r="U79" s="451">
        <f t="shared" si="13"/>
        <v>1</v>
      </c>
      <c r="V79" s="451">
        <f t="shared" si="4"/>
        <v>0.52029740149366066</v>
      </c>
      <c r="W79" s="451">
        <v>0</v>
      </c>
      <c r="X79" s="452">
        <f t="shared" si="5"/>
        <v>1</v>
      </c>
      <c r="Y79" s="447">
        <f t="shared" si="6"/>
        <v>7840.1980283058319</v>
      </c>
      <c r="Z79" s="447">
        <f t="shared" si="14"/>
        <v>4778.2420410742579</v>
      </c>
      <c r="AA79" s="447">
        <f>SUMPRODUCT($F$30:$F$32,$M$16:$M$18)*MIN(Q79/O79,1)*X79</f>
        <v>1462.7610770499225</v>
      </c>
      <c r="AB79" s="447">
        <v>0</v>
      </c>
      <c r="AC79" s="447">
        <v>0</v>
      </c>
      <c r="AD79" s="447">
        <v>0</v>
      </c>
      <c r="AE79" s="447">
        <v>0</v>
      </c>
      <c r="AF79" s="448">
        <f t="shared" si="7"/>
        <v>14081.201146430012</v>
      </c>
      <c r="AG79" s="453">
        <f t="shared" si="8"/>
        <v>523.31516902836358</v>
      </c>
      <c r="AH79" s="454">
        <f t="shared" si="15"/>
        <v>25.292312281766073</v>
      </c>
      <c r="AI79" s="104">
        <f t="shared" si="9"/>
        <v>-12.90768771823393</v>
      </c>
      <c r="AJ79" s="455">
        <v>0</v>
      </c>
      <c r="AK79" s="456" t="str">
        <f>IF(instatk="Mut","2-4s/4-5s/4-5r",IF(Sealfate&gt;0,"2-3s/4-5s/4-5r","2s/4s/4r"))</f>
        <v>2s/4s/4r</v>
      </c>
      <c r="AL79">
        <f>IF(AND(OR(allowrupt,NOT(D79)),OR(AND(poison,allowenv),NOT(F79)),$X$2-AG79&lt;50),MAX($AL$55:$AL78)+1,"")</f>
        <v>17</v>
      </c>
      <c r="AO79">
        <f t="shared" si="12"/>
        <v>24</v>
      </c>
      <c r="AP79" t="str">
        <f t="shared" si="10"/>
        <v>2s/5s/5r</v>
      </c>
      <c r="AQ79" t="b">
        <v>1</v>
      </c>
    </row>
    <row r="80" spans="2:43" ht="12.75" customHeight="1">
      <c r="B80" t="s">
        <v>358</v>
      </c>
      <c r="C80" s="445">
        <v>2</v>
      </c>
      <c r="D80">
        <v>1</v>
      </c>
      <c r="E80" s="64">
        <v>0</v>
      </c>
      <c r="F80" s="197">
        <v>0</v>
      </c>
      <c r="G80" s="197">
        <v>0</v>
      </c>
      <c r="H80" s="446">
        <f t="shared" si="1"/>
        <v>3</v>
      </c>
      <c r="I80" s="447">
        <f>J$15+M$15+N$15</f>
        <v>8.1999999999999993</v>
      </c>
      <c r="J80" s="447">
        <f t="shared" si="2"/>
        <v>329.33877551020402</v>
      </c>
      <c r="K80" s="94">
        <f>SUMPRODUCT($E$13:$E$15,$J$16:$J$18)+SUMPRODUCT($E$16:$E$18,$M$16:$M$18)+SUMPRODUCT($E$31:$E$33,$N$16:$N$18)</f>
        <v>25</v>
      </c>
      <c r="L80" s="448">
        <f t="shared" si="3"/>
        <v>354.33877551020402</v>
      </c>
      <c r="M80" s="457">
        <f>SUMPRODUCT($C$13:$C$15,$J$16:$J$18)+SUMPRODUCT($C$16:$C$18,$M$16:$M$18)+SUMPRODUCT($C$31:$C$33,$N$16:$N$18)</f>
        <v>10</v>
      </c>
      <c r="N80" s="104">
        <f>SUMPRODUCT($D$13:$D$15,$J$16:$J$18)+SUMPRODUCT($D$16:$D$18,$M$16:$M$18)</f>
        <v>47.849999999999994</v>
      </c>
      <c r="O80" s="104">
        <f>SUMPRODUCT($D$31:$D$33,$N$16:$N$18)</f>
        <v>16</v>
      </c>
      <c r="P80" s="104">
        <v>0</v>
      </c>
      <c r="Q80" s="450">
        <f t="shared" si="16"/>
        <v>26.90768771823393</v>
      </c>
      <c r="R80" s="1310">
        <f>(J$15+1-$J$15)*$O$2+25</f>
        <v>65.16326530612244</v>
      </c>
      <c r="S80" s="1310">
        <f>(I80+1-$J$15)*$O$2+$E$13+$E$16+D80*$O$3</f>
        <v>403.4367346938775</v>
      </c>
      <c r="T80" s="1310">
        <v>0</v>
      </c>
      <c r="U80" s="451">
        <f t="shared" si="13"/>
        <v>1</v>
      </c>
      <c r="V80" s="451">
        <f t="shared" si="4"/>
        <v>0.59462560170704071</v>
      </c>
      <c r="W80" s="451">
        <v>0</v>
      </c>
      <c r="X80" s="452">
        <f t="shared" si="5"/>
        <v>1</v>
      </c>
      <c r="Y80" s="447">
        <f t="shared" si="6"/>
        <v>7840.1980283058319</v>
      </c>
      <c r="Z80" s="447">
        <f t="shared" si="14"/>
        <v>4778.2420410742579</v>
      </c>
      <c r="AA80" s="447">
        <f>SUMPRODUCT($F$31:$F$33,$N$16:$N$18)*MIN(Q80/O80,1)*X80</f>
        <v>1759.7269451999114</v>
      </c>
      <c r="AB80" s="447">
        <v>0</v>
      </c>
      <c r="AC80" s="447">
        <v>0</v>
      </c>
      <c r="AD80" s="447">
        <v>0</v>
      </c>
      <c r="AE80" s="447">
        <v>0</v>
      </c>
      <c r="AF80" s="448">
        <f t="shared" si="7"/>
        <v>14378.16701458</v>
      </c>
      <c r="AG80" s="453">
        <f t="shared" si="8"/>
        <v>534.35163828055988</v>
      </c>
      <c r="AH80" s="454">
        <f t="shared" si="15"/>
        <v>20.942312281766064</v>
      </c>
      <c r="AI80" s="104">
        <f t="shared" si="9"/>
        <v>-10.90768771823393</v>
      </c>
      <c r="AJ80" s="455">
        <v>0</v>
      </c>
      <c r="AK80" s="456" t="str">
        <f>IF(instatk="Mut","1-3s/4-5s/5-5r",IF(Sealfate&gt;0,"1-2s/4-5s/5-5r","1s/4s/5r"))</f>
        <v>1s/4s/5r</v>
      </c>
      <c r="AL80">
        <f>IF(AND(OR(allowrupt,NOT(D80)),OR(AND(poison,allowenv),NOT(F80)),$X$2-AG80&lt;50),MAX($AL$55:$AL79)+1,"")</f>
        <v>18</v>
      </c>
      <c r="AO80">
        <f t="shared" si="12"/>
        <v>25</v>
      </c>
      <c r="AP80" t="str">
        <f t="shared" si="10"/>
        <v>3s/5s/5r</v>
      </c>
      <c r="AQ80" t="b">
        <v>1</v>
      </c>
    </row>
    <row r="81" spans="2:43" ht="12.75" customHeight="1">
      <c r="B81" t="s">
        <v>213</v>
      </c>
      <c r="C81" s="445">
        <v>2</v>
      </c>
      <c r="D81">
        <v>1</v>
      </c>
      <c r="E81" s="64">
        <v>0</v>
      </c>
      <c r="F81" s="197">
        <v>0</v>
      </c>
      <c r="G81" s="197">
        <v>0</v>
      </c>
      <c r="H81" s="446">
        <f t="shared" si="1"/>
        <v>3</v>
      </c>
      <c r="I81" s="447">
        <f>K$15+M$15+N$15</f>
        <v>9.1999999999999993</v>
      </c>
      <c r="J81" s="447">
        <f t="shared" si="2"/>
        <v>369.50204081632648</v>
      </c>
      <c r="K81" s="94">
        <f>SUMPRODUCT($E$14:$E$16,$K$16:$K$18)+SUMPRODUCT($E$16:$E$18,$M$16:$M$18)+SUMPRODUCT($E$31:$E$33,$N$16:$N$18)</f>
        <v>20</v>
      </c>
      <c r="L81" s="448">
        <f t="shared" si="3"/>
        <v>389.50204081632648</v>
      </c>
      <c r="M81" s="457">
        <f>SUMPRODUCT($C$14:$C$16,$K$16:$K$18)+SUMPRODUCT($C$16:$C$18,$M$16:$M$18)+SUMPRODUCT($C$31:$C$33,$N$16:$N$18)</f>
        <v>11</v>
      </c>
      <c r="N81" s="104">
        <f>SUMPRODUCT($D$14:$D$16,$K$16:$K$18)+SUMPRODUCT($D$16:$D$18,$M$16:$M$18)</f>
        <v>52.2</v>
      </c>
      <c r="O81" s="104">
        <f>SUMPRODUCT($D$31:$D$33,$N$16:$N$18)</f>
        <v>16</v>
      </c>
      <c r="P81" s="104">
        <v>0</v>
      </c>
      <c r="Q81" s="450">
        <f t="shared" si="16"/>
        <v>29.57790680630352</v>
      </c>
      <c r="R81" s="1310">
        <f>(K$15+1-$J$15)*$O$2+25</f>
        <v>105.32653061224489</v>
      </c>
      <c r="S81" s="1310">
        <f>(I81+1-$J$15)*$O$2+$E$14+$E$16+D81*$O$3</f>
        <v>438.59999999999997</v>
      </c>
      <c r="T81" s="1310">
        <v>0</v>
      </c>
      <c r="U81" s="451">
        <f t="shared" si="13"/>
        <v>1</v>
      </c>
      <c r="V81" s="451">
        <f t="shared" si="4"/>
        <v>0.54094429686248613</v>
      </c>
      <c r="W81" s="451">
        <v>0</v>
      </c>
      <c r="X81" s="452">
        <f t="shared" si="5"/>
        <v>1</v>
      </c>
      <c r="Y81" s="447">
        <f t="shared" si="6"/>
        <v>8796.3197390748355</v>
      </c>
      <c r="Z81" s="447">
        <f t="shared" si="14"/>
        <v>5252.417051543368</v>
      </c>
      <c r="AA81" s="447">
        <f>SUMPRODUCT($F$31:$F$33,$N$16:$N$18)*MIN(Q81/O81,1)*X81</f>
        <v>1759.7269451999114</v>
      </c>
      <c r="AB81" s="447">
        <v>0</v>
      </c>
      <c r="AC81" s="447">
        <v>0</v>
      </c>
      <c r="AD81" s="447">
        <v>0</v>
      </c>
      <c r="AE81" s="447">
        <v>0</v>
      </c>
      <c r="AF81" s="448">
        <f t="shared" si="7"/>
        <v>15808.463735818115</v>
      </c>
      <c r="AG81" s="453">
        <f t="shared" si="8"/>
        <v>534.46864375301504</v>
      </c>
      <c r="AH81" s="454">
        <f t="shared" si="15"/>
        <v>22.622093193696482</v>
      </c>
      <c r="AI81" s="104">
        <f t="shared" si="9"/>
        <v>-13.57790680630352</v>
      </c>
      <c r="AJ81" s="455">
        <v>0</v>
      </c>
      <c r="AK81" s="456" t="str">
        <f>IF(instatk="Mut","2-4s/4-5s/5-5r",IF(Sealfate&gt;0,"2-3s/4-5s/5-5r","2s/4s/5r"))</f>
        <v>2s/4s/5r</v>
      </c>
      <c r="AL81">
        <f>IF(AND(OR(allowrupt,NOT(D81)),OR(AND(poison,allowenv),NOT(F81)),$X$2-AG81&lt;50),MAX($AL$55:$AL80)+1,"")</f>
        <v>19</v>
      </c>
      <c r="AO81">
        <f t="shared" si="12"/>
        <v>26</v>
      </c>
      <c r="AP81" t="str">
        <f t="shared" si="10"/>
        <v>2s/3r/3e</v>
      </c>
      <c r="AQ81" t="b">
        <v>1</v>
      </c>
    </row>
    <row r="82" spans="2:43" ht="12.75" customHeight="1">
      <c r="B82" t="s">
        <v>359</v>
      </c>
      <c r="C82" s="445">
        <v>2</v>
      </c>
      <c r="D82">
        <v>1</v>
      </c>
      <c r="E82" s="64">
        <v>0</v>
      </c>
      <c r="F82" s="197">
        <v>0</v>
      </c>
      <c r="G82" s="197">
        <v>0</v>
      </c>
      <c r="H82" s="446">
        <f>SUM(C82:G82)</f>
        <v>3</v>
      </c>
      <c r="I82" s="447">
        <f>J$15+N$15+L$15</f>
        <v>7.2000000000000011</v>
      </c>
      <c r="J82" s="447">
        <f t="shared" si="2"/>
        <v>289.17551020408166</v>
      </c>
      <c r="K82" s="94">
        <f>SUMPRODUCT($E$13:$E$15,$J$16:$J$18)+SUMPRODUCT($E$17:$E$19,$N$16:$N$18)+SUMPRODUCT($E$29:$E$31,$L$16:$L$18)</f>
        <v>30</v>
      </c>
      <c r="L82" s="448">
        <f>J82+K82</f>
        <v>319.17551020408166</v>
      </c>
      <c r="M82" s="457">
        <f>SUMPRODUCT($C$13:$C$15,$J$16:$J$18)+SUMPRODUCT($C$17:$C$19,$N$16:$N$18)+SUMPRODUCT($C$29:$C$31,$L$16:$L$18)</f>
        <v>9</v>
      </c>
      <c r="N82" s="104">
        <f>SUMPRODUCT($D$13:$D$15,$J$16:$J$18)+SUMPRODUCT($D$17:$D$19,$N$16:$N$18)</f>
        <v>52.199999999999996</v>
      </c>
      <c r="O82" s="104">
        <f>SUMPRODUCT($D$29:$D$31,$L$16:$L$18)</f>
        <v>12</v>
      </c>
      <c r="P82" s="104">
        <v>0</v>
      </c>
      <c r="Q82" s="450">
        <f>IF(N82&gt;L82/sndeps,L82/sndeps,N82+(L82/sndeps-N82)*sndeps/eps)</f>
        <v>24.237468630164347</v>
      </c>
      <c r="R82" s="1310">
        <f>(J$15+1-$J$15)*$O$2+25</f>
        <v>65.16326530612244</v>
      </c>
      <c r="S82" s="1310">
        <f>(I82+1-$J$15)*$O$2+$E$13+$E$17+D82*$O$3</f>
        <v>358.27346938775514</v>
      </c>
      <c r="T82" s="1310">
        <v>0</v>
      </c>
      <c r="U82" s="451">
        <f t="shared" si="13"/>
        <v>1</v>
      </c>
      <c r="V82" s="451">
        <f t="shared" si="4"/>
        <v>0.49510120809669023</v>
      </c>
      <c r="W82" s="451">
        <v>0</v>
      </c>
      <c r="X82" s="452">
        <f t="shared" si="5"/>
        <v>1</v>
      </c>
      <c r="Y82" s="447">
        <f t="shared" si="6"/>
        <v>6884.0763175368302</v>
      </c>
      <c r="Z82" s="447">
        <f t="shared" si="14"/>
        <v>4304.0670306051516</v>
      </c>
      <c r="AA82" s="447">
        <f>SUMPRODUCT($F$29:$F$31,$L$16:$L$18)*MIN(Q82/O82,1)*X82</f>
        <v>1187.7952088999336</v>
      </c>
      <c r="AB82" s="447">
        <v>0</v>
      </c>
      <c r="AC82" s="447">
        <v>0</v>
      </c>
      <c r="AD82" s="447">
        <v>0</v>
      </c>
      <c r="AE82" s="447">
        <v>0</v>
      </c>
      <c r="AF82" s="448">
        <f>SUM(Y82:AE82)</f>
        <v>12375.938557041914</v>
      </c>
      <c r="AG82" s="453">
        <f t="shared" si="8"/>
        <v>510.61184424348841</v>
      </c>
      <c r="AH82" s="454">
        <f t="shared" si="15"/>
        <v>27.962531369835649</v>
      </c>
      <c r="AI82" s="104">
        <f t="shared" si="9"/>
        <v>-12.237468630164347</v>
      </c>
      <c r="AJ82" s="455">
        <v>0</v>
      </c>
      <c r="AK82" s="456" t="str">
        <f>IF(instatk="Mut","1-3s/5-5s/3-5r",IF(Sealfate&gt;0,"1-2s/5-5s/3-4r","1s/5s/3r"))</f>
        <v>1s/5s/3r</v>
      </c>
      <c r="AL82" t="str">
        <f>IF(AND(OR(allowrupt,NOT(D82)),OR(AND(poison,allowenv),NOT(F82)),$X$2-AG82&lt;50),MAX($AL$55:$AL81)+1,"")</f>
        <v/>
      </c>
      <c r="AO82">
        <f t="shared" si="12"/>
        <v>27</v>
      </c>
      <c r="AP82" t="str">
        <f t="shared" si="10"/>
        <v>3s/3r/3e</v>
      </c>
      <c r="AQ82" t="b">
        <v>1</v>
      </c>
    </row>
    <row r="83" spans="2:43" ht="12.75" customHeight="1">
      <c r="B83" t="s">
        <v>360</v>
      </c>
      <c r="C83" s="445">
        <v>2</v>
      </c>
      <c r="D83">
        <v>1</v>
      </c>
      <c r="E83" s="64">
        <v>0</v>
      </c>
      <c r="F83" s="197">
        <v>0</v>
      </c>
      <c r="G83" s="197">
        <v>0</v>
      </c>
      <c r="H83" s="446">
        <f>SUM(C83:G83)</f>
        <v>3</v>
      </c>
      <c r="I83" s="447">
        <f>K$15+N$15+L$15</f>
        <v>8.2000000000000011</v>
      </c>
      <c r="J83" s="447">
        <f t="shared" si="2"/>
        <v>329.33877551020413</v>
      </c>
      <c r="K83" s="94">
        <f>SUMPRODUCT($E$14:$E$16,$K$16:$K$18)+SUMPRODUCT($E$17:$E$19,$N$16:$N$18)+SUMPRODUCT($E$29:$E$31,$L$16:$L$18)</f>
        <v>25</v>
      </c>
      <c r="L83" s="448">
        <f>J83+K83</f>
        <v>354.33877551020413</v>
      </c>
      <c r="M83" s="457">
        <f>SUMPRODUCT($C$14:$C$16,$K$16:$K$18)+SUMPRODUCT($C$17:$C$19,$N$16:$N$18)+SUMPRODUCT($C$29:$C$31,$L$16:$L$18)</f>
        <v>10</v>
      </c>
      <c r="N83" s="104">
        <f>SUMPRODUCT($D$14:$D$16,$K$16:$K$18)+SUMPRODUCT($D$17:$D$19,$N$16:$N$18)</f>
        <v>56.55</v>
      </c>
      <c r="O83" s="104">
        <f>SUMPRODUCT($D$29:$D$31,$L$16:$L$18)</f>
        <v>12</v>
      </c>
      <c r="P83" s="104">
        <v>0</v>
      </c>
      <c r="Q83" s="450">
        <f>IF(N83&gt;L83/sndeps,L83/sndeps,N83+(L83/sndeps-N83)*sndeps/eps)</f>
        <v>26.907687718233937</v>
      </c>
      <c r="R83" s="1310">
        <f>(K$15+1-$J$15)*$O$2+25</f>
        <v>105.32653061224489</v>
      </c>
      <c r="S83" s="1310">
        <f>(I83+1-$J$15)*$O$2+$E$14+$E$17+D83*$O$3</f>
        <v>393.43673469387755</v>
      </c>
      <c r="T83" s="1310">
        <v>0</v>
      </c>
      <c r="U83" s="451">
        <f t="shared" si="13"/>
        <v>1</v>
      </c>
      <c r="V83" s="451">
        <f t="shared" si="4"/>
        <v>0.44596920128028039</v>
      </c>
      <c r="W83" s="451">
        <v>0</v>
      </c>
      <c r="X83" s="452">
        <f t="shared" si="5"/>
        <v>1</v>
      </c>
      <c r="Y83" s="447">
        <f t="shared" si="6"/>
        <v>7840.1980283058338</v>
      </c>
      <c r="Z83" s="447">
        <f t="shared" si="14"/>
        <v>4778.2420410742598</v>
      </c>
      <c r="AA83" s="447">
        <f>SUMPRODUCT($F$29:$F$31,$L$16:$L$18)*MIN(Q83/O83,1)*X83</f>
        <v>1187.7952088999336</v>
      </c>
      <c r="AB83" s="447">
        <v>0</v>
      </c>
      <c r="AC83" s="447">
        <v>0</v>
      </c>
      <c r="AD83" s="447">
        <v>0</v>
      </c>
      <c r="AE83" s="447">
        <v>0</v>
      </c>
      <c r="AF83" s="448">
        <f>SUM(Y83:AE83)</f>
        <v>13806.235278280026</v>
      </c>
      <c r="AG83" s="453">
        <f t="shared" si="8"/>
        <v>513.09630997851445</v>
      </c>
      <c r="AH83" s="454">
        <f t="shared" si="15"/>
        <v>29.64231228176606</v>
      </c>
      <c r="AI83" s="104">
        <f t="shared" si="9"/>
        <v>-14.907687718233937</v>
      </c>
      <c r="AJ83" s="455">
        <v>0</v>
      </c>
      <c r="AK83" s="456" t="str">
        <f>IF(instatk="Mut","2-4s/5-5s/3-5r",IF(Sealfate&gt;0,"2-3s/5-5s/3-4r","2s/5s/3r"))</f>
        <v>2s/5s/3r</v>
      </c>
      <c r="AL83" t="str">
        <f>IF(AND(OR(allowrupt,NOT(D83)),OR(AND(poison,allowenv),NOT(F83)),$X$2-AG83&lt;50),MAX($AL$55:$AL82)+1,"")</f>
        <v/>
      </c>
      <c r="AO83">
        <f t="shared" si="12"/>
        <v>28</v>
      </c>
      <c r="AP83" t="str">
        <f t="shared" si="10"/>
        <v>4s/3r/3e</v>
      </c>
      <c r="AQ83" t="b">
        <v>1</v>
      </c>
    </row>
    <row r="84" spans="2:43" ht="12.75" customHeight="1">
      <c r="B84" t="s">
        <v>361</v>
      </c>
      <c r="C84" s="445">
        <v>2</v>
      </c>
      <c r="D84">
        <v>1</v>
      </c>
      <c r="E84" s="64">
        <v>0</v>
      </c>
      <c r="F84" s="197">
        <v>0</v>
      </c>
      <c r="G84" s="197">
        <v>0</v>
      </c>
      <c r="H84" s="446">
        <f>SUM(C84:G84)</f>
        <v>3</v>
      </c>
      <c r="I84" s="447">
        <f>L$15+N$15+L$15</f>
        <v>9.2000000000000011</v>
      </c>
      <c r="J84" s="447">
        <f t="shared" si="2"/>
        <v>369.50204081632654</v>
      </c>
      <c r="K84" s="94">
        <f>SUMPRODUCT($E$15:$E$17,$L$16:$L$18)+SUMPRODUCT($E$17:$E$19,$N$16:$N$18)+SUMPRODUCT($E$29:$E$31,$L$16:$L$18)</f>
        <v>20</v>
      </c>
      <c r="L84" s="448">
        <f>J84+K84</f>
        <v>389.50204081632654</v>
      </c>
      <c r="M84" s="457">
        <f>SUMPRODUCT($C$15:$C$17,$L$16:$L$18)+SUMPRODUCT($C$17:$C$19,$N$16:$N$18)+SUMPRODUCT($C$29:$C$31,$L$16:$L$18)</f>
        <v>11</v>
      </c>
      <c r="N84" s="104">
        <f>SUMPRODUCT($D$15:$D$17,$L$16:$L$18)+SUMPRODUCT($D$17:$D$19,$N$16:$N$18)</f>
        <v>60.899999999999991</v>
      </c>
      <c r="O84" s="104">
        <f>SUMPRODUCT($D$29:$D$31,$L$16:$L$18)</f>
        <v>12</v>
      </c>
      <c r="P84" s="104">
        <v>0</v>
      </c>
      <c r="Q84" s="450">
        <f>IF(N84&gt;L84/sndeps,L84/sndeps,N84+(L84/sndeps-N84)*sndeps/eps)</f>
        <v>29.577906806303528</v>
      </c>
      <c r="R84" s="1310">
        <f>(L$15+1-$J$15)*$O$2+25</f>
        <v>145.48979591836735</v>
      </c>
      <c r="S84" s="1310">
        <f>(I84+1-$J$15)*$O$2+$E$15+$E$17+D84*$O$3</f>
        <v>428.6</v>
      </c>
      <c r="T84" s="1310">
        <v>0</v>
      </c>
      <c r="U84" s="451">
        <f t="shared" si="13"/>
        <v>1</v>
      </c>
      <c r="V84" s="451">
        <f t="shared" si="4"/>
        <v>0.40570822264686446</v>
      </c>
      <c r="W84" s="451">
        <v>0</v>
      </c>
      <c r="X84" s="452">
        <f t="shared" si="5"/>
        <v>1</v>
      </c>
      <c r="Y84" s="447">
        <f t="shared" si="6"/>
        <v>8796.3197390748373</v>
      </c>
      <c r="Z84" s="447">
        <f t="shared" si="14"/>
        <v>5252.417051543368</v>
      </c>
      <c r="AA84" s="447">
        <f>SUMPRODUCT($F$29:$F$31,$L$16:$L$18)*MIN(Q84/O84,1)*X84</f>
        <v>1187.7952088999336</v>
      </c>
      <c r="AB84" s="447">
        <v>0</v>
      </c>
      <c r="AC84" s="447">
        <v>0</v>
      </c>
      <c r="AD84" s="447">
        <v>0</v>
      </c>
      <c r="AE84" s="447">
        <v>0</v>
      </c>
      <c r="AF84" s="448">
        <f>SUM(Y84:AE84)</f>
        <v>15236.531999518138</v>
      </c>
      <c r="AG84" s="453">
        <f t="shared" si="8"/>
        <v>515.13219306888163</v>
      </c>
      <c r="AH84" s="454">
        <f t="shared" si="15"/>
        <v>31.322093193696464</v>
      </c>
      <c r="AI84" s="104">
        <f t="shared" si="9"/>
        <v>-17.577906806303528</v>
      </c>
      <c r="AJ84" s="455">
        <v>0</v>
      </c>
      <c r="AK84" s="456" t="str">
        <f>IF(instatk="Mut","3-5s/5-5s/3-5r",IF(Sealfate&gt;0,"3-4s/5-5s/3-4r","3s/5s/3r"))</f>
        <v>3s/5s/3r</v>
      </c>
      <c r="AL84" t="str">
        <f>IF(AND(OR(allowrupt,NOT(D84)),OR(AND(poison,allowenv),NOT(F84)),$X$2-AG84&lt;50),MAX($AL$55:$AL83)+1,"")</f>
        <v/>
      </c>
      <c r="AO84">
        <f t="shared" si="12"/>
        <v>29</v>
      </c>
      <c r="AP84" t="str">
        <f t="shared" si="10"/>
        <v>5s/3r/3e</v>
      </c>
      <c r="AQ84" t="b">
        <v>1</v>
      </c>
    </row>
    <row r="85" spans="2:43" ht="12.75" customHeight="1">
      <c r="B85" t="s">
        <v>362</v>
      </c>
      <c r="C85" s="445">
        <v>2</v>
      </c>
      <c r="D85">
        <v>1</v>
      </c>
      <c r="E85" s="64">
        <v>0</v>
      </c>
      <c r="F85" s="197">
        <v>0</v>
      </c>
      <c r="G85" s="197">
        <v>0</v>
      </c>
      <c r="H85" s="446">
        <f t="shared" ref="H85:H148" si="17">SUM(C85:G85)</f>
        <v>3</v>
      </c>
      <c r="I85" s="447">
        <f>J$15+N$15+M$15</f>
        <v>8.2000000000000011</v>
      </c>
      <c r="J85" s="447">
        <f t="shared" si="2"/>
        <v>329.33877551020413</v>
      </c>
      <c r="K85" s="94">
        <f>SUMPRODUCT($E$13:$E$15,$J$16:$J$18)+SUMPRODUCT($E$17:$E$19,$N$16:$N$18)+SUMPRODUCT($E$30:$E$32,$M$16:$M$18)</f>
        <v>25</v>
      </c>
      <c r="L85" s="448">
        <f t="shared" ref="L85:L148" si="18">J85+K85</f>
        <v>354.33877551020413</v>
      </c>
      <c r="M85" s="457">
        <f>SUMPRODUCT($C$13:$C$15,$J$16:$J$18)+SUMPRODUCT($C$17:$C$19,$N$16:$N$18)+SUMPRODUCT($C$30:$C$32,$M$16:$M$18)</f>
        <v>10</v>
      </c>
      <c r="N85" s="104">
        <f>SUMPRODUCT($D$13:$D$15,$J$16:$J$18)+SUMPRODUCT($D$17:$D$19,$N$16:$N$18)</f>
        <v>52.199999999999996</v>
      </c>
      <c r="O85" s="104">
        <f>SUMPRODUCT($D$30:$D$32,$M$16:$M$18)</f>
        <v>14</v>
      </c>
      <c r="P85" s="104">
        <v>0</v>
      </c>
      <c r="Q85" s="450">
        <f t="shared" ref="Q85:Q94" si="19">IF(N85&gt;L85/sndeps,L85/sndeps,N85+(L85/sndeps-N85)*sndeps/eps)</f>
        <v>26.907687718233937</v>
      </c>
      <c r="R85" s="1310">
        <f>(J$15+1-$J$15)*$O$2+25</f>
        <v>65.16326530612244</v>
      </c>
      <c r="S85" s="1310">
        <f>(I85+1-$J$15)*$O$2+$E$13+$E$17+D85*$O$3</f>
        <v>398.43673469387755</v>
      </c>
      <c r="T85" s="1310">
        <v>0</v>
      </c>
      <c r="U85" s="451">
        <f t="shared" si="13"/>
        <v>1</v>
      </c>
      <c r="V85" s="451">
        <f t="shared" si="4"/>
        <v>0.52029740149366044</v>
      </c>
      <c r="W85" s="451">
        <v>0</v>
      </c>
      <c r="X85" s="452">
        <f t="shared" si="5"/>
        <v>1</v>
      </c>
      <c r="Y85" s="447">
        <f t="shared" si="6"/>
        <v>7840.1980283058338</v>
      </c>
      <c r="Z85" s="447">
        <f t="shared" si="14"/>
        <v>4778.2420410742598</v>
      </c>
      <c r="AA85" s="447">
        <f>SUMPRODUCT($F$30:$F$32,$M$16:$M$18)*MIN(Q85/O85,1)*X85</f>
        <v>1462.7610770499225</v>
      </c>
      <c r="AB85" s="447">
        <v>0</v>
      </c>
      <c r="AC85" s="447">
        <v>0</v>
      </c>
      <c r="AD85" s="447">
        <v>0</v>
      </c>
      <c r="AE85" s="447">
        <v>0</v>
      </c>
      <c r="AF85" s="448">
        <f t="shared" ref="AF85:AF148" si="20">SUM(Y85:AE85)</f>
        <v>14081.201146430016</v>
      </c>
      <c r="AG85" s="453">
        <f t="shared" si="8"/>
        <v>523.31516902836358</v>
      </c>
      <c r="AH85" s="454">
        <f t="shared" si="15"/>
        <v>25.292312281766058</v>
      </c>
      <c r="AI85" s="104">
        <f t="shared" si="9"/>
        <v>-12.907687718233937</v>
      </c>
      <c r="AJ85" s="455">
        <v>0</v>
      </c>
      <c r="AK85" s="456" t="str">
        <f>IF(instatk="Mut","1-3s/5-5s/4-5r",IF(Sealfate&gt;0,"1-2s/5-5s/4-5r","1s/5s/4r"))</f>
        <v>1s/5s/4r</v>
      </c>
      <c r="AL85">
        <f>IF(AND(OR(allowrupt,NOT(D85)),OR(AND(poison,allowenv),NOT(F85)),$X$2-AG85&lt;50),MAX($AL$55:$AL84)+1,"")</f>
        <v>20</v>
      </c>
      <c r="AO85">
        <f t="shared" si="12"/>
        <v>30</v>
      </c>
      <c r="AP85" t="str">
        <f t="shared" si="10"/>
        <v>2s/4r/3e</v>
      </c>
      <c r="AQ85" t="b">
        <v>1</v>
      </c>
    </row>
    <row r="86" spans="2:43" ht="12.75" customHeight="1">
      <c r="B86" t="s">
        <v>214</v>
      </c>
      <c r="C86" s="445">
        <v>2</v>
      </c>
      <c r="D86">
        <v>1</v>
      </c>
      <c r="E86" s="64">
        <v>0</v>
      </c>
      <c r="F86" s="197">
        <v>0</v>
      </c>
      <c r="G86" s="197">
        <v>0</v>
      </c>
      <c r="H86" s="446">
        <f t="shared" si="17"/>
        <v>3</v>
      </c>
      <c r="I86" s="447">
        <f>K$15+N$15+M$15</f>
        <v>9.2000000000000011</v>
      </c>
      <c r="J86" s="447">
        <f t="shared" si="2"/>
        <v>369.50204081632654</v>
      </c>
      <c r="K86" s="94">
        <f>SUMPRODUCT($E$14:$E$16,$K$16:$K$18)+SUMPRODUCT($E$17:$E$19,$N$16:$N$18)+SUMPRODUCT($E$30:$E$32,$M$16:$M$18)</f>
        <v>20</v>
      </c>
      <c r="L86" s="448">
        <f t="shared" si="18"/>
        <v>389.50204081632654</v>
      </c>
      <c r="M86" s="457">
        <f>SUMPRODUCT($C$14:$C$16,$K$16:$K$18)+SUMPRODUCT($C$17:$C$19,$N$16:$N$18)+SUMPRODUCT($C$30:$C$32,$M$16:$M$18)</f>
        <v>11</v>
      </c>
      <c r="N86" s="104">
        <f>SUMPRODUCT($D$14:$D$16,$K$16:$K$18)+SUMPRODUCT($D$17:$D$19,$N$16:$N$18)</f>
        <v>56.55</v>
      </c>
      <c r="O86" s="104">
        <f>SUMPRODUCT($D$30:$D$32,$M$16:$M$18)</f>
        <v>14</v>
      </c>
      <c r="P86" s="104">
        <v>0</v>
      </c>
      <c r="Q86" s="450">
        <f t="shared" si="19"/>
        <v>29.577906806303528</v>
      </c>
      <c r="R86" s="1310">
        <f>(K$15+1-$J$15)*$O$2+25</f>
        <v>105.32653061224489</v>
      </c>
      <c r="S86" s="1310">
        <f>(I86+1-$J$15)*$O$2+$E$14+$E$17+D86*$O$3</f>
        <v>433.6</v>
      </c>
      <c r="T86" s="1310">
        <v>0</v>
      </c>
      <c r="U86" s="451">
        <f t="shared" si="13"/>
        <v>1</v>
      </c>
      <c r="V86" s="451">
        <f t="shared" si="4"/>
        <v>0.47332625975467524</v>
      </c>
      <c r="W86" s="451">
        <v>0</v>
      </c>
      <c r="X86" s="452">
        <f t="shared" si="5"/>
        <v>1</v>
      </c>
      <c r="Y86" s="447">
        <f t="shared" si="6"/>
        <v>8796.3197390748373</v>
      </c>
      <c r="Z86" s="447">
        <f t="shared" si="14"/>
        <v>5252.417051543368</v>
      </c>
      <c r="AA86" s="447">
        <f>SUMPRODUCT($F$30:$F$32,$M$16:$M$18)*MIN(Q86/O86,1)*X86</f>
        <v>1462.7610770499225</v>
      </c>
      <c r="AB86" s="447">
        <v>0</v>
      </c>
      <c r="AC86" s="447">
        <v>0</v>
      </c>
      <c r="AD86" s="447">
        <v>0</v>
      </c>
      <c r="AE86" s="447">
        <v>0</v>
      </c>
      <c r="AF86" s="448">
        <f t="shared" si="20"/>
        <v>15511.497867668128</v>
      </c>
      <c r="AG86" s="453">
        <f t="shared" si="8"/>
        <v>524.42851920685541</v>
      </c>
      <c r="AH86" s="454">
        <f t="shared" si="15"/>
        <v>26.97209319369647</v>
      </c>
      <c r="AI86" s="104">
        <f t="shared" si="9"/>
        <v>-15.577906806303528</v>
      </c>
      <c r="AJ86" s="455">
        <v>0</v>
      </c>
      <c r="AK86" s="456" t="str">
        <f>IF(instatk="Mut","2-4s/5-5s/4-5r",IF(Sealfate&gt;0,"2-3s/5-5s/4-5r","2s/5s/4r"))</f>
        <v>2s/5s/4r</v>
      </c>
      <c r="AL86">
        <f>IF(AND(OR(allowrupt,NOT(D86)),OR(AND(poison,allowenv),NOT(F86)),$X$2-AG86&lt;50),MAX($AL$55:$AL85)+1,"")</f>
        <v>21</v>
      </c>
      <c r="AO86">
        <f t="shared" si="12"/>
        <v>31</v>
      </c>
      <c r="AP86" t="str">
        <f t="shared" si="10"/>
        <v>3s/4r/3e</v>
      </c>
      <c r="AQ86" t="b">
        <v>1</v>
      </c>
    </row>
    <row r="87" spans="2:43" ht="12.75" customHeight="1">
      <c r="B87" t="s">
        <v>215</v>
      </c>
      <c r="C87" s="445">
        <v>2</v>
      </c>
      <c r="D87">
        <v>1</v>
      </c>
      <c r="E87" s="64">
        <v>0</v>
      </c>
      <c r="F87" s="197">
        <v>0</v>
      </c>
      <c r="G87" s="197">
        <v>0</v>
      </c>
      <c r="H87" s="446">
        <f t="shared" si="17"/>
        <v>3</v>
      </c>
      <c r="I87" s="447">
        <f>L$15+N$15+M$15</f>
        <v>10.200000000000001</v>
      </c>
      <c r="J87" s="447">
        <f t="shared" si="2"/>
        <v>409.66530612244901</v>
      </c>
      <c r="K87" s="94">
        <f>SUMPRODUCT($E$15:$E$17,$L$16:$L$18)+SUMPRODUCT($E$17:$E$19,$N$16:$N$18)+SUMPRODUCT($E$30:$E$32,$M$16:$M$18)</f>
        <v>15</v>
      </c>
      <c r="L87" s="448">
        <f t="shared" si="18"/>
        <v>424.66530612244901</v>
      </c>
      <c r="M87" s="457">
        <f>SUMPRODUCT($C$15:$C$17,$L$16:$L$18)+SUMPRODUCT($C$17:$C$19,$N$16:$N$18)+SUMPRODUCT($C$30:$C$32,$M$16:$M$18)</f>
        <v>12</v>
      </c>
      <c r="N87" s="104">
        <f>SUMPRODUCT($D$15:$D$17,$L$16:$L$18)+SUMPRODUCT($D$17:$D$19,$N$16:$N$18)</f>
        <v>60.899999999999991</v>
      </c>
      <c r="O87" s="104">
        <f>SUMPRODUCT($D$30:$D$32,$M$16:$M$18)</f>
        <v>14</v>
      </c>
      <c r="P87" s="104">
        <v>0</v>
      </c>
      <c r="Q87" s="450">
        <f t="shared" si="19"/>
        <v>32.248125894373118</v>
      </c>
      <c r="R87" s="1310">
        <f>(L$15+1-$J$15)*$O$2+25</f>
        <v>145.48979591836735</v>
      </c>
      <c r="S87" s="1310">
        <f>(I87+1-$J$15)*$O$2+$E$15+$E$17+D87*$O$3</f>
        <v>468.76326530612243</v>
      </c>
      <c r="T87" s="1310">
        <v>0</v>
      </c>
      <c r="U87" s="451">
        <f t="shared" si="13"/>
        <v>1</v>
      </c>
      <c r="V87" s="451">
        <f t="shared" si="4"/>
        <v>0.43413375542678651</v>
      </c>
      <c r="W87" s="451">
        <v>0</v>
      </c>
      <c r="X87" s="452">
        <f t="shared" si="5"/>
        <v>1</v>
      </c>
      <c r="Y87" s="447">
        <f t="shared" si="6"/>
        <v>9752.4414498438418</v>
      </c>
      <c r="Z87" s="447">
        <f t="shared" si="14"/>
        <v>5726.5920620124771</v>
      </c>
      <c r="AA87" s="447">
        <f>SUMPRODUCT($F$30:$F$32,$M$16:$M$18)*MIN(Q87/O87,1)*X87</f>
        <v>1462.7610770499225</v>
      </c>
      <c r="AB87" s="447">
        <v>0</v>
      </c>
      <c r="AC87" s="447">
        <v>0</v>
      </c>
      <c r="AD87" s="447">
        <v>0</v>
      </c>
      <c r="AE87" s="447">
        <v>0</v>
      </c>
      <c r="AF87" s="448">
        <f t="shared" si="20"/>
        <v>16941.794588906243</v>
      </c>
      <c r="AG87" s="453">
        <f t="shared" si="8"/>
        <v>525.35749346793409</v>
      </c>
      <c r="AH87" s="454">
        <f t="shared" si="15"/>
        <v>28.651874105626874</v>
      </c>
      <c r="AI87" s="104">
        <f t="shared" si="9"/>
        <v>-18.248125894373118</v>
      </c>
      <c r="AJ87" s="455">
        <v>0</v>
      </c>
      <c r="AK87" s="456" t="str">
        <f>IF(instatk="Mut","3-5s/5-5s/4-5r",IF(Sealfate&gt;0,"3-4s/5-5s/4-5r","3s/5s/4r"))</f>
        <v>3s/5s/4r</v>
      </c>
      <c r="AL87">
        <f>IF(AND(OR(allowrupt,NOT(D87)),OR(AND(poison,allowenv),NOT(F87)),$X$2-AG87&lt;50),MAX($AL$55:$AL86)+1,"")</f>
        <v>22</v>
      </c>
      <c r="AO87">
        <f t="shared" si="12"/>
        <v>32</v>
      </c>
      <c r="AP87" t="str">
        <f t="shared" si="10"/>
        <v>4s/4r/3e</v>
      </c>
      <c r="AQ87" t="b">
        <v>1</v>
      </c>
    </row>
    <row r="88" spans="2:43" ht="12.75" customHeight="1">
      <c r="B88" t="s">
        <v>363</v>
      </c>
      <c r="C88" s="445">
        <v>2</v>
      </c>
      <c r="D88">
        <v>1</v>
      </c>
      <c r="E88" s="64">
        <v>0</v>
      </c>
      <c r="F88" s="197">
        <v>0</v>
      </c>
      <c r="G88" s="197">
        <v>0</v>
      </c>
      <c r="H88" s="446">
        <f t="shared" si="17"/>
        <v>3</v>
      </c>
      <c r="I88" s="447">
        <f>J$15+N$15+N$15</f>
        <v>9.2000000000000011</v>
      </c>
      <c r="J88" s="447">
        <f t="shared" ref="J88:J119" si="21">I88*$O$2</f>
        <v>369.50204081632654</v>
      </c>
      <c r="K88" s="94">
        <f>SUMPRODUCT($E$13:$E$15,$J$16:$J$18)+SUMPRODUCT($E$17:$E$19,$N$16:$N$18)+SUMPRODUCT($E$31:$E$33,$N$16:$N$18)</f>
        <v>20</v>
      </c>
      <c r="L88" s="448">
        <f t="shared" si="18"/>
        <v>389.50204081632654</v>
      </c>
      <c r="M88" s="457">
        <f>SUMPRODUCT($C$13:$C$15,$J$16:$J$18)+SUMPRODUCT($C$17:$C$19,$N$16:$N$18)+SUMPRODUCT($C$31:$C$33,$N$16:$N$18)</f>
        <v>11</v>
      </c>
      <c r="N88" s="104">
        <f>SUMPRODUCT($D$13:$D$15,$J$16:$J$18)+SUMPRODUCT($D$17:$D$19,$N$16:$N$18)</f>
        <v>52.199999999999996</v>
      </c>
      <c r="O88" s="104">
        <f>SUMPRODUCT($D$31:$D$33,$N$16:$N$18)</f>
        <v>16</v>
      </c>
      <c r="P88" s="104">
        <v>0</v>
      </c>
      <c r="Q88" s="450">
        <f t="shared" si="19"/>
        <v>29.577906806303528</v>
      </c>
      <c r="R88" s="1310">
        <f>(J$15+1-$J$15)*$O$2+25</f>
        <v>65.16326530612244</v>
      </c>
      <c r="S88" s="1310">
        <f>(I88+1-$J$15)*$O$2+$E$13+$E$17+D88*$O$3</f>
        <v>438.6</v>
      </c>
      <c r="T88" s="1310">
        <v>0</v>
      </c>
      <c r="U88" s="451">
        <f t="shared" si="13"/>
        <v>1</v>
      </c>
      <c r="V88" s="451">
        <f t="shared" ref="V88:V119" si="22">IF(O88&gt;0,MIN(1,O88/Q88),0)</f>
        <v>0.54094429686248602</v>
      </c>
      <c r="W88" s="451">
        <v>0</v>
      </c>
      <c r="X88" s="452">
        <f t="shared" ref="X88:X119" si="23">MIN(1,H88*10/Q88)*fw+(1-(MIN(1,H88*10/Q88)))*1</f>
        <v>1</v>
      </c>
      <c r="Y88" s="447">
        <f t="shared" ref="Y88:Y119" si="24">(I88*avginst)*X88*$K$4</f>
        <v>8796.3197390748373</v>
      </c>
      <c r="Z88" s="447">
        <f t="shared" si="14"/>
        <v>5252.417051543368</v>
      </c>
      <c r="AA88" s="447">
        <f>SUMPRODUCT($F$31:$F$33,$N$16:$N$18)*MIN(Q88/O88,1)*X88</f>
        <v>1759.7269451999114</v>
      </c>
      <c r="AB88" s="447">
        <v>0</v>
      </c>
      <c r="AC88" s="447">
        <v>0</v>
      </c>
      <c r="AD88" s="447">
        <v>0</v>
      </c>
      <c r="AE88" s="447">
        <v>0</v>
      </c>
      <c r="AF88" s="448">
        <f t="shared" si="20"/>
        <v>15808.463735818115</v>
      </c>
      <c r="AG88" s="453">
        <f t="shared" ref="AG88:AG119" si="25">IF(AND(forceea,W88=0),0,IF(time=0, AF88/Q88, IF(time&lt;Q88, 0, AF88/Q88))*AQ88)</f>
        <v>534.46864375301493</v>
      </c>
      <c r="AH88" s="454">
        <f t="shared" si="15"/>
        <v>22.622093193696468</v>
      </c>
      <c r="AI88" s="104">
        <f t="shared" ref="AI88:AI119" si="26">O88-$Q88</f>
        <v>-13.577906806303528</v>
      </c>
      <c r="AJ88" s="455">
        <v>0</v>
      </c>
      <c r="AK88" s="456" t="str">
        <f>IF(instatk="Mut","1-3s/5-5s/5-5r",IF(Sealfate&gt;0,"1-2s/5-5s/5-5r","1s/5s/5r"))</f>
        <v>1s/5s/5r</v>
      </c>
      <c r="AL88">
        <f>IF(AND(OR(allowrupt,NOT(D88)),OR(AND(poison,allowenv),NOT(F88)),$X$2-AG88&lt;50),MAX($AL$55:$AL87)+1,"")</f>
        <v>23</v>
      </c>
      <c r="AO88">
        <f t="shared" si="12"/>
        <v>33</v>
      </c>
      <c r="AP88" t="str">
        <f t="shared" ref="AP88:AP119" si="27">IF(ISNA(INDEX($AK$56:$AK$284,MATCH(AO88,AL$56:AL$284,0))),"",INDEX($AK$56:$AK$284,MATCH(AO88,AL$56:AL$284,0)))</f>
        <v>5s/4r/3e</v>
      </c>
      <c r="AQ88" t="b">
        <v>1</v>
      </c>
    </row>
    <row r="89" spans="2:43" ht="12.75" customHeight="1">
      <c r="B89" t="s">
        <v>216</v>
      </c>
      <c r="C89" s="445">
        <v>2</v>
      </c>
      <c r="D89">
        <v>1</v>
      </c>
      <c r="E89" s="64">
        <v>0</v>
      </c>
      <c r="F89" s="197">
        <v>0</v>
      </c>
      <c r="G89" s="197">
        <v>0</v>
      </c>
      <c r="H89" s="446">
        <f t="shared" si="17"/>
        <v>3</v>
      </c>
      <c r="I89" s="447">
        <f>K$15+N$15+N$15</f>
        <v>10.200000000000001</v>
      </c>
      <c r="J89" s="447">
        <f t="shared" si="21"/>
        <v>409.66530612244901</v>
      </c>
      <c r="K89" s="94">
        <f>SUMPRODUCT($E$14:$E$16,$K$16:$K$18)+SUMPRODUCT($E$17:$E$19,$N$16:$N$18)+SUMPRODUCT($E$31:$E$33,$N$16:$N$18)</f>
        <v>15</v>
      </c>
      <c r="L89" s="448">
        <f t="shared" si="18"/>
        <v>424.66530612244901</v>
      </c>
      <c r="M89" s="457">
        <f>SUMPRODUCT($C$14:$C$16,$K$16:$K$18)+SUMPRODUCT($C$17:$C$19,$N$16:$N$18)+SUMPRODUCT($C$31:$C$33,$N$16:$N$18)</f>
        <v>12</v>
      </c>
      <c r="N89" s="104">
        <f>SUMPRODUCT($D$14:$D$16,$K$16:$K$18)+SUMPRODUCT($D$17:$D$19,$N$16:$N$18)</f>
        <v>56.55</v>
      </c>
      <c r="O89" s="104">
        <f>SUMPRODUCT($D$31:$D$33,$N$16:$N$18)</f>
        <v>16</v>
      </c>
      <c r="P89" s="104">
        <v>0</v>
      </c>
      <c r="Q89" s="450">
        <f t="shared" si="19"/>
        <v>32.248125894373118</v>
      </c>
      <c r="R89" s="1310">
        <f>(K$15+1-$J$15)*$O$2+25</f>
        <v>105.32653061224489</v>
      </c>
      <c r="S89" s="1310">
        <f>(I89+1-$J$15)*$O$2+$E$14+$E$17+D89*$O$3</f>
        <v>473.76326530612243</v>
      </c>
      <c r="T89" s="1310">
        <v>0</v>
      </c>
      <c r="U89" s="451">
        <f t="shared" si="13"/>
        <v>1</v>
      </c>
      <c r="V89" s="451">
        <f t="shared" si="22"/>
        <v>0.49615286334489889</v>
      </c>
      <c r="W89" s="451">
        <v>0</v>
      </c>
      <c r="X89" s="452">
        <f t="shared" si="23"/>
        <v>1</v>
      </c>
      <c r="Y89" s="447">
        <f t="shared" si="24"/>
        <v>9752.4414498438418</v>
      </c>
      <c r="Z89" s="447">
        <f t="shared" si="14"/>
        <v>5726.5920620124771</v>
      </c>
      <c r="AA89" s="447">
        <f>SUMPRODUCT($F$31:$F$33,$N$16:$N$18)*MIN(Q89/O89,1)*X89</f>
        <v>1759.7269451999114</v>
      </c>
      <c r="AB89" s="447">
        <v>0</v>
      </c>
      <c r="AC89" s="447">
        <v>0</v>
      </c>
      <c r="AD89" s="447">
        <v>0</v>
      </c>
      <c r="AE89" s="447">
        <v>0</v>
      </c>
      <c r="AF89" s="448">
        <f t="shared" si="20"/>
        <v>17238.760457056233</v>
      </c>
      <c r="AG89" s="453">
        <f t="shared" si="25"/>
        <v>534.56627258032916</v>
      </c>
      <c r="AH89" s="454">
        <f t="shared" si="15"/>
        <v>24.301874105626879</v>
      </c>
      <c r="AI89" s="104">
        <f t="shared" si="26"/>
        <v>-16.248125894373118</v>
      </c>
      <c r="AJ89" s="455">
        <v>0</v>
      </c>
      <c r="AK89" s="456" t="str">
        <f>IF(instatk="Mut","2-4s/5-5s/5-5r",IF(Sealfate&gt;0,"2-3s/5-5s/5-5r","2s/5s/5r"))</f>
        <v>2s/5s/5r</v>
      </c>
      <c r="AL89">
        <f>IF(AND(OR(allowrupt,NOT(D89)),OR(AND(poison,allowenv),NOT(F89)),$X$2-AG89&lt;50),MAX($AL$55:$AL88)+1,"")</f>
        <v>24</v>
      </c>
      <c r="AO89">
        <f t="shared" si="12"/>
        <v>34</v>
      </c>
      <c r="AP89" t="str">
        <f t="shared" si="27"/>
        <v>3s/5r/3e</v>
      </c>
      <c r="AQ89" t="b">
        <v>1</v>
      </c>
    </row>
    <row r="90" spans="2:43">
      <c r="B90" t="s">
        <v>124</v>
      </c>
      <c r="C90" s="445">
        <v>2</v>
      </c>
      <c r="D90">
        <v>1</v>
      </c>
      <c r="E90" s="64">
        <v>0</v>
      </c>
      <c r="F90" s="197">
        <v>0</v>
      </c>
      <c r="G90" s="197">
        <v>0</v>
      </c>
      <c r="H90" s="446">
        <f t="shared" si="17"/>
        <v>3</v>
      </c>
      <c r="I90" s="447">
        <f>L$15+N$15+N$15</f>
        <v>11.200000000000001</v>
      </c>
      <c r="J90" s="447">
        <f t="shared" si="21"/>
        <v>449.82857142857148</v>
      </c>
      <c r="K90" s="94">
        <f>SUMPRODUCT($E$15:$E$17,$L$16:$L$18)+SUMPRODUCT($E$17:$E$19,$N$16:$N$18)+SUMPRODUCT($E$31:$E$33,$N$16:$N$18)</f>
        <v>10</v>
      </c>
      <c r="L90" s="448">
        <f t="shared" si="18"/>
        <v>459.82857142857148</v>
      </c>
      <c r="M90" s="457">
        <f>SUMPRODUCT($C$15:$C$17,$L$16:$L$18)+SUMPRODUCT($C$17:$C$19,$N$16:$N$18)+SUMPRODUCT($C$31:$C$33,$N$16:$N$18)</f>
        <v>13</v>
      </c>
      <c r="N90" s="104">
        <f>SUMPRODUCT($D$15:$D$17,$L$16:$L$18)+SUMPRODUCT($D$17:$D$19,$N$16:$N$18)</f>
        <v>60.899999999999991</v>
      </c>
      <c r="O90" s="104">
        <f>SUMPRODUCT($D$31:$D$33,$N$16:$N$18)</f>
        <v>16</v>
      </c>
      <c r="P90" s="104">
        <v>0</v>
      </c>
      <c r="Q90" s="450">
        <f t="shared" si="19"/>
        <v>34.918344982442711</v>
      </c>
      <c r="R90" s="1310">
        <f>(L$15+1-$J$15)*$O$2+25</f>
        <v>145.48979591836735</v>
      </c>
      <c r="S90" s="1310">
        <f>(I90+1-$J$15)*$O$2+$E$15+$E$17+D90*$O$3</f>
        <v>508.9265306122449</v>
      </c>
      <c r="T90" s="1310">
        <v>0</v>
      </c>
      <c r="U90" s="451">
        <f t="shared" si="13"/>
        <v>1</v>
      </c>
      <c r="V90" s="451">
        <f t="shared" si="22"/>
        <v>0.45821186565528688</v>
      </c>
      <c r="W90" s="451">
        <v>0</v>
      </c>
      <c r="X90" s="452">
        <f t="shared" si="23"/>
        <v>1</v>
      </c>
      <c r="Y90" s="447">
        <f t="shared" si="24"/>
        <v>10708.563160612846</v>
      </c>
      <c r="Z90" s="447">
        <f t="shared" si="14"/>
        <v>6200.7670724815862</v>
      </c>
      <c r="AA90" s="447">
        <f>SUMPRODUCT($F$31:$F$33,$N$16:$N$18)*MIN(Q90/O90,1)*X90</f>
        <v>1759.7269451999114</v>
      </c>
      <c r="AB90" s="447">
        <v>0</v>
      </c>
      <c r="AC90" s="447">
        <v>0</v>
      </c>
      <c r="AD90" s="447">
        <v>0</v>
      </c>
      <c r="AE90" s="447">
        <v>0</v>
      </c>
      <c r="AF90" s="448">
        <f t="shared" si="20"/>
        <v>18669.057178294344</v>
      </c>
      <c r="AG90" s="453">
        <f t="shared" si="25"/>
        <v>534.64896998071731</v>
      </c>
      <c r="AH90" s="454">
        <f t="shared" si="15"/>
        <v>25.98165501755728</v>
      </c>
      <c r="AI90" s="104">
        <f t="shared" si="26"/>
        <v>-18.918344982442711</v>
      </c>
      <c r="AJ90" s="455">
        <v>0</v>
      </c>
      <c r="AK90" s="456" t="str">
        <f>IF(instatk="Mut","3-5s/5-5s/5-5r",IF(Sealfate&gt;0,"3-4s/5-5s/5-5r","3s/5s/5r"))</f>
        <v>3s/5s/5r</v>
      </c>
      <c r="AL90">
        <f>IF(AND(OR(allowrupt,NOT(D90)),OR(AND(poison,allowenv),NOT(F90)),$X$2-AG90&lt;50),MAX($AL$55:$AL89)+1,"")</f>
        <v>25</v>
      </c>
      <c r="AO90">
        <f t="shared" si="12"/>
        <v>35</v>
      </c>
      <c r="AP90" t="str">
        <f t="shared" si="27"/>
        <v>4s/5r/3e</v>
      </c>
      <c r="AQ90" t="b">
        <v>1</v>
      </c>
    </row>
    <row r="91" spans="2:43" ht="12.75" customHeight="1">
      <c r="B91" t="s">
        <v>364</v>
      </c>
      <c r="C91" s="445">
        <v>1</v>
      </c>
      <c r="D91">
        <v>1</v>
      </c>
      <c r="E91">
        <v>1</v>
      </c>
      <c r="F91" s="197">
        <v>0</v>
      </c>
      <c r="G91" s="197">
        <v>0</v>
      </c>
      <c r="H91" s="446">
        <f t="shared" si="17"/>
        <v>3</v>
      </c>
      <c r="I91" s="447">
        <f>J$15+L$15+L$15</f>
        <v>5.1999999999999993</v>
      </c>
      <c r="J91" s="447">
        <f t="shared" si="21"/>
        <v>208.8489795918367</v>
      </c>
      <c r="K91" s="94">
        <f>SUMPRODUCT($E$13:$E$15,$J$16:$J$18)+SUMPRODUCT($E$29:$E$31,$L$16:$L$18)+SUMPRODUCT($E$22:$E$24,$L$16:$L$18)</f>
        <v>50</v>
      </c>
      <c r="L91" s="448">
        <f t="shared" si="18"/>
        <v>258.84897959183672</v>
      </c>
      <c r="M91" s="457">
        <f>SUMPRODUCT($C$13:$C$15,$J$16:$J$18)+SUMPRODUCT($C$29:$C$31,$L$16:$L$18)+SUMPRODUCT($C$22:$C$24,$L$16:$L$18)</f>
        <v>7</v>
      </c>
      <c r="N91" s="104">
        <f>SUMPRODUCT($D$13:$D$15,$J$16:$J$18)</f>
        <v>17.399999999999999</v>
      </c>
      <c r="O91" s="104">
        <f>SUMPRODUCT($D$29:$D$31,$L$16:$L$18)</f>
        <v>12</v>
      </c>
      <c r="P91" s="104">
        <v>0</v>
      </c>
      <c r="Q91" s="450">
        <f t="shared" si="19"/>
        <v>19.797223273709182</v>
      </c>
      <c r="R91" s="1310">
        <f>(J$15+1-$J$15)*$O$2+25</f>
        <v>65.16326530612244</v>
      </c>
      <c r="S91" s="1310">
        <f>(J$15+L$15+1-$J$15)*$O$2+$E$13+D91*$O$3</f>
        <v>181.55510204081631</v>
      </c>
      <c r="T91" s="1310">
        <v>0</v>
      </c>
      <c r="U91" s="451">
        <f t="shared" si="13"/>
        <v>0.87891113614439509</v>
      </c>
      <c r="V91" s="451">
        <f t="shared" si="22"/>
        <v>0.60614561113406562</v>
      </c>
      <c r="W91" s="451">
        <v>0</v>
      </c>
      <c r="X91" s="452">
        <f t="shared" si="23"/>
        <v>1</v>
      </c>
      <c r="Y91" s="447">
        <f t="shared" si="24"/>
        <v>4971.8328959988194</v>
      </c>
      <c r="Z91" s="447">
        <f t="shared" si="14"/>
        <v>3089.8757405435285</v>
      </c>
      <c r="AA91" s="447">
        <f>SUMPRODUCT($F$29:$F$31,$L$16:$L$18)*MIN(Q91/O91,1)*X91</f>
        <v>1187.7952088999336</v>
      </c>
      <c r="AB91">
        <f t="shared" ref="AB91:AB105" si="28">SUMPRODUCT($F$22:$F$24,$L$16:$L$18)*X91</f>
        <v>921.65006995070587</v>
      </c>
      <c r="AC91" s="447">
        <v>0</v>
      </c>
      <c r="AD91" s="447">
        <v>0</v>
      </c>
      <c r="AE91" s="447">
        <v>0</v>
      </c>
      <c r="AF91" s="448">
        <f t="shared" si="20"/>
        <v>10171.153915392986</v>
      </c>
      <c r="AG91" s="453">
        <f t="shared" si="25"/>
        <v>513.76669216537721</v>
      </c>
      <c r="AH91" s="454">
        <f t="shared" si="15"/>
        <v>-2.3972232737091836</v>
      </c>
      <c r="AI91" s="104">
        <f t="shared" si="26"/>
        <v>-7.7972232737091822</v>
      </c>
      <c r="AJ91" s="455">
        <v>0</v>
      </c>
      <c r="AK91" s="456" t="str">
        <f>IF(instatk="Mut","1-3s/3-5r/3-5e",IF(Sealfate&gt;0,"1-2s/3-4r/3-4e","1s/3r/3e"))</f>
        <v>1s/3r/3e</v>
      </c>
      <c r="AL91" t="str">
        <f>IF(AND(OR(allowrupt,NOT(D91)),OR(AND(poison,allowenv),NOT(F91)),$X$2-AG91&lt;50),MAX($AL$55:$AL90)+1,"")</f>
        <v/>
      </c>
      <c r="AO91">
        <f t="shared" si="12"/>
        <v>36</v>
      </c>
      <c r="AP91" t="str">
        <f t="shared" si="27"/>
        <v>5s/5r/3e</v>
      </c>
      <c r="AQ91" t="b">
        <v>1</v>
      </c>
    </row>
    <row r="92" spans="2:43" ht="12.75" customHeight="1">
      <c r="B92" t="s">
        <v>365</v>
      </c>
      <c r="C92" s="445">
        <v>1</v>
      </c>
      <c r="D92">
        <v>1</v>
      </c>
      <c r="E92">
        <v>1</v>
      </c>
      <c r="F92" s="197">
        <v>0</v>
      </c>
      <c r="G92" s="197">
        <v>0</v>
      </c>
      <c r="H92" s="446">
        <f t="shared" si="17"/>
        <v>3</v>
      </c>
      <c r="I92" s="447">
        <f>K$15+L$15+L$15</f>
        <v>6.1999999999999993</v>
      </c>
      <c r="J92" s="447">
        <f t="shared" si="21"/>
        <v>249.01224489795914</v>
      </c>
      <c r="K92" s="94">
        <f>SUMPRODUCT($E$14:$E$16,$K$16:$K$18)+SUMPRODUCT($E$29:$E$31,$L$16:$L$18)+SUMPRODUCT($E$22:$E$24,$L$16:$L$18)</f>
        <v>45</v>
      </c>
      <c r="L92" s="448">
        <f t="shared" si="18"/>
        <v>294.01224489795914</v>
      </c>
      <c r="M92" s="457">
        <f>SUMPRODUCT($C$14:$C$16,$K$16:$K$18)+SUMPRODUCT($C$29:$C$31,$L$16:$L$18)+SUMPRODUCT($C$22:$C$24,$L$16:$L$18)</f>
        <v>8</v>
      </c>
      <c r="N92" s="104">
        <f>SUMPRODUCT($D$14:$D$16,$K$16:$K$18)</f>
        <v>21.75</v>
      </c>
      <c r="O92" s="104">
        <f>SUMPRODUCT($D$29:$D$31,$L$16:$L$18)</f>
        <v>12</v>
      </c>
      <c r="P92" s="104">
        <v>0</v>
      </c>
      <c r="Q92" s="450">
        <f t="shared" si="19"/>
        <v>22.362612484772807</v>
      </c>
      <c r="R92" s="1310">
        <f>(K$15+1-$J$15)*$O$2+25</f>
        <v>105.32653061224489</v>
      </c>
      <c r="S92" s="1310">
        <f>(K$15+L$15+1-$J$15)*$O$2+$E$14+D92*$O$3</f>
        <v>216.71836734693878</v>
      </c>
      <c r="T92" s="1310">
        <v>0</v>
      </c>
      <c r="U92" s="451">
        <f t="shared" si="13"/>
        <v>0.9726055046032771</v>
      </c>
      <c r="V92" s="451">
        <f t="shared" si="22"/>
        <v>0.53660993357422182</v>
      </c>
      <c r="W92" s="451">
        <v>0</v>
      </c>
      <c r="X92" s="452">
        <f t="shared" si="23"/>
        <v>1</v>
      </c>
      <c r="Y92" s="447">
        <f t="shared" si="24"/>
        <v>5927.9546067678239</v>
      </c>
      <c r="Z92" s="447">
        <f t="shared" si="14"/>
        <v>3862.3446756794115</v>
      </c>
      <c r="AA92" s="447">
        <f>SUMPRODUCT($F$29:$F$31,$L$16:$L$18)*MIN(Q92/O92,1)*X92</f>
        <v>1187.7952088999336</v>
      </c>
      <c r="AB92">
        <f t="shared" si="28"/>
        <v>921.65006995070587</v>
      </c>
      <c r="AC92" s="447">
        <v>0</v>
      </c>
      <c r="AD92" s="447">
        <v>0</v>
      </c>
      <c r="AE92" s="447">
        <v>0</v>
      </c>
      <c r="AF92" s="448">
        <f t="shared" si="20"/>
        <v>11899.744561297874</v>
      </c>
      <c r="AG92" s="453">
        <f t="shared" si="25"/>
        <v>532.12676154902158</v>
      </c>
      <c r="AH92" s="454">
        <f t="shared" si="15"/>
        <v>-0.61261248477280716</v>
      </c>
      <c r="AI92" s="104">
        <f t="shared" si="26"/>
        <v>-10.362612484772807</v>
      </c>
      <c r="AJ92" s="455">
        <v>0</v>
      </c>
      <c r="AK92" s="456" t="str">
        <f>IF(instatk="Mut","2-4s/3-5r/3-5e",IF(Sealfate&gt;0,"2-3s/3-4r/3-4e","2s/3r/3e"))</f>
        <v>2s/3r/3e</v>
      </c>
      <c r="AL92">
        <f>IF(AND(OR(allowrupt,NOT(D92)),OR(AND(poison,allowenv),NOT(F92)),$X$2-AG92&lt;50),MAX($AL$55:$AL91)+1,"")</f>
        <v>26</v>
      </c>
      <c r="AO92">
        <f t="shared" si="12"/>
        <v>37</v>
      </c>
      <c r="AP92" t="str">
        <f t="shared" si="27"/>
        <v>2s/3r/4e</v>
      </c>
      <c r="AQ92" t="b">
        <v>1</v>
      </c>
    </row>
    <row r="93" spans="2:43" ht="12.75" customHeight="1">
      <c r="B93" t="s">
        <v>366</v>
      </c>
      <c r="C93" s="445">
        <v>1</v>
      </c>
      <c r="D93">
        <v>1</v>
      </c>
      <c r="E93">
        <v>1</v>
      </c>
      <c r="F93" s="197">
        <v>0</v>
      </c>
      <c r="G93" s="197">
        <v>0</v>
      </c>
      <c r="H93" s="446">
        <f t="shared" si="17"/>
        <v>3</v>
      </c>
      <c r="I93" s="447">
        <f>L$15+L$15+L$15</f>
        <v>7.1999999999999993</v>
      </c>
      <c r="J93" s="447">
        <f t="shared" si="21"/>
        <v>289.1755102040816</v>
      </c>
      <c r="K93" s="94">
        <f>SUMPRODUCT($E$15:$E$17,$L$16:$L$18)+SUMPRODUCT($E$29:$E$31,$L$16:$L$18)+SUMPRODUCT($E$22:$E$24,$L$16:$L$18)</f>
        <v>40</v>
      </c>
      <c r="L93" s="448">
        <f t="shared" si="18"/>
        <v>329.1755102040816</v>
      </c>
      <c r="M93" s="457">
        <f>SUMPRODUCT($C$15:$C$17,$L$16:$L$18)+SUMPRODUCT($C$29:$C$31,$L$16:$L$18)+SUMPRODUCT($C$22:$C$24,$L$16:$L$18)</f>
        <v>9</v>
      </c>
      <c r="N93" s="104">
        <f>SUMPRODUCT($D$15:$D$17,$L$16:$L$18)</f>
        <v>26.099999999999998</v>
      </c>
      <c r="O93" s="104">
        <f>SUMPRODUCT($D$29:$D$31,$L$16:$L$18)</f>
        <v>12</v>
      </c>
      <c r="P93" s="104">
        <v>0</v>
      </c>
      <c r="Q93" s="450">
        <f t="shared" si="19"/>
        <v>24.996846084113326</v>
      </c>
      <c r="R93" s="1310">
        <f>(L$15+1-$J$15)*$O$2+25</f>
        <v>145.48979591836735</v>
      </c>
      <c r="S93" s="1310">
        <f>(L$15+L$15+1-$J$15)*$O$2+$E$15+D93*$O$3</f>
        <v>251.88163265306122</v>
      </c>
      <c r="T93" s="1310">
        <v>0</v>
      </c>
      <c r="U93" s="451">
        <f t="shared" ref="U93:U124" si="29">IF(N93&gt;0,MIN(1,N93/Q93),0)</f>
        <v>1</v>
      </c>
      <c r="V93" s="451">
        <f t="shared" si="22"/>
        <v>0.48006056282542642</v>
      </c>
      <c r="W93" s="451">
        <v>0</v>
      </c>
      <c r="X93" s="452">
        <f t="shared" si="23"/>
        <v>1</v>
      </c>
      <c r="Y93" s="447">
        <f t="shared" si="24"/>
        <v>6884.0763175368284</v>
      </c>
      <c r="Z93" s="447">
        <f t="shared" ref="Z93:Z124" si="30">Q93*U93*$O$6*(sndfact-1)*$K$4</f>
        <v>4438.9165692759934</v>
      </c>
      <c r="AA93" s="447">
        <f>SUMPRODUCT($F$29:$F$31,$L$16:$L$18)*MIN(Q93/O93,1)*X93</f>
        <v>1187.7952088999336</v>
      </c>
      <c r="AB93">
        <f t="shared" si="28"/>
        <v>921.65006995070587</v>
      </c>
      <c r="AC93" s="447">
        <v>0</v>
      </c>
      <c r="AD93" s="447">
        <v>0</v>
      </c>
      <c r="AE93" s="447">
        <v>0</v>
      </c>
      <c r="AF93" s="448">
        <f t="shared" si="20"/>
        <v>13432.438165663461</v>
      </c>
      <c r="AG93" s="453">
        <f t="shared" si="25"/>
        <v>537.36531882717838</v>
      </c>
      <c r="AH93" s="454">
        <f t="shared" ref="AH93:AH124" si="31">N93-$Q93</f>
        <v>1.1031539158866721</v>
      </c>
      <c r="AI93" s="104">
        <f t="shared" si="26"/>
        <v>-12.996846084113326</v>
      </c>
      <c r="AJ93" s="455">
        <v>0</v>
      </c>
      <c r="AK93" s="456" t="str">
        <f>IF(instatk="Mut","3-5s/3-5r/3-5e",IF(Sealfate&gt;0,"3-4s/3-4r/3-4e","3s/3r/3e"))</f>
        <v>3s/3r/3e</v>
      </c>
      <c r="AL93">
        <f>IF(AND(OR(allowrupt,NOT(D93)),OR(AND(poison,allowenv),NOT(F93)),$X$2-AG93&lt;50),MAX($AL$55:$AL92)+1,"")</f>
        <v>27</v>
      </c>
      <c r="AO93">
        <f t="shared" si="12"/>
        <v>38</v>
      </c>
      <c r="AP93" t="str">
        <f t="shared" si="27"/>
        <v>3s/3r/4e</v>
      </c>
      <c r="AQ93" t="b">
        <v>1</v>
      </c>
    </row>
    <row r="94" spans="2:43" ht="12.75" customHeight="1">
      <c r="B94" t="s">
        <v>367</v>
      </c>
      <c r="C94" s="445">
        <v>1</v>
      </c>
      <c r="D94">
        <v>1</v>
      </c>
      <c r="E94">
        <v>1</v>
      </c>
      <c r="F94" s="197">
        <v>0</v>
      </c>
      <c r="G94" s="197">
        <v>0</v>
      </c>
      <c r="H94" s="446">
        <f t="shared" si="17"/>
        <v>3</v>
      </c>
      <c r="I94" s="447">
        <f>M$15+L$15+L$15</f>
        <v>8.1999999999999993</v>
      </c>
      <c r="J94" s="447">
        <f t="shared" si="21"/>
        <v>329.33877551020402</v>
      </c>
      <c r="K94" s="94">
        <f>SUMPRODUCT($E$16:$E$18,$M$16:$M$18)+SUMPRODUCT($E$29:$E$31,$L$16:$L$18)+SUMPRODUCT($E$22:$E$24,$L$16:$L$18)</f>
        <v>35</v>
      </c>
      <c r="L94" s="448">
        <f t="shared" si="18"/>
        <v>364.33877551020402</v>
      </c>
      <c r="M94" s="457">
        <f>SUMPRODUCT($C$16:$C$18,$M$16:$M$18)+SUMPRODUCT($C$29:$C$31,$L$16:$L$18)+SUMPRODUCT($C$22:$C$24,$L$16:$L$18)</f>
        <v>10</v>
      </c>
      <c r="N94" s="104">
        <f>SUMPRODUCT($D$16:$D$18,$M$16:$M$18)</f>
        <v>30.45</v>
      </c>
      <c r="O94" s="104">
        <f>SUMPRODUCT($D$29:$D$31,$L$16:$L$18)</f>
        <v>12</v>
      </c>
      <c r="P94" s="104">
        <v>0</v>
      </c>
      <c r="Q94" s="450">
        <f t="shared" si="19"/>
        <v>27.667065172182912</v>
      </c>
      <c r="R94" s="1310">
        <f>(M$15+1-$J$15)*$O$2+25</f>
        <v>185.65306122448979</v>
      </c>
      <c r="S94" s="1310">
        <f>(M$15+L$15+1-$J$15)*$O$2+$E$16+D94*$O$3</f>
        <v>287.04489795918369</v>
      </c>
      <c r="T94" s="1310">
        <v>0</v>
      </c>
      <c r="U94" s="451">
        <f t="shared" si="29"/>
        <v>1</v>
      </c>
      <c r="V94" s="451">
        <f t="shared" si="22"/>
        <v>0.43372869241169348</v>
      </c>
      <c r="W94" s="451">
        <v>0</v>
      </c>
      <c r="X94" s="452">
        <f t="shared" si="23"/>
        <v>1</v>
      </c>
      <c r="Y94" s="447">
        <f t="shared" si="24"/>
        <v>7840.1980283058319</v>
      </c>
      <c r="Z94" s="447">
        <f t="shared" si="30"/>
        <v>4913.0915797451016</v>
      </c>
      <c r="AA94" s="447">
        <f>SUMPRODUCT($F$29:$F$31,$L$16:$L$18)*MIN(Q94/O94,1)*X94</f>
        <v>1187.7952088999336</v>
      </c>
      <c r="AB94">
        <f t="shared" si="28"/>
        <v>921.65006995070587</v>
      </c>
      <c r="AC94" s="447">
        <v>0</v>
      </c>
      <c r="AD94" s="447">
        <v>0</v>
      </c>
      <c r="AE94" s="447">
        <v>0</v>
      </c>
      <c r="AF94" s="448">
        <f t="shared" si="20"/>
        <v>14862.734886901573</v>
      </c>
      <c r="AG94" s="453">
        <f t="shared" si="25"/>
        <v>537.19954734645648</v>
      </c>
      <c r="AH94" s="454">
        <f t="shared" si="31"/>
        <v>2.7829348278170869</v>
      </c>
      <c r="AI94" s="104">
        <f t="shared" si="26"/>
        <v>-15.667065172182912</v>
      </c>
      <c r="AJ94" s="455">
        <v>0</v>
      </c>
      <c r="AK94" s="456" t="str">
        <f>IF(instatk="Mut","4-5s/3-5r/3-5e",IF(Sealfate&gt;0,"4-5s/3-4r/3-4e","4s/3r/3e"))</f>
        <v>4s/3r/3e</v>
      </c>
      <c r="AL94">
        <f>IF(AND(OR(allowrupt,NOT(D94)),OR(AND(poison,allowenv),NOT(F94)),$X$2-AG94&lt;50),MAX($AL$55:$AL93)+1,"")</f>
        <v>28</v>
      </c>
      <c r="AO94">
        <f t="shared" si="12"/>
        <v>39</v>
      </c>
      <c r="AP94" t="str">
        <f t="shared" si="27"/>
        <v>4s/3r/4e</v>
      </c>
      <c r="AQ94" t="b">
        <v>1</v>
      </c>
    </row>
    <row r="95" spans="2:43" ht="12.75" customHeight="1">
      <c r="B95" t="s">
        <v>368</v>
      </c>
      <c r="C95" s="445">
        <v>1</v>
      </c>
      <c r="D95">
        <v>1</v>
      </c>
      <c r="E95">
        <v>1</v>
      </c>
      <c r="F95" s="197">
        <v>0</v>
      </c>
      <c r="G95" s="197">
        <v>0</v>
      </c>
      <c r="H95" s="446">
        <f t="shared" si="17"/>
        <v>3</v>
      </c>
      <c r="I95" s="447">
        <f>N$15+L$15+L$15</f>
        <v>9.2000000000000011</v>
      </c>
      <c r="J95" s="447">
        <f t="shared" si="21"/>
        <v>369.50204081632654</v>
      </c>
      <c r="K95" s="94">
        <f>SUMPRODUCT($E$17:$E$19,$N$16:$N$18)+SUMPRODUCT($E$29:$E$31,$L$16:$L$18)+SUMPRODUCT($E$22:$E$24,$L$16:$L$18)</f>
        <v>30</v>
      </c>
      <c r="L95" s="448">
        <f t="shared" si="18"/>
        <v>399.50204081632654</v>
      </c>
      <c r="M95" s="457">
        <f>SUMPRODUCT($C$17:$C$19,$N$16:$N$18)+SUMPRODUCT($C$29:$C$31,$L$16:$L$18)+SUMPRODUCT($C$22:$C$24,$L$16:$L$18)</f>
        <v>11</v>
      </c>
      <c r="N95" s="104">
        <f>SUMPRODUCT($D$17:$D$19,$N$16:$N$18)</f>
        <v>34.799999999999997</v>
      </c>
      <c r="O95" s="104">
        <f>SUMPRODUCT($D$29:$D$31,$L$16:$L$18)</f>
        <v>12</v>
      </c>
      <c r="P95" s="104">
        <v>0</v>
      </c>
      <c r="Q95" s="450">
        <f t="shared" ref="Q95:Q100" si="32">IF(N95&gt;L95/sndeps,L95/sndeps,N95+(L95/sndeps-N95)*sndeps/eps)</f>
        <v>30.33728426025251</v>
      </c>
      <c r="R95" s="1310">
        <f>(N$15+1-$J$15)*$O$2+25</f>
        <v>225.81632653061223</v>
      </c>
      <c r="S95" s="1310">
        <f>(N$15+L$15+1-$J$15)*$O$2+$E$17+D95*$O$3</f>
        <v>322.2081632653061</v>
      </c>
      <c r="T95" s="1310">
        <v>0</v>
      </c>
      <c r="U95" s="451">
        <f t="shared" si="29"/>
        <v>1</v>
      </c>
      <c r="V95" s="451">
        <f t="shared" si="22"/>
        <v>0.39555287470876999</v>
      </c>
      <c r="W95" s="451">
        <v>0</v>
      </c>
      <c r="X95" s="452">
        <f t="shared" si="23"/>
        <v>1</v>
      </c>
      <c r="Y95" s="447">
        <f t="shared" si="24"/>
        <v>8796.3197390748373</v>
      </c>
      <c r="Z95" s="447">
        <f t="shared" si="30"/>
        <v>5387.2665902142116</v>
      </c>
      <c r="AA95" s="447">
        <f>SUMPRODUCT($F$29:$F$31,$L$16:$L$18)*MIN(Q95/O95,1)*X95</f>
        <v>1187.7952088999336</v>
      </c>
      <c r="AB95">
        <f t="shared" si="28"/>
        <v>921.65006995070587</v>
      </c>
      <c r="AC95" s="447">
        <v>0</v>
      </c>
      <c r="AD95" s="447">
        <v>0</v>
      </c>
      <c r="AE95" s="447">
        <v>0</v>
      </c>
      <c r="AF95" s="448">
        <f t="shared" si="20"/>
        <v>16293.031608139689</v>
      </c>
      <c r="AG95" s="453">
        <f t="shared" si="25"/>
        <v>537.06295752670894</v>
      </c>
      <c r="AH95" s="454">
        <f t="shared" si="31"/>
        <v>4.4627157397474875</v>
      </c>
      <c r="AI95" s="104">
        <f t="shared" si="26"/>
        <v>-18.33728426025251</v>
      </c>
      <c r="AJ95" s="455">
        <v>0</v>
      </c>
      <c r="AK95" s="456" t="str">
        <f>IF(instatk="Mut","5-5s/3-5r/3-5e",IF(Sealfate&gt;0,"5-5s/3-4r/3-4e","5s/3r/3e"))</f>
        <v>5s/3r/3e</v>
      </c>
      <c r="AL95">
        <f>IF(AND(OR(allowrupt,NOT(D95)),OR(AND(poison,allowenv),NOT(F95)),$X$2-AG95&lt;50),MAX($AL$55:$AL94)+1,"")</f>
        <v>29</v>
      </c>
      <c r="AO95">
        <f t="shared" si="12"/>
        <v>40</v>
      </c>
      <c r="AP95" t="str">
        <f t="shared" si="27"/>
        <v>5s/3r/4e</v>
      </c>
      <c r="AQ95" t="b">
        <v>1</v>
      </c>
    </row>
    <row r="96" spans="2:43" ht="12.75" customHeight="1">
      <c r="B96" t="s">
        <v>197</v>
      </c>
      <c r="C96" s="445">
        <v>1</v>
      </c>
      <c r="D96">
        <v>1</v>
      </c>
      <c r="E96">
        <v>1</v>
      </c>
      <c r="F96" s="197">
        <v>0</v>
      </c>
      <c r="G96" s="197">
        <v>0</v>
      </c>
      <c r="H96" s="446">
        <f t="shared" si="17"/>
        <v>3</v>
      </c>
      <c r="I96" s="447">
        <f>J$15+M$15+L$15</f>
        <v>6.1999999999999993</v>
      </c>
      <c r="J96" s="447">
        <f t="shared" si="21"/>
        <v>249.01224489795914</v>
      </c>
      <c r="K96" s="94">
        <f>SUMPRODUCT($E$13:$E$15,$J$16:$J$18)+SUMPRODUCT($E$30:$E$32,$M$16:$M$18)+SUMPRODUCT($E$22:$E$24,$L$16:$L$18)</f>
        <v>45</v>
      </c>
      <c r="L96" s="448">
        <f t="shared" si="18"/>
        <v>294.01224489795914</v>
      </c>
      <c r="M96" s="457">
        <f>SUMPRODUCT($C$13:$C$15,$J$16:$J$18)+SUMPRODUCT($C$30:$C$32,$M$16:$M$18)+SUMPRODUCT($C$22:$C$24,$L$16:$L$18)</f>
        <v>8</v>
      </c>
      <c r="N96" s="104">
        <f>SUMPRODUCT($D$13:$D$15,$J$16:$J$18)</f>
        <v>17.399999999999999</v>
      </c>
      <c r="O96" s="104">
        <f>SUMPRODUCT($D$30:$D$32,$M$16:$M$18)</f>
        <v>14</v>
      </c>
      <c r="P96" s="104">
        <v>0</v>
      </c>
      <c r="Q96" s="450">
        <f t="shared" si="32"/>
        <v>22.634082390006995</v>
      </c>
      <c r="R96" s="1310">
        <f>(J$15+1-$J$15)*$O$2+25</f>
        <v>65.16326530612244</v>
      </c>
      <c r="S96" s="1310">
        <f>(J$15+M$15+1-$J$15)*$O$2+$E$13+D96*$O$3</f>
        <v>221.71836734693878</v>
      </c>
      <c r="T96" s="1310">
        <v>0</v>
      </c>
      <c r="U96" s="451">
        <f t="shared" si="29"/>
        <v>0.76875217206429114</v>
      </c>
      <c r="V96" s="451">
        <f t="shared" si="22"/>
        <v>0.61853623039655614</v>
      </c>
      <c r="W96" s="451">
        <v>0</v>
      </c>
      <c r="X96" s="452">
        <f t="shared" si="23"/>
        <v>1</v>
      </c>
      <c r="Y96" s="447">
        <f t="shared" si="24"/>
        <v>5927.9546067678239</v>
      </c>
      <c r="Z96" s="447">
        <f t="shared" si="30"/>
        <v>3089.8757405435285</v>
      </c>
      <c r="AA96" s="447">
        <f>SUMPRODUCT($F$30:$F$32,$M$16:$M$18)*MIN(Q96/O96,1)*X96</f>
        <v>1462.7610770499225</v>
      </c>
      <c r="AB96">
        <f t="shared" si="28"/>
        <v>921.65006995070587</v>
      </c>
      <c r="AC96" s="447">
        <v>0</v>
      </c>
      <c r="AD96" s="447">
        <v>0</v>
      </c>
      <c r="AE96" s="447">
        <v>0</v>
      </c>
      <c r="AF96" s="448">
        <f t="shared" si="20"/>
        <v>11402.24149431198</v>
      </c>
      <c r="AG96" s="453">
        <f t="shared" si="25"/>
        <v>503.76424799735196</v>
      </c>
      <c r="AH96" s="454">
        <f t="shared" si="31"/>
        <v>-5.2340823900069964</v>
      </c>
      <c r="AI96" s="104">
        <f t="shared" si="26"/>
        <v>-8.634082390006995</v>
      </c>
      <c r="AJ96" s="455">
        <v>0</v>
      </c>
      <c r="AK96" s="456" t="str">
        <f>IF(instatk="Mut","1-3s/4-5r/3-5e",IF(Sealfate&gt;0,"1-2s/4-5r/3-4e","1s/4r/3e"))</f>
        <v>1s/4r/3e</v>
      </c>
      <c r="AL96" t="str">
        <f>IF(AND(OR(allowrupt,NOT(D96)),OR(AND(poison,allowenv),NOT(F96)),$X$2-AG96&lt;50),MAX($AL$55:$AL95)+1,"")</f>
        <v/>
      </c>
      <c r="AO96">
        <f t="shared" si="12"/>
        <v>41</v>
      </c>
      <c r="AP96" t="str">
        <f t="shared" si="27"/>
        <v>3s/4r/4e</v>
      </c>
      <c r="AQ96" t="b">
        <v>1</v>
      </c>
    </row>
    <row r="97" spans="2:43" ht="12.75" customHeight="1">
      <c r="B97" t="s">
        <v>198</v>
      </c>
      <c r="C97" s="445">
        <v>1</v>
      </c>
      <c r="D97">
        <v>1</v>
      </c>
      <c r="E97">
        <v>1</v>
      </c>
      <c r="F97" s="197">
        <v>0</v>
      </c>
      <c r="G97" s="197">
        <v>0</v>
      </c>
      <c r="H97" s="446">
        <f t="shared" si="17"/>
        <v>3</v>
      </c>
      <c r="I97" s="447">
        <f>K$15+M$15+L$15</f>
        <v>7.1999999999999993</v>
      </c>
      <c r="J97" s="447">
        <f t="shared" si="21"/>
        <v>289.1755102040816</v>
      </c>
      <c r="K97" s="94">
        <f>SUMPRODUCT($E$14:$E$16,$K$16:$K$18)+SUMPRODUCT($E$30:$E$32,$M$16:$M$18)+SUMPRODUCT($E$22:$E$24,$L$16:$L$18)</f>
        <v>40</v>
      </c>
      <c r="L97" s="448">
        <f t="shared" si="18"/>
        <v>329.1755102040816</v>
      </c>
      <c r="M97" s="457">
        <f>SUMPRODUCT($C$14:$C$16,$K$16:$K$18)+SUMPRODUCT($C$30:$C$32,$M$16:$M$18)+SUMPRODUCT($C$22:$C$24,$L$16:$L$18)</f>
        <v>9</v>
      </c>
      <c r="N97" s="104">
        <f>SUMPRODUCT($D$14:$D$16,$K$16:$K$18)</f>
        <v>21.75</v>
      </c>
      <c r="O97" s="104">
        <f>SUMPRODUCT($D$30:$D$32,$M$16:$M$18)</f>
        <v>14</v>
      </c>
      <c r="P97" s="104">
        <v>0</v>
      </c>
      <c r="Q97" s="450">
        <f t="shared" si="32"/>
        <v>25.19947160107062</v>
      </c>
      <c r="R97" s="1310">
        <f>(K$15+1-$J$15)*$O$2+25</f>
        <v>105.32653061224489</v>
      </c>
      <c r="S97" s="1310">
        <f>(K$15+M$15+1-$J$15)*$O$2+$E$14+D97*$O$3</f>
        <v>256.88163265306122</v>
      </c>
      <c r="T97" s="1310">
        <v>0</v>
      </c>
      <c r="U97" s="451">
        <f t="shared" si="29"/>
        <v>0.86311333603820228</v>
      </c>
      <c r="V97" s="451">
        <f t="shared" si="22"/>
        <v>0.55556720480619914</v>
      </c>
      <c r="W97" s="451">
        <v>0</v>
      </c>
      <c r="X97" s="452">
        <f t="shared" si="23"/>
        <v>1</v>
      </c>
      <c r="Y97" s="447">
        <f t="shared" si="24"/>
        <v>6884.0763175368284</v>
      </c>
      <c r="Z97" s="447">
        <f t="shared" si="30"/>
        <v>3862.3446756794115</v>
      </c>
      <c r="AA97" s="447">
        <f>SUMPRODUCT($F$30:$F$32,$M$16:$M$18)*MIN(Q97/O97,1)*X97</f>
        <v>1462.7610770499225</v>
      </c>
      <c r="AB97">
        <f t="shared" si="28"/>
        <v>921.65006995070587</v>
      </c>
      <c r="AC97" s="447">
        <v>0</v>
      </c>
      <c r="AD97" s="447">
        <v>0</v>
      </c>
      <c r="AE97" s="447">
        <v>0</v>
      </c>
      <c r="AF97" s="448">
        <f t="shared" si="20"/>
        <v>13130.832140216868</v>
      </c>
      <c r="AG97" s="453">
        <f t="shared" si="25"/>
        <v>521.07569349426331</v>
      </c>
      <c r="AH97" s="454">
        <f t="shared" si="31"/>
        <v>-3.4494716010706199</v>
      </c>
      <c r="AI97" s="104">
        <f t="shared" si="26"/>
        <v>-11.19947160107062</v>
      </c>
      <c r="AJ97" s="455">
        <v>0</v>
      </c>
      <c r="AK97" s="456" t="str">
        <f>IF(instatk="Mut","2-4s/4-5r/3-5e",IF(Sealfate&gt;0,"2-3s/4-5r/3-4e","2s/4r/3e"))</f>
        <v>2s/4r/3e</v>
      </c>
      <c r="AL97">
        <f>IF(AND(OR(allowrupt,NOT(D97)),OR(AND(poison,allowenv),NOT(F97)),$X$2-AG97&lt;50),MAX($AL$55:$AL96)+1,"")</f>
        <v>30</v>
      </c>
      <c r="AO97">
        <f t="shared" si="12"/>
        <v>42</v>
      </c>
      <c r="AP97" t="str">
        <f t="shared" si="27"/>
        <v>4s/4r/4e</v>
      </c>
      <c r="AQ97" t="b">
        <v>1</v>
      </c>
    </row>
    <row r="98" spans="2:43" ht="12.75" customHeight="1">
      <c r="B98" t="s">
        <v>369</v>
      </c>
      <c r="C98" s="445">
        <v>1</v>
      </c>
      <c r="D98">
        <v>1</v>
      </c>
      <c r="E98">
        <v>1</v>
      </c>
      <c r="F98" s="197">
        <v>0</v>
      </c>
      <c r="G98" s="197">
        <v>0</v>
      </c>
      <c r="H98" s="446">
        <f t="shared" si="17"/>
        <v>3</v>
      </c>
      <c r="I98" s="447">
        <f>L$15+M$15+L$15</f>
        <v>8.1999999999999993</v>
      </c>
      <c r="J98" s="447">
        <f t="shared" si="21"/>
        <v>329.33877551020402</v>
      </c>
      <c r="K98" s="94">
        <f>SUMPRODUCT($E$15:$E$17,$L$16:$L$18)+SUMPRODUCT($E$30:$E$32,$M$16:$M$18)+SUMPRODUCT($E$22:$E$24,$L$16:$L$18)</f>
        <v>35</v>
      </c>
      <c r="L98" s="448">
        <f t="shared" si="18"/>
        <v>364.33877551020402</v>
      </c>
      <c r="M98" s="457">
        <f>SUMPRODUCT($C$15:$C$17,$L$16:$L$18)+SUMPRODUCT($C$30:$C$32,$M$16:$M$18)+SUMPRODUCT($C$22:$C$24,$L$16:$L$18)</f>
        <v>10</v>
      </c>
      <c r="N98" s="104">
        <f>SUMPRODUCT($D$15:$D$17,$L$16:$L$18)</f>
        <v>26.099999999999998</v>
      </c>
      <c r="O98" s="104">
        <f>SUMPRODUCT($D$30:$D$32,$M$16:$M$18)</f>
        <v>14</v>
      </c>
      <c r="P98" s="104">
        <v>0</v>
      </c>
      <c r="Q98" s="450">
        <f t="shared" si="32"/>
        <v>27.764860812134245</v>
      </c>
      <c r="R98" s="1310">
        <f>(L$15+1-$J$15)*$O$2+25</f>
        <v>145.48979591836735</v>
      </c>
      <c r="S98" s="1310">
        <f>(L$15+M$15+1-$J$15)*$O$2+$E$15+D98*$O$3</f>
        <v>292.04489795918369</v>
      </c>
      <c r="T98" s="1310">
        <v>0</v>
      </c>
      <c r="U98" s="451">
        <f t="shared" si="29"/>
        <v>0.94003712738200929</v>
      </c>
      <c r="V98" s="451">
        <f t="shared" si="22"/>
        <v>0.5042344744577828</v>
      </c>
      <c r="W98" s="451">
        <v>0</v>
      </c>
      <c r="X98" s="452">
        <f t="shared" si="23"/>
        <v>1</v>
      </c>
      <c r="Y98" s="447">
        <f t="shared" si="24"/>
        <v>7840.1980283058319</v>
      </c>
      <c r="Z98" s="447">
        <f t="shared" si="30"/>
        <v>4634.813610815293</v>
      </c>
      <c r="AA98" s="447">
        <f>SUMPRODUCT($F$30:$F$32,$M$16:$M$18)*MIN(Q98/O98,1)*X98</f>
        <v>1462.7610770499225</v>
      </c>
      <c r="AB98">
        <f t="shared" si="28"/>
        <v>921.65006995070587</v>
      </c>
      <c r="AC98" s="447">
        <v>0</v>
      </c>
      <c r="AD98" s="447">
        <v>0</v>
      </c>
      <c r="AE98" s="447">
        <v>0</v>
      </c>
      <c r="AF98" s="448">
        <f t="shared" si="20"/>
        <v>14859.422786121753</v>
      </c>
      <c r="AG98" s="453">
        <f t="shared" si="25"/>
        <v>535.18808852186464</v>
      </c>
      <c r="AH98" s="454">
        <f t="shared" si="31"/>
        <v>-1.664860812134247</v>
      </c>
      <c r="AI98" s="104">
        <f t="shared" si="26"/>
        <v>-13.764860812134245</v>
      </c>
      <c r="AJ98" s="455">
        <v>0</v>
      </c>
      <c r="AK98" s="456" t="str">
        <f>IF(instatk="Mut","3-5s/4-5r/3-5e",IF(Sealfate&gt;0,"3-4s/4-5r/3-4e","3s/4r/3e"))</f>
        <v>3s/4r/3e</v>
      </c>
      <c r="AL98">
        <f>IF(AND(OR(allowrupt,NOT(D98)),OR(AND(poison,allowenv),NOT(F98)),$X$2-AG98&lt;50),MAX($AL$55:$AL97)+1,"")</f>
        <v>31</v>
      </c>
      <c r="AO98">
        <f t="shared" si="12"/>
        <v>43</v>
      </c>
      <c r="AP98" t="str">
        <f t="shared" si="27"/>
        <v>5s/4r/4e</v>
      </c>
      <c r="AQ98" t="b">
        <v>1</v>
      </c>
    </row>
    <row r="99" spans="2:43" ht="12.75" customHeight="1">
      <c r="B99" t="s">
        <v>209</v>
      </c>
      <c r="C99" s="445">
        <v>1</v>
      </c>
      <c r="D99">
        <v>1</v>
      </c>
      <c r="E99">
        <v>1</v>
      </c>
      <c r="F99" s="197">
        <v>0</v>
      </c>
      <c r="G99" s="197">
        <v>0</v>
      </c>
      <c r="H99" s="446">
        <f t="shared" si="17"/>
        <v>3</v>
      </c>
      <c r="I99" s="447">
        <f>M$15+M$15+L$15</f>
        <v>9.1999999999999993</v>
      </c>
      <c r="J99" s="447">
        <f t="shared" si="21"/>
        <v>369.50204081632648</v>
      </c>
      <c r="K99" s="94">
        <f>SUMPRODUCT($E$16:$E$18,$M$16:$M$18)+SUMPRODUCT($E$30:$E$32,$M$16:$M$18)+SUMPRODUCT($E$22:$E$24,$L$16:$L$18)</f>
        <v>30</v>
      </c>
      <c r="L99" s="448">
        <f t="shared" si="18"/>
        <v>399.50204081632648</v>
      </c>
      <c r="M99" s="457">
        <f>SUMPRODUCT($C$16:$C$18,$M$16:$M$18)+SUMPRODUCT($C$30:$C$32,$M$16:$M$18)+SUMPRODUCT($C$22:$C$24,$L$16:$L$18)</f>
        <v>11</v>
      </c>
      <c r="N99" s="104">
        <f>SUMPRODUCT($D$16:$D$18,$M$16:$M$18)</f>
        <v>30.45</v>
      </c>
      <c r="O99" s="104">
        <f>SUMPRODUCT($D$30:$D$32,$M$16:$M$18)</f>
        <v>14</v>
      </c>
      <c r="P99" s="104">
        <v>0</v>
      </c>
      <c r="Q99" s="450">
        <f t="shared" si="32"/>
        <v>30.337284260252506</v>
      </c>
      <c r="R99" s="1310">
        <f>(M$15+1-$J$15)*$O$2+25</f>
        <v>185.65306122448979</v>
      </c>
      <c r="S99" s="1310">
        <f>(M$15+M$15+1-$J$15)*$O$2+$E$16+D99*$O$3</f>
        <v>327.2081632653061</v>
      </c>
      <c r="T99" s="1310">
        <v>0</v>
      </c>
      <c r="U99" s="451">
        <f t="shared" si="29"/>
        <v>1</v>
      </c>
      <c r="V99" s="451">
        <f t="shared" si="22"/>
        <v>0.46147835382689834</v>
      </c>
      <c r="W99" s="451">
        <v>0</v>
      </c>
      <c r="X99" s="452">
        <f t="shared" si="23"/>
        <v>1</v>
      </c>
      <c r="Y99" s="447">
        <f t="shared" si="24"/>
        <v>8796.3197390748355</v>
      </c>
      <c r="Z99" s="447">
        <f t="shared" si="30"/>
        <v>5387.2665902142107</v>
      </c>
      <c r="AA99" s="447">
        <f>SUMPRODUCT($F$30:$F$32,$M$16:$M$18)*MIN(Q99/O99,1)*X99</f>
        <v>1462.7610770499225</v>
      </c>
      <c r="AB99">
        <f t="shared" si="28"/>
        <v>921.65006995070587</v>
      </c>
      <c r="AC99" s="447">
        <v>0</v>
      </c>
      <c r="AD99" s="447">
        <v>0</v>
      </c>
      <c r="AE99" s="447">
        <v>0</v>
      </c>
      <c r="AF99" s="448">
        <f t="shared" si="20"/>
        <v>16567.997476289675</v>
      </c>
      <c r="AG99" s="453">
        <f t="shared" si="25"/>
        <v>546.12658582616893</v>
      </c>
      <c r="AH99" s="454">
        <f t="shared" si="31"/>
        <v>0.11271573974749316</v>
      </c>
      <c r="AI99" s="104">
        <f t="shared" si="26"/>
        <v>-16.337284260252506</v>
      </c>
      <c r="AJ99" s="455">
        <v>0</v>
      </c>
      <c r="AK99" s="456" t="str">
        <f>IF(instatk="Mut","4-5s/4-5r/3-5e",IF(Sealfate&gt;0,"4-5s/4-5r/3-4e","4s/4r/3e"))</f>
        <v>4s/4r/3e</v>
      </c>
      <c r="AL99">
        <f>IF(AND(OR(allowrupt,NOT(D99)),OR(AND(poison,allowenv),NOT(F99)),$X$2-AG99&lt;50),MAX($AL$55:$AL98)+1,"")</f>
        <v>32</v>
      </c>
      <c r="AO99">
        <f t="shared" si="12"/>
        <v>44</v>
      </c>
      <c r="AP99" t="str">
        <f t="shared" si="27"/>
        <v>4s/5r/4e</v>
      </c>
      <c r="AQ99" t="b">
        <v>1</v>
      </c>
    </row>
    <row r="100" spans="2:43" ht="12.75" customHeight="1">
      <c r="B100" t="s">
        <v>206</v>
      </c>
      <c r="C100" s="445">
        <v>1</v>
      </c>
      <c r="D100">
        <v>1</v>
      </c>
      <c r="E100">
        <v>1</v>
      </c>
      <c r="F100" s="197">
        <v>0</v>
      </c>
      <c r="G100" s="197">
        <v>0</v>
      </c>
      <c r="H100" s="446">
        <f t="shared" si="17"/>
        <v>3</v>
      </c>
      <c r="I100" s="447">
        <f>N$15+M$15+L$15</f>
        <v>10.200000000000001</v>
      </c>
      <c r="J100" s="447">
        <f t="shared" si="21"/>
        <v>409.66530612244901</v>
      </c>
      <c r="K100" s="94">
        <f>SUMPRODUCT($E$17:$E$19,$N$16:$N$18)+SUMPRODUCT($E$30:$E$32,$M$16:$M$18)+SUMPRODUCT($E$22:$E$24,$L$16:$L$18)</f>
        <v>25</v>
      </c>
      <c r="L100" s="448">
        <f t="shared" si="18"/>
        <v>434.66530612244901</v>
      </c>
      <c r="M100" s="457">
        <f>SUMPRODUCT($C$17:$C$19,$N$16:$N$18)+SUMPRODUCT($C$30:$C$32,$M$16:$M$18)+SUMPRODUCT($C$22:$C$24,$L$16:$L$18)</f>
        <v>12</v>
      </c>
      <c r="N100" s="104">
        <f>SUMPRODUCT($D$17:$D$19,$N$16:$N$18)</f>
        <v>34.799999999999997</v>
      </c>
      <c r="O100" s="104">
        <f>SUMPRODUCT($D$30:$D$32,$M$16:$M$18)</f>
        <v>14</v>
      </c>
      <c r="P100" s="104">
        <v>0</v>
      </c>
      <c r="Q100" s="450">
        <f t="shared" si="32"/>
        <v>33.007503348322103</v>
      </c>
      <c r="R100" s="1310">
        <f>(N$15+1-$J$15)*$O$2+25</f>
        <v>225.81632653061223</v>
      </c>
      <c r="S100" s="1310">
        <f>(N$15+M$15+1-$J$15)*$O$2+$E$17+D100*$O$3</f>
        <v>362.37142857142857</v>
      </c>
      <c r="T100" s="1310">
        <v>0</v>
      </c>
      <c r="U100" s="451">
        <f t="shared" si="29"/>
        <v>1</v>
      </c>
      <c r="V100" s="451">
        <f t="shared" si="22"/>
        <v>0.42414598439211165</v>
      </c>
      <c r="W100" s="451">
        <v>0</v>
      </c>
      <c r="X100" s="452">
        <f t="shared" si="23"/>
        <v>1</v>
      </c>
      <c r="Y100" s="447">
        <f t="shared" si="24"/>
        <v>9752.4414498438418</v>
      </c>
      <c r="Z100" s="447">
        <f t="shared" si="30"/>
        <v>5861.4416006833208</v>
      </c>
      <c r="AA100" s="447">
        <f>SUMPRODUCT($F$30:$F$32,$M$16:$M$18)*MIN(Q100/O100,1)*X100</f>
        <v>1462.7610770499225</v>
      </c>
      <c r="AB100">
        <f t="shared" si="28"/>
        <v>921.65006995070587</v>
      </c>
      <c r="AC100" s="447">
        <v>0</v>
      </c>
      <c r="AD100" s="447">
        <v>0</v>
      </c>
      <c r="AE100" s="447">
        <v>0</v>
      </c>
      <c r="AF100" s="448">
        <f t="shared" si="20"/>
        <v>17998.29419752779</v>
      </c>
      <c r="AG100" s="453">
        <f t="shared" si="25"/>
        <v>545.27887212780399</v>
      </c>
      <c r="AH100" s="454">
        <f t="shared" si="31"/>
        <v>1.7924966516778937</v>
      </c>
      <c r="AI100" s="104">
        <f t="shared" si="26"/>
        <v>-19.007503348322103</v>
      </c>
      <c r="AJ100" s="455">
        <v>0</v>
      </c>
      <c r="AK100" s="456" t="str">
        <f>IF(instatk="Mut","5-5s/4-5r/3-5e",IF(Sealfate&gt;0,"5-5s/4-5r/3-4e","5s/4r/3e"))</f>
        <v>5s/4r/3e</v>
      </c>
      <c r="AL100">
        <f>IF(AND(OR(allowrupt,NOT(D100)),OR(AND(poison,allowenv),NOT(F100)),$X$2-AG100&lt;50),MAX($AL$55:$AL99)+1,"")</f>
        <v>33</v>
      </c>
      <c r="AO100">
        <f t="shared" si="12"/>
        <v>45</v>
      </c>
      <c r="AP100" t="str">
        <f t="shared" si="27"/>
        <v>5s/5r/4e</v>
      </c>
      <c r="AQ100" t="b">
        <v>1</v>
      </c>
    </row>
    <row r="101" spans="2:43" ht="12.75" customHeight="1">
      <c r="B101" t="s">
        <v>1906</v>
      </c>
      <c r="C101" s="458">
        <v>1</v>
      </c>
      <c r="D101" s="28">
        <v>1</v>
      </c>
      <c r="E101" s="28">
        <v>1</v>
      </c>
      <c r="F101" s="197">
        <v>0</v>
      </c>
      <c r="G101" s="197">
        <v>0</v>
      </c>
      <c r="H101" s="414">
        <f t="shared" si="17"/>
        <v>3</v>
      </c>
      <c r="I101" s="106">
        <f>J$15+N$15+L$15</f>
        <v>7.2000000000000011</v>
      </c>
      <c r="J101" s="106">
        <f t="shared" si="21"/>
        <v>289.17551020408166</v>
      </c>
      <c r="K101" s="95">
        <f>SUMPRODUCT($E$13:$E$15,$J$16:$J$18)+SUMPRODUCT($E$31:$E$33,$N$16:$N$18)+SUMPRODUCT($E$22:$E$24,$L$16:$L$18)</f>
        <v>40</v>
      </c>
      <c r="L101" s="459">
        <f t="shared" si="18"/>
        <v>329.17551020408166</v>
      </c>
      <c r="M101" s="460">
        <f>SUMPRODUCT($C$13:$C$15,$J$16:$J$18)+SUMPRODUCT($C$31:$C$33,$N$16:$N$18)+SUMPRODUCT($C$22:$C$24,$L$16:$L$18)</f>
        <v>9</v>
      </c>
      <c r="N101" s="105">
        <f>SUMPRODUCT($D$13:$D$15,$J$16:$J$18)</f>
        <v>17.399999999999999</v>
      </c>
      <c r="O101" s="105">
        <f>SUMPRODUCT($D$31:$D$33,$N$16:$N$18)</f>
        <v>16</v>
      </c>
      <c r="P101" s="104">
        <v>0</v>
      </c>
      <c r="Q101" s="461">
        <f t="shared" ref="Q101:Q115" si="33">IF(N101&gt;L101/sndeps,L101/sndeps,N101+(L101/sndeps-N101)*sndeps/eps)</f>
        <v>25.470941506304811</v>
      </c>
      <c r="R101" s="1310">
        <f>(J$15+1-$J$15)*$O$2+25</f>
        <v>65.16326530612244</v>
      </c>
      <c r="S101" s="1310">
        <f>(J$15+N$15+1-$J$15)*$O$2+$E$13+D101*$O$3</f>
        <v>261.88163265306122</v>
      </c>
      <c r="T101" s="1310">
        <v>0</v>
      </c>
      <c r="U101" s="159">
        <f t="shared" si="29"/>
        <v>0.68313140272780981</v>
      </c>
      <c r="V101" s="159">
        <f t="shared" si="22"/>
        <v>0.62816680710603201</v>
      </c>
      <c r="W101" s="451">
        <v>0</v>
      </c>
      <c r="X101" s="462">
        <f t="shared" si="23"/>
        <v>1</v>
      </c>
      <c r="Y101" s="106">
        <f t="shared" si="24"/>
        <v>6884.0763175368302</v>
      </c>
      <c r="Z101" s="106">
        <f t="shared" si="30"/>
        <v>3089.8757405435285</v>
      </c>
      <c r="AA101" s="106">
        <f>SUMPRODUCT($F$31:$F$33,$N$16:$N$18)*MIN(Q101/O101,1)*X101</f>
        <v>1759.7269451999114</v>
      </c>
      <c r="AB101" s="28">
        <f t="shared" si="28"/>
        <v>921.65006995070587</v>
      </c>
      <c r="AC101" s="447">
        <v>0</v>
      </c>
      <c r="AD101" s="447">
        <v>0</v>
      </c>
      <c r="AE101" s="447">
        <v>0</v>
      </c>
      <c r="AF101" s="459">
        <f t="shared" si="20"/>
        <v>12655.329073230974</v>
      </c>
      <c r="AG101" s="453">
        <f t="shared" si="25"/>
        <v>496.85360355047754</v>
      </c>
      <c r="AH101" s="463">
        <f t="shared" si="31"/>
        <v>-8.0709415063048127</v>
      </c>
      <c r="AI101" s="105">
        <f t="shared" si="26"/>
        <v>-9.4709415063048112</v>
      </c>
      <c r="AJ101" s="455">
        <v>0</v>
      </c>
      <c r="AK101" s="165" t="str">
        <f>IF(instatk="Mut","1-3s/5-5r/3-5e",IF(Sealfate&gt;0,"1-2s/5-5r/3-4e","1s/5r/3e"))</f>
        <v>1s/5r/3e</v>
      </c>
      <c r="AL101" t="str">
        <f>IF(AND(OR(allowrupt,NOT(D101)),OR(AND(poison,allowenv),NOT(F101)),$X$2-AG101&lt;50),MAX($AL$55:$AL100)+1,"")</f>
        <v/>
      </c>
      <c r="AO101">
        <f>AO100+1</f>
        <v>46</v>
      </c>
      <c r="AP101" t="str">
        <f t="shared" si="27"/>
        <v>3s/3r/5e</v>
      </c>
      <c r="AQ101" t="b">
        <v>1</v>
      </c>
    </row>
    <row r="102" spans="2:43" ht="12.75" customHeight="1">
      <c r="B102" t="s">
        <v>1907</v>
      </c>
      <c r="C102" s="458">
        <v>1</v>
      </c>
      <c r="D102" s="28">
        <v>1</v>
      </c>
      <c r="E102" s="28">
        <v>1</v>
      </c>
      <c r="F102" s="197">
        <v>0</v>
      </c>
      <c r="G102" s="197">
        <v>0</v>
      </c>
      <c r="H102" s="414">
        <f t="shared" si="17"/>
        <v>3</v>
      </c>
      <c r="I102" s="106">
        <f>K$15+N$15+L$15</f>
        <v>8.2000000000000011</v>
      </c>
      <c r="J102" s="106">
        <f t="shared" si="21"/>
        <v>329.33877551020413</v>
      </c>
      <c r="K102" s="95">
        <f>SUMPRODUCT($E$14:$E$16,$K$16:$K$18)+SUMPRODUCT($E$31:$E$33,$N$16:$N$18)+SUMPRODUCT($E$22:$E$24,$L$16:$L$18)</f>
        <v>35</v>
      </c>
      <c r="L102" s="459">
        <f t="shared" si="18"/>
        <v>364.33877551020413</v>
      </c>
      <c r="M102" s="460">
        <f>SUMPRODUCT($C$14:$C$16,$K$16:$K$18)+SUMPRODUCT($C$31:$C$33,$N$16:$N$18)+SUMPRODUCT($C$22:$C$24,$L$16:$L$18)</f>
        <v>10</v>
      </c>
      <c r="N102" s="105">
        <f>SUMPRODUCT($D$14:$D$16,$K$16:$K$18)</f>
        <v>21.75</v>
      </c>
      <c r="O102" s="105">
        <f>SUMPRODUCT($D$31:$D$33,$N$16:$N$18)</f>
        <v>16</v>
      </c>
      <c r="P102" s="104">
        <v>0</v>
      </c>
      <c r="Q102" s="461">
        <f t="shared" si="33"/>
        <v>28.03633071736844</v>
      </c>
      <c r="R102" s="1310">
        <f>(K$15+1-$J$15)*$O$2+25</f>
        <v>105.32653061224489</v>
      </c>
      <c r="S102" s="1310">
        <f>(K$15+N$15+1-$J$15)*$O$2+$E$14+D102*$O$3</f>
        <v>297.04489795918369</v>
      </c>
      <c r="T102" s="1310">
        <v>0</v>
      </c>
      <c r="U102" s="159">
        <f t="shared" si="29"/>
        <v>0.77577912100052115</v>
      </c>
      <c r="V102" s="159">
        <f t="shared" si="22"/>
        <v>0.57068808901187762</v>
      </c>
      <c r="W102" s="451">
        <v>0</v>
      </c>
      <c r="X102" s="462">
        <f t="shared" si="23"/>
        <v>1</v>
      </c>
      <c r="Y102" s="106">
        <f t="shared" si="24"/>
        <v>7840.1980283058338</v>
      </c>
      <c r="Z102" s="106">
        <f t="shared" si="30"/>
        <v>3862.3446756794115</v>
      </c>
      <c r="AA102" s="106">
        <f>SUMPRODUCT($F$31:$F$33,$N$16:$N$18)*MIN(Q102/O102,1)*X102</f>
        <v>1759.7269451999114</v>
      </c>
      <c r="AB102" s="28">
        <f t="shared" si="28"/>
        <v>921.65006995070587</v>
      </c>
      <c r="AC102" s="447">
        <v>0</v>
      </c>
      <c r="AD102" s="447">
        <v>0</v>
      </c>
      <c r="AE102" s="447">
        <v>0</v>
      </c>
      <c r="AF102" s="459">
        <f t="shared" si="20"/>
        <v>14383.919719135862</v>
      </c>
      <c r="AG102" s="453">
        <f t="shared" si="25"/>
        <v>513.04572856336927</v>
      </c>
      <c r="AH102" s="463">
        <f t="shared" si="31"/>
        <v>-6.2863307173684397</v>
      </c>
      <c r="AI102" s="105">
        <f t="shared" si="26"/>
        <v>-12.03633071736844</v>
      </c>
      <c r="AJ102" s="455">
        <v>0</v>
      </c>
      <c r="AK102" s="165" t="str">
        <f>IF(instatk="Mut","2-4s/5-5r/3-5e",IF(Sealfate&gt;0,"2-3s/5-5r/3-4e","2s/5r/3e"))</f>
        <v>2s/5r/3e</v>
      </c>
      <c r="AL102" t="str">
        <f>IF(AND(OR(allowrupt,NOT(D102)),OR(AND(poison,allowenv),NOT(F102)),$X$2-AG102&lt;50),MAX($AL$55:$AL101)+1,"")</f>
        <v/>
      </c>
      <c r="AO102">
        <f t="shared" si="12"/>
        <v>47</v>
      </c>
      <c r="AP102" t="str">
        <f t="shared" si="27"/>
        <v>4s/3r/5e</v>
      </c>
      <c r="AQ102" t="b">
        <v>1</v>
      </c>
    </row>
    <row r="103" spans="2:43" ht="12.75" customHeight="1">
      <c r="B103" t="s">
        <v>370</v>
      </c>
      <c r="C103" s="458">
        <v>1</v>
      </c>
      <c r="D103" s="28">
        <v>1</v>
      </c>
      <c r="E103" s="28">
        <v>1</v>
      </c>
      <c r="F103" s="197">
        <v>0</v>
      </c>
      <c r="G103" s="197">
        <v>0</v>
      </c>
      <c r="H103" s="414">
        <f t="shared" si="17"/>
        <v>3</v>
      </c>
      <c r="I103" s="106">
        <f>L$15+N$15+L$15</f>
        <v>9.2000000000000011</v>
      </c>
      <c r="J103" s="106">
        <f t="shared" si="21"/>
        <v>369.50204081632654</v>
      </c>
      <c r="K103" s="95">
        <f>SUMPRODUCT($E$15:$E$17,$L$16:$L$18)+SUMPRODUCT($E$31:$E$33,$N$16:$N$18)+SUMPRODUCT($E$22:$E$24,$L$16:$L$18)</f>
        <v>30</v>
      </c>
      <c r="L103" s="459">
        <f t="shared" si="18"/>
        <v>399.50204081632654</v>
      </c>
      <c r="M103" s="460">
        <f>SUMPRODUCT($C$15:$C$17,$L$16:$L$18)+SUMPRODUCT($C$31:$C$33,$N$16:$N$18)+SUMPRODUCT($C$22:$C$24,$L$16:$L$18)</f>
        <v>11</v>
      </c>
      <c r="N103" s="105">
        <f>SUMPRODUCT($D$15:$D$17,$L$16:$L$18)</f>
        <v>26.099999999999998</v>
      </c>
      <c r="O103" s="105">
        <f>SUMPRODUCT($D$31:$D$33,$N$16:$N$18)</f>
        <v>16</v>
      </c>
      <c r="P103" s="104">
        <v>0</v>
      </c>
      <c r="Q103" s="461">
        <f t="shared" si="33"/>
        <v>30.601719928432061</v>
      </c>
      <c r="R103" s="1310">
        <f>(L$15+1-$J$15)*$O$2+25</f>
        <v>145.48979591836735</v>
      </c>
      <c r="S103" s="1310">
        <f>(L$15+N$15+1-$J$15)*$O$2+$E$15+D103*$O$3</f>
        <v>332.2081632653061</v>
      </c>
      <c r="T103" s="1310">
        <v>0</v>
      </c>
      <c r="U103" s="159">
        <f t="shared" si="29"/>
        <v>0.85289323806112238</v>
      </c>
      <c r="V103" s="159">
        <f t="shared" si="22"/>
        <v>0.52284642946275706</v>
      </c>
      <c r="W103" s="451">
        <v>0</v>
      </c>
      <c r="X103" s="462">
        <f t="shared" si="23"/>
        <v>1</v>
      </c>
      <c r="Y103" s="106">
        <f t="shared" si="24"/>
        <v>8796.3197390748373</v>
      </c>
      <c r="Z103" s="106">
        <f t="shared" si="30"/>
        <v>4634.813610815293</v>
      </c>
      <c r="AA103" s="106">
        <f>SUMPRODUCT($F$31:$F$33,$N$16:$N$18)*MIN(Q103/O103,1)*X103</f>
        <v>1759.7269451999114</v>
      </c>
      <c r="AB103" s="28">
        <f t="shared" si="28"/>
        <v>921.65006995070587</v>
      </c>
      <c r="AC103" s="447">
        <v>0</v>
      </c>
      <c r="AD103" s="447">
        <v>0</v>
      </c>
      <c r="AE103" s="447">
        <v>0</v>
      </c>
      <c r="AF103" s="459">
        <f t="shared" si="20"/>
        <v>16112.510365040745</v>
      </c>
      <c r="AG103" s="453">
        <f t="shared" si="25"/>
        <v>526.52303212770107</v>
      </c>
      <c r="AH103" s="463">
        <f t="shared" si="31"/>
        <v>-4.5017199284320633</v>
      </c>
      <c r="AI103" s="105">
        <f t="shared" si="26"/>
        <v>-14.601719928432061</v>
      </c>
      <c r="AJ103" s="455">
        <v>0</v>
      </c>
      <c r="AK103" s="165" t="str">
        <f>IF(instatk="Mut","3-5s/5-5r/3-5e",IF(Sealfate&gt;0,"3-4s/5-5r/3-4e","3s/5r/3e"))</f>
        <v>3s/5r/3e</v>
      </c>
      <c r="AL103">
        <f>IF(AND(OR(allowrupt,NOT(D103)),OR(AND(poison,allowenv),NOT(F103)),$X$2-AG103&lt;50),MAX($AL$55:$AL102)+1,"")</f>
        <v>34</v>
      </c>
      <c r="AO103">
        <f t="shared" si="12"/>
        <v>48</v>
      </c>
      <c r="AP103" t="str">
        <f t="shared" si="27"/>
        <v>5s/3r/5e</v>
      </c>
      <c r="AQ103" t="b">
        <v>1</v>
      </c>
    </row>
    <row r="104" spans="2:43" ht="12.75" customHeight="1">
      <c r="B104" t="s">
        <v>203</v>
      </c>
      <c r="C104" s="458">
        <v>1</v>
      </c>
      <c r="D104" s="28">
        <v>1</v>
      </c>
      <c r="E104" s="28">
        <v>1</v>
      </c>
      <c r="F104" s="197">
        <v>0</v>
      </c>
      <c r="G104" s="197">
        <v>0</v>
      </c>
      <c r="H104" s="414">
        <f t="shared" si="17"/>
        <v>3</v>
      </c>
      <c r="I104" s="106">
        <f>M$15+N$15+L$15</f>
        <v>10.200000000000001</v>
      </c>
      <c r="J104" s="106">
        <f t="shared" si="21"/>
        <v>409.66530612244901</v>
      </c>
      <c r="K104" s="95">
        <f>SUMPRODUCT($E$16:$E$18,$M$16:$M$18)+SUMPRODUCT($E$31:$E$33,$N$16:$N$18)+SUMPRODUCT($E$22:$E$24,$L$16:$L$18)</f>
        <v>25</v>
      </c>
      <c r="L104" s="459">
        <f t="shared" si="18"/>
        <v>434.66530612244901</v>
      </c>
      <c r="M104" s="460">
        <f>SUMPRODUCT($C$16:$C$18,$M$16:$M$18)+SUMPRODUCT($C$31:$C$33,$N$16:$N$18)+SUMPRODUCT($C$22:$C$24,$L$16:$L$18)</f>
        <v>12</v>
      </c>
      <c r="N104" s="105">
        <f>SUMPRODUCT($D$16:$D$18,$M$16:$M$18)</f>
        <v>30.45</v>
      </c>
      <c r="O104" s="105">
        <f>SUMPRODUCT($D$31:$D$33,$N$16:$N$18)</f>
        <v>16</v>
      </c>
      <c r="P104" s="104">
        <v>0</v>
      </c>
      <c r="Q104" s="461">
        <f t="shared" si="33"/>
        <v>33.167109139495693</v>
      </c>
      <c r="R104" s="1310">
        <f>(M$15+1-$J$15)*$O$2+25</f>
        <v>185.65306122448979</v>
      </c>
      <c r="S104" s="1310">
        <f>(M$15+N$15+1-$J$15)*$O$2+$E$16+D104*$O$3</f>
        <v>367.37142857142857</v>
      </c>
      <c r="T104" s="1310">
        <v>0</v>
      </c>
      <c r="U104" s="159">
        <f t="shared" si="29"/>
        <v>0.91807820428159848</v>
      </c>
      <c r="V104" s="159">
        <f t="shared" si="22"/>
        <v>0.48240562458146391</v>
      </c>
      <c r="W104" s="451">
        <v>0</v>
      </c>
      <c r="X104" s="462">
        <f t="shared" si="23"/>
        <v>1</v>
      </c>
      <c r="Y104" s="106">
        <f t="shared" si="24"/>
        <v>9752.4414498438418</v>
      </c>
      <c r="Z104" s="106">
        <f t="shared" si="30"/>
        <v>5407.2825459511769</v>
      </c>
      <c r="AA104" s="106">
        <f>SUMPRODUCT($F$31:$F$33,$N$16:$N$18)*MIN(Q104/O104,1)*X104</f>
        <v>1759.7269451999114</v>
      </c>
      <c r="AB104" s="28">
        <f t="shared" si="28"/>
        <v>921.65006995070587</v>
      </c>
      <c r="AC104" s="447">
        <v>0</v>
      </c>
      <c r="AD104" s="447">
        <v>0</v>
      </c>
      <c r="AE104" s="447">
        <v>0</v>
      </c>
      <c r="AF104" s="459">
        <f t="shared" si="20"/>
        <v>17841.101010945637</v>
      </c>
      <c r="AG104" s="453">
        <f t="shared" si="25"/>
        <v>537.91546727538855</v>
      </c>
      <c r="AH104" s="463">
        <f t="shared" si="31"/>
        <v>-2.7171091394956939</v>
      </c>
      <c r="AI104" s="105">
        <f t="shared" si="26"/>
        <v>-17.167109139495693</v>
      </c>
      <c r="AJ104" s="455">
        <v>0</v>
      </c>
      <c r="AK104" s="165" t="str">
        <f>IF(instatk="Mut","4-5s/5-5r/3-5e",IF(Sealfate&gt;0,"4-5s/5-5r/3-4e","4s/5r/3e"))</f>
        <v>4s/5r/3e</v>
      </c>
      <c r="AL104">
        <f>IF(AND(OR(allowrupt,NOT(D104)),OR(AND(poison,allowenv),NOT(F104)),$X$2-AG104&lt;50),MAX($AL$55:$AL103)+1,"")</f>
        <v>35</v>
      </c>
      <c r="AO104">
        <f t="shared" si="12"/>
        <v>49</v>
      </c>
      <c r="AP104" t="str">
        <f t="shared" si="27"/>
        <v>4s/4r/5e</v>
      </c>
      <c r="AQ104" t="b">
        <v>1</v>
      </c>
    </row>
    <row r="105" spans="2:43" ht="12.75" customHeight="1">
      <c r="B105" t="s">
        <v>121</v>
      </c>
      <c r="C105" s="458">
        <v>1</v>
      </c>
      <c r="D105" s="28">
        <v>1</v>
      </c>
      <c r="E105" s="28">
        <v>1</v>
      </c>
      <c r="F105" s="197">
        <v>0</v>
      </c>
      <c r="G105" s="197">
        <v>0</v>
      </c>
      <c r="H105" s="414">
        <f t="shared" si="17"/>
        <v>3</v>
      </c>
      <c r="I105" s="106">
        <f>N$15+N$15+L$15</f>
        <v>11.200000000000001</v>
      </c>
      <c r="J105" s="106">
        <f t="shared" si="21"/>
        <v>449.82857142857148</v>
      </c>
      <c r="K105" s="95">
        <f>SUMPRODUCT($E$17:$E$19,$N$16:$N$18)+SUMPRODUCT($E$31:$E$33,$N$16:$N$18)+SUMPRODUCT($E$22:$E$24,$L$16:$L$18)</f>
        <v>20</v>
      </c>
      <c r="L105" s="459">
        <f t="shared" si="18"/>
        <v>469.82857142857148</v>
      </c>
      <c r="M105" s="460">
        <f>SUMPRODUCT($C$17:$C$19,$N$16:$N$18)+SUMPRODUCT($C$31:$C$33,$N$16:$N$18)+SUMPRODUCT($C$22:$C$24,$L$16:$L$18)</f>
        <v>13</v>
      </c>
      <c r="N105" s="105">
        <f>SUMPRODUCT($D$17:$D$19,$N$16:$N$18)</f>
        <v>34.799999999999997</v>
      </c>
      <c r="O105" s="105">
        <f>SUMPRODUCT($D$31:$D$33,$N$16:$N$18)</f>
        <v>16</v>
      </c>
      <c r="P105" s="104">
        <v>0</v>
      </c>
      <c r="Q105" s="461">
        <f t="shared" si="33"/>
        <v>35.732498350559325</v>
      </c>
      <c r="R105" s="1310">
        <f>(N$15+1-$J$15)*$O$2+25</f>
        <v>225.81632653061223</v>
      </c>
      <c r="S105" s="1310">
        <f>(N$15+N$15+1-$J$15)*$O$2+$E$17+D105*$O$3</f>
        <v>402.53469387755104</v>
      </c>
      <c r="T105" s="1310">
        <v>0</v>
      </c>
      <c r="U105" s="159">
        <f t="shared" si="29"/>
        <v>0.97390335426840557</v>
      </c>
      <c r="V105" s="159">
        <f t="shared" si="22"/>
        <v>0.44777165713489914</v>
      </c>
      <c r="W105" s="451">
        <v>0</v>
      </c>
      <c r="X105" s="462">
        <f t="shared" si="23"/>
        <v>1</v>
      </c>
      <c r="Y105" s="106">
        <f t="shared" si="24"/>
        <v>10708.563160612846</v>
      </c>
      <c r="Z105" s="106">
        <f t="shared" si="30"/>
        <v>6179.7514810870571</v>
      </c>
      <c r="AA105" s="106">
        <f>SUMPRODUCT($F$31:$F$33,$N$16:$N$18)*MIN(Q105/O105,1)*X105</f>
        <v>1759.7269451999114</v>
      </c>
      <c r="AB105" s="28">
        <f t="shared" si="28"/>
        <v>921.65006995070587</v>
      </c>
      <c r="AC105" s="447">
        <v>0</v>
      </c>
      <c r="AD105" s="447">
        <v>0</v>
      </c>
      <c r="AE105" s="447">
        <v>0</v>
      </c>
      <c r="AF105" s="459">
        <f t="shared" si="20"/>
        <v>19569.691656850522</v>
      </c>
      <c r="AG105" s="453">
        <f t="shared" si="25"/>
        <v>547.67207892543559</v>
      </c>
      <c r="AH105" s="463">
        <f t="shared" si="31"/>
        <v>-0.93249835055932806</v>
      </c>
      <c r="AI105" s="105">
        <f t="shared" si="26"/>
        <v>-19.732498350559325</v>
      </c>
      <c r="AJ105" s="455">
        <v>0</v>
      </c>
      <c r="AK105" s="165" t="str">
        <f>IF(instatk="Mut","5-5s/5-5r/3-5e",IF(Sealfate&gt;0,"5-5s/5-5r/3-4e","5s/5r/3e"))</f>
        <v>5s/5r/3e</v>
      </c>
      <c r="AL105">
        <f>IF(AND(OR(allowrupt,NOT(D105)),OR(AND(poison,allowenv),NOT(F105)),$X$2-AG105&lt;50),MAX($AL$55:$AL104)+1,"")</f>
        <v>36</v>
      </c>
      <c r="AO105">
        <f t="shared" si="12"/>
        <v>50</v>
      </c>
      <c r="AP105" t="str">
        <f t="shared" si="27"/>
        <v>5s/4r/5e</v>
      </c>
      <c r="AQ105" t="b">
        <v>1</v>
      </c>
    </row>
    <row r="106" spans="2:43" ht="12.75" customHeight="1">
      <c r="B106" t="s">
        <v>371</v>
      </c>
      <c r="C106" s="445">
        <v>1</v>
      </c>
      <c r="D106">
        <v>1</v>
      </c>
      <c r="E106">
        <v>1</v>
      </c>
      <c r="F106" s="197">
        <v>0</v>
      </c>
      <c r="G106" s="197">
        <v>0</v>
      </c>
      <c r="H106" s="446">
        <f t="shared" si="17"/>
        <v>3</v>
      </c>
      <c r="I106" s="106">
        <f>J$15+L$15+M$15</f>
        <v>6.1999999999999993</v>
      </c>
      <c r="J106" s="447">
        <f t="shared" si="21"/>
        <v>249.01224489795914</v>
      </c>
      <c r="K106" s="95">
        <f>SUMPRODUCT($E$13:$E$15,$J$16:$J$18)+SUMPRODUCT($E$29:$E$31,$L$16:$L$18)+SUMPRODUCT($E$23:$E$25,$M$16:$M$18)</f>
        <v>45</v>
      </c>
      <c r="L106" s="448">
        <f t="shared" si="18"/>
        <v>294.01224489795914</v>
      </c>
      <c r="M106" s="460">
        <f>SUMPRODUCT($C$13:$C$15,$J$16:$J$18)+SUMPRODUCT($C$29:$C$31,$L$16:$L$18)+SUMPRODUCT($C$23:$C$25,$M$16:$M$18)</f>
        <v>8</v>
      </c>
      <c r="N106" s="104">
        <f>SUMPRODUCT($D$13:$D$15,$J$16:$J$18)</f>
        <v>17.399999999999999</v>
      </c>
      <c r="O106" s="104">
        <f>SUMPRODUCT($D$29:$D$31,$L$16:$L$18)</f>
        <v>12</v>
      </c>
      <c r="P106" s="104">
        <v>0</v>
      </c>
      <c r="Q106" s="450">
        <f t="shared" si="33"/>
        <v>22.634082390006995</v>
      </c>
      <c r="R106" s="1310">
        <f>(J$15+1-$J$15)*$O$2+25</f>
        <v>65.16326530612244</v>
      </c>
      <c r="S106" s="1310">
        <f>(J$15+L$15+1-$J$15)*$O$2+$E$13+D106*$O$3</f>
        <v>181.55510204081631</v>
      </c>
      <c r="T106" s="1310">
        <v>0</v>
      </c>
      <c r="U106" s="451">
        <f t="shared" si="29"/>
        <v>0.76875217206429114</v>
      </c>
      <c r="V106" s="451">
        <f t="shared" si="22"/>
        <v>0.53017391176847661</v>
      </c>
      <c r="W106" s="451">
        <v>0</v>
      </c>
      <c r="X106" s="452">
        <f t="shared" si="23"/>
        <v>1</v>
      </c>
      <c r="Y106" s="447">
        <f t="shared" si="24"/>
        <v>5927.9546067678239</v>
      </c>
      <c r="Z106" s="447">
        <f t="shared" si="30"/>
        <v>3089.8757405435285</v>
      </c>
      <c r="AA106" s="447">
        <f>SUMPRODUCT($F$29:$F$31,$L$16:$L$18)*MIN(Q106/O106,1)*X106</f>
        <v>1187.7952088999336</v>
      </c>
      <c r="AB106" s="28">
        <f t="shared" ref="AB106:AB120" si="34">SUMPRODUCT($F$23:$F$25,$M$16:$M$18)*X106</f>
        <v>1190.4605772048644</v>
      </c>
      <c r="AC106" s="447">
        <v>0</v>
      </c>
      <c r="AD106" s="447">
        <v>0</v>
      </c>
      <c r="AE106" s="447">
        <v>0</v>
      </c>
      <c r="AF106" s="448">
        <f t="shared" si="20"/>
        <v>11396.086133416149</v>
      </c>
      <c r="AG106" s="453">
        <f t="shared" si="25"/>
        <v>503.49229701697783</v>
      </c>
      <c r="AH106" s="454">
        <f t="shared" si="31"/>
        <v>-5.2340823900069964</v>
      </c>
      <c r="AI106" s="104">
        <f t="shared" si="26"/>
        <v>-10.634082390006995</v>
      </c>
      <c r="AJ106" s="455">
        <v>0</v>
      </c>
      <c r="AK106" s="165" t="str">
        <f>IF(instatk="Mut","1-3s/3-5r/4-5e",IF(Sealfate&gt;0,"1-2s/3-4r/4-5e","1s/3r/4e"))</f>
        <v>1s/3r/4e</v>
      </c>
      <c r="AL106" t="str">
        <f>IF(AND(OR(allowrupt,NOT(D106)),OR(AND(poison,allowenv),NOT(F106)),$X$2-AG106&lt;50),MAX($AL$55:$AL105)+1,"")</f>
        <v/>
      </c>
      <c r="AO106">
        <f t="shared" si="12"/>
        <v>51</v>
      </c>
      <c r="AP106" t="str">
        <f t="shared" si="27"/>
        <v>4s/5r/5e</v>
      </c>
      <c r="AQ106" t="b">
        <v>1</v>
      </c>
    </row>
    <row r="107" spans="2:43" ht="12.75" customHeight="1">
      <c r="B107" t="s">
        <v>372</v>
      </c>
      <c r="C107" s="445">
        <v>1</v>
      </c>
      <c r="D107">
        <v>1</v>
      </c>
      <c r="E107">
        <v>1</v>
      </c>
      <c r="F107" s="197">
        <v>0</v>
      </c>
      <c r="G107" s="197">
        <v>0</v>
      </c>
      <c r="H107" s="446">
        <f t="shared" si="17"/>
        <v>3</v>
      </c>
      <c r="I107" s="106">
        <f>K$15+L$15+M$15</f>
        <v>7.1999999999999993</v>
      </c>
      <c r="J107" s="447">
        <f t="shared" si="21"/>
        <v>289.1755102040816</v>
      </c>
      <c r="K107" s="95">
        <f>SUMPRODUCT($E$14:$E$16,$K$16:$K$18)+SUMPRODUCT($E$29:$E$31,$L$16:$L$18)+SUMPRODUCT($E$23:$E$25,$M$16:$M$18)</f>
        <v>40</v>
      </c>
      <c r="L107" s="448">
        <f t="shared" si="18"/>
        <v>329.1755102040816</v>
      </c>
      <c r="M107" s="460">
        <f>SUMPRODUCT($C$14:$C$16,$K$16:$K$18)+SUMPRODUCT($C$29:$C$31,$L$16:$L$18)+SUMPRODUCT($C$23:$C$25,$M$16:$M$18)</f>
        <v>9</v>
      </c>
      <c r="N107" s="104">
        <f>SUMPRODUCT($D$14:$D$16,$K$16:$K$18)</f>
        <v>21.75</v>
      </c>
      <c r="O107" s="104">
        <f>SUMPRODUCT($D$29:$D$31,$L$16:$L$18)</f>
        <v>12</v>
      </c>
      <c r="P107" s="104">
        <v>0</v>
      </c>
      <c r="Q107" s="450">
        <f t="shared" si="33"/>
        <v>25.19947160107062</v>
      </c>
      <c r="R107" s="1310">
        <f>(K$15+1-$J$15)*$O$2+25</f>
        <v>105.32653061224489</v>
      </c>
      <c r="S107" s="1310">
        <f>(K$15+L$15+1-$J$15)*$O$2+$E$14+D107*$O$3</f>
        <v>216.71836734693878</v>
      </c>
      <c r="T107" s="1310">
        <v>0</v>
      </c>
      <c r="U107" s="451">
        <f t="shared" si="29"/>
        <v>0.86311333603820228</v>
      </c>
      <c r="V107" s="451">
        <f t="shared" si="22"/>
        <v>0.47620046126245641</v>
      </c>
      <c r="W107" s="451">
        <v>0</v>
      </c>
      <c r="X107" s="452">
        <f t="shared" si="23"/>
        <v>1</v>
      </c>
      <c r="Y107" s="447">
        <f t="shared" si="24"/>
        <v>6884.0763175368284</v>
      </c>
      <c r="Z107" s="447">
        <f t="shared" si="30"/>
        <v>3862.3446756794115</v>
      </c>
      <c r="AA107" s="447">
        <f>SUMPRODUCT($F$29:$F$31,$L$16:$L$18)*MIN(Q107/O107,1)*X107</f>
        <v>1187.7952088999336</v>
      </c>
      <c r="AB107" s="28">
        <f t="shared" si="34"/>
        <v>1190.4605772048644</v>
      </c>
      <c r="AC107" s="447">
        <v>0</v>
      </c>
      <c r="AD107" s="447">
        <v>0</v>
      </c>
      <c r="AE107" s="447">
        <v>0</v>
      </c>
      <c r="AF107" s="448">
        <f t="shared" si="20"/>
        <v>13124.676779321038</v>
      </c>
      <c r="AG107" s="453">
        <f t="shared" si="25"/>
        <v>520.83142801944405</v>
      </c>
      <c r="AH107" s="454">
        <f t="shared" si="31"/>
        <v>-3.4494716010706199</v>
      </c>
      <c r="AI107" s="104">
        <f t="shared" si="26"/>
        <v>-13.19947160107062</v>
      </c>
      <c r="AJ107" s="455">
        <v>0</v>
      </c>
      <c r="AK107" s="165" t="str">
        <f>IF(instatk="Mut","2-4s/3-5r/4-5e",IF(Sealfate&gt;0,"2-3s/3-4r/4-5e","2s/3r/4e"))</f>
        <v>2s/3r/4e</v>
      </c>
      <c r="AL107">
        <f>IF(AND(OR(allowrupt,NOT(D107)),OR(AND(poison,allowenv),NOT(F107)),$X$2-AG107&lt;50),MAX($AL$55:$AL106)+1,"")</f>
        <v>37</v>
      </c>
      <c r="AO107">
        <f t="shared" si="12"/>
        <v>52</v>
      </c>
      <c r="AP107" t="str">
        <f t="shared" si="27"/>
        <v>5s/5r/5e</v>
      </c>
      <c r="AQ107" t="b">
        <v>1</v>
      </c>
    </row>
    <row r="108" spans="2:43" ht="12.75" customHeight="1">
      <c r="B108" t="s">
        <v>373</v>
      </c>
      <c r="C108" s="445">
        <v>1</v>
      </c>
      <c r="D108">
        <v>1</v>
      </c>
      <c r="E108">
        <v>1</v>
      </c>
      <c r="F108" s="197">
        <v>0</v>
      </c>
      <c r="G108" s="197">
        <v>0</v>
      </c>
      <c r="H108" s="446">
        <f t="shared" si="17"/>
        <v>3</v>
      </c>
      <c r="I108" s="106">
        <f>L$15+L$15+M$15</f>
        <v>8.1999999999999993</v>
      </c>
      <c r="J108" s="447">
        <f t="shared" si="21"/>
        <v>329.33877551020402</v>
      </c>
      <c r="K108" s="95">
        <f>SUMPRODUCT($E$15:$E$17,$L$16:$L$18)+SUMPRODUCT($E$29:$E$31,$L$16:$L$18)+SUMPRODUCT($E$23:$E$25,$M$16:$M$18)</f>
        <v>35</v>
      </c>
      <c r="L108" s="448">
        <f t="shared" si="18"/>
        <v>364.33877551020402</v>
      </c>
      <c r="M108" s="460">
        <f>SUMPRODUCT($C$15:$C$17,$L$16:$L$18)+SUMPRODUCT($C$29:$C$31,$L$16:$L$18)+SUMPRODUCT($C$23:$C$25,$M$16:$M$18)</f>
        <v>10</v>
      </c>
      <c r="N108" s="104">
        <f>SUMPRODUCT($D$15:$D$17,$L$16:$L$18)</f>
        <v>26.099999999999998</v>
      </c>
      <c r="O108" s="104">
        <f>SUMPRODUCT($D$29:$D$31,$L$16:$L$18)</f>
        <v>12</v>
      </c>
      <c r="P108" s="104">
        <v>0</v>
      </c>
      <c r="Q108" s="450">
        <f t="shared" si="33"/>
        <v>27.764860812134245</v>
      </c>
      <c r="R108" s="1310">
        <f>(L$15+1-$J$15)*$O$2+25</f>
        <v>145.48979591836735</v>
      </c>
      <c r="S108" s="1310">
        <f>(L$15+L$15+1-$J$15)*$O$2+$E$15+D108*$O$3</f>
        <v>251.88163265306122</v>
      </c>
      <c r="T108" s="1310">
        <v>0</v>
      </c>
      <c r="U108" s="451">
        <f t="shared" si="29"/>
        <v>0.94003712738200929</v>
      </c>
      <c r="V108" s="451">
        <f t="shared" si="22"/>
        <v>0.43220097810667096</v>
      </c>
      <c r="W108" s="451">
        <v>0</v>
      </c>
      <c r="X108" s="452">
        <f t="shared" si="23"/>
        <v>1</v>
      </c>
      <c r="Y108" s="447">
        <f t="shared" si="24"/>
        <v>7840.1980283058319</v>
      </c>
      <c r="Z108" s="447">
        <f t="shared" si="30"/>
        <v>4634.813610815293</v>
      </c>
      <c r="AA108" s="447">
        <f>SUMPRODUCT($F$29:$F$31,$L$16:$L$18)*MIN(Q108/O108,1)*X108</f>
        <v>1187.7952088999336</v>
      </c>
      <c r="AB108" s="28">
        <f t="shared" si="34"/>
        <v>1190.4605772048644</v>
      </c>
      <c r="AC108" s="447">
        <v>0</v>
      </c>
      <c r="AD108" s="447">
        <v>0</v>
      </c>
      <c r="AE108" s="447">
        <v>0</v>
      </c>
      <c r="AF108" s="448">
        <f t="shared" si="20"/>
        <v>14853.267425225924</v>
      </c>
      <c r="AG108" s="453">
        <f t="shared" si="25"/>
        <v>534.96639243854986</v>
      </c>
      <c r="AH108" s="454">
        <f t="shared" si="31"/>
        <v>-1.664860812134247</v>
      </c>
      <c r="AI108" s="104">
        <f t="shared" si="26"/>
        <v>-15.764860812134245</v>
      </c>
      <c r="AJ108" s="455">
        <v>0</v>
      </c>
      <c r="AK108" s="165" t="str">
        <f>IF(instatk="Mut","3-5s/3-5r/4-5e",IF(Sealfate&gt;0,"3-4s/3-4r/4-5e","3s/3r/4e"))</f>
        <v>3s/3r/4e</v>
      </c>
      <c r="AL108">
        <f>IF(AND(OR(allowrupt,NOT(D108)),OR(AND(poison,allowenv),NOT(F108)),$X$2-AG108&lt;50),MAX($AL$55:$AL107)+1,"")</f>
        <v>38</v>
      </c>
      <c r="AO108">
        <f t="shared" si="12"/>
        <v>53</v>
      </c>
      <c r="AP108" t="str">
        <f t="shared" si="27"/>
        <v>3s/4e</v>
      </c>
      <c r="AQ108" t="b">
        <v>1</v>
      </c>
    </row>
    <row r="109" spans="2:43" ht="12.75" customHeight="1">
      <c r="B109" t="s">
        <v>374</v>
      </c>
      <c r="C109" s="445">
        <v>1</v>
      </c>
      <c r="D109">
        <v>1</v>
      </c>
      <c r="E109">
        <v>1</v>
      </c>
      <c r="F109" s="197">
        <v>0</v>
      </c>
      <c r="G109" s="197">
        <v>0</v>
      </c>
      <c r="H109" s="446">
        <f t="shared" si="17"/>
        <v>3</v>
      </c>
      <c r="I109" s="106">
        <f>M$15+L$15+M$15</f>
        <v>9.1999999999999993</v>
      </c>
      <c r="J109" s="447">
        <f t="shared" si="21"/>
        <v>369.50204081632648</v>
      </c>
      <c r="K109" s="95">
        <f>SUMPRODUCT($E$16:$E$18,$M$16:$M$18)+SUMPRODUCT($E$29:$E$31,$L$16:$L$18)+SUMPRODUCT($E$23:$E$25,$M$16:$M$18)</f>
        <v>30</v>
      </c>
      <c r="L109" s="448">
        <f t="shared" si="18"/>
        <v>399.50204081632648</v>
      </c>
      <c r="M109" s="460">
        <f>SUMPRODUCT($C$16:$C$18,$M$16:$M$18)+SUMPRODUCT($C$29:$C$31,$L$16:$L$18)+SUMPRODUCT($C$23:$C$25,$M$16:$M$18)</f>
        <v>11</v>
      </c>
      <c r="N109" s="104">
        <f>SUMPRODUCT($D$16:$D$18,$M$16:$M$18)</f>
        <v>30.45</v>
      </c>
      <c r="O109" s="104">
        <f>SUMPRODUCT($D$29:$D$31,$L$16:$L$18)</f>
        <v>12</v>
      </c>
      <c r="P109" s="104">
        <v>0</v>
      </c>
      <c r="Q109" s="450">
        <f t="shared" si="33"/>
        <v>30.337284260252506</v>
      </c>
      <c r="R109" s="1310">
        <f>(M$15+1-$J$15)*$O$2+25</f>
        <v>185.65306122448979</v>
      </c>
      <c r="S109" s="1310">
        <f>(M$15+L$15+1-$J$15)*$O$2+$E$16+D109*$O$3</f>
        <v>287.04489795918369</v>
      </c>
      <c r="T109" s="1310">
        <v>0</v>
      </c>
      <c r="U109" s="451">
        <f t="shared" si="29"/>
        <v>1</v>
      </c>
      <c r="V109" s="451">
        <f t="shared" si="22"/>
        <v>0.39555287470876999</v>
      </c>
      <c r="W109" s="451">
        <v>0</v>
      </c>
      <c r="X109" s="452">
        <f t="shared" si="23"/>
        <v>1</v>
      </c>
      <c r="Y109" s="447">
        <f t="shared" si="24"/>
        <v>8796.3197390748355</v>
      </c>
      <c r="Z109" s="447">
        <f t="shared" si="30"/>
        <v>5387.2665902142107</v>
      </c>
      <c r="AA109" s="447">
        <f>SUMPRODUCT($F$29:$F$31,$L$16:$L$18)*MIN(Q109/O109,1)*X109</f>
        <v>1187.7952088999336</v>
      </c>
      <c r="AB109" s="28">
        <f t="shared" si="34"/>
        <v>1190.4605772048644</v>
      </c>
      <c r="AC109" s="447">
        <v>0</v>
      </c>
      <c r="AD109" s="447">
        <v>0</v>
      </c>
      <c r="AE109" s="447">
        <v>0</v>
      </c>
      <c r="AF109" s="448">
        <f t="shared" si="20"/>
        <v>16561.842115393843</v>
      </c>
      <c r="AG109" s="453">
        <f t="shared" si="25"/>
        <v>545.92368826806762</v>
      </c>
      <c r="AH109" s="454">
        <f t="shared" si="31"/>
        <v>0.11271573974749316</v>
      </c>
      <c r="AI109" s="104">
        <f t="shared" si="26"/>
        <v>-18.337284260252506</v>
      </c>
      <c r="AJ109" s="455">
        <v>0</v>
      </c>
      <c r="AK109" s="165" t="str">
        <f>IF(instatk="Mut","4-5s/3-5r/4-5e",IF(Sealfate&gt;0,"4-5s/3-4r/4-5e","4s/3r/4e"))</f>
        <v>4s/3r/4e</v>
      </c>
      <c r="AL109">
        <f>IF(AND(OR(allowrupt,NOT(D109)),OR(AND(poison,allowenv),NOT(F109)),$X$2-AG109&lt;50),MAX($AL$55:$AL108)+1,"")</f>
        <v>39</v>
      </c>
      <c r="AO109">
        <f t="shared" si="12"/>
        <v>54</v>
      </c>
      <c r="AP109" t="str">
        <f t="shared" si="27"/>
        <v>4s/4e</v>
      </c>
      <c r="AQ109" t="b">
        <v>1</v>
      </c>
    </row>
    <row r="110" spans="2:43" ht="12.75" customHeight="1">
      <c r="B110" t="s">
        <v>375</v>
      </c>
      <c r="C110" s="445">
        <v>1</v>
      </c>
      <c r="D110">
        <v>1</v>
      </c>
      <c r="E110">
        <v>1</v>
      </c>
      <c r="F110" s="197">
        <v>0</v>
      </c>
      <c r="G110" s="197">
        <v>0</v>
      </c>
      <c r="H110" s="446">
        <f t="shared" si="17"/>
        <v>3</v>
      </c>
      <c r="I110" s="106">
        <f>N$15+L$15+M$15</f>
        <v>10.200000000000001</v>
      </c>
      <c r="J110" s="447">
        <f t="shared" si="21"/>
        <v>409.66530612244901</v>
      </c>
      <c r="K110" s="95">
        <f>SUMPRODUCT($E$17:$E$19,$N$16:$N$18)+SUMPRODUCT($E$29:$E$31,$L$16:$L$18)+SUMPRODUCT($E$23:$E$25,$M$16:$M$18)</f>
        <v>25</v>
      </c>
      <c r="L110" s="448">
        <f t="shared" si="18"/>
        <v>434.66530612244901</v>
      </c>
      <c r="M110" s="460">
        <f>SUMPRODUCT($C$17:$C$19,$N$16:$N$18)+SUMPRODUCT($C$29:$C$31,$L$16:$L$18)+SUMPRODUCT($C$23:$C$25,$M$16:$M$18)</f>
        <v>12</v>
      </c>
      <c r="N110" s="104">
        <f>SUMPRODUCT($D$17:$D$19,$N$16:$N$18)</f>
        <v>34.799999999999997</v>
      </c>
      <c r="O110" s="104">
        <f>SUMPRODUCT($D$29:$D$31,$L$16:$L$18)</f>
        <v>12</v>
      </c>
      <c r="P110" s="104">
        <v>0</v>
      </c>
      <c r="Q110" s="450">
        <f t="shared" si="33"/>
        <v>33.007503348322103</v>
      </c>
      <c r="R110" s="1310">
        <f>(N$15+1-$J$15)*$O$2+25</f>
        <v>225.81632653061223</v>
      </c>
      <c r="S110" s="1310">
        <f>(N$15+L$15+1-$J$15)*$O$2+$E$17+D110*$O$3</f>
        <v>322.2081632653061</v>
      </c>
      <c r="T110" s="1310">
        <v>0</v>
      </c>
      <c r="U110" s="451">
        <f t="shared" si="29"/>
        <v>1</v>
      </c>
      <c r="V110" s="451">
        <f t="shared" si="22"/>
        <v>0.36355370090752426</v>
      </c>
      <c r="W110" s="451">
        <v>0</v>
      </c>
      <c r="X110" s="452">
        <f t="shared" si="23"/>
        <v>1</v>
      </c>
      <c r="Y110" s="447">
        <f t="shared" si="24"/>
        <v>9752.4414498438418</v>
      </c>
      <c r="Z110" s="447">
        <f t="shared" si="30"/>
        <v>5861.4416006833208</v>
      </c>
      <c r="AA110" s="447">
        <f>SUMPRODUCT($F$29:$F$31,$L$16:$L$18)*MIN(Q110/O110,1)*X110</f>
        <v>1187.7952088999336</v>
      </c>
      <c r="AB110" s="28">
        <f t="shared" si="34"/>
        <v>1190.4605772048644</v>
      </c>
      <c r="AC110" s="447">
        <v>0</v>
      </c>
      <c r="AD110" s="447">
        <v>0</v>
      </c>
      <c r="AE110" s="447">
        <v>0</v>
      </c>
      <c r="AF110" s="448">
        <f t="shared" si="20"/>
        <v>17992.138836631959</v>
      </c>
      <c r="AG110" s="453">
        <f t="shared" si="25"/>
        <v>545.09238844162894</v>
      </c>
      <c r="AH110" s="454">
        <f t="shared" si="31"/>
        <v>1.7924966516778937</v>
      </c>
      <c r="AI110" s="104">
        <f t="shared" si="26"/>
        <v>-21.007503348322103</v>
      </c>
      <c r="AJ110" s="455">
        <v>0</v>
      </c>
      <c r="AK110" s="165" t="str">
        <f>IF(instatk="Mut","5-5s/3-5r/4-5e",IF(Sealfate&gt;0,"5-5s/3-4r/4-5e","5s/3r/4e"))</f>
        <v>5s/3r/4e</v>
      </c>
      <c r="AL110">
        <f>IF(AND(OR(allowrupt,NOT(D110)),OR(AND(poison,allowenv),NOT(F110)),$X$2-AG110&lt;50),MAX($AL$55:$AL109)+1,"")</f>
        <v>40</v>
      </c>
      <c r="AO110">
        <f t="shared" si="12"/>
        <v>55</v>
      </c>
      <c r="AP110" t="str">
        <f t="shared" si="27"/>
        <v>5s/4e</v>
      </c>
      <c r="AQ110" t="b">
        <v>1</v>
      </c>
    </row>
    <row r="111" spans="2:43" ht="12.75" customHeight="1">
      <c r="B111" t="s">
        <v>376</v>
      </c>
      <c r="C111" s="445">
        <v>1</v>
      </c>
      <c r="D111">
        <v>1</v>
      </c>
      <c r="E111">
        <v>1</v>
      </c>
      <c r="F111" s="197">
        <v>0</v>
      </c>
      <c r="G111" s="197">
        <v>0</v>
      </c>
      <c r="H111" s="446">
        <f t="shared" si="17"/>
        <v>3</v>
      </c>
      <c r="I111" s="106">
        <f>J$15+M$15+M$15</f>
        <v>7.1999999999999993</v>
      </c>
      <c r="J111" s="447">
        <f t="shared" si="21"/>
        <v>289.1755102040816</v>
      </c>
      <c r="K111" s="95">
        <f>SUMPRODUCT($E$13:$E$15,$J$16:$J$18)+SUMPRODUCT($E$30:$E$32,$M$16:$M$18)+SUMPRODUCT($E$23:$E$25,$M$16:$M$18)</f>
        <v>40</v>
      </c>
      <c r="L111" s="448">
        <f t="shared" si="18"/>
        <v>329.1755102040816</v>
      </c>
      <c r="M111" s="460">
        <f>SUMPRODUCT($C$13:$C$15,$J$16:$J$18)+SUMPRODUCT($C$30:$C$32,$M$16:$M$18)+SUMPRODUCT($C$23:$C$25,$M$16:$M$18)</f>
        <v>9</v>
      </c>
      <c r="N111" s="104">
        <f>SUMPRODUCT($D$13:$D$15,$J$16:$J$18)</f>
        <v>17.399999999999999</v>
      </c>
      <c r="O111" s="104">
        <f>SUMPRODUCT($D$30:$D$32,$M$16:$M$18)</f>
        <v>14</v>
      </c>
      <c r="P111" s="104">
        <v>0</v>
      </c>
      <c r="Q111" s="450">
        <f t="shared" si="33"/>
        <v>25.470941506304804</v>
      </c>
      <c r="R111" s="1310">
        <f>(J$15+1-$J$15)*$O$2+25</f>
        <v>65.16326530612244</v>
      </c>
      <c r="S111" s="1310">
        <f>(J$15+M$15+1-$J$15)*$O$2+$E$13+D111*$O$3</f>
        <v>221.71836734693878</v>
      </c>
      <c r="T111" s="1310">
        <v>0</v>
      </c>
      <c r="U111" s="451">
        <f t="shared" si="29"/>
        <v>0.68313140272781003</v>
      </c>
      <c r="V111" s="451">
        <f t="shared" si="22"/>
        <v>0.54964595621777823</v>
      </c>
      <c r="W111" s="451">
        <v>0</v>
      </c>
      <c r="X111" s="452">
        <f t="shared" si="23"/>
        <v>1</v>
      </c>
      <c r="Y111" s="447">
        <f t="shared" si="24"/>
        <v>6884.0763175368284</v>
      </c>
      <c r="Z111" s="447">
        <f t="shared" si="30"/>
        <v>3089.8757405435285</v>
      </c>
      <c r="AA111" s="447">
        <f>SUMPRODUCT($F$30:$F$32,$M$16:$M$18)*MIN(Q111/O111,1)*X111</f>
        <v>1462.7610770499225</v>
      </c>
      <c r="AB111" s="28">
        <f t="shared" si="34"/>
        <v>1190.4605772048644</v>
      </c>
      <c r="AC111" s="447">
        <v>0</v>
      </c>
      <c r="AD111" s="447">
        <v>0</v>
      </c>
      <c r="AE111" s="447">
        <v>0</v>
      </c>
      <c r="AF111" s="448">
        <f t="shared" si="20"/>
        <v>12627.173712335145</v>
      </c>
      <c r="AG111" s="453">
        <f t="shared" si="25"/>
        <v>495.74821210317452</v>
      </c>
      <c r="AH111" s="454">
        <f t="shared" si="31"/>
        <v>-8.0709415063048056</v>
      </c>
      <c r="AI111" s="104">
        <f t="shared" si="26"/>
        <v>-11.470941506304804</v>
      </c>
      <c r="AJ111" s="455">
        <v>0</v>
      </c>
      <c r="AK111" s="165" t="str">
        <f>IF(instatk="Mut","1-3s/4-5r/4-5e",IF(Sealfate&gt;0,"1-2s/4-5r/4-5e","1s/4r/4e"))</f>
        <v>1s/4r/4e</v>
      </c>
      <c r="AL111" t="str">
        <f>IF(AND(OR(allowrupt,NOT(D111)),OR(AND(poison,allowenv),NOT(F111)),$X$2-AG111&lt;50),MAX($AL$55:$AL110)+1,"")</f>
        <v/>
      </c>
      <c r="AO111">
        <f t="shared" si="12"/>
        <v>56</v>
      </c>
      <c r="AP111" t="str">
        <f t="shared" si="27"/>
        <v>1s/5e</v>
      </c>
      <c r="AQ111" t="b">
        <v>1</v>
      </c>
    </row>
    <row r="112" spans="2:43" ht="12.75" customHeight="1">
      <c r="B112" t="s">
        <v>377</v>
      </c>
      <c r="C112" s="445">
        <v>1</v>
      </c>
      <c r="D112">
        <v>1</v>
      </c>
      <c r="E112">
        <v>1</v>
      </c>
      <c r="F112" s="197">
        <v>0</v>
      </c>
      <c r="G112" s="197">
        <v>0</v>
      </c>
      <c r="H112" s="446">
        <f t="shared" si="17"/>
        <v>3</v>
      </c>
      <c r="I112" s="106">
        <f>K$15+M$15+M$15</f>
        <v>8.1999999999999993</v>
      </c>
      <c r="J112" s="447">
        <f t="shared" si="21"/>
        <v>329.33877551020402</v>
      </c>
      <c r="K112" s="95">
        <f>SUMPRODUCT($E$14:$E$16,$K$16:$K$18)+SUMPRODUCT($E$30:$E$32,$M$16:$M$18)+SUMPRODUCT($E$23:$E$25,$M$16:$M$18)</f>
        <v>35</v>
      </c>
      <c r="L112" s="448">
        <f t="shared" si="18"/>
        <v>364.33877551020402</v>
      </c>
      <c r="M112" s="460">
        <f>SUMPRODUCT($C$14:$C$16,$K$16:$K$18)+SUMPRODUCT($C$30:$C$32,$M$16:$M$18)+SUMPRODUCT($C$23:$C$25,$M$16:$M$18)</f>
        <v>10</v>
      </c>
      <c r="N112" s="104">
        <f>SUMPRODUCT($D$14:$D$16,$K$16:$K$18)</f>
        <v>21.75</v>
      </c>
      <c r="O112" s="104">
        <f>SUMPRODUCT($D$30:$D$32,$M$16:$M$18)</f>
        <v>14</v>
      </c>
      <c r="P112" s="104">
        <v>0</v>
      </c>
      <c r="Q112" s="450">
        <f t="shared" si="33"/>
        <v>28.036330717368429</v>
      </c>
      <c r="R112" s="1310">
        <f>(K$15+1-$J$15)*$O$2+25</f>
        <v>105.32653061224489</v>
      </c>
      <c r="S112" s="1310">
        <f>(K$15+M$15+1-$J$15)*$O$2+$E$14+D112*$O$3</f>
        <v>256.88163265306122</v>
      </c>
      <c r="T112" s="1310">
        <v>0</v>
      </c>
      <c r="U112" s="451">
        <f t="shared" si="29"/>
        <v>0.77577912100052149</v>
      </c>
      <c r="V112" s="451">
        <f t="shared" si="22"/>
        <v>0.49935207788539315</v>
      </c>
      <c r="W112" s="451">
        <v>0</v>
      </c>
      <c r="X112" s="452">
        <f t="shared" si="23"/>
        <v>1</v>
      </c>
      <c r="Y112" s="447">
        <f t="shared" si="24"/>
        <v>7840.1980283058319</v>
      </c>
      <c r="Z112" s="447">
        <f t="shared" si="30"/>
        <v>3862.3446756794115</v>
      </c>
      <c r="AA112" s="447">
        <f>SUMPRODUCT($F$30:$F$32,$M$16:$M$18)*MIN(Q112/O112,1)*X112</f>
        <v>1462.7610770499225</v>
      </c>
      <c r="AB112" s="28">
        <f t="shared" si="34"/>
        <v>1190.4605772048644</v>
      </c>
      <c r="AC112" s="447">
        <v>0</v>
      </c>
      <c r="AD112" s="447">
        <v>0</v>
      </c>
      <c r="AE112" s="447">
        <v>0</v>
      </c>
      <c r="AF112" s="448">
        <f t="shared" si="20"/>
        <v>14355.764358240031</v>
      </c>
      <c r="AG112" s="453">
        <f t="shared" si="25"/>
        <v>512.04148299430187</v>
      </c>
      <c r="AH112" s="454">
        <f t="shared" si="31"/>
        <v>-6.2863307173684291</v>
      </c>
      <c r="AI112" s="104">
        <f t="shared" si="26"/>
        <v>-14.036330717368429</v>
      </c>
      <c r="AJ112" s="455">
        <v>0</v>
      </c>
      <c r="AK112" s="165" t="str">
        <f>IF(instatk="Mut","2-4s/4-5r/4-5e",IF(Sealfate&gt;0,"2-3s/4-5r/4-5e","2s/4r/4e"))</f>
        <v>2s/4r/4e</v>
      </c>
      <c r="AL112" t="str">
        <f>IF(AND(OR(allowrupt,NOT(D112)),OR(AND(poison,allowenv),NOT(F112)),$X$2-AG112&lt;50),MAX($AL$55:$AL111)+1,"")</f>
        <v/>
      </c>
      <c r="AO112">
        <f t="shared" si="12"/>
        <v>57</v>
      </c>
      <c r="AP112" t="str">
        <f t="shared" si="27"/>
        <v>2s/5e</v>
      </c>
      <c r="AQ112" t="b">
        <v>1</v>
      </c>
    </row>
    <row r="113" spans="2:43" ht="12.75" customHeight="1">
      <c r="B113" t="s">
        <v>378</v>
      </c>
      <c r="C113" s="445">
        <v>1</v>
      </c>
      <c r="D113">
        <v>1</v>
      </c>
      <c r="E113">
        <v>1</v>
      </c>
      <c r="F113" s="197">
        <v>0</v>
      </c>
      <c r="G113" s="197">
        <v>0</v>
      </c>
      <c r="H113" s="446">
        <f t="shared" si="17"/>
        <v>3</v>
      </c>
      <c r="I113" s="106">
        <f>L$15+M$15+M$15</f>
        <v>9.1999999999999993</v>
      </c>
      <c r="J113" s="447">
        <f t="shared" si="21"/>
        <v>369.50204081632648</v>
      </c>
      <c r="K113" s="95">
        <f>SUMPRODUCT($E$15:$E$17,$L$16:$L$18)+SUMPRODUCT($E$30:$E$32,$M$16:$M$18)+SUMPRODUCT($E$23:$E$25,$M$16:$M$18)</f>
        <v>30</v>
      </c>
      <c r="L113" s="448">
        <f t="shared" si="18"/>
        <v>399.50204081632648</v>
      </c>
      <c r="M113" s="460">
        <f>SUMPRODUCT($C$15:$C$17,$L$16:$L$18)+SUMPRODUCT($C$30:$C$32,$M$16:$M$18)+SUMPRODUCT($C$23:$C$25,$M$16:$M$18)</f>
        <v>11</v>
      </c>
      <c r="N113" s="104">
        <f>SUMPRODUCT($D$15:$D$17,$L$16:$L$18)</f>
        <v>26.099999999999998</v>
      </c>
      <c r="O113" s="104">
        <f>SUMPRODUCT($D$30:$D$32,$M$16:$M$18)</f>
        <v>14</v>
      </c>
      <c r="P113" s="104">
        <v>0</v>
      </c>
      <c r="Q113" s="450">
        <f t="shared" si="33"/>
        <v>30.601719928432061</v>
      </c>
      <c r="R113" s="1310">
        <f>(L$15+1-$J$15)*$O$2+25</f>
        <v>145.48979591836735</v>
      </c>
      <c r="S113" s="1310">
        <f>(L$15+M$15+1-$J$15)*$O$2+$E$15+D113*$O$3</f>
        <v>292.04489795918369</v>
      </c>
      <c r="T113" s="1310">
        <v>0</v>
      </c>
      <c r="U113" s="451">
        <f t="shared" si="29"/>
        <v>0.85289323806112238</v>
      </c>
      <c r="V113" s="451">
        <f t="shared" si="22"/>
        <v>0.4574906257799124</v>
      </c>
      <c r="W113" s="451">
        <v>0</v>
      </c>
      <c r="X113" s="452">
        <f t="shared" si="23"/>
        <v>1</v>
      </c>
      <c r="Y113" s="447">
        <f t="shared" si="24"/>
        <v>8796.3197390748355</v>
      </c>
      <c r="Z113" s="447">
        <f t="shared" si="30"/>
        <v>4634.813610815293</v>
      </c>
      <c r="AA113" s="447">
        <f>SUMPRODUCT($F$30:$F$32,$M$16:$M$18)*MIN(Q113/O113,1)*X113</f>
        <v>1462.7610770499225</v>
      </c>
      <c r="AB113" s="28">
        <f t="shared" si="34"/>
        <v>1190.4605772048644</v>
      </c>
      <c r="AC113" s="447">
        <v>0</v>
      </c>
      <c r="AD113" s="447">
        <v>0</v>
      </c>
      <c r="AE113" s="447">
        <v>0</v>
      </c>
      <c r="AF113" s="448">
        <f t="shared" si="20"/>
        <v>16084.355004144916</v>
      </c>
      <c r="AG113" s="453">
        <f t="shared" si="25"/>
        <v>525.60297400803734</v>
      </c>
      <c r="AH113" s="454">
        <f t="shared" si="31"/>
        <v>-4.5017199284320633</v>
      </c>
      <c r="AI113" s="104">
        <f t="shared" si="26"/>
        <v>-16.601719928432061</v>
      </c>
      <c r="AJ113" s="455">
        <v>0</v>
      </c>
      <c r="AK113" s="165" t="str">
        <f>IF(instatk="Mut","3-5s/4-5r/4-5e",IF(Sealfate&gt;0,"3-4s/4-5r/4-5e","3s/4r/4e"))</f>
        <v>3s/4r/4e</v>
      </c>
      <c r="AL113">
        <f>IF(AND(OR(allowrupt,NOT(D113)),OR(AND(poison,allowenv),NOT(F113)),$X$2-AG113&lt;50),MAX($AL$55:$AL112)+1,"")</f>
        <v>41</v>
      </c>
      <c r="AO113">
        <f t="shared" si="12"/>
        <v>58</v>
      </c>
      <c r="AP113" t="str">
        <f t="shared" si="27"/>
        <v>3s/5e</v>
      </c>
      <c r="AQ113" t="b">
        <v>1</v>
      </c>
    </row>
    <row r="114" spans="2:43" ht="12.75" customHeight="1">
      <c r="B114" t="s">
        <v>210</v>
      </c>
      <c r="C114" s="445">
        <v>1</v>
      </c>
      <c r="D114">
        <v>1</v>
      </c>
      <c r="E114">
        <v>1</v>
      </c>
      <c r="F114" s="197">
        <v>0</v>
      </c>
      <c r="G114" s="197">
        <v>0</v>
      </c>
      <c r="H114" s="446">
        <f t="shared" si="17"/>
        <v>3</v>
      </c>
      <c r="I114" s="106">
        <f>M$15+M$15+M$15</f>
        <v>10.199999999999999</v>
      </c>
      <c r="J114" s="447">
        <f t="shared" si="21"/>
        <v>409.66530612244895</v>
      </c>
      <c r="K114" s="95">
        <f>SUMPRODUCT($E$16:$E$18,$M$16:$M$18)+SUMPRODUCT($E$30:$E$32,$M$16:$M$18)+SUMPRODUCT($E$23:$E$25,$M$16:$M$18)</f>
        <v>25</v>
      </c>
      <c r="L114" s="448">
        <f t="shared" si="18"/>
        <v>434.66530612244895</v>
      </c>
      <c r="M114" s="460">
        <f>SUMPRODUCT($C$16:$C$18,$M$16:$M$18)+SUMPRODUCT($C$30:$C$32,$M$16:$M$18)+SUMPRODUCT($C$23:$C$25,$M$16:$M$18)</f>
        <v>12</v>
      </c>
      <c r="N114" s="104">
        <f>SUMPRODUCT($D$16:$D$18,$M$16:$M$18)</f>
        <v>30.45</v>
      </c>
      <c r="O114" s="104">
        <f>SUMPRODUCT($D$30:$D$32,$M$16:$M$18)</f>
        <v>14</v>
      </c>
      <c r="P114" s="104">
        <v>0</v>
      </c>
      <c r="Q114" s="450">
        <f t="shared" si="33"/>
        <v>33.167109139495686</v>
      </c>
      <c r="R114" s="1310">
        <f>(M$15+1-$J$15)*$O$2+25</f>
        <v>185.65306122448979</v>
      </c>
      <c r="S114" s="1310">
        <f>(M$15+M$15+1-$J$15)*$O$2+$E$16+D114*$O$3</f>
        <v>327.2081632653061</v>
      </c>
      <c r="T114" s="1310">
        <v>0</v>
      </c>
      <c r="U114" s="451">
        <f t="shared" si="29"/>
        <v>0.9180782042815987</v>
      </c>
      <c r="V114" s="451">
        <f t="shared" si="22"/>
        <v>0.42210492150878104</v>
      </c>
      <c r="W114" s="451">
        <v>0</v>
      </c>
      <c r="X114" s="452">
        <f t="shared" si="23"/>
        <v>1</v>
      </c>
      <c r="Y114" s="447">
        <f t="shared" si="24"/>
        <v>9752.44144984384</v>
      </c>
      <c r="Z114" s="447">
        <f t="shared" si="30"/>
        <v>5407.2825459511769</v>
      </c>
      <c r="AA114" s="447">
        <f>SUMPRODUCT($F$30:$F$32,$M$16:$M$18)*MIN(Q114/O114,1)*X114</f>
        <v>1462.7610770499225</v>
      </c>
      <c r="AB114" s="28">
        <f t="shared" si="34"/>
        <v>1190.4605772048644</v>
      </c>
      <c r="AC114" s="447">
        <v>0</v>
      </c>
      <c r="AD114" s="447">
        <v>0</v>
      </c>
      <c r="AE114" s="447">
        <v>0</v>
      </c>
      <c r="AF114" s="448">
        <f t="shared" si="20"/>
        <v>17812.945650049802</v>
      </c>
      <c r="AG114" s="453">
        <f t="shared" si="25"/>
        <v>537.06657324674666</v>
      </c>
      <c r="AH114" s="454">
        <f t="shared" si="31"/>
        <v>-2.7171091394956868</v>
      </c>
      <c r="AI114" s="104">
        <f t="shared" si="26"/>
        <v>-19.167109139495686</v>
      </c>
      <c r="AJ114" s="455">
        <v>0</v>
      </c>
      <c r="AK114" s="165" t="str">
        <f>IF(instatk="Mut","4-5s/4-5r/4-5e",IF(Sealfate&gt;0,"4-5s/4-5r/4-5e","4s/4r/4e"))</f>
        <v>4s/4r/4e</v>
      </c>
      <c r="AL114">
        <f>IF(AND(OR(allowrupt,NOT(D114)),OR(AND(poison,allowenv),NOT(F114)),$X$2-AG114&lt;50),MAX($AL$55:$AL113)+1,"")</f>
        <v>42</v>
      </c>
      <c r="AO114">
        <f t="shared" si="12"/>
        <v>59</v>
      </c>
      <c r="AP114" t="str">
        <f t="shared" si="27"/>
        <v>4s/5e</v>
      </c>
      <c r="AQ114" t="b">
        <v>1</v>
      </c>
    </row>
    <row r="115" spans="2:43" ht="12.75" customHeight="1">
      <c r="B115" t="s">
        <v>207</v>
      </c>
      <c r="C115" s="445">
        <v>1</v>
      </c>
      <c r="D115">
        <v>1</v>
      </c>
      <c r="E115">
        <v>1</v>
      </c>
      <c r="F115" s="197">
        <v>0</v>
      </c>
      <c r="G115" s="197">
        <v>0</v>
      </c>
      <c r="H115" s="446">
        <f t="shared" si="17"/>
        <v>3</v>
      </c>
      <c r="I115" s="106">
        <f>N$15+M$15+M$15</f>
        <v>11.200000000000001</v>
      </c>
      <c r="J115" s="447">
        <f t="shared" si="21"/>
        <v>449.82857142857148</v>
      </c>
      <c r="K115" s="95">
        <f>SUMPRODUCT($E$17:$E$19,$N$16:$N$18)+SUMPRODUCT($E$30:$E$32,$M$16:$M$18)+SUMPRODUCT($E$23:$E$25,$M$16:$M$18)</f>
        <v>20</v>
      </c>
      <c r="L115" s="448">
        <f t="shared" si="18"/>
        <v>469.82857142857148</v>
      </c>
      <c r="M115" s="460">
        <f>SUMPRODUCT($C$17:$C$19,$N$16:$N$18)+SUMPRODUCT($C$30:$C$32,$M$16:$M$18)+SUMPRODUCT($C$23:$C$25,$M$16:$M$18)</f>
        <v>13</v>
      </c>
      <c r="N115" s="104">
        <f>SUMPRODUCT($D$17:$D$19,$N$16:$N$18)</f>
        <v>34.799999999999997</v>
      </c>
      <c r="O115" s="104">
        <f>SUMPRODUCT($D$30:$D$32,$M$16:$M$18)</f>
        <v>14</v>
      </c>
      <c r="P115" s="104">
        <v>0</v>
      </c>
      <c r="Q115" s="450">
        <f t="shared" si="33"/>
        <v>35.732498350559325</v>
      </c>
      <c r="R115" s="1310">
        <f>(N$15+1-$J$15)*$O$2+25</f>
        <v>225.81632653061223</v>
      </c>
      <c r="S115" s="1310">
        <f>(N$15+M$15+1-$J$15)*$O$2+$E$17+D115*$O$3</f>
        <v>362.37142857142857</v>
      </c>
      <c r="T115" s="1310">
        <v>0</v>
      </c>
      <c r="U115" s="451">
        <f t="shared" si="29"/>
        <v>0.97390335426840557</v>
      </c>
      <c r="V115" s="451">
        <f t="shared" si="22"/>
        <v>0.39180019999303678</v>
      </c>
      <c r="W115" s="451">
        <v>0</v>
      </c>
      <c r="X115" s="452">
        <f t="shared" si="23"/>
        <v>1</v>
      </c>
      <c r="Y115" s="447">
        <f t="shared" si="24"/>
        <v>10708.563160612846</v>
      </c>
      <c r="Z115" s="447">
        <f t="shared" si="30"/>
        <v>6179.7514810870571</v>
      </c>
      <c r="AA115" s="447">
        <f>SUMPRODUCT($F$30:$F$32,$M$16:$M$18)*MIN(Q115/O115,1)*X115</f>
        <v>1462.7610770499225</v>
      </c>
      <c r="AB115" s="28">
        <f t="shared" si="34"/>
        <v>1190.4605772048644</v>
      </c>
      <c r="AC115" s="447">
        <v>0</v>
      </c>
      <c r="AD115" s="447">
        <v>0</v>
      </c>
      <c r="AE115" s="447">
        <v>0</v>
      </c>
      <c r="AF115" s="448">
        <f t="shared" si="20"/>
        <v>19541.536295954691</v>
      </c>
      <c r="AG115" s="453">
        <f t="shared" si="25"/>
        <v>546.88413063758821</v>
      </c>
      <c r="AH115" s="454">
        <f t="shared" si="31"/>
        <v>-0.93249835055932806</v>
      </c>
      <c r="AI115" s="104">
        <f t="shared" si="26"/>
        <v>-21.732498350559325</v>
      </c>
      <c r="AJ115" s="455">
        <v>0</v>
      </c>
      <c r="AK115" s="165" t="str">
        <f>IF(instatk="Mut","5-5s/4-5r/4-5e",IF(Sealfate&gt;0,"5-5s/4-5r/4-5e","5s/4r/4e"))</f>
        <v>5s/4r/4e</v>
      </c>
      <c r="AL115">
        <f>IF(AND(OR(allowrupt,NOT(D115)),OR(AND(poison,allowenv),NOT(F115)),$X$2-AG115&lt;50),MAX($AL$55:$AL114)+1,"")</f>
        <v>43</v>
      </c>
      <c r="AO115">
        <f t="shared" si="12"/>
        <v>60</v>
      </c>
      <c r="AP115" t="str">
        <f t="shared" si="27"/>
        <v>5s/5e</v>
      </c>
      <c r="AQ115" t="b">
        <v>1</v>
      </c>
    </row>
    <row r="116" spans="2:43" ht="12.75" customHeight="1">
      <c r="B116" t="s">
        <v>379</v>
      </c>
      <c r="C116" s="458">
        <v>1</v>
      </c>
      <c r="D116" s="28">
        <v>1</v>
      </c>
      <c r="E116" s="28">
        <v>1</v>
      </c>
      <c r="F116" s="197">
        <v>0</v>
      </c>
      <c r="G116" s="197">
        <v>0</v>
      </c>
      <c r="H116" s="414">
        <f t="shared" si="17"/>
        <v>3</v>
      </c>
      <c r="I116" s="106">
        <f>J$15+N$15+M$15</f>
        <v>8.2000000000000011</v>
      </c>
      <c r="J116" s="106">
        <f t="shared" si="21"/>
        <v>329.33877551020413</v>
      </c>
      <c r="K116" s="95">
        <f>SUMPRODUCT($E$13:$E$15,$J$16:$J$18)+SUMPRODUCT($E$31:$E$33,$N$16:$N$18)+SUMPRODUCT($E$23:$E$25,$M$16:$M$18)</f>
        <v>35</v>
      </c>
      <c r="L116" s="459">
        <f t="shared" si="18"/>
        <v>364.33877551020413</v>
      </c>
      <c r="M116" s="460">
        <f>SUMPRODUCT($C$13:$C$15,$J$16:$J$18)+SUMPRODUCT($C$31:$C$33,$N$16:$N$18)+SUMPRODUCT($C$23:$C$25,$M$16:$M$18)</f>
        <v>10</v>
      </c>
      <c r="N116" s="105">
        <f>SUMPRODUCT($D$13:$D$15,$J$16:$J$18)</f>
        <v>17.399999999999999</v>
      </c>
      <c r="O116" s="105">
        <f>SUMPRODUCT($D$31:$D$33,$N$16:$N$18)</f>
        <v>16</v>
      </c>
      <c r="P116" s="104">
        <v>0</v>
      </c>
      <c r="Q116" s="461">
        <f t="shared" ref="Q116:Q125" si="35">IF(N116&gt;L116/sndeps,L116/sndeps,N116+(L116/sndeps-N116)*sndeps/eps)</f>
        <v>28.307800622602628</v>
      </c>
      <c r="R116" s="1310">
        <f>(J$15+1-$J$15)*$O$2+25</f>
        <v>65.16326530612244</v>
      </c>
      <c r="S116" s="1310">
        <f>(J$15+N$15+1-$J$15)*$O$2+$E$13+D116*$O$3</f>
        <v>261.88163265306122</v>
      </c>
      <c r="T116" s="1310">
        <v>0</v>
      </c>
      <c r="U116" s="159">
        <f t="shared" si="29"/>
        <v>0.61467156109990428</v>
      </c>
      <c r="V116" s="159">
        <f t="shared" si="22"/>
        <v>0.5652152285976132</v>
      </c>
      <c r="W116" s="451">
        <v>0</v>
      </c>
      <c r="X116" s="462">
        <f t="shared" si="23"/>
        <v>1</v>
      </c>
      <c r="Y116" s="106">
        <f t="shared" si="24"/>
        <v>7840.1980283058338</v>
      </c>
      <c r="Z116" s="106">
        <f t="shared" si="30"/>
        <v>3089.8757405435285</v>
      </c>
      <c r="AA116" s="106">
        <f>SUMPRODUCT($F$31:$F$33,$N$16:$N$18)*MIN(Q116/O116,1)*X116</f>
        <v>1759.7269451999114</v>
      </c>
      <c r="AB116" s="28">
        <f t="shared" si="34"/>
        <v>1190.4605772048644</v>
      </c>
      <c r="AC116" s="447">
        <v>0</v>
      </c>
      <c r="AD116" s="447">
        <v>0</v>
      </c>
      <c r="AE116" s="447">
        <v>0</v>
      </c>
      <c r="AF116" s="459">
        <f t="shared" si="20"/>
        <v>13880.261291254137</v>
      </c>
      <c r="AG116" s="453">
        <f t="shared" si="25"/>
        <v>490.33344117067554</v>
      </c>
      <c r="AH116" s="463">
        <f t="shared" si="31"/>
        <v>-10.907800622602629</v>
      </c>
      <c r="AI116" s="105">
        <f t="shared" si="26"/>
        <v>-12.307800622602628</v>
      </c>
      <c r="AJ116" s="455">
        <v>0</v>
      </c>
      <c r="AK116" s="165" t="str">
        <f>IF(instatk="Mut","1-3s/5-5r/4-5e",IF(Sealfate&gt;0,"1-2s/5-5r/4-5e","1s/5r/4e"))</f>
        <v>1s/5r/4e</v>
      </c>
      <c r="AL116" t="str">
        <f>IF(AND(OR(allowrupt,NOT(D116)),OR(AND(poison,allowenv),NOT(F116)),$X$2-AG116&lt;50),MAX($AL$55:$AL115)+1,"")</f>
        <v/>
      </c>
      <c r="AO116">
        <f t="shared" si="12"/>
        <v>61</v>
      </c>
      <c r="AP116" t="str">
        <f t="shared" si="27"/>
        <v/>
      </c>
      <c r="AQ116" t="b">
        <v>1</v>
      </c>
    </row>
    <row r="117" spans="2:43" ht="12.75" customHeight="1">
      <c r="B117" t="s">
        <v>380</v>
      </c>
      <c r="C117" s="458">
        <v>1</v>
      </c>
      <c r="D117" s="28">
        <v>1</v>
      </c>
      <c r="E117" s="28">
        <v>1</v>
      </c>
      <c r="F117" s="197">
        <v>0</v>
      </c>
      <c r="G117" s="197">
        <v>0</v>
      </c>
      <c r="H117" s="414">
        <f t="shared" si="17"/>
        <v>3</v>
      </c>
      <c r="I117" s="106">
        <f>K$15+N$15+M$15</f>
        <v>9.2000000000000011</v>
      </c>
      <c r="J117" s="106">
        <f t="shared" si="21"/>
        <v>369.50204081632654</v>
      </c>
      <c r="K117" s="95">
        <f>SUMPRODUCT($E$14:$E$16,$K$16:$K$18)+SUMPRODUCT($E$31:$E$33,$N$16:$N$18)+SUMPRODUCT($E$23:$E$25,$M$16:$M$18)</f>
        <v>30</v>
      </c>
      <c r="L117" s="459">
        <f t="shared" si="18"/>
        <v>399.50204081632654</v>
      </c>
      <c r="M117" s="460">
        <f>SUMPRODUCT($C$14:$C$16,$K$16:$K$18)+SUMPRODUCT($C$31:$C$33,$N$16:$N$18)+SUMPRODUCT($C$23:$C$25,$M$16:$M$18)</f>
        <v>11</v>
      </c>
      <c r="N117" s="105">
        <f>SUMPRODUCT($D$14:$D$16,$K$16:$K$18)</f>
        <v>21.75</v>
      </c>
      <c r="O117" s="105">
        <f>SUMPRODUCT($D$31:$D$33,$N$16:$N$18)</f>
        <v>16</v>
      </c>
      <c r="P117" s="104">
        <v>0</v>
      </c>
      <c r="Q117" s="461">
        <f t="shared" si="35"/>
        <v>30.873189833666249</v>
      </c>
      <c r="R117" s="1310">
        <f>(K$15+1-$J$15)*$O$2+25</f>
        <v>105.32653061224489</v>
      </c>
      <c r="S117" s="1310">
        <f>(K$15+N$15+1-$J$15)*$O$2+$E$14+D117*$O$3</f>
        <v>297.04489795918369</v>
      </c>
      <c r="T117" s="1310">
        <v>0</v>
      </c>
      <c r="U117" s="159">
        <f t="shared" si="29"/>
        <v>0.70449474502574094</v>
      </c>
      <c r="V117" s="159">
        <f t="shared" si="22"/>
        <v>0.51824900783502781</v>
      </c>
      <c r="W117" s="451">
        <v>0</v>
      </c>
      <c r="X117" s="462">
        <f t="shared" si="23"/>
        <v>1</v>
      </c>
      <c r="Y117" s="106">
        <f t="shared" si="24"/>
        <v>8796.3197390748373</v>
      </c>
      <c r="Z117" s="106">
        <f t="shared" si="30"/>
        <v>3862.3446756794115</v>
      </c>
      <c r="AA117" s="106">
        <f>SUMPRODUCT($F$31:$F$33,$N$16:$N$18)*MIN(Q117/O117,1)*X117</f>
        <v>1759.7269451999114</v>
      </c>
      <c r="AB117" s="28">
        <f t="shared" si="34"/>
        <v>1190.4605772048644</v>
      </c>
      <c r="AC117" s="447">
        <v>0</v>
      </c>
      <c r="AD117" s="447">
        <v>0</v>
      </c>
      <c r="AE117" s="447">
        <v>0</v>
      </c>
      <c r="AF117" s="459">
        <f t="shared" si="20"/>
        <v>15608.851937159023</v>
      </c>
      <c r="AG117" s="453">
        <f t="shared" si="25"/>
        <v>505.5795018672822</v>
      </c>
      <c r="AH117" s="463">
        <f t="shared" si="31"/>
        <v>-9.1231898336662489</v>
      </c>
      <c r="AI117" s="105">
        <f t="shared" si="26"/>
        <v>-14.873189833666249</v>
      </c>
      <c r="AJ117" s="455">
        <v>0</v>
      </c>
      <c r="AK117" s="165" t="str">
        <f>IF(instatk="Mut","2-4s/5-5r/4-5e",IF(Sealfate&gt;0,"2-3s/5-5r/4-5e","2s/5r/4e"))</f>
        <v>2s/5r/4e</v>
      </c>
      <c r="AL117" t="str">
        <f>IF(AND(OR(allowrupt,NOT(D117)),OR(AND(poison,allowenv),NOT(F117)),$X$2-AG117&lt;50),MAX($AL$55:$AL116)+1,"")</f>
        <v/>
      </c>
      <c r="AO117">
        <f t="shared" si="12"/>
        <v>62</v>
      </c>
      <c r="AP117" t="str">
        <f t="shared" si="27"/>
        <v/>
      </c>
      <c r="AQ117" t="b">
        <v>1</v>
      </c>
    </row>
    <row r="118" spans="2:43" ht="12.75" customHeight="1">
      <c r="B118" t="s">
        <v>381</v>
      </c>
      <c r="C118" s="458">
        <v>1</v>
      </c>
      <c r="D118" s="28">
        <v>1</v>
      </c>
      <c r="E118" s="28">
        <v>1</v>
      </c>
      <c r="F118" s="197">
        <v>0</v>
      </c>
      <c r="G118" s="197">
        <v>0</v>
      </c>
      <c r="H118" s="414">
        <f t="shared" si="17"/>
        <v>3</v>
      </c>
      <c r="I118" s="106">
        <f>L$15+N$15+M$15</f>
        <v>10.200000000000001</v>
      </c>
      <c r="J118" s="106">
        <f t="shared" si="21"/>
        <v>409.66530612244901</v>
      </c>
      <c r="K118" s="95">
        <f>SUMPRODUCT($E$15:$E$17,$L$16:$L$18)+SUMPRODUCT($E$31:$E$33,$N$16:$N$18)+SUMPRODUCT($E$23:$E$25,$M$16:$M$18)</f>
        <v>25</v>
      </c>
      <c r="L118" s="459">
        <f t="shared" si="18"/>
        <v>434.66530612244901</v>
      </c>
      <c r="M118" s="460">
        <f>SUMPRODUCT($C$15:$C$17,$L$16:$L$18)+SUMPRODUCT($C$31:$C$33,$N$16:$N$18)+SUMPRODUCT($C$23:$C$25,$M$16:$M$18)</f>
        <v>12</v>
      </c>
      <c r="N118" s="105">
        <f>SUMPRODUCT($D$15:$D$17,$L$16:$L$18)</f>
        <v>26.099999999999998</v>
      </c>
      <c r="O118" s="105">
        <f>SUMPRODUCT($D$31:$D$33,$N$16:$N$18)</f>
        <v>16</v>
      </c>
      <c r="P118" s="104">
        <v>0</v>
      </c>
      <c r="Q118" s="461">
        <f t="shared" si="35"/>
        <v>33.438579044729877</v>
      </c>
      <c r="R118" s="1310">
        <f>(L$15+1-$J$15)*$O$2+25</f>
        <v>145.48979591836735</v>
      </c>
      <c r="S118" s="1310">
        <f>(L$15+N$15+1-$J$15)*$O$2+$E$15+D118*$O$3</f>
        <v>332.2081632653061</v>
      </c>
      <c r="T118" s="1310">
        <v>0</v>
      </c>
      <c r="U118" s="159">
        <f t="shared" si="29"/>
        <v>0.7805355593934401</v>
      </c>
      <c r="V118" s="159">
        <f t="shared" si="22"/>
        <v>0.47848923181207059</v>
      </c>
      <c r="W118" s="451">
        <v>0</v>
      </c>
      <c r="X118" s="462">
        <f t="shared" si="23"/>
        <v>1</v>
      </c>
      <c r="Y118" s="106">
        <f t="shared" si="24"/>
        <v>9752.4414498438418</v>
      </c>
      <c r="Z118" s="106">
        <f t="shared" si="30"/>
        <v>4634.813610815293</v>
      </c>
      <c r="AA118" s="106">
        <f>SUMPRODUCT($F$31:$F$33,$N$16:$N$18)*MIN(Q118/O118,1)*X118</f>
        <v>1759.7269451999114</v>
      </c>
      <c r="AB118" s="28">
        <f t="shared" si="34"/>
        <v>1190.4605772048644</v>
      </c>
      <c r="AC118" s="447">
        <v>0</v>
      </c>
      <c r="AD118" s="447">
        <v>0</v>
      </c>
      <c r="AE118" s="447">
        <v>0</v>
      </c>
      <c r="AF118" s="459">
        <f t="shared" si="20"/>
        <v>17337.442583063912</v>
      </c>
      <c r="AG118" s="453">
        <f t="shared" si="25"/>
        <v>518.48622394725828</v>
      </c>
      <c r="AH118" s="463">
        <f t="shared" si="31"/>
        <v>-7.3385790447298795</v>
      </c>
      <c r="AI118" s="105">
        <f t="shared" si="26"/>
        <v>-17.438579044729877</v>
      </c>
      <c r="AJ118" s="455">
        <v>0</v>
      </c>
      <c r="AK118" s="165" t="str">
        <f>IF(instatk="Mut","3-5s/5-5r/4-5e",IF(Sealfate&gt;0,"3-4s/5-5r/4-5e","3s/5r/4e"))</f>
        <v>3s/5r/4e</v>
      </c>
      <c r="AL118" t="str">
        <f>IF(AND(OR(allowrupt,NOT(D118)),OR(AND(poison,allowenv),NOT(F118)),$X$2-AG118&lt;50),MAX($AL$55:$AL117)+1,"")</f>
        <v/>
      </c>
      <c r="AO118">
        <f t="shared" si="12"/>
        <v>63</v>
      </c>
      <c r="AP118" t="str">
        <f t="shared" si="27"/>
        <v/>
      </c>
      <c r="AQ118" t="b">
        <v>1</v>
      </c>
    </row>
    <row r="119" spans="2:43" ht="12.75" customHeight="1">
      <c r="B119" t="s">
        <v>204</v>
      </c>
      <c r="C119" s="458">
        <v>1</v>
      </c>
      <c r="D119" s="28">
        <v>1</v>
      </c>
      <c r="E119" s="28">
        <v>1</v>
      </c>
      <c r="F119" s="197">
        <v>0</v>
      </c>
      <c r="G119" s="197">
        <v>0</v>
      </c>
      <c r="H119" s="414">
        <f t="shared" si="17"/>
        <v>3</v>
      </c>
      <c r="I119" s="106">
        <f>M$15+N$15+M$15</f>
        <v>11.200000000000001</v>
      </c>
      <c r="J119" s="106">
        <f t="shared" si="21"/>
        <v>449.82857142857148</v>
      </c>
      <c r="K119" s="95">
        <f>SUMPRODUCT($E$16:$E$18,$M$16:$M$18)+SUMPRODUCT($E$31:$E$33,$N$16:$N$18)+SUMPRODUCT($E$23:$E$25,$M$16:$M$18)</f>
        <v>20</v>
      </c>
      <c r="L119" s="459">
        <f t="shared" si="18"/>
        <v>469.82857142857148</v>
      </c>
      <c r="M119" s="460">
        <f>SUMPRODUCT($C$16:$C$18,$M$16:$M$18)+SUMPRODUCT($C$31:$C$33,$N$16:$N$18)+SUMPRODUCT($C$23:$C$25,$M$16:$M$18)</f>
        <v>13</v>
      </c>
      <c r="N119" s="105">
        <f>SUMPRODUCT($D$16:$D$18,$M$16:$M$18)</f>
        <v>30.45</v>
      </c>
      <c r="O119" s="105">
        <f>SUMPRODUCT($D$31:$D$33,$N$16:$N$18)</f>
        <v>16</v>
      </c>
      <c r="P119" s="104">
        <v>0</v>
      </c>
      <c r="Q119" s="461">
        <f t="shared" si="35"/>
        <v>36.003968255793509</v>
      </c>
      <c r="R119" s="1310">
        <f>(M$15+1-$J$15)*$O$2+25</f>
        <v>185.65306122448979</v>
      </c>
      <c r="S119" s="1310">
        <f>(M$15+N$15+1-$J$15)*$O$2+$E$16+D119*$O$3</f>
        <v>367.37142857142857</v>
      </c>
      <c r="T119" s="1310">
        <v>0</v>
      </c>
      <c r="U119" s="159">
        <f t="shared" si="29"/>
        <v>0.84574010796990962</v>
      </c>
      <c r="V119" s="159">
        <f t="shared" si="22"/>
        <v>0.44439545903180799</v>
      </c>
      <c r="W119" s="451">
        <v>0</v>
      </c>
      <c r="X119" s="462">
        <f t="shared" si="23"/>
        <v>1</v>
      </c>
      <c r="Y119" s="106">
        <f t="shared" si="24"/>
        <v>10708.563160612846</v>
      </c>
      <c r="Z119" s="106">
        <f t="shared" si="30"/>
        <v>5407.2825459511769</v>
      </c>
      <c r="AA119" s="106">
        <f>SUMPRODUCT($F$31:$F$33,$N$16:$N$18)*MIN(Q119/O119,1)*X119</f>
        <v>1759.7269451999114</v>
      </c>
      <c r="AB119" s="28">
        <f t="shared" si="34"/>
        <v>1190.4605772048644</v>
      </c>
      <c r="AC119" s="447">
        <v>0</v>
      </c>
      <c r="AD119" s="447">
        <v>0</v>
      </c>
      <c r="AE119" s="447">
        <v>0</v>
      </c>
      <c r="AF119" s="459">
        <f t="shared" si="20"/>
        <v>19066.033228968798</v>
      </c>
      <c r="AG119" s="453">
        <f t="shared" si="25"/>
        <v>529.55366179395583</v>
      </c>
      <c r="AH119" s="463">
        <f t="shared" si="31"/>
        <v>-5.5539682557935102</v>
      </c>
      <c r="AI119" s="105">
        <f t="shared" si="26"/>
        <v>-20.003968255793509</v>
      </c>
      <c r="AJ119" s="455">
        <v>0</v>
      </c>
      <c r="AK119" s="165" t="str">
        <f>IF(instatk="Mut","4-5s/5-5r/4-5e",IF(Sealfate&gt;0,"4-5s/5-5r/4-5e","4s/5r/4e"))</f>
        <v>4s/5r/4e</v>
      </c>
      <c r="AL119">
        <f>IF(AND(OR(allowrupt,NOT(D119)),OR(AND(poison,allowenv),NOT(F119)),$X$2-AG119&lt;50),MAX($AL$55:$AL118)+1,"")</f>
        <v>44</v>
      </c>
      <c r="AO119">
        <f t="shared" si="12"/>
        <v>64</v>
      </c>
      <c r="AP119" t="str">
        <f t="shared" si="27"/>
        <v/>
      </c>
      <c r="AQ119" t="b">
        <v>1</v>
      </c>
    </row>
    <row r="120" spans="2:43" ht="12.75" customHeight="1">
      <c r="B120" t="s">
        <v>122</v>
      </c>
      <c r="C120" s="458">
        <v>1</v>
      </c>
      <c r="D120" s="28">
        <v>1</v>
      </c>
      <c r="E120" s="28">
        <v>1</v>
      </c>
      <c r="F120" s="197">
        <v>0</v>
      </c>
      <c r="G120" s="197">
        <v>0</v>
      </c>
      <c r="H120" s="414">
        <f t="shared" si="17"/>
        <v>3</v>
      </c>
      <c r="I120" s="106">
        <f>N$15+N$15+M$15</f>
        <v>12.200000000000001</v>
      </c>
      <c r="J120" s="106">
        <f t="shared" ref="J120:J150" si="36">I120*$O$2</f>
        <v>489.99183673469389</v>
      </c>
      <c r="K120" s="95">
        <f>SUMPRODUCT($E$17:$E$19,$N$16:$N$18)+SUMPRODUCT($E$31:$E$33,$N$16:$N$18)+SUMPRODUCT($E$23:$E$25,$M$16:$M$18)</f>
        <v>15</v>
      </c>
      <c r="L120" s="459">
        <f t="shared" si="18"/>
        <v>504.99183673469389</v>
      </c>
      <c r="M120" s="460">
        <f>SUMPRODUCT($C$17:$C$19,$N$16:$N$18)+SUMPRODUCT($C$31:$C$33,$N$16:$N$18)+SUMPRODUCT($C$23:$C$25,$M$16:$M$18)</f>
        <v>14</v>
      </c>
      <c r="N120" s="105">
        <f>SUMPRODUCT($D$17:$D$19,$N$16:$N$18)</f>
        <v>34.799999999999997</v>
      </c>
      <c r="O120" s="105">
        <f>SUMPRODUCT($D$31:$D$33,$N$16:$N$18)</f>
        <v>16</v>
      </c>
      <c r="P120" s="104">
        <v>0</v>
      </c>
      <c r="Q120" s="461">
        <f t="shared" si="35"/>
        <v>38.569357466857134</v>
      </c>
      <c r="R120" s="1310">
        <f>(N$15+1-$J$15)*$O$2+25</f>
        <v>225.81632653061223</v>
      </c>
      <c r="S120" s="1310">
        <f>(N$15+N$15+1-$J$15)*$O$2+$E$17+D120*$O$3</f>
        <v>402.53469387755104</v>
      </c>
      <c r="T120" s="1310">
        <v>0</v>
      </c>
      <c r="U120" s="159">
        <f t="shared" si="29"/>
        <v>0.9022706699198666</v>
      </c>
      <c r="V120" s="159">
        <f t="shared" ref="V120:V150" si="37">IF(O120&gt;0,MIN(1,O120/Q120),0)</f>
        <v>0.41483708961832955</v>
      </c>
      <c r="W120" s="451">
        <v>0</v>
      </c>
      <c r="X120" s="462">
        <f t="shared" ref="X120:X150" si="38">MIN(1,H120*10/Q120)*fw+(1-(MIN(1,H120*10/Q120)))*1</f>
        <v>1</v>
      </c>
      <c r="Y120" s="106">
        <f t="shared" ref="Y120:Y150" si="39">(I120*avginst)*X120*$K$4</f>
        <v>11664.684871381849</v>
      </c>
      <c r="Z120" s="106">
        <f t="shared" si="30"/>
        <v>6179.7514810870571</v>
      </c>
      <c r="AA120" s="106">
        <f>SUMPRODUCT($F$31:$F$33,$N$16:$N$18)*MIN(Q120/O120,1)*X120</f>
        <v>1759.7269451999114</v>
      </c>
      <c r="AB120" s="28">
        <f t="shared" si="34"/>
        <v>1190.4605772048644</v>
      </c>
      <c r="AC120" s="447">
        <v>0</v>
      </c>
      <c r="AD120" s="447">
        <v>0</v>
      </c>
      <c r="AE120" s="447">
        <v>0</v>
      </c>
      <c r="AF120" s="459">
        <f t="shared" si="20"/>
        <v>20794.623874873683</v>
      </c>
      <c r="AG120" s="453">
        <f t="shared" ref="AG120:AG150" si="40">IF(AND(forceea,W120=0),0,IF(time=0, AF120/Q120, IF(time&lt;Q120, 0, AF120/Q120))*AQ120)</f>
        <v>539.14882799752684</v>
      </c>
      <c r="AH120" s="463">
        <f t="shared" si="31"/>
        <v>-3.7693574668571372</v>
      </c>
      <c r="AI120" s="105">
        <f t="shared" ref="AI120:AI150" si="41">O120-$Q120</f>
        <v>-22.569357466857134</v>
      </c>
      <c r="AJ120" s="455">
        <v>0</v>
      </c>
      <c r="AK120" s="165" t="str">
        <f>IF(instatk="Mut","5-5s/5-5r/4-5e",IF(Sealfate&gt;0,"5-5s/5-5r/4-5e","5s/5r/4e"))</f>
        <v>5s/5r/4e</v>
      </c>
      <c r="AL120">
        <f>IF(AND(OR(allowrupt,NOT(D120)),OR(AND(poison,allowenv),NOT(F120)),$X$2-AG120&lt;50),MAX($AL$55:$AL119)+1,"")</f>
        <v>45</v>
      </c>
      <c r="AO120">
        <f t="shared" si="12"/>
        <v>65</v>
      </c>
      <c r="AP120" t="str">
        <f t="shared" ref="AP120:AP139" si="42">IF(ISNA(INDEX($AK$56:$AK$284,MATCH(AO120,AL$56:AL$284,0))),"",INDEX($AK$56:$AK$284,MATCH(AO120,AL$56:AL$284,0)))</f>
        <v/>
      </c>
      <c r="AQ120" t="b">
        <v>1</v>
      </c>
    </row>
    <row r="121" spans="2:43" ht="12.75" customHeight="1">
      <c r="B121" t="s">
        <v>382</v>
      </c>
      <c r="C121" s="445">
        <v>1</v>
      </c>
      <c r="D121">
        <v>1</v>
      </c>
      <c r="E121">
        <v>1</v>
      </c>
      <c r="F121" s="197">
        <v>0</v>
      </c>
      <c r="G121" s="197">
        <v>0</v>
      </c>
      <c r="H121" s="446">
        <f t="shared" si="17"/>
        <v>3</v>
      </c>
      <c r="I121" s="447">
        <f>J$15+L$15+N$15</f>
        <v>7.2</v>
      </c>
      <c r="J121" s="447">
        <f t="shared" si="36"/>
        <v>289.1755102040816</v>
      </c>
      <c r="K121" s="94">
        <f>SUMPRODUCT($E$13:$E$15,$J$16:$J$18)+SUMPRODUCT($E$29:$E$31,$L$16:$L$18)+SUMPRODUCT($E$24:$E$26,$N$16:$N$18)</f>
        <v>40</v>
      </c>
      <c r="L121" s="448">
        <f t="shared" si="18"/>
        <v>329.1755102040816</v>
      </c>
      <c r="M121" s="457">
        <f>SUMPRODUCT($C$13:$C$15,$J$16:$J$18)+SUMPRODUCT($C$29:$C$31,$L$16:$L$18)+SUMPRODUCT($C$24:$C$26,$N$16:$N$18)</f>
        <v>9</v>
      </c>
      <c r="N121" s="104">
        <f>SUMPRODUCT($D$13:$D$15,$J$16:$J$18)</f>
        <v>17.399999999999999</v>
      </c>
      <c r="O121" s="104">
        <f>SUMPRODUCT($D$29:$D$31,$L$16:$L$18)</f>
        <v>12</v>
      </c>
      <c r="P121" s="104">
        <v>0</v>
      </c>
      <c r="Q121" s="450">
        <f t="shared" si="35"/>
        <v>25.470941506304804</v>
      </c>
      <c r="R121" s="1310">
        <f>(J$15+1-$J$15)*$O$2+25</f>
        <v>65.16326530612244</v>
      </c>
      <c r="S121" s="1310">
        <f>(J$15+L$15+1-$J$15)*$O$2+$E$13+D121*$O$3</f>
        <v>181.55510204081631</v>
      </c>
      <c r="T121" s="1310">
        <v>0</v>
      </c>
      <c r="U121" s="451">
        <f t="shared" si="29"/>
        <v>0.68313140272781003</v>
      </c>
      <c r="V121" s="451">
        <f t="shared" si="37"/>
        <v>0.47112510532952417</v>
      </c>
      <c r="W121" s="451">
        <v>0</v>
      </c>
      <c r="X121" s="452">
        <f t="shared" si="38"/>
        <v>1</v>
      </c>
      <c r="Y121" s="447">
        <f t="shared" si="39"/>
        <v>6884.0763175368284</v>
      </c>
      <c r="Z121" s="447">
        <f t="shared" si="30"/>
        <v>3089.8757405435285</v>
      </c>
      <c r="AA121" s="447">
        <f>SUMPRODUCT($F$29:$F$31,$L$16:$L$18)*MIN(Q121/O121,1)*X121</f>
        <v>1187.7952088999336</v>
      </c>
      <c r="AB121">
        <f t="shared" ref="AB121:AB135" si="43">SUMPRODUCT($F$24:$F$26,$N$16:$N$18)*X121</f>
        <v>1459.2710844590233</v>
      </c>
      <c r="AC121" s="447">
        <v>0</v>
      </c>
      <c r="AD121" s="447">
        <v>0</v>
      </c>
      <c r="AE121" s="447">
        <v>0</v>
      </c>
      <c r="AF121" s="448">
        <f t="shared" si="20"/>
        <v>12621.018351439314</v>
      </c>
      <c r="AG121" s="453">
        <f t="shared" si="40"/>
        <v>495.50655001564201</v>
      </c>
      <c r="AH121" s="454">
        <f t="shared" si="31"/>
        <v>-8.0709415063048056</v>
      </c>
      <c r="AI121" s="104">
        <f t="shared" si="41"/>
        <v>-13.470941506304804</v>
      </c>
      <c r="AJ121" s="455">
        <v>0</v>
      </c>
      <c r="AK121" s="456" t="str">
        <f>IF(instatk="Mut","1-3s/3-5r/5-5e",IF(Sealfate&gt;0,"1-2s/3-4r/5-5e","1s/3r/5e"))</f>
        <v>1s/3r/5e</v>
      </c>
      <c r="AL121" t="str">
        <f>IF(AND(OR(allowrupt,NOT(D121)),OR(AND(poison,allowenv),NOT(F121)),$X$2-AG121&lt;50),MAX($AL$55:$AL120)+1,"")</f>
        <v/>
      </c>
      <c r="AO121">
        <f t="shared" si="12"/>
        <v>66</v>
      </c>
      <c r="AP121" t="str">
        <f t="shared" si="42"/>
        <v/>
      </c>
      <c r="AQ121" t="b">
        <v>1</v>
      </c>
    </row>
    <row r="122" spans="2:43" ht="12.75" customHeight="1">
      <c r="B122" t="s">
        <v>383</v>
      </c>
      <c r="C122" s="445">
        <v>1</v>
      </c>
      <c r="D122">
        <v>1</v>
      </c>
      <c r="E122">
        <v>1</v>
      </c>
      <c r="F122" s="197">
        <v>0</v>
      </c>
      <c r="G122" s="197">
        <v>0</v>
      </c>
      <c r="H122" s="446">
        <f t="shared" si="17"/>
        <v>3</v>
      </c>
      <c r="I122" s="447">
        <f>K$15+L$15+N$15</f>
        <v>8.1999999999999993</v>
      </c>
      <c r="J122" s="447">
        <f t="shared" si="36"/>
        <v>329.33877551020402</v>
      </c>
      <c r="K122" s="94">
        <f>SUMPRODUCT($E$14:$E$16,$K$16:$K$18)+SUMPRODUCT($E$29:$E$31,$L$16:$L$18)+SUMPRODUCT($E$24:$E$26,$N$16:$N$18)</f>
        <v>35</v>
      </c>
      <c r="L122" s="448">
        <f t="shared" si="18"/>
        <v>364.33877551020402</v>
      </c>
      <c r="M122" s="457">
        <f>SUMPRODUCT($C$14:$C$16,$K$16:$K$18)+SUMPRODUCT($C$29:$C$31,$L$16:$L$18)+SUMPRODUCT($C$24:$C$26,$N$16:$N$18)</f>
        <v>10</v>
      </c>
      <c r="N122" s="104">
        <f>SUMPRODUCT($D$14:$D$16,$K$16:$K$18)</f>
        <v>21.75</v>
      </c>
      <c r="O122" s="104">
        <f>SUMPRODUCT($D$29:$D$31,$L$16:$L$18)</f>
        <v>12</v>
      </c>
      <c r="P122" s="104">
        <v>0</v>
      </c>
      <c r="Q122" s="450">
        <f t="shared" si="35"/>
        <v>28.036330717368429</v>
      </c>
      <c r="R122" s="1310">
        <f>(K$15+1-$J$15)*$O$2+25</f>
        <v>105.32653061224489</v>
      </c>
      <c r="S122" s="1310">
        <f>(K$15+L$15+1-$J$15)*$O$2+$E$14+D122*$O$3</f>
        <v>216.71836734693878</v>
      </c>
      <c r="T122" s="1310">
        <v>0</v>
      </c>
      <c r="U122" s="451">
        <f t="shared" si="29"/>
        <v>0.77577912100052149</v>
      </c>
      <c r="V122" s="451">
        <f t="shared" si="37"/>
        <v>0.42801606675890841</v>
      </c>
      <c r="W122" s="451">
        <v>0</v>
      </c>
      <c r="X122" s="452">
        <f t="shared" si="38"/>
        <v>1</v>
      </c>
      <c r="Y122" s="447">
        <f t="shared" si="39"/>
        <v>7840.1980283058319</v>
      </c>
      <c r="Z122" s="447">
        <f t="shared" si="30"/>
        <v>3862.3446756794115</v>
      </c>
      <c r="AA122" s="447">
        <f>SUMPRODUCT($F$29:$F$31,$L$16:$L$18)*MIN(Q122/O122,1)*X122</f>
        <v>1187.7952088999336</v>
      </c>
      <c r="AB122">
        <f t="shared" si="43"/>
        <v>1459.2710844590233</v>
      </c>
      <c r="AC122" s="447">
        <v>0</v>
      </c>
      <c r="AD122" s="447">
        <v>0</v>
      </c>
      <c r="AE122" s="447">
        <v>0</v>
      </c>
      <c r="AF122" s="448">
        <f t="shared" si="20"/>
        <v>14349.608997344201</v>
      </c>
      <c r="AG122" s="453">
        <f t="shared" si="40"/>
        <v>511.82193354762569</v>
      </c>
      <c r="AH122" s="454">
        <f t="shared" si="31"/>
        <v>-6.2863307173684291</v>
      </c>
      <c r="AI122" s="104">
        <f t="shared" si="41"/>
        <v>-16.036330717368429</v>
      </c>
      <c r="AJ122" s="455">
        <v>0</v>
      </c>
      <c r="AK122" s="456" t="str">
        <f>IF(instatk="Mut","2-4s/3-5r/5-5e",IF(Sealfate&gt;0,"2-3s/3-4r/5-5e","2s/3r/5e"))</f>
        <v>2s/3r/5e</v>
      </c>
      <c r="AL122" t="str">
        <f>IF(AND(OR(allowrupt,NOT(D122)),OR(AND(poison,allowenv),NOT(F122)),$X$2-AG122&lt;50),MAX($AL$55:$AL121)+1,"")</f>
        <v/>
      </c>
      <c r="AO122">
        <f t="shared" ref="AO122:AO150" si="44">AO121+1</f>
        <v>67</v>
      </c>
      <c r="AP122" t="str">
        <f t="shared" si="42"/>
        <v/>
      </c>
      <c r="AQ122" t="b">
        <v>1</v>
      </c>
    </row>
    <row r="123" spans="2:43" ht="12.75" customHeight="1">
      <c r="B123" t="s">
        <v>384</v>
      </c>
      <c r="C123" s="445">
        <v>1</v>
      </c>
      <c r="D123">
        <v>1</v>
      </c>
      <c r="E123">
        <v>1</v>
      </c>
      <c r="F123" s="197">
        <v>0</v>
      </c>
      <c r="G123" s="197">
        <v>0</v>
      </c>
      <c r="H123" s="446">
        <f t="shared" si="17"/>
        <v>3</v>
      </c>
      <c r="I123" s="447">
        <f>L$15+L$15+N$15</f>
        <v>9.1999999999999993</v>
      </c>
      <c r="J123" s="447">
        <f t="shared" si="36"/>
        <v>369.50204081632648</v>
      </c>
      <c r="K123" s="94">
        <f>SUMPRODUCT($E$15:$E$17,$L$16:$L$18)+SUMPRODUCT($E$29:$E$31,$L$16:$L$18)+SUMPRODUCT($E$24:$E$26,$N$16:$N$18)</f>
        <v>30</v>
      </c>
      <c r="L123" s="448">
        <f t="shared" si="18"/>
        <v>399.50204081632648</v>
      </c>
      <c r="M123" s="457">
        <f>SUMPRODUCT($C$15:$C$17,$L$16:$L$18)+SUMPRODUCT($C$29:$C$31,$L$16:$L$18)+SUMPRODUCT($C$24:$C$26,$N$16:$N$18)</f>
        <v>11</v>
      </c>
      <c r="N123" s="104">
        <f>SUMPRODUCT($D$15:$D$17,$L$16:$L$18)</f>
        <v>26.099999999999998</v>
      </c>
      <c r="O123" s="104">
        <f>SUMPRODUCT($D$29:$D$31,$L$16:$L$18)</f>
        <v>12</v>
      </c>
      <c r="P123" s="104">
        <v>0</v>
      </c>
      <c r="Q123" s="450">
        <f t="shared" si="35"/>
        <v>30.601719928432061</v>
      </c>
      <c r="R123" s="1310">
        <f>(L$15+1-$J$15)*$O$2+25</f>
        <v>145.48979591836735</v>
      </c>
      <c r="S123" s="1310">
        <f>(L$15+L$15+1-$J$15)*$O$2+$E$15+D123*$O$3</f>
        <v>251.88163265306122</v>
      </c>
      <c r="T123" s="1310">
        <v>0</v>
      </c>
      <c r="U123" s="451">
        <f t="shared" si="29"/>
        <v>0.85289323806112238</v>
      </c>
      <c r="V123" s="451">
        <f t="shared" si="37"/>
        <v>0.39213482209706779</v>
      </c>
      <c r="W123" s="451">
        <v>0</v>
      </c>
      <c r="X123" s="452">
        <f t="shared" si="38"/>
        <v>1</v>
      </c>
      <c r="Y123" s="447">
        <f t="shared" si="39"/>
        <v>8796.3197390748355</v>
      </c>
      <c r="Z123" s="447">
        <f t="shared" si="30"/>
        <v>4634.813610815293</v>
      </c>
      <c r="AA123" s="447">
        <f>SUMPRODUCT($F$29:$F$31,$L$16:$L$18)*MIN(Q123/O123,1)*X123</f>
        <v>1187.7952088999336</v>
      </c>
      <c r="AB123">
        <f t="shared" si="43"/>
        <v>1459.2710844590233</v>
      </c>
      <c r="AC123" s="447">
        <v>0</v>
      </c>
      <c r="AD123" s="447">
        <v>0</v>
      </c>
      <c r="AE123" s="447">
        <v>0</v>
      </c>
      <c r="AF123" s="448">
        <f t="shared" si="20"/>
        <v>16078.199643249087</v>
      </c>
      <c r="AG123" s="453">
        <f t="shared" si="40"/>
        <v>525.40182972888499</v>
      </c>
      <c r="AH123" s="454">
        <f t="shared" si="31"/>
        <v>-4.5017199284320633</v>
      </c>
      <c r="AI123" s="104">
        <f t="shared" si="41"/>
        <v>-18.601719928432061</v>
      </c>
      <c r="AJ123" s="455">
        <v>0</v>
      </c>
      <c r="AK123" s="456" t="str">
        <f>IF(instatk="Mut","3-5s/3-5r/5-5e",IF(Sealfate&gt;0,"3-4s/3-4r/5-5e","3s/3r/5e"))</f>
        <v>3s/3r/5e</v>
      </c>
      <c r="AL123">
        <f>IF(AND(OR(allowrupt,NOT(D123)),OR(AND(poison,allowenv),NOT(F123)),$X$2-AG123&lt;50),MAX($AL$55:$AL122)+1,"")</f>
        <v>46</v>
      </c>
      <c r="AO123">
        <f t="shared" si="44"/>
        <v>68</v>
      </c>
      <c r="AP123" t="str">
        <f t="shared" si="42"/>
        <v/>
      </c>
      <c r="AQ123" t="b">
        <v>1</v>
      </c>
    </row>
    <row r="124" spans="2:43" ht="12.75" customHeight="1">
      <c r="B124" t="s">
        <v>385</v>
      </c>
      <c r="C124" s="445">
        <v>1</v>
      </c>
      <c r="D124">
        <v>1</v>
      </c>
      <c r="E124">
        <v>1</v>
      </c>
      <c r="F124" s="197">
        <v>0</v>
      </c>
      <c r="G124" s="197">
        <v>0</v>
      </c>
      <c r="H124" s="446">
        <f t="shared" si="17"/>
        <v>3</v>
      </c>
      <c r="I124" s="447">
        <f>M$15+L$15+N$15</f>
        <v>10.199999999999999</v>
      </c>
      <c r="J124" s="447">
        <f t="shared" si="36"/>
        <v>409.66530612244895</v>
      </c>
      <c r="K124" s="94">
        <f>SUMPRODUCT($E$16:$E$18,$M$16:$M$18)+SUMPRODUCT($E$29:$E$31,$L$16:$L$18)+SUMPRODUCT($E$24:$E$26,$N$16:$N$18)</f>
        <v>25</v>
      </c>
      <c r="L124" s="448">
        <f t="shared" si="18"/>
        <v>434.66530612244895</v>
      </c>
      <c r="M124" s="457">
        <f>SUMPRODUCT($C$16:$C$18,$M$16:$M$18)+SUMPRODUCT($C$29:$C$31,$L$16:$L$18)+SUMPRODUCT($C$24:$C$26,$N$16:$N$18)</f>
        <v>12</v>
      </c>
      <c r="N124" s="104">
        <f>SUMPRODUCT($D$16:$D$18,$M$16:$M$18)</f>
        <v>30.45</v>
      </c>
      <c r="O124" s="104">
        <f>SUMPRODUCT($D$29:$D$31,$L$16:$L$18)</f>
        <v>12</v>
      </c>
      <c r="P124" s="104">
        <v>0</v>
      </c>
      <c r="Q124" s="450">
        <f t="shared" si="35"/>
        <v>33.167109139495686</v>
      </c>
      <c r="R124" s="1310">
        <f>(M$15+1-$J$15)*$O$2+25</f>
        <v>185.65306122448979</v>
      </c>
      <c r="S124" s="1310">
        <f>(M$15+L$15+1-$J$15)*$O$2+$E$16+D124*$O$3</f>
        <v>287.04489795918369</v>
      </c>
      <c r="T124" s="1310">
        <v>0</v>
      </c>
      <c r="U124" s="451">
        <f t="shared" si="29"/>
        <v>0.9180782042815987</v>
      </c>
      <c r="V124" s="451">
        <f t="shared" si="37"/>
        <v>0.361804218436098</v>
      </c>
      <c r="W124" s="451">
        <v>0</v>
      </c>
      <c r="X124" s="452">
        <f t="shared" si="38"/>
        <v>1</v>
      </c>
      <c r="Y124" s="447">
        <f t="shared" si="39"/>
        <v>9752.44144984384</v>
      </c>
      <c r="Z124" s="447">
        <f t="shared" si="30"/>
        <v>5407.2825459511769</v>
      </c>
      <c r="AA124" s="447">
        <f>SUMPRODUCT($F$29:$F$31,$L$16:$L$18)*MIN(Q124/O124,1)*X124</f>
        <v>1187.7952088999336</v>
      </c>
      <c r="AB124">
        <f t="shared" si="43"/>
        <v>1459.2710844590233</v>
      </c>
      <c r="AC124" s="447">
        <v>0</v>
      </c>
      <c r="AD124" s="447">
        <v>0</v>
      </c>
      <c r="AE124" s="447">
        <v>0</v>
      </c>
      <c r="AF124" s="448">
        <f t="shared" si="20"/>
        <v>17806.790289153974</v>
      </c>
      <c r="AG124" s="453">
        <f t="shared" si="40"/>
        <v>536.88098695190445</v>
      </c>
      <c r="AH124" s="454">
        <f t="shared" si="31"/>
        <v>-2.7171091394956868</v>
      </c>
      <c r="AI124" s="104">
        <f t="shared" si="41"/>
        <v>-21.167109139495686</v>
      </c>
      <c r="AJ124" s="455">
        <v>0</v>
      </c>
      <c r="AK124" s="456" t="str">
        <f>IF(instatk="Mut","4-5s/3-5r/5-5e",IF(Sealfate&gt;0,"4-5s/3-4r/5-5e","4s/3r/5e"))</f>
        <v>4s/3r/5e</v>
      </c>
      <c r="AL124">
        <f>IF(AND(OR(allowrupt,NOT(D124)),OR(AND(poison,allowenv),NOT(F124)),$X$2-AG124&lt;50),MAX($AL$55:$AL123)+1,"")</f>
        <v>47</v>
      </c>
      <c r="AO124">
        <f t="shared" si="44"/>
        <v>69</v>
      </c>
      <c r="AP124" t="str">
        <f t="shared" si="42"/>
        <v/>
      </c>
      <c r="AQ124" t="b">
        <v>1</v>
      </c>
    </row>
    <row r="125" spans="2:43" ht="12.75" customHeight="1">
      <c r="B125" t="s">
        <v>386</v>
      </c>
      <c r="C125" s="445">
        <v>1</v>
      </c>
      <c r="D125">
        <v>1</v>
      </c>
      <c r="E125">
        <v>1</v>
      </c>
      <c r="F125" s="197">
        <v>0</v>
      </c>
      <c r="G125" s="197">
        <v>0</v>
      </c>
      <c r="H125" s="446">
        <f t="shared" si="17"/>
        <v>3</v>
      </c>
      <c r="I125" s="447">
        <f>N$15+L$15+N$15</f>
        <v>11.200000000000001</v>
      </c>
      <c r="J125" s="447">
        <f t="shared" si="36"/>
        <v>449.82857142857148</v>
      </c>
      <c r="K125" s="94">
        <f>SUMPRODUCT($E$17:$E$19,$N$16:$N$18)+SUMPRODUCT($E$29:$E$31,$L$16:$L$18)+SUMPRODUCT($E$24:$E$26,$N$16:$N$18)</f>
        <v>20</v>
      </c>
      <c r="L125" s="448">
        <f t="shared" si="18"/>
        <v>469.82857142857148</v>
      </c>
      <c r="M125" s="457">
        <f>SUMPRODUCT($C$17:$C$19,$N$16:$N$18)+SUMPRODUCT($C$29:$C$31,$L$16:$L$18)+SUMPRODUCT($C$24:$C$26,$N$16:$N$18)</f>
        <v>13</v>
      </c>
      <c r="N125" s="104">
        <f>SUMPRODUCT($D$17:$D$19,$N$16:$N$18)</f>
        <v>34.799999999999997</v>
      </c>
      <c r="O125" s="104">
        <f>SUMPRODUCT($D$29:$D$31,$L$16:$L$18)</f>
        <v>12</v>
      </c>
      <c r="P125" s="104">
        <v>0</v>
      </c>
      <c r="Q125" s="450">
        <f t="shared" si="35"/>
        <v>35.732498350559325</v>
      </c>
      <c r="R125" s="1310">
        <f>(N$15+1-$J$15)*$O$2+25</f>
        <v>225.81632653061223</v>
      </c>
      <c r="S125" s="1310">
        <f>(N$15+L$15+1-$J$15)*$O$2+$E$17+D125*$O$3</f>
        <v>322.2081632653061</v>
      </c>
      <c r="T125" s="1310">
        <v>0</v>
      </c>
      <c r="U125" s="451">
        <f t="shared" ref="U125:U150" si="45">IF(N125&gt;0,MIN(1,N125/Q125),0)</f>
        <v>0.97390335426840557</v>
      </c>
      <c r="V125" s="451">
        <f t="shared" si="37"/>
        <v>0.33582874285117437</v>
      </c>
      <c r="W125" s="451">
        <v>0</v>
      </c>
      <c r="X125" s="452">
        <f t="shared" si="38"/>
        <v>1</v>
      </c>
      <c r="Y125" s="447">
        <f t="shared" si="39"/>
        <v>10708.563160612846</v>
      </c>
      <c r="Z125" s="447">
        <f t="shared" ref="Z125:Z150" si="46">Q125*U125*$O$6*(sndfact-1)*$K$4</f>
        <v>6179.7514810870571</v>
      </c>
      <c r="AA125" s="447">
        <f>SUMPRODUCT($F$29:$F$31,$L$16:$L$18)*MIN(Q125/O125,1)*X125</f>
        <v>1187.7952088999336</v>
      </c>
      <c r="AB125">
        <f t="shared" si="43"/>
        <v>1459.2710844590233</v>
      </c>
      <c r="AC125" s="447">
        <v>0</v>
      </c>
      <c r="AD125" s="447">
        <v>0</v>
      </c>
      <c r="AE125" s="447">
        <v>0</v>
      </c>
      <c r="AF125" s="448">
        <f t="shared" si="20"/>
        <v>19535.38093505886</v>
      </c>
      <c r="AG125" s="453">
        <f t="shared" si="40"/>
        <v>546.71186837830135</v>
      </c>
      <c r="AH125" s="454">
        <f t="shared" ref="AH125:AH150" si="47">N125-$Q125</f>
        <v>-0.93249835055932806</v>
      </c>
      <c r="AI125" s="104">
        <f t="shared" si="41"/>
        <v>-23.732498350559325</v>
      </c>
      <c r="AJ125" s="455">
        <v>0</v>
      </c>
      <c r="AK125" s="456" t="str">
        <f>IF(instatk="Mut","5-5s/3-5r/5-5e",IF(Sealfate&gt;0,"5-5s/3-4r/5-5e","5s/3r/5e"))</f>
        <v>5s/3r/5e</v>
      </c>
      <c r="AL125">
        <f>IF(AND(OR(allowrupt,NOT(D125)),OR(AND(poison,allowenv),NOT(F125)),$X$2-AG125&lt;50),MAX($AL$55:$AL124)+1,"")</f>
        <v>48</v>
      </c>
      <c r="AO125">
        <f t="shared" si="44"/>
        <v>70</v>
      </c>
      <c r="AP125" t="str">
        <f t="shared" si="42"/>
        <v/>
      </c>
      <c r="AQ125" t="b">
        <v>1</v>
      </c>
    </row>
    <row r="126" spans="2:43" ht="12.75" customHeight="1">
      <c r="B126" t="s">
        <v>387</v>
      </c>
      <c r="C126" s="445">
        <v>1</v>
      </c>
      <c r="D126">
        <v>1</v>
      </c>
      <c r="E126">
        <v>1</v>
      </c>
      <c r="F126" s="197">
        <v>0</v>
      </c>
      <c r="G126" s="197">
        <v>0</v>
      </c>
      <c r="H126" s="446">
        <f t="shared" si="17"/>
        <v>3</v>
      </c>
      <c r="I126" s="447">
        <f>J$15+M$15+N$15</f>
        <v>8.1999999999999993</v>
      </c>
      <c r="J126" s="447">
        <f t="shared" si="36"/>
        <v>329.33877551020402</v>
      </c>
      <c r="K126" s="94">
        <f>SUMPRODUCT($E$13:$E$15,$J$16:$J$18)+SUMPRODUCT($E$30:$E$32,$M$16:$M$18)+SUMPRODUCT($E$24:$E$26,$N$16:$N$18)</f>
        <v>35</v>
      </c>
      <c r="L126" s="448">
        <f t="shared" si="18"/>
        <v>364.33877551020402</v>
      </c>
      <c r="M126" s="457">
        <f>SUMPRODUCT($C$13:$C$15,$J$16:$J$18)+SUMPRODUCT($C$30:$C$32,$M$16:$M$18)+SUMPRODUCT($C$24:$C$26,$N$16:$N$18)</f>
        <v>10</v>
      </c>
      <c r="N126" s="104">
        <f>SUMPRODUCT($D$13:$D$15,$J$16:$J$18)</f>
        <v>17.399999999999999</v>
      </c>
      <c r="O126" s="104">
        <f>SUMPRODUCT($D$30:$D$32,$M$16:$M$18)</f>
        <v>14</v>
      </c>
      <c r="P126" s="104">
        <v>0</v>
      </c>
      <c r="Q126" s="450">
        <f t="shared" ref="Q126:Q150" si="48">IF(N126&gt;L126/sndeps,L126/sndeps,N126+(L126/sndeps-N126)*sndeps/eps)</f>
        <v>28.307800622602613</v>
      </c>
      <c r="R126" s="1310">
        <f>(J$15+1-$J$15)*$O$2+25</f>
        <v>65.16326530612244</v>
      </c>
      <c r="S126" s="1310">
        <f>(J$15+M$15+1-$J$15)*$O$2+$E$13+D126*$O$3</f>
        <v>221.71836734693878</v>
      </c>
      <c r="T126" s="1310">
        <v>0</v>
      </c>
      <c r="U126" s="451">
        <f t="shared" si="45"/>
        <v>0.61467156109990451</v>
      </c>
      <c r="V126" s="451">
        <f t="shared" si="37"/>
        <v>0.49456332502291178</v>
      </c>
      <c r="W126" s="451">
        <v>0</v>
      </c>
      <c r="X126" s="452">
        <f t="shared" si="38"/>
        <v>1</v>
      </c>
      <c r="Y126" s="447">
        <f t="shared" si="39"/>
        <v>7840.1980283058319</v>
      </c>
      <c r="Z126" s="447">
        <f t="shared" si="46"/>
        <v>3089.8757405435285</v>
      </c>
      <c r="AA126" s="447">
        <f>SUMPRODUCT($F$30:$F$32,$M$16:$M$18)*MIN(Q126/O126,1)*X126</f>
        <v>1462.7610770499225</v>
      </c>
      <c r="AB126">
        <f t="shared" si="43"/>
        <v>1459.2710844590233</v>
      </c>
      <c r="AC126" s="447">
        <v>0</v>
      </c>
      <c r="AD126" s="447">
        <v>0</v>
      </c>
      <c r="AE126" s="447">
        <v>0</v>
      </c>
      <c r="AF126" s="448">
        <f t="shared" si="20"/>
        <v>13852.105930358308</v>
      </c>
      <c r="AG126" s="453">
        <f t="shared" si="40"/>
        <v>489.33882624911422</v>
      </c>
      <c r="AH126" s="454">
        <f t="shared" si="47"/>
        <v>-10.907800622602615</v>
      </c>
      <c r="AI126" s="104">
        <f t="shared" si="41"/>
        <v>-14.307800622602613</v>
      </c>
      <c r="AJ126" s="455">
        <v>0</v>
      </c>
      <c r="AK126" s="456" t="str">
        <f>IF(instatk="Mut","1-3s/4-5r/5-5e",IF(Sealfate&gt;0,"1-2s/4-5r/5-5e","1s/4r/5e"))</f>
        <v>1s/4r/5e</v>
      </c>
      <c r="AL126" t="str">
        <f>IF(AND(OR(allowrupt,NOT(D126)),OR(AND(poison,allowenv),NOT(F126)),$X$2-AG126&lt;50),MAX($AL$55:$AL125)+1,"")</f>
        <v/>
      </c>
      <c r="AO126">
        <f t="shared" si="44"/>
        <v>71</v>
      </c>
      <c r="AP126" t="str">
        <f t="shared" si="42"/>
        <v/>
      </c>
      <c r="AQ126" t="b">
        <v>1</v>
      </c>
    </row>
    <row r="127" spans="2:43" ht="12.75" customHeight="1">
      <c r="B127" t="s">
        <v>388</v>
      </c>
      <c r="C127" s="445">
        <v>1</v>
      </c>
      <c r="D127">
        <v>1</v>
      </c>
      <c r="E127">
        <v>1</v>
      </c>
      <c r="F127" s="197">
        <v>0</v>
      </c>
      <c r="G127" s="197">
        <v>0</v>
      </c>
      <c r="H127" s="446">
        <f t="shared" si="17"/>
        <v>3</v>
      </c>
      <c r="I127" s="447">
        <f>K$15+M$15+N$15</f>
        <v>9.1999999999999993</v>
      </c>
      <c r="J127" s="447">
        <f t="shared" si="36"/>
        <v>369.50204081632648</v>
      </c>
      <c r="K127" s="94">
        <f>SUMPRODUCT($E$14:$E$16,$K$16:$K$18)+SUMPRODUCT($E$30:$E$32,$M$16:$M$18)+SUMPRODUCT($E$24:$E$26,$N$16:$N$18)</f>
        <v>30</v>
      </c>
      <c r="L127" s="448">
        <f t="shared" si="18"/>
        <v>399.50204081632648</v>
      </c>
      <c r="M127" s="457">
        <f>SUMPRODUCT($C$14:$C$16,$K$16:$K$18)+SUMPRODUCT($C$30:$C$32,$M$16:$M$18)+SUMPRODUCT($C$24:$C$26,$N$16:$N$18)</f>
        <v>11</v>
      </c>
      <c r="N127" s="104">
        <f>SUMPRODUCT($D$14:$D$16,$K$16:$K$18)</f>
        <v>21.75</v>
      </c>
      <c r="O127" s="104">
        <f>SUMPRODUCT($D$30:$D$32,$M$16:$M$18)</f>
        <v>14</v>
      </c>
      <c r="P127" s="104">
        <v>0</v>
      </c>
      <c r="Q127" s="450">
        <f t="shared" si="48"/>
        <v>30.873189833666245</v>
      </c>
      <c r="R127" s="1310">
        <f>(K$15+1-$J$15)*$O$2+25</f>
        <v>105.32653061224489</v>
      </c>
      <c r="S127" s="1310">
        <f>(K$15+M$15+1-$J$15)*$O$2+$E$14+D127*$O$3</f>
        <v>256.88163265306122</v>
      </c>
      <c r="T127" s="1310">
        <v>0</v>
      </c>
      <c r="U127" s="451">
        <f t="shared" si="45"/>
        <v>0.70449474502574094</v>
      </c>
      <c r="V127" s="451">
        <f t="shared" si="37"/>
        <v>0.45346788185564935</v>
      </c>
      <c r="W127" s="451">
        <v>0</v>
      </c>
      <c r="X127" s="452">
        <f t="shared" si="38"/>
        <v>1</v>
      </c>
      <c r="Y127" s="447">
        <f t="shared" si="39"/>
        <v>8796.3197390748355</v>
      </c>
      <c r="Z127" s="447">
        <f t="shared" si="46"/>
        <v>3862.3446756794115</v>
      </c>
      <c r="AA127" s="447">
        <f>SUMPRODUCT($F$30:$F$32,$M$16:$M$18)*MIN(Q127/O127,1)*X127</f>
        <v>1462.7610770499225</v>
      </c>
      <c r="AB127">
        <f t="shared" si="43"/>
        <v>1459.2710844590233</v>
      </c>
      <c r="AC127" s="447">
        <v>0</v>
      </c>
      <c r="AD127" s="447">
        <v>0</v>
      </c>
      <c r="AE127" s="447">
        <v>0</v>
      </c>
      <c r="AF127" s="448">
        <f t="shared" si="20"/>
        <v>15580.696576263193</v>
      </c>
      <c r="AG127" s="453">
        <f t="shared" si="40"/>
        <v>504.66753387668848</v>
      </c>
      <c r="AH127" s="454">
        <f t="shared" si="47"/>
        <v>-9.1231898336662454</v>
      </c>
      <c r="AI127" s="104">
        <f t="shared" si="41"/>
        <v>-16.873189833666245</v>
      </c>
      <c r="AJ127" s="455">
        <v>0</v>
      </c>
      <c r="AK127" s="456" t="str">
        <f>IF(instatk="Mut","2-4s/4-5r/5-5e",IF(Sealfate&gt;0,"2-3s/4-5r/5-5e","2s/4r/5e"))</f>
        <v>2s/4r/5e</v>
      </c>
      <c r="AL127" t="str">
        <f>IF(AND(OR(allowrupt,NOT(D127)),OR(AND(poison,allowenv),NOT(F127)),$X$2-AG127&lt;50),MAX($AL$55:$AL126)+1,"")</f>
        <v/>
      </c>
      <c r="AO127">
        <f t="shared" si="44"/>
        <v>72</v>
      </c>
      <c r="AP127" t="str">
        <f t="shared" si="42"/>
        <v/>
      </c>
      <c r="AQ127" t="b">
        <v>1</v>
      </c>
    </row>
    <row r="128" spans="2:43" ht="12.75" customHeight="1">
      <c r="B128" t="s">
        <v>389</v>
      </c>
      <c r="C128" s="445">
        <v>1</v>
      </c>
      <c r="D128">
        <v>1</v>
      </c>
      <c r="E128">
        <v>1</v>
      </c>
      <c r="F128" s="197">
        <v>0</v>
      </c>
      <c r="G128" s="197">
        <v>0</v>
      </c>
      <c r="H128" s="446">
        <f t="shared" si="17"/>
        <v>3</v>
      </c>
      <c r="I128" s="447">
        <f>L$15+M$15+N$15</f>
        <v>10.199999999999999</v>
      </c>
      <c r="J128" s="447">
        <f t="shared" si="36"/>
        <v>409.66530612244895</v>
      </c>
      <c r="K128" s="94">
        <f>SUMPRODUCT($E$15:$E$17,$L$16:$L$18)+SUMPRODUCT($E$30:$E$32,$M$16:$M$18)+SUMPRODUCT($E$24:$E$26,$N$16:$N$18)</f>
        <v>25</v>
      </c>
      <c r="L128" s="448">
        <f t="shared" si="18"/>
        <v>434.66530612244895</v>
      </c>
      <c r="M128" s="457">
        <f>SUMPRODUCT($C$15:$C$17,$L$16:$L$18)+SUMPRODUCT($C$30:$C$32,$M$16:$M$18)+SUMPRODUCT($C$24:$C$26,$N$16:$N$18)</f>
        <v>12</v>
      </c>
      <c r="N128" s="104">
        <f>SUMPRODUCT($D$15:$D$17,$L$16:$L$18)</f>
        <v>26.099999999999998</v>
      </c>
      <c r="O128" s="104">
        <f>SUMPRODUCT($D$30:$D$32,$M$16:$M$18)</f>
        <v>14</v>
      </c>
      <c r="P128" s="104">
        <v>0</v>
      </c>
      <c r="Q128" s="450">
        <f t="shared" si="48"/>
        <v>33.43857904472987</v>
      </c>
      <c r="R128" s="1310">
        <f>(L$15+1-$J$15)*$O$2+25</f>
        <v>145.48979591836735</v>
      </c>
      <c r="S128" s="1310">
        <f>(L$15+M$15+1-$J$15)*$O$2+$E$15+D128*$O$3</f>
        <v>292.04489795918369</v>
      </c>
      <c r="T128" s="1310">
        <v>0</v>
      </c>
      <c r="U128" s="451">
        <f t="shared" si="45"/>
        <v>0.78053555939344021</v>
      </c>
      <c r="V128" s="451">
        <f t="shared" si="37"/>
        <v>0.41867807783556182</v>
      </c>
      <c r="W128" s="451">
        <v>0</v>
      </c>
      <c r="X128" s="452">
        <f t="shared" si="38"/>
        <v>1</v>
      </c>
      <c r="Y128" s="447">
        <f t="shared" si="39"/>
        <v>9752.44144984384</v>
      </c>
      <c r="Z128" s="447">
        <f t="shared" si="46"/>
        <v>4634.813610815293</v>
      </c>
      <c r="AA128" s="447">
        <f>SUMPRODUCT($F$30:$F$32,$M$16:$M$18)*MIN(Q128/O128,1)*X128</f>
        <v>1462.7610770499225</v>
      </c>
      <c r="AB128">
        <f t="shared" si="43"/>
        <v>1459.2710844590233</v>
      </c>
      <c r="AC128" s="447">
        <v>0</v>
      </c>
      <c r="AD128" s="447">
        <v>0</v>
      </c>
      <c r="AE128" s="447">
        <v>0</v>
      </c>
      <c r="AF128" s="448">
        <f t="shared" si="20"/>
        <v>17309.287222168077</v>
      </c>
      <c r="AG128" s="453">
        <f t="shared" si="40"/>
        <v>517.64422163435586</v>
      </c>
      <c r="AH128" s="454">
        <f t="shared" si="47"/>
        <v>-7.3385790447298724</v>
      </c>
      <c r="AI128" s="104">
        <f t="shared" si="41"/>
        <v>-19.43857904472987</v>
      </c>
      <c r="AJ128" s="455">
        <v>0</v>
      </c>
      <c r="AK128" s="456" t="str">
        <f>IF(instatk="Mut","3-5s/4-5r/5-5e",IF(Sealfate&gt;0,"3-4s/4-5r/5-5e","3s/4r/5e"))</f>
        <v>3s/4r/5e</v>
      </c>
      <c r="AL128" t="str">
        <f>IF(AND(OR(allowrupt,NOT(D128)),OR(AND(poison,allowenv),NOT(F128)),$X$2-AG128&lt;50),MAX($AL$55:$AL127)+1,"")</f>
        <v/>
      </c>
      <c r="AO128">
        <f t="shared" si="44"/>
        <v>73</v>
      </c>
      <c r="AP128" t="str">
        <f t="shared" si="42"/>
        <v/>
      </c>
      <c r="AQ128" t="b">
        <v>1</v>
      </c>
    </row>
    <row r="129" spans="2:43" ht="12.75" customHeight="1">
      <c r="B129" t="s">
        <v>211</v>
      </c>
      <c r="C129" s="445">
        <v>1</v>
      </c>
      <c r="D129">
        <v>1</v>
      </c>
      <c r="E129">
        <v>1</v>
      </c>
      <c r="F129" s="197">
        <v>0</v>
      </c>
      <c r="G129" s="197">
        <v>0</v>
      </c>
      <c r="H129" s="446">
        <f t="shared" si="17"/>
        <v>3</v>
      </c>
      <c r="I129" s="447">
        <f>M$15+M$15+N$15</f>
        <v>11.2</v>
      </c>
      <c r="J129" s="447">
        <f t="shared" si="36"/>
        <v>449.82857142857137</v>
      </c>
      <c r="K129" s="94">
        <f>SUMPRODUCT($E$16:$E$18,$M$16:$M$18)+SUMPRODUCT($E$30:$E$32,$M$16:$M$18)+SUMPRODUCT($E$24:$E$26,$N$16:$N$18)</f>
        <v>20</v>
      </c>
      <c r="L129" s="448">
        <f t="shared" si="18"/>
        <v>469.82857142857137</v>
      </c>
      <c r="M129" s="457">
        <f>SUMPRODUCT($C$16:$C$18,$M$16:$M$18)+SUMPRODUCT($C$30:$C$32,$M$16:$M$18)+SUMPRODUCT($C$24:$C$26,$N$16:$N$18)</f>
        <v>13</v>
      </c>
      <c r="N129" s="104">
        <f>SUMPRODUCT($D$16:$D$18,$M$16:$M$18)</f>
        <v>30.45</v>
      </c>
      <c r="O129" s="104">
        <f>SUMPRODUCT($D$30:$D$32,$M$16:$M$18)</f>
        <v>14</v>
      </c>
      <c r="P129" s="104">
        <v>0</v>
      </c>
      <c r="Q129" s="450">
        <f t="shared" si="48"/>
        <v>36.003968255793495</v>
      </c>
      <c r="R129" s="1310">
        <f>(M$15+1-$J$15)*$O$2+25</f>
        <v>185.65306122448979</v>
      </c>
      <c r="S129" s="1310">
        <f>(M$15+M$15+1-$J$15)*$O$2+$E$16+D129*$O$3</f>
        <v>327.2081632653061</v>
      </c>
      <c r="T129" s="1310">
        <v>0</v>
      </c>
      <c r="U129" s="451">
        <f t="shared" si="45"/>
        <v>0.84574010796990995</v>
      </c>
      <c r="V129" s="451">
        <f t="shared" si="37"/>
        <v>0.38884602665283213</v>
      </c>
      <c r="W129" s="451">
        <v>0</v>
      </c>
      <c r="X129" s="452">
        <f t="shared" si="38"/>
        <v>1</v>
      </c>
      <c r="Y129" s="447">
        <f t="shared" si="39"/>
        <v>10708.563160612845</v>
      </c>
      <c r="Z129" s="447">
        <f t="shared" si="46"/>
        <v>5407.2825459511769</v>
      </c>
      <c r="AA129" s="447">
        <f>SUMPRODUCT($F$30:$F$32,$M$16:$M$18)*MIN(Q129/O129,1)*X129</f>
        <v>1462.7610770499225</v>
      </c>
      <c r="AB129">
        <f t="shared" si="43"/>
        <v>1459.2710844590233</v>
      </c>
      <c r="AC129" s="447">
        <v>0</v>
      </c>
      <c r="AD129" s="447">
        <v>0</v>
      </c>
      <c r="AE129" s="447">
        <v>0</v>
      </c>
      <c r="AF129" s="448">
        <f t="shared" si="20"/>
        <v>19037.877868072967</v>
      </c>
      <c r="AG129" s="453">
        <f t="shared" si="40"/>
        <v>528.77165463586175</v>
      </c>
      <c r="AH129" s="454">
        <f t="shared" si="47"/>
        <v>-5.553968255793496</v>
      </c>
      <c r="AI129" s="104">
        <f t="shared" si="41"/>
        <v>-22.003968255793495</v>
      </c>
      <c r="AJ129" s="455">
        <v>0</v>
      </c>
      <c r="AK129" s="456" t="str">
        <f>IF(instatk="Mut","4-5s/4-5r/5-5e",IF(Sealfate&gt;0,"4-5s/4-5r/5-5e","4s/4r/5e"))</f>
        <v>4s/4r/5e</v>
      </c>
      <c r="AL129">
        <f>IF(AND(OR(allowrupt,NOT(D129)),OR(AND(poison,allowenv),NOT(F129)),$X$2-AG129&lt;50),MAX($AL$55:$AL128)+1,"")</f>
        <v>49</v>
      </c>
      <c r="AO129">
        <f t="shared" si="44"/>
        <v>74</v>
      </c>
      <c r="AP129" t="str">
        <f t="shared" si="42"/>
        <v/>
      </c>
      <c r="AQ129" t="b">
        <v>1</v>
      </c>
    </row>
    <row r="130" spans="2:43" ht="12.75" customHeight="1">
      <c r="B130" t="s">
        <v>208</v>
      </c>
      <c r="C130" s="445">
        <v>1</v>
      </c>
      <c r="D130">
        <v>1</v>
      </c>
      <c r="E130">
        <v>1</v>
      </c>
      <c r="F130" s="197">
        <v>0</v>
      </c>
      <c r="G130" s="197">
        <v>0</v>
      </c>
      <c r="H130" s="446">
        <f t="shared" si="17"/>
        <v>3</v>
      </c>
      <c r="I130" s="447">
        <f>N$15+M$15+N$15</f>
        <v>12.200000000000001</v>
      </c>
      <c r="J130" s="447">
        <f t="shared" si="36"/>
        <v>489.99183673469389</v>
      </c>
      <c r="K130" s="94">
        <f>SUMPRODUCT($E$17:$E$19,$N$16:$N$18)+SUMPRODUCT($E$30:$E$32,$M$16:$M$18)+SUMPRODUCT($E$24:$E$26,$N$16:$N$18)</f>
        <v>15</v>
      </c>
      <c r="L130" s="448">
        <f t="shared" si="18"/>
        <v>504.99183673469389</v>
      </c>
      <c r="M130" s="457">
        <f>SUMPRODUCT($C$17:$C$19,$N$16:$N$18)+SUMPRODUCT($C$30:$C$32,$M$16:$M$18)+SUMPRODUCT($C$24:$C$26,$N$16:$N$18)</f>
        <v>14</v>
      </c>
      <c r="N130" s="104">
        <f>SUMPRODUCT($D$17:$D$19,$N$16:$N$18)</f>
        <v>34.799999999999997</v>
      </c>
      <c r="O130" s="104">
        <f>SUMPRODUCT($D$30:$D$32,$M$16:$M$18)</f>
        <v>14</v>
      </c>
      <c r="P130" s="104">
        <v>0</v>
      </c>
      <c r="Q130" s="450">
        <f t="shared" si="48"/>
        <v>38.569357466857134</v>
      </c>
      <c r="R130" s="1310">
        <f>(N$15+1-$J$15)*$O$2+25</f>
        <v>225.81632653061223</v>
      </c>
      <c r="S130" s="1310">
        <f>(N$15+M$15+1-$J$15)*$O$2+$E$17+D130*$O$3</f>
        <v>362.37142857142857</v>
      </c>
      <c r="T130" s="1310">
        <v>0</v>
      </c>
      <c r="U130" s="451">
        <f t="shared" si="45"/>
        <v>0.9022706699198666</v>
      </c>
      <c r="V130" s="451">
        <f t="shared" si="37"/>
        <v>0.36298245341603835</v>
      </c>
      <c r="W130" s="451">
        <v>0</v>
      </c>
      <c r="X130" s="452">
        <f t="shared" si="38"/>
        <v>1</v>
      </c>
      <c r="Y130" s="447">
        <f t="shared" si="39"/>
        <v>11664.684871381849</v>
      </c>
      <c r="Z130" s="447">
        <f t="shared" si="46"/>
        <v>6179.7514810870571</v>
      </c>
      <c r="AA130" s="447">
        <f>SUMPRODUCT($F$30:$F$32,$M$16:$M$18)*MIN(Q130/O130,1)*X130</f>
        <v>1462.7610770499225</v>
      </c>
      <c r="AB130">
        <f t="shared" si="43"/>
        <v>1459.2710844590233</v>
      </c>
      <c r="AC130" s="447">
        <v>0</v>
      </c>
      <c r="AD130" s="447">
        <v>0</v>
      </c>
      <c r="AE130" s="447">
        <v>0</v>
      </c>
      <c r="AF130" s="448">
        <f t="shared" si="20"/>
        <v>20766.468513977852</v>
      </c>
      <c r="AG130" s="453">
        <f t="shared" si="40"/>
        <v>538.41883499932806</v>
      </c>
      <c r="AH130" s="454">
        <f t="shared" si="47"/>
        <v>-3.7693574668571372</v>
      </c>
      <c r="AI130" s="104">
        <f t="shared" si="41"/>
        <v>-24.569357466857134</v>
      </c>
      <c r="AJ130" s="455">
        <v>0</v>
      </c>
      <c r="AK130" s="456" t="str">
        <f>IF(instatk="Mut","5-5s/4-5r/5-5e",IF(Sealfate&gt;0,"5-5s/4-5r/5-5e","5s/4r/5e"))</f>
        <v>5s/4r/5e</v>
      </c>
      <c r="AL130">
        <f>IF(AND(OR(allowrupt,NOT(D130)),OR(AND(poison,allowenv),NOT(F130)),$X$2-AG130&lt;50),MAX($AL$55:$AL129)+1,"")</f>
        <v>50</v>
      </c>
      <c r="AO130">
        <f t="shared" si="44"/>
        <v>75</v>
      </c>
      <c r="AP130" t="str">
        <f t="shared" si="42"/>
        <v/>
      </c>
      <c r="AQ130" t="b">
        <v>1</v>
      </c>
    </row>
    <row r="131" spans="2:43" ht="12.75" customHeight="1">
      <c r="B131" t="s">
        <v>390</v>
      </c>
      <c r="C131" s="445">
        <v>1</v>
      </c>
      <c r="D131">
        <v>1</v>
      </c>
      <c r="E131">
        <v>1</v>
      </c>
      <c r="F131" s="197">
        <v>0</v>
      </c>
      <c r="G131" s="197">
        <v>0</v>
      </c>
      <c r="H131" s="446">
        <f t="shared" si="17"/>
        <v>3</v>
      </c>
      <c r="I131" s="447">
        <f>J$15+N$15+N$15</f>
        <v>9.2000000000000011</v>
      </c>
      <c r="J131" s="447">
        <f t="shared" si="36"/>
        <v>369.50204081632654</v>
      </c>
      <c r="K131" s="94">
        <f>SUMPRODUCT($E$13:$E$15,$J$16:$J$18)+SUMPRODUCT($E$31:$E$33,$N$16:$N$18)+SUMPRODUCT($E$24:$E$26,$N$16:$N$18)</f>
        <v>30</v>
      </c>
      <c r="L131" s="448">
        <f t="shared" si="18"/>
        <v>399.50204081632654</v>
      </c>
      <c r="M131" s="457">
        <f>SUMPRODUCT($C$13:$C$15,$J$16:$J$18)+SUMPRODUCT($C$31:$C$33,$N$16:$N$18)+SUMPRODUCT($C$24:$C$26,$N$16:$N$18)</f>
        <v>11</v>
      </c>
      <c r="N131" s="104">
        <f>SUMPRODUCT($D$13:$D$15,$J$16:$J$18)</f>
        <v>17.399999999999999</v>
      </c>
      <c r="O131" s="104">
        <f>SUMPRODUCT($D$31:$D$33,$N$16:$N$18)</f>
        <v>16</v>
      </c>
      <c r="P131" s="104">
        <v>0</v>
      </c>
      <c r="Q131" s="450">
        <f t="shared" si="48"/>
        <v>31.144659738900433</v>
      </c>
      <c r="R131" s="1310">
        <f>(J$15+1-$J$15)*$O$2+25</f>
        <v>65.16326530612244</v>
      </c>
      <c r="S131" s="1310">
        <f>(J$15+N$15+1-$J$15)*$O$2+$E$13+D131*$O$3</f>
        <v>261.88163265306122</v>
      </c>
      <c r="T131" s="1310">
        <v>0</v>
      </c>
      <c r="U131" s="451">
        <f t="shared" si="45"/>
        <v>0.55868325889163517</v>
      </c>
      <c r="V131" s="451">
        <f t="shared" si="37"/>
        <v>0.51373173231414737</v>
      </c>
      <c r="W131" s="451">
        <v>0</v>
      </c>
      <c r="X131" s="452">
        <f t="shared" si="38"/>
        <v>1</v>
      </c>
      <c r="Y131" s="447">
        <f t="shared" si="39"/>
        <v>8796.3197390748373</v>
      </c>
      <c r="Z131" s="447">
        <f t="shared" si="46"/>
        <v>3089.8757405435285</v>
      </c>
      <c r="AA131" s="447">
        <f>SUMPRODUCT($F$31:$F$33,$N$16:$N$18)*MIN(Q131/O131,1)*X131</f>
        <v>1759.7269451999114</v>
      </c>
      <c r="AB131">
        <f t="shared" si="43"/>
        <v>1459.2710844590233</v>
      </c>
      <c r="AC131" s="447">
        <v>0</v>
      </c>
      <c r="AD131" s="447">
        <v>0</v>
      </c>
      <c r="AE131" s="447">
        <v>0</v>
      </c>
      <c r="AF131" s="448">
        <f t="shared" si="20"/>
        <v>15105.1935092773</v>
      </c>
      <c r="AG131" s="453">
        <f t="shared" si="40"/>
        <v>485.00107677884012</v>
      </c>
      <c r="AH131" s="454">
        <f t="shared" si="47"/>
        <v>-13.744659738900435</v>
      </c>
      <c r="AI131" s="104">
        <f t="shared" si="41"/>
        <v>-15.144659738900433</v>
      </c>
      <c r="AJ131" s="455">
        <v>0</v>
      </c>
      <c r="AK131" s="456" t="str">
        <f>IF(instatk="Mut","1-3s/5-5r/5-5e",IF(Sealfate&gt;0,"1-2s/5-5r/5-5e","1s/5r/5e"))</f>
        <v>1s/5r/5e</v>
      </c>
      <c r="AL131" t="str">
        <f>IF(AND(OR(allowrupt,NOT(D131)),OR(AND(poison,allowenv),NOT(F131)),$X$2-AG131&lt;50),MAX($AL$55:$AL130)+1,"")</f>
        <v/>
      </c>
      <c r="AO131">
        <f t="shared" si="44"/>
        <v>76</v>
      </c>
      <c r="AP131" t="str">
        <f t="shared" si="42"/>
        <v/>
      </c>
      <c r="AQ131" t="b">
        <v>1</v>
      </c>
    </row>
    <row r="132" spans="2:43" ht="12.75" customHeight="1">
      <c r="B132" t="s">
        <v>391</v>
      </c>
      <c r="C132" s="445">
        <v>1</v>
      </c>
      <c r="D132">
        <v>1</v>
      </c>
      <c r="E132">
        <v>1</v>
      </c>
      <c r="F132" s="197">
        <v>0</v>
      </c>
      <c r="G132" s="197">
        <v>0</v>
      </c>
      <c r="H132" s="446">
        <f t="shared" si="17"/>
        <v>3</v>
      </c>
      <c r="I132" s="447">
        <f>K$15+N$15+N$15</f>
        <v>10.200000000000001</v>
      </c>
      <c r="J132" s="447">
        <f t="shared" si="36"/>
        <v>409.66530612244901</v>
      </c>
      <c r="K132" s="94">
        <f>SUMPRODUCT($E$14:$E$16,$K$16:$K$18)+SUMPRODUCT($E$31:$E$33,$N$16:$N$18)+SUMPRODUCT($E$24:$E$26,$N$16:$N$18)</f>
        <v>25</v>
      </c>
      <c r="L132" s="448">
        <f t="shared" si="18"/>
        <v>434.66530612244901</v>
      </c>
      <c r="M132" s="457">
        <f>SUMPRODUCT($C$14:$C$16,$K$16:$K$18)+SUMPRODUCT($C$31:$C$33,$N$16:$N$18)+SUMPRODUCT($C$24:$C$26,$N$16:$N$18)</f>
        <v>12</v>
      </c>
      <c r="N132" s="104">
        <f>SUMPRODUCT($D$14:$D$16,$K$16:$K$18)</f>
        <v>21.75</v>
      </c>
      <c r="O132" s="104">
        <f>SUMPRODUCT($D$31:$D$33,$N$16:$N$18)</f>
        <v>16</v>
      </c>
      <c r="P132" s="104">
        <v>0</v>
      </c>
      <c r="Q132" s="450">
        <f t="shared" si="48"/>
        <v>33.710048949964062</v>
      </c>
      <c r="R132" s="1310">
        <f>(K$15+1-$J$15)*$O$2+25</f>
        <v>105.32653061224489</v>
      </c>
      <c r="S132" s="1310">
        <f>(K$15+N$15+1-$J$15)*$O$2+$E$14+D132*$O$3</f>
        <v>297.04489795918369</v>
      </c>
      <c r="T132" s="1310">
        <v>0</v>
      </c>
      <c r="U132" s="451">
        <f t="shared" si="45"/>
        <v>0.64520819985410283</v>
      </c>
      <c r="V132" s="451">
        <f t="shared" si="37"/>
        <v>0.47463591713405262</v>
      </c>
      <c r="W132" s="451">
        <v>0</v>
      </c>
      <c r="X132" s="452">
        <f t="shared" si="38"/>
        <v>1</v>
      </c>
      <c r="Y132" s="447">
        <f t="shared" si="39"/>
        <v>9752.4414498438418</v>
      </c>
      <c r="Z132" s="447">
        <f t="shared" si="46"/>
        <v>3862.3446756794115</v>
      </c>
      <c r="AA132" s="447">
        <f>SUMPRODUCT($F$31:$F$33,$N$16:$N$18)*MIN(Q132/O132,1)*X132</f>
        <v>1759.7269451999114</v>
      </c>
      <c r="AB132">
        <f t="shared" si="43"/>
        <v>1459.2710844590233</v>
      </c>
      <c r="AC132" s="447">
        <v>0</v>
      </c>
      <c r="AD132" s="447">
        <v>0</v>
      </c>
      <c r="AE132" s="447">
        <v>0</v>
      </c>
      <c r="AF132" s="448">
        <f t="shared" si="20"/>
        <v>16833.784155182188</v>
      </c>
      <c r="AG132" s="453">
        <f t="shared" si="40"/>
        <v>499.3699113332238</v>
      </c>
      <c r="AH132" s="454">
        <f t="shared" si="47"/>
        <v>-11.960048949964062</v>
      </c>
      <c r="AI132" s="104">
        <f t="shared" si="41"/>
        <v>-17.710048949964062</v>
      </c>
      <c r="AJ132" s="455">
        <v>0</v>
      </c>
      <c r="AK132" s="456" t="str">
        <f>IF(instatk="Mut","2-4s/5-5r/5-5e",IF(Sealfate&gt;0,"2-3s/5-5r/5-5e","2s/5r/5e"))</f>
        <v>2s/5r/5e</v>
      </c>
      <c r="AL132" t="str">
        <f>IF(AND(OR(allowrupt,NOT(D132)),OR(AND(poison,allowenv),NOT(F132)),$X$2-AG132&lt;50),MAX($AL$55:$AL131)+1,"")</f>
        <v/>
      </c>
      <c r="AO132">
        <f t="shared" si="44"/>
        <v>77</v>
      </c>
      <c r="AP132" t="str">
        <f t="shared" si="42"/>
        <v/>
      </c>
      <c r="AQ132" t="b">
        <v>1</v>
      </c>
    </row>
    <row r="133" spans="2:43" ht="12.75" customHeight="1">
      <c r="B133" t="s">
        <v>392</v>
      </c>
      <c r="C133" s="445">
        <v>1</v>
      </c>
      <c r="D133">
        <v>1</v>
      </c>
      <c r="E133">
        <v>1</v>
      </c>
      <c r="F133" s="197">
        <v>0</v>
      </c>
      <c r="G133" s="197">
        <v>0</v>
      </c>
      <c r="H133" s="446">
        <f t="shared" si="17"/>
        <v>3</v>
      </c>
      <c r="I133" s="447">
        <f>L$15+N$15+N$15</f>
        <v>11.200000000000001</v>
      </c>
      <c r="J133" s="447">
        <f t="shared" si="36"/>
        <v>449.82857142857148</v>
      </c>
      <c r="K133" s="94">
        <f>SUMPRODUCT($E$15:$E$17,$L$16:$L$18)+SUMPRODUCT($E$31:$E$33,$N$16:$N$18)+SUMPRODUCT($E$24:$E$26,$N$16:$N$18)</f>
        <v>20</v>
      </c>
      <c r="L133" s="448">
        <f t="shared" si="18"/>
        <v>469.82857142857148</v>
      </c>
      <c r="M133" s="457">
        <f>SUMPRODUCT($C$15:$C$17,$L$16:$L$18)+SUMPRODUCT($C$31:$C$33,$N$16:$N$18)+SUMPRODUCT($C$24:$C$26,$N$16:$N$18)</f>
        <v>13</v>
      </c>
      <c r="N133" s="104">
        <f>SUMPRODUCT($D$15:$D$17,$L$16:$L$18)</f>
        <v>26.099999999999998</v>
      </c>
      <c r="O133" s="104">
        <f>SUMPRODUCT($D$31:$D$33,$N$16:$N$18)</f>
        <v>16</v>
      </c>
      <c r="P133" s="104">
        <v>0</v>
      </c>
      <c r="Q133" s="450">
        <f t="shared" si="48"/>
        <v>36.275438161027694</v>
      </c>
      <c r="R133" s="1310">
        <f>(L$15+1-$J$15)*$O$2+25</f>
        <v>145.48979591836735</v>
      </c>
      <c r="S133" s="1310">
        <f>(L$15+N$15+1-$J$15)*$O$2+$E$15+D133*$O$3</f>
        <v>332.2081632653061</v>
      </c>
      <c r="T133" s="1310">
        <v>0</v>
      </c>
      <c r="U133" s="451">
        <f t="shared" si="45"/>
        <v>0.71949509980117565</v>
      </c>
      <c r="V133" s="451">
        <f t="shared" si="37"/>
        <v>0.44106979298156368</v>
      </c>
      <c r="W133" s="451">
        <v>0</v>
      </c>
      <c r="X133" s="452">
        <f t="shared" si="38"/>
        <v>1</v>
      </c>
      <c r="Y133" s="447">
        <f t="shared" si="39"/>
        <v>10708.563160612846</v>
      </c>
      <c r="Z133" s="447">
        <f t="shared" si="46"/>
        <v>4634.813610815293</v>
      </c>
      <c r="AA133" s="447">
        <f>SUMPRODUCT($F$31:$F$33,$N$16:$N$18)*MIN(Q133/O133,1)*X133</f>
        <v>1759.7269451999114</v>
      </c>
      <c r="AB133">
        <f t="shared" si="43"/>
        <v>1459.2710844590233</v>
      </c>
      <c r="AC133" s="447">
        <v>0</v>
      </c>
      <c r="AD133" s="447">
        <v>0</v>
      </c>
      <c r="AE133" s="447">
        <v>0</v>
      </c>
      <c r="AF133" s="448">
        <f t="shared" si="20"/>
        <v>18562.374801087073</v>
      </c>
      <c r="AG133" s="453">
        <f t="shared" si="40"/>
        <v>511.70642567260438</v>
      </c>
      <c r="AH133" s="454">
        <f t="shared" si="47"/>
        <v>-10.175438161027696</v>
      </c>
      <c r="AI133" s="104">
        <f t="shared" si="41"/>
        <v>-20.275438161027694</v>
      </c>
      <c r="AJ133" s="455">
        <v>0</v>
      </c>
      <c r="AK133" s="456" t="str">
        <f>IF(instatk="Mut","3-5s/5-5r/5-5e",IF(Sealfate&gt;0,"3-4s/5-5r/5-5e","3s/5r/5e"))</f>
        <v>3s/5r/5e</v>
      </c>
      <c r="AL133" t="str">
        <f>IF(AND(OR(allowrupt,NOT(D133)),OR(AND(poison,allowenv),NOT(F133)),$X$2-AG133&lt;50),MAX($AL$55:$AL132)+1,"")</f>
        <v/>
      </c>
      <c r="AO133">
        <f t="shared" si="44"/>
        <v>78</v>
      </c>
      <c r="AP133" t="str">
        <f t="shared" si="42"/>
        <v/>
      </c>
      <c r="AQ133" t="b">
        <v>1</v>
      </c>
    </row>
    <row r="134" spans="2:43" ht="12.75" customHeight="1">
      <c r="B134" t="s">
        <v>205</v>
      </c>
      <c r="C134" s="445">
        <v>1</v>
      </c>
      <c r="D134">
        <v>1</v>
      </c>
      <c r="E134">
        <v>1</v>
      </c>
      <c r="F134" s="197">
        <v>0</v>
      </c>
      <c r="G134" s="197">
        <v>0</v>
      </c>
      <c r="H134" s="446">
        <f t="shared" si="17"/>
        <v>3</v>
      </c>
      <c r="I134" s="447">
        <f>M$15+N$15+N$15</f>
        <v>12.200000000000001</v>
      </c>
      <c r="J134" s="447">
        <f t="shared" si="36"/>
        <v>489.99183673469389</v>
      </c>
      <c r="K134" s="94">
        <f>SUMPRODUCT($E$16:$E$18,$M$16:$M$18)+SUMPRODUCT($E$31:$E$33,$N$16:$N$18)+SUMPRODUCT($E$24:$E$26,$N$16:$N$18)</f>
        <v>15</v>
      </c>
      <c r="L134" s="448">
        <f t="shared" si="18"/>
        <v>504.99183673469389</v>
      </c>
      <c r="M134" s="457">
        <f>SUMPRODUCT($C$16:$C$18,$M$16:$M$18)+SUMPRODUCT($C$31:$C$33,$N$16:$N$18)+SUMPRODUCT($C$24:$C$26,$N$16:$N$18)</f>
        <v>14</v>
      </c>
      <c r="N134" s="104">
        <f>SUMPRODUCT($D$16:$D$18,$M$16:$M$18)</f>
        <v>30.45</v>
      </c>
      <c r="O134" s="104">
        <f>SUMPRODUCT($D$31:$D$33,$N$16:$N$18)</f>
        <v>16</v>
      </c>
      <c r="P134" s="104">
        <v>0</v>
      </c>
      <c r="Q134" s="450">
        <f t="shared" si="48"/>
        <v>38.840827372091319</v>
      </c>
      <c r="R134" s="1310">
        <f>(M$15+1-$J$15)*$O$2+25</f>
        <v>185.65306122448979</v>
      </c>
      <c r="S134" s="1310">
        <f>(M$15+N$15+1-$J$15)*$O$2+$E$16+D134*$O$3</f>
        <v>367.37142857142857</v>
      </c>
      <c r="T134" s="1310">
        <v>0</v>
      </c>
      <c r="U134" s="451">
        <f t="shared" si="45"/>
        <v>0.78396888172056645</v>
      </c>
      <c r="V134" s="451">
        <f t="shared" si="37"/>
        <v>0.41193767184003494</v>
      </c>
      <c r="W134" s="451">
        <v>0</v>
      </c>
      <c r="X134" s="452">
        <f t="shared" si="38"/>
        <v>1</v>
      </c>
      <c r="Y134" s="447">
        <f t="shared" si="39"/>
        <v>11664.684871381849</v>
      </c>
      <c r="Z134" s="447">
        <f t="shared" si="46"/>
        <v>5407.2825459511769</v>
      </c>
      <c r="AA134" s="447">
        <f>SUMPRODUCT($F$31:$F$33,$N$16:$N$18)*MIN(Q134/O134,1)*X134</f>
        <v>1759.7269451999114</v>
      </c>
      <c r="AB134">
        <f t="shared" si="43"/>
        <v>1459.2710844590233</v>
      </c>
      <c r="AC134" s="447">
        <v>0</v>
      </c>
      <c r="AD134" s="447">
        <v>0</v>
      </c>
      <c r="AE134" s="447">
        <v>0</v>
      </c>
      <c r="AF134" s="448">
        <f t="shared" si="20"/>
        <v>20290.965446991962</v>
      </c>
      <c r="AG134" s="453">
        <f t="shared" si="40"/>
        <v>522.41331660127889</v>
      </c>
      <c r="AH134" s="454">
        <f t="shared" si="47"/>
        <v>-8.3908273720913193</v>
      </c>
      <c r="AI134" s="104">
        <f t="shared" si="41"/>
        <v>-22.840827372091319</v>
      </c>
      <c r="AJ134" s="455">
        <v>0</v>
      </c>
      <c r="AK134" s="456" t="str">
        <f>IF(instatk="Mut","4-5s/5-5r/5-5e",IF(Sealfate&gt;0,"4-5s/5-5r/5-5e","4s/5r/5e"))</f>
        <v>4s/5r/5e</v>
      </c>
      <c r="AL134">
        <f>IF(AND(OR(allowrupt,NOT(D134)),OR(AND(poison,allowenv),NOT(F134)),$X$2-AG134&lt;50),MAX($AL$55:$AL133)+1,"")</f>
        <v>51</v>
      </c>
      <c r="AO134">
        <f t="shared" si="44"/>
        <v>79</v>
      </c>
      <c r="AP134" t="str">
        <f t="shared" si="42"/>
        <v/>
      </c>
      <c r="AQ134" t="b">
        <v>1</v>
      </c>
    </row>
    <row r="135" spans="2:43">
      <c r="B135" t="s">
        <v>123</v>
      </c>
      <c r="C135" s="445">
        <v>1</v>
      </c>
      <c r="D135">
        <v>1</v>
      </c>
      <c r="E135">
        <v>1</v>
      </c>
      <c r="F135" s="197">
        <v>0</v>
      </c>
      <c r="G135" s="197">
        <v>0</v>
      </c>
      <c r="H135" s="446">
        <f t="shared" si="17"/>
        <v>3</v>
      </c>
      <c r="I135" s="447">
        <f>N$15+N$15+N$15</f>
        <v>13.200000000000001</v>
      </c>
      <c r="J135" s="447">
        <f t="shared" si="36"/>
        <v>530.15510204081636</v>
      </c>
      <c r="K135" s="94">
        <f>SUMPRODUCT($E$17:$E$19,$N$16:$N$18)+SUMPRODUCT($E$31:$E$33,$N$16:$N$18)+SUMPRODUCT($E$24:$E$26,$N$16:$N$18)</f>
        <v>10</v>
      </c>
      <c r="L135" s="448">
        <f t="shared" si="18"/>
        <v>540.15510204081636</v>
      </c>
      <c r="M135" s="457">
        <f>SUMPRODUCT($C$17:$C$19,$N$16:$N$18)+SUMPRODUCT($C$31:$C$33,$N$16:$N$18)+SUMPRODUCT($C$24:$C$26,$N$16:$N$18)</f>
        <v>15</v>
      </c>
      <c r="N135" s="104">
        <f>SUMPRODUCT($D$17:$D$19,$N$16:$N$18)</f>
        <v>34.799999999999997</v>
      </c>
      <c r="O135" s="104">
        <f>SUMPRODUCT($D$31:$D$33,$N$16:$N$18)</f>
        <v>16</v>
      </c>
      <c r="P135" s="104">
        <v>0</v>
      </c>
      <c r="Q135" s="450">
        <f t="shared" si="48"/>
        <v>41.406216583154944</v>
      </c>
      <c r="R135" s="1310">
        <f>(N$15+1-$J$15)*$O$2+25</f>
        <v>225.81632653061223</v>
      </c>
      <c r="S135" s="1310">
        <f>(N$15+N$15+1-$J$15)*$O$2+$E$17+D135*$O$3</f>
        <v>402.53469387755104</v>
      </c>
      <c r="T135" s="1310">
        <v>0</v>
      </c>
      <c r="U135" s="451">
        <f t="shared" si="45"/>
        <v>0.84045350847528255</v>
      </c>
      <c r="V135" s="451">
        <f t="shared" si="37"/>
        <v>0.38641540619553222</v>
      </c>
      <c r="W135" s="451">
        <v>0</v>
      </c>
      <c r="X135" s="452">
        <f t="shared" si="38"/>
        <v>1</v>
      </c>
      <c r="Y135" s="447">
        <f t="shared" si="39"/>
        <v>12620.806582150854</v>
      </c>
      <c r="Z135" s="447">
        <f t="shared" si="46"/>
        <v>6179.7514810870571</v>
      </c>
      <c r="AA135" s="447">
        <f>SUMPRODUCT($F$31:$F$33,$N$16:$N$18)*MIN(Q135/O135,1)*X135</f>
        <v>1759.7269451999114</v>
      </c>
      <c r="AB135">
        <f t="shared" si="43"/>
        <v>1459.2710844590233</v>
      </c>
      <c r="AC135" s="447">
        <v>0</v>
      </c>
      <c r="AD135" s="447">
        <v>0</v>
      </c>
      <c r="AE135" s="447">
        <v>0</v>
      </c>
      <c r="AF135" s="448">
        <f t="shared" si="20"/>
        <v>22019.556092896844</v>
      </c>
      <c r="AG135" s="453">
        <f t="shared" si="40"/>
        <v>531.79348199262756</v>
      </c>
      <c r="AH135" s="454">
        <f t="shared" si="47"/>
        <v>-6.6062165831549464</v>
      </c>
      <c r="AI135" s="104">
        <f t="shared" si="41"/>
        <v>-25.406216583154944</v>
      </c>
      <c r="AJ135" s="455">
        <v>0</v>
      </c>
      <c r="AK135" s="456" t="str">
        <f>IF(instatk="Mut","5-5s/5-5r/5-5e",IF(Sealfate&gt;0,"5-5s/5-5r/5-5e","5s/5r/5e"))</f>
        <v>5s/5r/5e</v>
      </c>
      <c r="AL135">
        <f>IF(AND(OR(allowrupt,NOT(D135)),OR(AND(poison,allowenv),NOT(F135)),$X$2-AG135&lt;50),MAX($AL$55:$AL134)+1,"")</f>
        <v>52</v>
      </c>
      <c r="AO135">
        <f t="shared" si="44"/>
        <v>80</v>
      </c>
      <c r="AP135" t="str">
        <f t="shared" si="42"/>
        <v/>
      </c>
      <c r="AQ135" t="b">
        <v>1</v>
      </c>
    </row>
    <row r="136" spans="2:43" ht="12.75" customHeight="1">
      <c r="B136" s="15" t="s">
        <v>3167</v>
      </c>
      <c r="C136" s="445">
        <v>1</v>
      </c>
      <c r="D136" s="64">
        <v>1</v>
      </c>
      <c r="E136" s="64">
        <v>0</v>
      </c>
      <c r="F136" s="197">
        <v>0</v>
      </c>
      <c r="G136" s="197">
        <v>1</v>
      </c>
      <c r="H136" s="446">
        <f t="shared" si="17"/>
        <v>3</v>
      </c>
      <c r="I136" s="447">
        <f>$N$15+$J$15+$L$15</f>
        <v>7.2000000000000011</v>
      </c>
      <c r="J136" s="447">
        <f t="shared" si="36"/>
        <v>289.17551020408166</v>
      </c>
      <c r="K136" s="447">
        <f>SUMPRODUCT($E$45:$E$47,$N$16:$N$18)+SUMPRODUCT($E$13:$E$15,$J$16:$J$18)+SUMPRODUCT($E$29:$E$31,$L$16:$L$18)</f>
        <v>30</v>
      </c>
      <c r="L136" s="448">
        <f t="shared" si="18"/>
        <v>319.17551020408166</v>
      </c>
      <c r="M136" s="449">
        <f>SUMPRODUCT($C$45:$C$47,$N$16:$N$18)+SUMPRODUCT($C$13:$C$15,$J$16:$J$18)+SUMPRODUCT($C$29:$C$31,$L$16:$L$18)</f>
        <v>9</v>
      </c>
      <c r="N136" s="104">
        <f>SUMPRODUCT($D$13:$D$15,$J$16:$J$18)</f>
        <v>17.399999999999999</v>
      </c>
      <c r="O136" s="104">
        <f>SUMPRODUCT($D$29:$D$31,$L$16:$L$18)</f>
        <v>12</v>
      </c>
      <c r="P136" s="104">
        <f>SUMPRODUCT($D$45:$D$47,$N$16:$N$18)</f>
        <v>30</v>
      </c>
      <c r="Q136" s="450">
        <f t="shared" si="48"/>
        <v>24.664173678686744</v>
      </c>
      <c r="R136" s="1310">
        <f>(J$15+N$15+1-$J$15)*$O$2+$E$45+25</f>
        <v>241.88163265306122</v>
      </c>
      <c r="S136" s="1310">
        <f>(L$15+J$15+N$15+1-$J$15)*$O$2+$E$45+$E$13+$O$3</f>
        <v>358.27346938775503</v>
      </c>
      <c r="T136" s="1310">
        <f>(N$15+1-$J$15)*$O$2+$O$3</f>
        <v>225.81632653061223</v>
      </c>
      <c r="U136" s="451">
        <f t="shared" si="45"/>
        <v>0.70547670587626476</v>
      </c>
      <c r="V136" s="451">
        <f t="shared" si="37"/>
        <v>0.48653565922501019</v>
      </c>
      <c r="W136" s="451">
        <f>IF(P136&gt;0,MIN(1,P136/Q136),0)</f>
        <v>1</v>
      </c>
      <c r="X136" s="452">
        <f t="shared" si="38"/>
        <v>1</v>
      </c>
      <c r="Y136" s="447">
        <f t="shared" si="39"/>
        <v>6884.0763175368302</v>
      </c>
      <c r="Z136" s="447">
        <f t="shared" si="46"/>
        <v>3089.8757405435285</v>
      </c>
      <c r="AA136" s="447">
        <f>SUMPRODUCT($F$29:$F$31,$L$16:$L$18)*MIN(Q136/O136,1)*X136</f>
        <v>1187.7952088999336</v>
      </c>
      <c r="AB136" s="447">
        <v>0</v>
      </c>
      <c r="AC136" s="447">
        <v>0</v>
      </c>
      <c r="AD136" s="447">
        <f t="shared" ref="AD136:AD150" si="49">IF(AND(forceea,physicaldps=0),4000,(physicaldps*armorpostEA-physicaldps*armorpreEA))*Q136*W136</f>
        <v>0</v>
      </c>
      <c r="AE136" s="447">
        <v>0</v>
      </c>
      <c r="AF136" s="448">
        <f t="shared" si="20"/>
        <v>11161.747266980292</v>
      </c>
      <c r="AG136" s="453">
        <f t="shared" si="40"/>
        <v>452.54900538693437</v>
      </c>
      <c r="AH136" s="454">
        <f t="shared" si="47"/>
        <v>-7.2641736786867455</v>
      </c>
      <c r="AI136" s="104">
        <f t="shared" si="41"/>
        <v>-12.664173678686744</v>
      </c>
      <c r="AJ136" s="455">
        <f>P136-$Q136</f>
        <v>5.335826321313256</v>
      </c>
      <c r="AK136" s="456" t="str">
        <f>IF(instatk="Mut","5-5ea/1-3s/3-5r",IF(Sealfate&gt;0,"5-5ea/1-2s/3-4r","5ea/1s/3r"))</f>
        <v>5ea/1s/3r</v>
      </c>
      <c r="AL136" t="str">
        <f>IF(AND(OR(allowrupt,NOT(D136)),OR(AND(poison,allowenv),NOT(F136)),$X$2-AG136&lt;50),MAX($AL$55:$AL135)+1,"")</f>
        <v/>
      </c>
      <c r="AO136">
        <f t="shared" si="44"/>
        <v>81</v>
      </c>
      <c r="AP136" t="str">
        <f t="shared" si="42"/>
        <v/>
      </c>
      <c r="AQ136" t="b">
        <v>1</v>
      </c>
    </row>
    <row r="137" spans="2:43" ht="12.75" customHeight="1">
      <c r="B137" s="15" t="s">
        <v>3168</v>
      </c>
      <c r="C137" s="445">
        <v>1</v>
      </c>
      <c r="D137" s="64">
        <v>1</v>
      </c>
      <c r="E137" s="64">
        <v>0</v>
      </c>
      <c r="F137" s="197">
        <v>0</v>
      </c>
      <c r="G137" s="197">
        <v>1</v>
      </c>
      <c r="H137" s="446">
        <f t="shared" si="17"/>
        <v>3</v>
      </c>
      <c r="I137" s="447">
        <f>$N$15+$K$15+$L$15</f>
        <v>8.2000000000000011</v>
      </c>
      <c r="J137" s="447">
        <f t="shared" si="36"/>
        <v>329.33877551020413</v>
      </c>
      <c r="K137" s="447">
        <f>SUMPRODUCT($E$45:$E$47,$N$16:$N$18)+SUMPRODUCT($E$14:$E$16,$K$16:$K$18)+SUMPRODUCT($E$29:$E$31,$L$16:$L$18)</f>
        <v>25</v>
      </c>
      <c r="L137" s="448">
        <f t="shared" si="18"/>
        <v>354.33877551020413</v>
      </c>
      <c r="M137" s="449">
        <f>SUMPRODUCT($C$45:$C$47,$N$16:$N$18)+SUMPRODUCT($C$14:$C$16,$K$16:$K$18)+SUMPRODUCT($C$29:$C$31,$L$16:$L$18)</f>
        <v>10</v>
      </c>
      <c r="N137" s="104">
        <f>SUMPRODUCT($D$14:$D$16,$K$16:$K$18)</f>
        <v>21.75</v>
      </c>
      <c r="O137" s="104">
        <f>SUMPRODUCT($D$29:$D$31,$L$16:$L$18)</f>
        <v>12</v>
      </c>
      <c r="P137" s="104">
        <f t="shared" ref="P137:P150" si="50">SUMPRODUCT($D$45:$D$47,$N$16:$N$18)</f>
        <v>30</v>
      </c>
      <c r="Q137" s="450">
        <f t="shared" si="48"/>
        <v>27.229562889750373</v>
      </c>
      <c r="R137" s="1310">
        <f>(K$15+N$15+1-$J$15)*$O$2+$E$45+25</f>
        <v>282.04489795918369</v>
      </c>
      <c r="S137" s="1310">
        <f>(L$15+K$15+N$15+1-$J$15)*$O$2+$E$45+$E$14+$O$3</f>
        <v>393.4367346938775</v>
      </c>
      <c r="T137" s="1310">
        <f t="shared" ref="T137:T150" si="51">(N$15+1-$J$15)*$O$2+$O$3</f>
        <v>225.81632653061223</v>
      </c>
      <c r="U137" s="451">
        <f t="shared" si="45"/>
        <v>0.79876419933964626</v>
      </c>
      <c r="V137" s="451">
        <f t="shared" si="37"/>
        <v>0.44069748929083929</v>
      </c>
      <c r="W137" s="451">
        <f t="shared" ref="W137:W150" si="52">IF(P137&gt;0,MIN(1,P137/Q137),0)</f>
        <v>1</v>
      </c>
      <c r="X137" s="452">
        <f t="shared" si="38"/>
        <v>1</v>
      </c>
      <c r="Y137" s="447">
        <f t="shared" si="39"/>
        <v>7840.1980283058338</v>
      </c>
      <c r="Z137" s="447">
        <f t="shared" si="46"/>
        <v>3862.3446756794115</v>
      </c>
      <c r="AA137" s="447">
        <f>SUMPRODUCT($F$29:$F$31,$L$16:$L$18)*MIN(Q137/O137,1)*X137</f>
        <v>1187.7952088999336</v>
      </c>
      <c r="AB137" s="447">
        <v>0</v>
      </c>
      <c r="AC137" s="447">
        <v>0</v>
      </c>
      <c r="AD137" s="447">
        <f t="shared" si="49"/>
        <v>0</v>
      </c>
      <c r="AE137" s="447">
        <v>0</v>
      </c>
      <c r="AF137" s="448">
        <f t="shared" si="20"/>
        <v>12890.337912885179</v>
      </c>
      <c r="AG137" s="453">
        <f t="shared" si="40"/>
        <v>473.394962859918</v>
      </c>
      <c r="AH137" s="454">
        <f t="shared" si="47"/>
        <v>-5.4795628897503725</v>
      </c>
      <c r="AI137" s="104">
        <f t="shared" si="41"/>
        <v>-15.229562889750373</v>
      </c>
      <c r="AJ137" s="455">
        <f t="shared" ref="AJ137:AJ150" si="53">P137-$Q137</f>
        <v>2.7704371102496275</v>
      </c>
      <c r="AK137" s="456" t="str">
        <f>IF(instatk="Mut","5-5ea/2-4s/3-5r",IF(Sealfate&gt;0,"5-5ea/2-3s/3-4r","5ea/2s/3r"))</f>
        <v>5ea/2s/3r</v>
      </c>
      <c r="AL137" t="str">
        <f>IF(AND(OR(allowrupt,NOT(D137)),OR(AND(poison,allowenv),NOT(F137)),$X$2-AG137&lt;50),MAX($AL$55:$AL136)+1,"")</f>
        <v/>
      </c>
      <c r="AO137">
        <f t="shared" si="44"/>
        <v>82</v>
      </c>
      <c r="AP137" t="str">
        <f t="shared" si="42"/>
        <v/>
      </c>
      <c r="AQ137" t="b">
        <v>1</v>
      </c>
    </row>
    <row r="138" spans="2:43" ht="12.75" customHeight="1">
      <c r="B138" s="15" t="s">
        <v>3169</v>
      </c>
      <c r="C138" s="445">
        <v>1</v>
      </c>
      <c r="D138" s="64">
        <v>1</v>
      </c>
      <c r="E138" s="64">
        <v>0</v>
      </c>
      <c r="F138" s="197">
        <v>0</v>
      </c>
      <c r="G138" s="197">
        <v>1</v>
      </c>
      <c r="H138" s="446">
        <f t="shared" si="17"/>
        <v>3</v>
      </c>
      <c r="I138" s="447">
        <f>$N$15+$L$15+$L$15</f>
        <v>9.2000000000000011</v>
      </c>
      <c r="J138" s="447">
        <f t="shared" si="36"/>
        <v>369.50204081632654</v>
      </c>
      <c r="K138" s="447">
        <f>SUMPRODUCT($E$45:$E$47,$N$16:$N$18)+SUMPRODUCT($E$15:$E$17,$L$16:$L$18)+SUMPRODUCT($E$29:$E$31,$L$16:$L$18)</f>
        <v>20</v>
      </c>
      <c r="L138" s="448">
        <f t="shared" si="18"/>
        <v>389.50204081632654</v>
      </c>
      <c r="M138" s="449">
        <f>SUMPRODUCT($C$45:$C$47,$N$16:$N$18)+SUMPRODUCT($C$15:$C$17,$L$16:$L$18)+SUMPRODUCT($C$29:$C$31,$L$16:$L$18)</f>
        <v>11</v>
      </c>
      <c r="N138" s="104">
        <f>SUMPRODUCT($D$15:$D$17,$L$16:$L$18)</f>
        <v>26.099999999999998</v>
      </c>
      <c r="O138" s="104">
        <f>SUMPRODUCT($D$29:$D$31,$L$16:$L$18)</f>
        <v>12</v>
      </c>
      <c r="P138" s="104">
        <f t="shared" si="50"/>
        <v>30</v>
      </c>
      <c r="Q138" s="450">
        <f t="shared" si="48"/>
        <v>29.794952100813997</v>
      </c>
      <c r="R138" s="1310">
        <f>(L$15+N$15+1-$J$15)*$O$2+$E$45+25</f>
        <v>322.2081632653061</v>
      </c>
      <c r="S138" s="1310">
        <f>(L$15+L$15+N$15+1-$J$15)*$O$2+$E$45+$E$15+$O$3</f>
        <v>428.59999999999997</v>
      </c>
      <c r="T138" s="1310">
        <f t="shared" si="51"/>
        <v>225.81632653061223</v>
      </c>
      <c r="U138" s="451">
        <f t="shared" si="45"/>
        <v>0.87598731193418988</v>
      </c>
      <c r="V138" s="451">
        <f t="shared" si="37"/>
        <v>0.40275278709617929</v>
      </c>
      <c r="W138" s="451">
        <f t="shared" si="52"/>
        <v>1</v>
      </c>
      <c r="X138" s="452">
        <f t="shared" si="38"/>
        <v>1</v>
      </c>
      <c r="Y138" s="447">
        <f t="shared" si="39"/>
        <v>8796.3197390748373</v>
      </c>
      <c r="Z138" s="447">
        <f t="shared" si="46"/>
        <v>4634.813610815293</v>
      </c>
      <c r="AA138" s="447">
        <f>SUMPRODUCT($F$29:$F$31,$L$16:$L$18)*MIN(Q138/O138,1)*X138</f>
        <v>1187.7952088999336</v>
      </c>
      <c r="AB138" s="447">
        <v>0</v>
      </c>
      <c r="AC138" s="447">
        <v>0</v>
      </c>
      <c r="AD138" s="447">
        <f t="shared" si="49"/>
        <v>0</v>
      </c>
      <c r="AE138" s="447">
        <v>0</v>
      </c>
      <c r="AF138" s="448">
        <f t="shared" si="20"/>
        <v>14618.928558790063</v>
      </c>
      <c r="AG138" s="453">
        <f t="shared" si="40"/>
        <v>490.65118511771914</v>
      </c>
      <c r="AH138" s="454">
        <f t="shared" si="47"/>
        <v>-3.6949521008139996</v>
      </c>
      <c r="AI138" s="104">
        <f t="shared" si="41"/>
        <v>-17.794952100813997</v>
      </c>
      <c r="AJ138" s="455">
        <f t="shared" si="53"/>
        <v>0.20504789918600252</v>
      </c>
      <c r="AK138" s="456" t="str">
        <f>IF(instatk="Mut","5-5ea/3-5s/3-5r",IF(Sealfate&gt;0,"5-5ea/3-4s/3-4r","5ea/3s/3r"))</f>
        <v>5ea/3s/3r</v>
      </c>
      <c r="AL138" t="str">
        <f>IF(AND(OR(allowrupt,NOT(D138)),OR(AND(poison,allowenv),NOT(F138)),$X$2-AG138&lt;50),MAX($AL$55:$AL137)+1,"")</f>
        <v/>
      </c>
      <c r="AO138">
        <f t="shared" si="44"/>
        <v>83</v>
      </c>
      <c r="AP138" t="str">
        <f t="shared" si="42"/>
        <v/>
      </c>
      <c r="AQ138" t="b">
        <v>1</v>
      </c>
    </row>
    <row r="139" spans="2:43" ht="12.75" customHeight="1">
      <c r="B139" s="15" t="s">
        <v>3170</v>
      </c>
      <c r="C139" s="445">
        <v>1</v>
      </c>
      <c r="D139" s="64">
        <v>1</v>
      </c>
      <c r="E139" s="64">
        <v>0</v>
      </c>
      <c r="F139" s="197">
        <v>0</v>
      </c>
      <c r="G139" s="197">
        <v>1</v>
      </c>
      <c r="H139" s="446">
        <f t="shared" si="17"/>
        <v>3</v>
      </c>
      <c r="I139" s="447">
        <f>$N$15+$M$15+$L$15</f>
        <v>10.200000000000001</v>
      </c>
      <c r="J139" s="447">
        <f t="shared" si="36"/>
        <v>409.66530612244901</v>
      </c>
      <c r="K139" s="447">
        <f>SUMPRODUCT($E$45:$E$47,$N$16:$N$18)+SUMPRODUCT($E$16:$E$18,$M$16:$M$18)+SUMPRODUCT($E$29:$E$31,$L$16:$L$18)</f>
        <v>15</v>
      </c>
      <c r="L139" s="448">
        <f t="shared" si="18"/>
        <v>424.66530612244901</v>
      </c>
      <c r="M139" s="449">
        <f>SUMPRODUCT($C$45:$C$47,$N$16:$N$18)+SUMPRODUCT($C$16:$C$18,$M$16:$M$18)+SUMPRODUCT($C$29:$C$31,$L$16:$L$18)</f>
        <v>12</v>
      </c>
      <c r="N139" s="104">
        <f>SUMPRODUCT($D$16:$D$18,$M$16:$M$18)</f>
        <v>30.45</v>
      </c>
      <c r="O139" s="104">
        <f>SUMPRODUCT($D$29:$D$31,$L$16:$L$18)</f>
        <v>12</v>
      </c>
      <c r="P139" s="104">
        <f t="shared" si="50"/>
        <v>30</v>
      </c>
      <c r="Q139" s="450">
        <f t="shared" si="48"/>
        <v>32.360341311877626</v>
      </c>
      <c r="R139" s="1310">
        <f>(M$15+N$15+1-$J$15)*$O$2+$E$45+25</f>
        <v>362.37142857142857</v>
      </c>
      <c r="S139" s="1310">
        <f>(L$15+M$15+N$15+1-$J$15)*$O$2+$E$45+$E$16+$O$3</f>
        <v>463.76326530612238</v>
      </c>
      <c r="T139" s="1310">
        <f t="shared" si="51"/>
        <v>225.81632653061223</v>
      </c>
      <c r="U139" s="451">
        <f t="shared" si="45"/>
        <v>0.94096658952183398</v>
      </c>
      <c r="V139" s="451">
        <f t="shared" si="37"/>
        <v>0.37082427173274246</v>
      </c>
      <c r="W139" s="451">
        <f t="shared" si="52"/>
        <v>0.9270606793318561</v>
      </c>
      <c r="X139" s="452">
        <f t="shared" si="38"/>
        <v>1</v>
      </c>
      <c r="Y139" s="447">
        <f t="shared" si="39"/>
        <v>9752.4414498438418</v>
      </c>
      <c r="Z139" s="447">
        <f t="shared" si="46"/>
        <v>5407.2825459511769</v>
      </c>
      <c r="AA139" s="447">
        <f>SUMPRODUCT($F$29:$F$31,$L$16:$L$18)*MIN(Q139/O139,1)*X139</f>
        <v>1187.7952088999336</v>
      </c>
      <c r="AB139" s="447">
        <v>0</v>
      </c>
      <c r="AC139" s="447">
        <v>0</v>
      </c>
      <c r="AD139" s="447">
        <f t="shared" si="49"/>
        <v>0</v>
      </c>
      <c r="AE139" s="447">
        <v>0</v>
      </c>
      <c r="AF139" s="448">
        <f>SUM(Y139:AE139)</f>
        <v>16347.519204694952</v>
      </c>
      <c r="AG139" s="453">
        <f t="shared" si="40"/>
        <v>505.17140864316889</v>
      </c>
      <c r="AH139" s="454">
        <f t="shared" si="47"/>
        <v>-1.9103413118776267</v>
      </c>
      <c r="AI139" s="104">
        <f t="shared" si="41"/>
        <v>-20.360341311877626</v>
      </c>
      <c r="AJ139" s="455">
        <f t="shared" si="53"/>
        <v>-2.360341311877626</v>
      </c>
      <c r="AK139" s="456" t="str">
        <f>IF(instatk="Mut","5-5ea/4-5s/3-5r",IF(Sealfate&gt;0,"5-5ea/4-5s/3-4r","5ea/4s/3r"))</f>
        <v>5ea/4s/3r</v>
      </c>
      <c r="AL139" t="str">
        <f>IF(AND(OR(allowrupt,NOT(D139)),OR(AND(poison,allowenv),NOT(F139)),$X$2-AG139&lt;50),MAX($AL$55:$AL138)+1,"")</f>
        <v/>
      </c>
      <c r="AO139">
        <f t="shared" si="44"/>
        <v>84</v>
      </c>
      <c r="AP139" t="str">
        <f t="shared" si="42"/>
        <v/>
      </c>
      <c r="AQ139" t="b">
        <v>1</v>
      </c>
    </row>
    <row r="140" spans="2:43" ht="12.75" customHeight="1">
      <c r="B140" s="15" t="s">
        <v>3171</v>
      </c>
      <c r="C140" s="445">
        <v>1</v>
      </c>
      <c r="D140" s="64">
        <v>1</v>
      </c>
      <c r="E140" s="64">
        <v>0</v>
      </c>
      <c r="F140" s="197">
        <v>0</v>
      </c>
      <c r="G140" s="197">
        <v>1</v>
      </c>
      <c r="H140" s="446">
        <f t="shared" si="17"/>
        <v>3</v>
      </c>
      <c r="I140" s="447">
        <f>$N$15+$N$15+$L$15</f>
        <v>11.200000000000001</v>
      </c>
      <c r="J140" s="447">
        <f t="shared" si="36"/>
        <v>449.82857142857148</v>
      </c>
      <c r="K140" s="447">
        <f>SUMPRODUCT($E$45:$E$47,$N$16:$N$18)+SUMPRODUCT($E$17:$E$19,$N$16:$N$18)+SUMPRODUCT($E$29:$E$31,$L$16:$L$18)</f>
        <v>10</v>
      </c>
      <c r="L140" s="448">
        <f t="shared" si="18"/>
        <v>459.82857142857148</v>
      </c>
      <c r="M140" s="449">
        <f>SUMPRODUCT($C$45:$C$47,$N$16:$N$18)+SUMPRODUCT($C$17:$C$19,$N$16:$N$18)+SUMPRODUCT($C$29:$C$31,$L$16:$L$18)</f>
        <v>13</v>
      </c>
      <c r="N140" s="104">
        <f>SUMPRODUCT($D$17:$D$19,$N$16:$N$18)</f>
        <v>34.799999999999997</v>
      </c>
      <c r="O140" s="104">
        <f>SUMPRODUCT($D$29:$D$31,$L$16:$L$18)</f>
        <v>12</v>
      </c>
      <c r="P140" s="104">
        <f t="shared" si="50"/>
        <v>30</v>
      </c>
      <c r="Q140" s="450">
        <f t="shared" si="48"/>
        <v>34.925730522941258</v>
      </c>
      <c r="R140" s="1310">
        <f>(N$15+N$15+1-$J$15)*$O$2+$E$45+25</f>
        <v>402.53469387755104</v>
      </c>
      <c r="S140" s="1310">
        <f>(L$15+N$15+N$15+1-$J$15)*$O$2+$E$45+$E$17+$O$3</f>
        <v>498.9265306122449</v>
      </c>
      <c r="T140" s="1310">
        <f t="shared" si="51"/>
        <v>225.81632653061223</v>
      </c>
      <c r="U140" s="451">
        <f t="shared" si="45"/>
        <v>0.99640006032633521</v>
      </c>
      <c r="V140" s="451">
        <f t="shared" si="37"/>
        <v>0.34358622769873631</v>
      </c>
      <c r="W140" s="451">
        <f t="shared" si="52"/>
        <v>0.85896556924684075</v>
      </c>
      <c r="X140" s="452">
        <f t="shared" si="38"/>
        <v>1</v>
      </c>
      <c r="Y140" s="447">
        <f t="shared" si="39"/>
        <v>10708.563160612846</v>
      </c>
      <c r="Z140" s="447">
        <f t="shared" si="46"/>
        <v>6179.7514810870571</v>
      </c>
      <c r="AA140" s="447">
        <f>SUMPRODUCT($F$29:$F$31,$L$16:$L$18)*MIN(Q140/O140,1)*X140</f>
        <v>1187.7952088999336</v>
      </c>
      <c r="AB140" s="447">
        <v>0</v>
      </c>
      <c r="AC140" s="447">
        <v>0</v>
      </c>
      <c r="AD140" s="447">
        <f t="shared" si="49"/>
        <v>0</v>
      </c>
      <c r="AE140" s="447">
        <v>0</v>
      </c>
      <c r="AF140" s="448">
        <f t="shared" si="20"/>
        <v>18076.109850599838</v>
      </c>
      <c r="AG140" s="453">
        <f t="shared" si="40"/>
        <v>517.55853291963058</v>
      </c>
      <c r="AH140" s="454">
        <f t="shared" si="47"/>
        <v>-0.12573052294126086</v>
      </c>
      <c r="AI140" s="104">
        <f t="shared" si="41"/>
        <v>-22.925730522941258</v>
      </c>
      <c r="AJ140" s="455">
        <f t="shared" si="53"/>
        <v>-4.925730522941258</v>
      </c>
      <c r="AK140" s="456" t="str">
        <f>IF(instatk="Mut","5-5ea/5-5s/3-5r",IF(Sealfate&gt;0,"5-5ea/5-5s/3-4r","5ea/5s/3r"))</f>
        <v>5ea/5s/3r</v>
      </c>
      <c r="AL140" t="str">
        <f>IF(AND(OR(allowrupt,NOT(D140)),OR(AND(poison,allowenv),NOT(F140)),$X$2-AG140&lt;50),MAX($AL$55:$AL139)+1,"")</f>
        <v/>
      </c>
      <c r="AO140">
        <f t="shared" si="44"/>
        <v>85</v>
      </c>
      <c r="AP140" t="str">
        <f t="shared" ref="AP140:AP150" si="54">IF(ISNA(INDEX($AK$56:$AK$284,MATCH(AO140,AL$56:AL$284,0))),"",INDEX($AK$56:$AK$284,MATCH(AO140,AL$56:AL$284,0)))</f>
        <v/>
      </c>
      <c r="AQ140" t="b">
        <v>1</v>
      </c>
    </row>
    <row r="141" spans="2:43" ht="12.75" customHeight="1">
      <c r="B141" s="15" t="s">
        <v>3172</v>
      </c>
      <c r="C141" s="445">
        <v>1</v>
      </c>
      <c r="D141" s="64">
        <v>1</v>
      </c>
      <c r="E141" s="64">
        <v>0</v>
      </c>
      <c r="F141" s="197">
        <v>0</v>
      </c>
      <c r="G141" s="197">
        <v>1</v>
      </c>
      <c r="H141" s="446">
        <f t="shared" si="17"/>
        <v>3</v>
      </c>
      <c r="I141" s="447">
        <f>$N$15+$J$15+$M$15</f>
        <v>8.2000000000000011</v>
      </c>
      <c r="J141" s="447">
        <f t="shared" si="36"/>
        <v>329.33877551020413</v>
      </c>
      <c r="K141" s="447">
        <f>SUMPRODUCT($E$45:$E$47,$N$16:$N$18)+SUMPRODUCT($E$13:$E$15,$J$16:$J$18)+SUMPRODUCT($E$30:$E$32,$M$16:$M$18)</f>
        <v>25</v>
      </c>
      <c r="L141" s="448">
        <f t="shared" si="18"/>
        <v>354.33877551020413</v>
      </c>
      <c r="M141" s="449">
        <f>SUMPRODUCT($C$45:$C$47,$N$16:$N$18)+SUMPRODUCT($C$13:$C$15,$J$16:$J$18)+SUMPRODUCT($C$30:$C$32,$M$16:$M$18)</f>
        <v>10</v>
      </c>
      <c r="N141" s="104">
        <f>SUMPRODUCT($D$13:$D$15,$J$16:$J$18)</f>
        <v>17.399999999999999</v>
      </c>
      <c r="O141" s="104">
        <f>SUMPRODUCT($D$30:$D$32,$M$16:$M$18)</f>
        <v>14</v>
      </c>
      <c r="P141" s="104">
        <f t="shared" si="50"/>
        <v>30</v>
      </c>
      <c r="Q141" s="450">
        <f t="shared" si="48"/>
        <v>27.501032794984557</v>
      </c>
      <c r="R141" s="1310">
        <f>(J$15+N$15+1-$J$15)*$O$2+$E$45+25</f>
        <v>241.88163265306122</v>
      </c>
      <c r="S141" s="1310">
        <f>(M$15+J$15+N$15+1-$J$15)*$O$2+$E$45+$E$13+$O$3</f>
        <v>398.4367346938775</v>
      </c>
      <c r="T141" s="1310">
        <f t="shared" si="51"/>
        <v>225.81632653061223</v>
      </c>
      <c r="U141" s="451">
        <f t="shared" si="45"/>
        <v>0.63270351079953935</v>
      </c>
      <c r="V141" s="451">
        <f t="shared" si="37"/>
        <v>0.50907179029848004</v>
      </c>
      <c r="W141" s="451">
        <f t="shared" si="52"/>
        <v>1</v>
      </c>
      <c r="X141" s="452">
        <f t="shared" si="38"/>
        <v>1</v>
      </c>
      <c r="Y141" s="447">
        <f t="shared" si="39"/>
        <v>7840.1980283058338</v>
      </c>
      <c r="Z141" s="447">
        <f t="shared" si="46"/>
        <v>3089.8757405435285</v>
      </c>
      <c r="AA141" s="447">
        <f>SUMPRODUCT($F$30:$F$32,$M$16:$M$18)*MIN(Q141/O141,1)*X141</f>
        <v>1462.7610770499225</v>
      </c>
      <c r="AB141" s="447">
        <v>0</v>
      </c>
      <c r="AC141" s="447">
        <v>0</v>
      </c>
      <c r="AD141" s="447">
        <f t="shared" si="49"/>
        <v>0</v>
      </c>
      <c r="AE141" s="447">
        <v>0</v>
      </c>
      <c r="AF141" s="448">
        <f t="shared" si="20"/>
        <v>12392.834845899286</v>
      </c>
      <c r="AG141" s="453">
        <f t="shared" si="40"/>
        <v>450.63161584823837</v>
      </c>
      <c r="AH141" s="454">
        <f t="shared" si="47"/>
        <v>-10.101032794984558</v>
      </c>
      <c r="AI141" s="104">
        <f t="shared" si="41"/>
        <v>-13.501032794984557</v>
      </c>
      <c r="AJ141" s="455">
        <f t="shared" si="53"/>
        <v>2.4989672050154432</v>
      </c>
      <c r="AK141" s="456" t="str">
        <f>IF(instatk="Mut","5-5ea/1-3s/4-5r",IF(Sealfate&gt;0,"5-5ea/1-2s/4-5r","5ea/1s/4r"))</f>
        <v>5ea/1s/4r</v>
      </c>
      <c r="AL141" t="str">
        <f>IF(AND(OR(allowrupt,NOT(D141)),OR(AND(poison,allowenv),NOT(F141)),$X$2-AG141&lt;50),MAX($AL$55:$AL140)+1,"")</f>
        <v/>
      </c>
      <c r="AO141">
        <f t="shared" si="44"/>
        <v>86</v>
      </c>
      <c r="AP141" t="str">
        <f t="shared" si="54"/>
        <v/>
      </c>
      <c r="AQ141" t="b">
        <v>1</v>
      </c>
    </row>
    <row r="142" spans="2:43" ht="12.75" customHeight="1">
      <c r="B142" s="15" t="s">
        <v>3173</v>
      </c>
      <c r="C142" s="445">
        <v>1</v>
      </c>
      <c r="D142" s="64">
        <v>1</v>
      </c>
      <c r="E142" s="64">
        <v>0</v>
      </c>
      <c r="F142" s="197">
        <v>0</v>
      </c>
      <c r="G142" s="197">
        <v>1</v>
      </c>
      <c r="H142" s="446">
        <f t="shared" si="17"/>
        <v>3</v>
      </c>
      <c r="I142" s="447">
        <f>$N$15+$K$15+$M$15</f>
        <v>9.2000000000000011</v>
      </c>
      <c r="J142" s="447">
        <f t="shared" si="36"/>
        <v>369.50204081632654</v>
      </c>
      <c r="K142" s="447">
        <f>SUMPRODUCT($E$45:$E$47,$N$16:$N$18)+SUMPRODUCT($E$14:$E$16,$K$16:$K$18)+SUMPRODUCT($E$30:$E$32,$M$16:$M$18)</f>
        <v>20</v>
      </c>
      <c r="L142" s="448">
        <f t="shared" si="18"/>
        <v>389.50204081632654</v>
      </c>
      <c r="M142" s="449">
        <f>SUMPRODUCT($C$45:$C$47,$N$16:$N$18)+SUMPRODUCT($C$14:$C$16,$K$16:$K$18)+SUMPRODUCT($C$30:$C$32,$M$16:$M$18)</f>
        <v>11</v>
      </c>
      <c r="N142" s="104">
        <f>SUMPRODUCT($D$14:$D$16,$K$16:$K$18)</f>
        <v>21.75</v>
      </c>
      <c r="O142" s="104">
        <f>SUMPRODUCT($D$30:$D$32,$M$16:$M$18)</f>
        <v>14</v>
      </c>
      <c r="P142" s="104">
        <f t="shared" si="50"/>
        <v>30</v>
      </c>
      <c r="Q142" s="450">
        <f t="shared" si="48"/>
        <v>30.066422006048185</v>
      </c>
      <c r="R142" s="1310">
        <f>(K$15+N$15+1-$J$15)*$O$2+$E$45+25</f>
        <v>282.04489795918369</v>
      </c>
      <c r="S142" s="1310">
        <f>(M$15+K$15+N$15+1-$J$15)*$O$2+$E$45+$E$14+$O$3</f>
        <v>433.59999999999997</v>
      </c>
      <c r="T142" s="1310">
        <f t="shared" si="51"/>
        <v>225.81632653061223</v>
      </c>
      <c r="U142" s="451">
        <f t="shared" si="45"/>
        <v>0.72339834768582545</v>
      </c>
      <c r="V142" s="451">
        <f t="shared" si="37"/>
        <v>0.4656357180506463</v>
      </c>
      <c r="W142" s="451">
        <f t="shared" si="52"/>
        <v>0.99779082439424205</v>
      </c>
      <c r="X142" s="452">
        <f t="shared" si="38"/>
        <v>1</v>
      </c>
      <c r="Y142" s="447">
        <f t="shared" si="39"/>
        <v>8796.3197390748373</v>
      </c>
      <c r="Z142" s="447">
        <f t="shared" si="46"/>
        <v>3862.3446756794115</v>
      </c>
      <c r="AA142" s="447">
        <f>SUMPRODUCT($F$30:$F$32,$M$16:$M$18)*MIN(Q142/O142,1)*X142</f>
        <v>1462.7610770499225</v>
      </c>
      <c r="AB142" s="447">
        <v>0</v>
      </c>
      <c r="AC142" s="447">
        <v>0</v>
      </c>
      <c r="AD142" s="447">
        <f t="shared" si="49"/>
        <v>0</v>
      </c>
      <c r="AE142" s="447">
        <v>0</v>
      </c>
      <c r="AF142" s="448">
        <f t="shared" si="20"/>
        <v>14121.425491804172</v>
      </c>
      <c r="AG142" s="453">
        <f t="shared" si="40"/>
        <v>469.67429276963833</v>
      </c>
      <c r="AH142" s="454">
        <f t="shared" si="47"/>
        <v>-8.3164220060481853</v>
      </c>
      <c r="AI142" s="104">
        <f t="shared" si="41"/>
        <v>-16.066422006048185</v>
      </c>
      <c r="AJ142" s="455">
        <f t="shared" si="53"/>
        <v>-6.6422006048185267E-2</v>
      </c>
      <c r="AK142" s="456" t="str">
        <f>IF(instatk="Mut","5-5ea/2-4s/4-5r",IF(Sealfate&gt;0,"5-5ea/2-3s/4-5r","5ea/2s/4r"))</f>
        <v>5ea/2s/4r</v>
      </c>
      <c r="AL142" t="str">
        <f>IF(AND(OR(allowrupt,NOT(D142)),OR(AND(poison,allowenv),NOT(F142)),$X$2-AG142&lt;50),MAX($AL$55:$AL141)+1,"")</f>
        <v/>
      </c>
      <c r="AO142">
        <f t="shared" si="44"/>
        <v>87</v>
      </c>
      <c r="AP142" t="str">
        <f t="shared" si="54"/>
        <v/>
      </c>
      <c r="AQ142" t="b">
        <v>1</v>
      </c>
    </row>
    <row r="143" spans="2:43" ht="12.75" customHeight="1">
      <c r="B143" s="15" t="s">
        <v>3174</v>
      </c>
      <c r="C143" s="445">
        <v>1</v>
      </c>
      <c r="D143" s="64">
        <v>1</v>
      </c>
      <c r="E143" s="64">
        <v>0</v>
      </c>
      <c r="F143" s="197">
        <v>0</v>
      </c>
      <c r="G143" s="197">
        <v>1</v>
      </c>
      <c r="H143" s="446">
        <f t="shared" si="17"/>
        <v>3</v>
      </c>
      <c r="I143" s="447">
        <f>$N$15+$L$15+$M$15</f>
        <v>10.200000000000001</v>
      </c>
      <c r="J143" s="447">
        <f t="shared" si="36"/>
        <v>409.66530612244901</v>
      </c>
      <c r="K143" s="447">
        <f>SUMPRODUCT($E$45:$E$47,$N$16:$N$18)+SUMPRODUCT($E$15:$E$17,$L$16:$L$18)+SUMPRODUCT($E$30:$E$32,$M$16:$M$18)</f>
        <v>15</v>
      </c>
      <c r="L143" s="448">
        <f t="shared" si="18"/>
        <v>424.66530612244901</v>
      </c>
      <c r="M143" s="449">
        <f>SUMPRODUCT($C$45:$C$47,$N$16:$N$18)+SUMPRODUCT($C$15:$C$17,$L$16:$L$18)+SUMPRODUCT($C$30:$C$32,$M$16:$M$18)</f>
        <v>12</v>
      </c>
      <c r="N143" s="104">
        <f>SUMPRODUCT($D$15:$D$17,$L$16:$L$18)</f>
        <v>26.099999999999998</v>
      </c>
      <c r="O143" s="104">
        <f>SUMPRODUCT($D$30:$D$32,$M$16:$M$18)</f>
        <v>14</v>
      </c>
      <c r="P143" s="104">
        <f t="shared" si="50"/>
        <v>30</v>
      </c>
      <c r="Q143" s="450">
        <f t="shared" si="48"/>
        <v>32.63181121711181</v>
      </c>
      <c r="R143" s="1310">
        <f>(L$15+N$15+1-$J$15)*$O$2+$E$45+25</f>
        <v>322.2081632653061</v>
      </c>
      <c r="S143" s="1310">
        <f>(M$15+L$15+N$15+1-$J$15)*$O$2+$E$45+$E$15+$O$3</f>
        <v>468.76326530612238</v>
      </c>
      <c r="T143" s="1310">
        <f t="shared" si="51"/>
        <v>225.81632653061223</v>
      </c>
      <c r="U143" s="451">
        <f t="shared" si="45"/>
        <v>0.79983301651099914</v>
      </c>
      <c r="V143" s="451">
        <f t="shared" si="37"/>
        <v>0.4290292042587735</v>
      </c>
      <c r="W143" s="451">
        <f t="shared" si="52"/>
        <v>0.91934829484022895</v>
      </c>
      <c r="X143" s="452">
        <f t="shared" si="38"/>
        <v>1</v>
      </c>
      <c r="Y143" s="447">
        <f t="shared" si="39"/>
        <v>9752.4414498438418</v>
      </c>
      <c r="Z143" s="447">
        <f t="shared" si="46"/>
        <v>4634.813610815293</v>
      </c>
      <c r="AA143" s="447">
        <f>SUMPRODUCT($F$30:$F$32,$M$16:$M$18)*MIN(Q143/O143,1)*X143</f>
        <v>1462.7610770499225</v>
      </c>
      <c r="AB143" s="447">
        <v>0</v>
      </c>
      <c r="AC143" s="447">
        <v>0</v>
      </c>
      <c r="AD143" s="447">
        <f t="shared" si="49"/>
        <v>0</v>
      </c>
      <c r="AE143" s="447">
        <v>0</v>
      </c>
      <c r="AF143" s="448">
        <f t="shared" si="20"/>
        <v>15850.016137709059</v>
      </c>
      <c r="AG143" s="453">
        <f t="shared" si="40"/>
        <v>485.72284364643116</v>
      </c>
      <c r="AH143" s="454">
        <f t="shared" si="47"/>
        <v>-6.5318112171118123</v>
      </c>
      <c r="AI143" s="104">
        <f t="shared" si="41"/>
        <v>-18.63181121711181</v>
      </c>
      <c r="AJ143" s="455">
        <f t="shared" si="53"/>
        <v>-2.6318112171118102</v>
      </c>
      <c r="AK143" s="456" t="str">
        <f>IF(instatk="Mut","5-5ea/3-5s/4-5r",IF(Sealfate&gt;0,"5-5ea/3-4s/4-5r","5ea/3s/4r"))</f>
        <v>5ea/3s/4r</v>
      </c>
      <c r="AL143" t="str">
        <f>IF(AND(OR(allowrupt,NOT(D143)),OR(AND(poison,allowenv),NOT(F143)),$X$2-AG143&lt;50),MAX($AL$55:$AL142)+1,"")</f>
        <v/>
      </c>
      <c r="AO143">
        <f t="shared" si="44"/>
        <v>88</v>
      </c>
      <c r="AP143" t="str">
        <f t="shared" si="54"/>
        <v/>
      </c>
      <c r="AQ143" t="b">
        <v>1</v>
      </c>
    </row>
    <row r="144" spans="2:43" ht="12.75" customHeight="1">
      <c r="B144" s="15" t="s">
        <v>3175</v>
      </c>
      <c r="C144" s="445">
        <v>1</v>
      </c>
      <c r="D144" s="64">
        <v>1</v>
      </c>
      <c r="E144" s="64">
        <v>0</v>
      </c>
      <c r="F144" s="197">
        <v>0</v>
      </c>
      <c r="G144" s="197">
        <v>1</v>
      </c>
      <c r="H144" s="446">
        <f t="shared" si="17"/>
        <v>3</v>
      </c>
      <c r="I144" s="447">
        <f>$N$15+$M$15+$M$15</f>
        <v>11.200000000000001</v>
      </c>
      <c r="J144" s="447">
        <f t="shared" si="36"/>
        <v>449.82857142857148</v>
      </c>
      <c r="K144" s="447">
        <f>SUMPRODUCT($E$45:$E$47,$N$16:$N$18)+SUMPRODUCT($E$16:$E$18,$M$16:$M$18)+SUMPRODUCT($E$30:$E$32,$M$16:$M$18)</f>
        <v>10</v>
      </c>
      <c r="L144" s="448">
        <f t="shared" si="18"/>
        <v>459.82857142857148</v>
      </c>
      <c r="M144" s="449">
        <f>SUMPRODUCT($C$45:$C$47,$N$16:$N$18)+SUMPRODUCT($C$16:$C$18,$M$16:$M$18)+SUMPRODUCT($C$30:$C$32,$M$16:$M$18)</f>
        <v>13</v>
      </c>
      <c r="N144" s="104">
        <f>SUMPRODUCT($D$16:$D$18,$M$16:$M$18)</f>
        <v>30.45</v>
      </c>
      <c r="O144" s="104">
        <f>SUMPRODUCT($D$30:$D$32,$M$16:$M$18)</f>
        <v>14</v>
      </c>
      <c r="P144" s="104">
        <f t="shared" si="50"/>
        <v>30</v>
      </c>
      <c r="Q144" s="450">
        <f t="shared" si="48"/>
        <v>35.197200428175442</v>
      </c>
      <c r="R144" s="1310">
        <f>(M$15+N$15+1-$J$15)*$O$2+$E$45+25</f>
        <v>362.37142857142857</v>
      </c>
      <c r="S144" s="1310">
        <f>(M$15+M$15+N$15+1-$J$15)*$O$2+$E$45+$E$16+$O$3</f>
        <v>503.92653061224485</v>
      </c>
      <c r="T144" s="1310">
        <f t="shared" si="51"/>
        <v>225.81632653061223</v>
      </c>
      <c r="U144" s="451">
        <f t="shared" si="45"/>
        <v>0.86512562446940244</v>
      </c>
      <c r="V144" s="451">
        <f t="shared" si="37"/>
        <v>0.39775890780202411</v>
      </c>
      <c r="W144" s="451">
        <f t="shared" si="52"/>
        <v>0.8523405167186231</v>
      </c>
      <c r="X144" s="452">
        <f t="shared" si="38"/>
        <v>1</v>
      </c>
      <c r="Y144" s="447">
        <f t="shared" si="39"/>
        <v>10708.563160612846</v>
      </c>
      <c r="Z144" s="447">
        <f t="shared" si="46"/>
        <v>5407.2825459511769</v>
      </c>
      <c r="AA144" s="447">
        <f>SUMPRODUCT($F$30:$F$32,$M$16:$M$18)*MIN(Q144/O144,1)*X144</f>
        <v>1462.7610770499225</v>
      </c>
      <c r="AB144" s="447">
        <v>0</v>
      </c>
      <c r="AC144" s="447">
        <v>0</v>
      </c>
      <c r="AD144" s="447">
        <f t="shared" si="49"/>
        <v>0</v>
      </c>
      <c r="AE144" s="447">
        <v>0</v>
      </c>
      <c r="AF144" s="448">
        <f t="shared" si="20"/>
        <v>17578.606783613945</v>
      </c>
      <c r="AG144" s="453">
        <f t="shared" si="40"/>
        <v>499.43195963796677</v>
      </c>
      <c r="AH144" s="454">
        <f t="shared" si="47"/>
        <v>-4.747200428175443</v>
      </c>
      <c r="AI144" s="104">
        <f t="shared" si="41"/>
        <v>-21.197200428175442</v>
      </c>
      <c r="AJ144" s="455">
        <f t="shared" si="53"/>
        <v>-5.1972004281754423</v>
      </c>
      <c r="AK144" s="456" t="str">
        <f>IF(instatk="Mut","5-5ea/4-5s/4-5r",IF(Sealfate&gt;0,"5-5ea/4-5s/4-5r","5ea/4s/4r"))</f>
        <v>5ea/4s/4r</v>
      </c>
      <c r="AL144" t="str">
        <f>IF(AND(OR(allowrupt,NOT(D144)),OR(AND(poison,allowenv),NOT(F144)),$X$2-AG144&lt;50),MAX($AL$55:$AL143)+1,"")</f>
        <v/>
      </c>
      <c r="AO144">
        <f t="shared" si="44"/>
        <v>89</v>
      </c>
      <c r="AP144" t="str">
        <f t="shared" si="54"/>
        <v/>
      </c>
      <c r="AQ144" t="b">
        <v>1</v>
      </c>
    </row>
    <row r="145" spans="2:43" ht="12.75" customHeight="1">
      <c r="B145" s="15" t="s">
        <v>3176</v>
      </c>
      <c r="C145" s="445">
        <v>1</v>
      </c>
      <c r="D145" s="64">
        <v>1</v>
      </c>
      <c r="E145" s="64">
        <v>0</v>
      </c>
      <c r="F145" s="197">
        <v>0</v>
      </c>
      <c r="G145" s="197">
        <v>1</v>
      </c>
      <c r="H145" s="446">
        <f t="shared" si="17"/>
        <v>3</v>
      </c>
      <c r="I145" s="447">
        <f>$N$15+$N$15+$M$15</f>
        <v>12.200000000000001</v>
      </c>
      <c r="J145" s="447">
        <f t="shared" si="36"/>
        <v>489.99183673469389</v>
      </c>
      <c r="K145" s="447">
        <f>SUMPRODUCT($E$45:$E$47,$N$16:$N$18)+SUMPRODUCT($E$17:$E$19,$N$16:$N$18)+SUMPRODUCT($E$30:$E$32,$M$16:$M$18)</f>
        <v>5</v>
      </c>
      <c r="L145" s="448">
        <f t="shared" si="18"/>
        <v>494.99183673469389</v>
      </c>
      <c r="M145" s="449">
        <f>SUMPRODUCT($C$45:$C$47,$N$16:$N$18)+SUMPRODUCT($C$17:$C$19,$N$16:$N$18)+SUMPRODUCT($C$30:$C$32,$M$16:$M$18)</f>
        <v>14</v>
      </c>
      <c r="N145" s="104">
        <f>SUMPRODUCT($D$17:$D$19,$N$16:$N$18)</f>
        <v>34.799999999999997</v>
      </c>
      <c r="O145" s="104">
        <f>SUMPRODUCT($D$30:$D$32,$M$16:$M$18)</f>
        <v>14</v>
      </c>
      <c r="P145" s="104">
        <f t="shared" si="50"/>
        <v>30</v>
      </c>
      <c r="Q145" s="450">
        <f t="shared" si="48"/>
        <v>37.76258963923906</v>
      </c>
      <c r="R145" s="1310">
        <f>(N$15+N$15+1-$J$15)*$O$2+$E$45+25</f>
        <v>402.53469387755104</v>
      </c>
      <c r="S145" s="1310">
        <f>(M$15+N$15+N$15+1-$J$15)*$O$2+$E$45+$E$17+$O$3</f>
        <v>539.08979591836737</v>
      </c>
      <c r="T145" s="1310">
        <f t="shared" si="51"/>
        <v>225.81632653061223</v>
      </c>
      <c r="U145" s="451">
        <f t="shared" si="45"/>
        <v>0.92154696837420702</v>
      </c>
      <c r="V145" s="451">
        <f t="shared" si="37"/>
        <v>0.37073728612755458</v>
      </c>
      <c r="W145" s="451">
        <f t="shared" si="52"/>
        <v>0.79443704170190266</v>
      </c>
      <c r="X145" s="452">
        <f t="shared" si="38"/>
        <v>1</v>
      </c>
      <c r="Y145" s="447">
        <f t="shared" si="39"/>
        <v>11664.684871381849</v>
      </c>
      <c r="Z145" s="447">
        <f t="shared" si="46"/>
        <v>6179.7514810870571</v>
      </c>
      <c r="AA145" s="447">
        <f>SUMPRODUCT($F$30:$F$32,$M$16:$M$18)*MIN(Q145/O145,1)*X145</f>
        <v>1462.7610770499225</v>
      </c>
      <c r="AB145" s="447">
        <v>0</v>
      </c>
      <c r="AC145" s="447">
        <v>0</v>
      </c>
      <c r="AD145" s="447">
        <f t="shared" si="49"/>
        <v>0</v>
      </c>
      <c r="AE145" s="447">
        <v>0</v>
      </c>
      <c r="AF145" s="448">
        <f t="shared" si="20"/>
        <v>19307.19742951883</v>
      </c>
      <c r="AG145" s="453">
        <f t="shared" si="40"/>
        <v>511.27842698205063</v>
      </c>
      <c r="AH145" s="454">
        <f t="shared" si="47"/>
        <v>-2.9625896392390629</v>
      </c>
      <c r="AI145" s="104">
        <f t="shared" si="41"/>
        <v>-23.76258963923906</v>
      </c>
      <c r="AJ145" s="455">
        <f t="shared" si="53"/>
        <v>-7.7625896392390601</v>
      </c>
      <c r="AK145" s="456" t="str">
        <f>IF(instatk="Mut","5-5ea/5-5s/4-5r",IF(Sealfate&gt;0,"5-5ea/5-5s/4-5r","5ea/5s/4r"))</f>
        <v>5ea/5s/4r</v>
      </c>
      <c r="AL145" t="str">
        <f>IF(AND(OR(allowrupt,NOT(D145)),OR(AND(poison,allowenv),NOT(F145)),$X$2-AG145&lt;50),MAX($AL$55:$AL144)+1,"")</f>
        <v/>
      </c>
      <c r="AO145">
        <f t="shared" si="44"/>
        <v>90</v>
      </c>
      <c r="AP145" t="str">
        <f t="shared" si="54"/>
        <v/>
      </c>
      <c r="AQ145" t="b">
        <v>1</v>
      </c>
    </row>
    <row r="146" spans="2:43" ht="12.75" customHeight="1">
      <c r="B146" s="15" t="s">
        <v>3177</v>
      </c>
      <c r="C146" s="445">
        <v>1</v>
      </c>
      <c r="D146" s="64">
        <v>1</v>
      </c>
      <c r="E146" s="64">
        <v>0</v>
      </c>
      <c r="F146" s="197">
        <v>0</v>
      </c>
      <c r="G146" s="197">
        <v>1</v>
      </c>
      <c r="H146" s="446">
        <f t="shared" si="17"/>
        <v>3</v>
      </c>
      <c r="I146" s="447">
        <f>$N$15+$J$15+$N$15</f>
        <v>9.2000000000000011</v>
      </c>
      <c r="J146" s="447">
        <f t="shared" si="36"/>
        <v>369.50204081632654</v>
      </c>
      <c r="K146" s="447">
        <f>SUMPRODUCT($E$45:$E$47,$N$16:$N$18)+SUMPRODUCT($E$13:$E$15,$J$16:$J$18)+SUMPRODUCT($E$31:$E$33,$N$16:$N$18)</f>
        <v>20</v>
      </c>
      <c r="L146" s="448">
        <f t="shared" si="18"/>
        <v>389.50204081632654</v>
      </c>
      <c r="M146" s="449">
        <f>SUMPRODUCT($C$45:$C$47,$N$16:$N$18)+SUMPRODUCT($C$13:$C$15,$J$16:$J$18)+SUMPRODUCT($C$31:$C$33,$N$16:$N$18)</f>
        <v>11</v>
      </c>
      <c r="N146" s="104">
        <f>SUMPRODUCT($D$13:$D$15,$J$16:$J$18)</f>
        <v>17.399999999999999</v>
      </c>
      <c r="O146" s="104">
        <f>SUMPRODUCT($D$31:$D$33,$N$16:$N$18)</f>
        <v>16</v>
      </c>
      <c r="P146" s="104">
        <f t="shared" si="50"/>
        <v>30</v>
      </c>
      <c r="Q146" s="450">
        <f t="shared" si="48"/>
        <v>30.33789191128237</v>
      </c>
      <c r="R146" s="1310">
        <f>(J$15+N$15+1-$J$15)*$O$2+$E$45+25</f>
        <v>241.88163265306122</v>
      </c>
      <c r="S146" s="1310">
        <f>(N$15+J$15+N$15+1-$J$15)*$O$2+$E$45+$E$13+$O$3</f>
        <v>438.6</v>
      </c>
      <c r="T146" s="1310">
        <f t="shared" si="51"/>
        <v>225.81632653061223</v>
      </c>
      <c r="U146" s="451">
        <f t="shared" si="45"/>
        <v>0.57354018040815502</v>
      </c>
      <c r="V146" s="451">
        <f t="shared" si="37"/>
        <v>0.5273932693408323</v>
      </c>
      <c r="W146" s="451">
        <f t="shared" si="52"/>
        <v>0.98886238001406057</v>
      </c>
      <c r="X146" s="452">
        <f t="shared" si="38"/>
        <v>1</v>
      </c>
      <c r="Y146" s="447">
        <f t="shared" si="39"/>
        <v>8796.3197390748373</v>
      </c>
      <c r="Z146" s="447">
        <f t="shared" si="46"/>
        <v>3089.8757405435285</v>
      </c>
      <c r="AA146" s="447">
        <f>SUMPRODUCT($F$31:$F$33,$N$16:$N$18)*MIN(Q146/O146,1)*X146</f>
        <v>1759.7269451999114</v>
      </c>
      <c r="AB146" s="447">
        <v>0</v>
      </c>
      <c r="AC146" s="447">
        <v>0</v>
      </c>
      <c r="AD146" s="447">
        <f t="shared" si="49"/>
        <v>0</v>
      </c>
      <c r="AE146" s="447">
        <v>0</v>
      </c>
      <c r="AF146" s="448">
        <f t="shared" si="20"/>
        <v>13645.922424818276</v>
      </c>
      <c r="AG146" s="453">
        <f t="shared" si="40"/>
        <v>449.79797754976801</v>
      </c>
      <c r="AH146" s="454">
        <f t="shared" si="47"/>
        <v>-12.937891911282371</v>
      </c>
      <c r="AI146" s="104">
        <f t="shared" si="41"/>
        <v>-14.33789191128237</v>
      </c>
      <c r="AJ146" s="455">
        <f t="shared" si="53"/>
        <v>-0.33789191128236951</v>
      </c>
      <c r="AK146" s="456" t="str">
        <f>IF(instatk="Mut","5-5ea/1-3s/5-5r",IF(Sealfate&gt;0,"5-5ea/1-2s/5-5r","5ea/1s/5r"))</f>
        <v>5ea/1s/5r</v>
      </c>
      <c r="AL146" t="str">
        <f>IF(AND(OR(allowrupt,NOT(D146)),OR(AND(poison,allowenv),NOT(F146)),$X$2-AG146&lt;50),MAX($AL$55:$AL145)+1,"")</f>
        <v/>
      </c>
      <c r="AO146">
        <f t="shared" si="44"/>
        <v>91</v>
      </c>
      <c r="AP146" t="str">
        <f t="shared" si="54"/>
        <v/>
      </c>
      <c r="AQ146" t="b">
        <v>1</v>
      </c>
    </row>
    <row r="147" spans="2:43" ht="12.75" customHeight="1">
      <c r="B147" s="15" t="s">
        <v>3178</v>
      </c>
      <c r="C147" s="445">
        <v>1</v>
      </c>
      <c r="D147" s="64">
        <v>1</v>
      </c>
      <c r="E147" s="64">
        <v>0</v>
      </c>
      <c r="F147" s="197">
        <v>0</v>
      </c>
      <c r="G147" s="197">
        <v>1</v>
      </c>
      <c r="H147" s="446">
        <f t="shared" si="17"/>
        <v>3</v>
      </c>
      <c r="I147" s="447">
        <f>$N$15+$K$15+$N$15</f>
        <v>10.200000000000001</v>
      </c>
      <c r="J147" s="447">
        <f t="shared" si="36"/>
        <v>409.66530612244901</v>
      </c>
      <c r="K147" s="447">
        <f>SUMPRODUCT($E$45:$E$47,$N$16:$N$18)+SUMPRODUCT($E$14:$E$16,$K$16:$K$18)+SUMPRODUCT($E$31:$E$33,$N$16:$N$18)</f>
        <v>15</v>
      </c>
      <c r="L147" s="448">
        <f t="shared" si="18"/>
        <v>424.66530612244901</v>
      </c>
      <c r="M147" s="449">
        <f>SUMPRODUCT($C$45:$C$47,$N$16:$N$18)+SUMPRODUCT($C$14:$C$16,$K$16:$K$18)+SUMPRODUCT($C$31:$C$33,$N$16:$N$18)</f>
        <v>12</v>
      </c>
      <c r="N147" s="104">
        <f>SUMPRODUCT($D$14:$D$16,$K$16:$K$18)</f>
        <v>21.75</v>
      </c>
      <c r="O147" s="104">
        <f>SUMPRODUCT($D$31:$D$33,$N$16:$N$18)</f>
        <v>16</v>
      </c>
      <c r="P147" s="104">
        <f t="shared" si="50"/>
        <v>30</v>
      </c>
      <c r="Q147" s="450">
        <f t="shared" si="48"/>
        <v>32.903281122345994</v>
      </c>
      <c r="R147" s="1310">
        <f>(K$15+N$15+1-$J$15)*$O$2+$E$45+25</f>
        <v>282.04489795918369</v>
      </c>
      <c r="S147" s="1310">
        <f>(N$15+K$15+N$15+1-$J$15)*$O$2+$E$45+$E$14+$O$3</f>
        <v>473.76326530612243</v>
      </c>
      <c r="T147" s="1310">
        <f t="shared" si="51"/>
        <v>225.81632653061223</v>
      </c>
      <c r="U147" s="451">
        <f t="shared" si="45"/>
        <v>0.66102830046419492</v>
      </c>
      <c r="V147" s="451">
        <f t="shared" si="37"/>
        <v>0.48627369229549972</v>
      </c>
      <c r="W147" s="451">
        <f t="shared" si="52"/>
        <v>0.91176317305406196</v>
      </c>
      <c r="X147" s="452">
        <f t="shared" si="38"/>
        <v>1</v>
      </c>
      <c r="Y147" s="447">
        <f t="shared" si="39"/>
        <v>9752.4414498438418</v>
      </c>
      <c r="Z147" s="447">
        <f t="shared" si="46"/>
        <v>3862.3446756794115</v>
      </c>
      <c r="AA147" s="447">
        <f>SUMPRODUCT($F$31:$F$33,$N$16:$N$18)*MIN(Q147/O147,1)*X147</f>
        <v>1759.7269451999114</v>
      </c>
      <c r="AB147" s="447">
        <v>0</v>
      </c>
      <c r="AC147" s="447">
        <v>0</v>
      </c>
      <c r="AD147" s="447">
        <f t="shared" si="49"/>
        <v>0</v>
      </c>
      <c r="AE147" s="447">
        <v>0</v>
      </c>
      <c r="AF147" s="448">
        <f t="shared" si="20"/>
        <v>15374.513070723164</v>
      </c>
      <c r="AG147" s="453">
        <f t="shared" si="40"/>
        <v>467.26382738412337</v>
      </c>
      <c r="AH147" s="454">
        <f t="shared" si="47"/>
        <v>-11.153281122345994</v>
      </c>
      <c r="AI147" s="104">
        <f t="shared" si="41"/>
        <v>-16.903281122345994</v>
      </c>
      <c r="AJ147" s="455">
        <f t="shared" si="53"/>
        <v>-2.9032811223459944</v>
      </c>
      <c r="AK147" s="456" t="str">
        <f>IF(instatk="Mut","5-5ea/2-4s/5-5r",IF(Sealfate&gt;0,"5-5ea/2-3s/5-5r","5ea/2s/5r"))</f>
        <v>5ea/2s/5r</v>
      </c>
      <c r="AL147" t="str">
        <f>IF(AND(OR(allowrupt,NOT(D147)),OR(AND(poison,allowenv),NOT(F147)),$X$2-AG147&lt;50),MAX($AL$55:$AL146)+1,"")</f>
        <v/>
      </c>
      <c r="AO147">
        <f t="shared" si="44"/>
        <v>92</v>
      </c>
      <c r="AP147" t="str">
        <f t="shared" si="54"/>
        <v/>
      </c>
      <c r="AQ147" t="b">
        <v>1</v>
      </c>
    </row>
    <row r="148" spans="2:43" ht="12.75" customHeight="1">
      <c r="B148" s="15" t="s">
        <v>3179</v>
      </c>
      <c r="C148" s="445">
        <v>1</v>
      </c>
      <c r="D148" s="64">
        <v>1</v>
      </c>
      <c r="E148" s="64">
        <v>0</v>
      </c>
      <c r="F148" s="197">
        <v>0</v>
      </c>
      <c r="G148" s="197">
        <v>1</v>
      </c>
      <c r="H148" s="446">
        <f t="shared" si="17"/>
        <v>3</v>
      </c>
      <c r="I148" s="447">
        <f>$N$15+$L$15+$N$15</f>
        <v>11.200000000000001</v>
      </c>
      <c r="J148" s="447">
        <f t="shared" si="36"/>
        <v>449.82857142857148</v>
      </c>
      <c r="K148" s="447">
        <f>SUMPRODUCT($E$45:$E$47,$N$16:$N$18)+SUMPRODUCT($E$15:$E$17,$L$16:$L$18)+SUMPRODUCT($E$31:$E$33,$N$16:$N$18)</f>
        <v>10</v>
      </c>
      <c r="L148" s="448">
        <f t="shared" si="18"/>
        <v>459.82857142857148</v>
      </c>
      <c r="M148" s="449">
        <f>SUMPRODUCT($C$45:$C$47,$N$16:$N$18)+SUMPRODUCT($C$15:$C$17,$L$16:$L$18)+SUMPRODUCT($C$31:$C$33,$N$16:$N$18)</f>
        <v>13</v>
      </c>
      <c r="N148" s="104">
        <f>SUMPRODUCT($D$15:$D$17,$L$16:$L$18)</f>
        <v>26.099999999999998</v>
      </c>
      <c r="O148" s="104">
        <f>SUMPRODUCT($D$31:$D$33,$N$16:$N$18)</f>
        <v>16</v>
      </c>
      <c r="P148" s="104">
        <f t="shared" si="50"/>
        <v>30</v>
      </c>
      <c r="Q148" s="450">
        <f t="shared" si="48"/>
        <v>35.468670333409626</v>
      </c>
      <c r="R148" s="1310">
        <f>(L$15+N$15+1-$J$15)*$O$2+$E$45+25</f>
        <v>322.2081632653061</v>
      </c>
      <c r="S148" s="1310">
        <f>(N$15+L$15+N$15+1-$J$15)*$O$2+$E$45+$E$15+$O$3</f>
        <v>508.9265306122449</v>
      </c>
      <c r="T148" s="1310">
        <f t="shared" si="51"/>
        <v>225.81632653061223</v>
      </c>
      <c r="U148" s="451">
        <f t="shared" si="45"/>
        <v>0.73586068365847834</v>
      </c>
      <c r="V148" s="451">
        <f t="shared" si="37"/>
        <v>0.45110233480979522</v>
      </c>
      <c r="W148" s="451">
        <f t="shared" si="52"/>
        <v>0.845816877768366</v>
      </c>
      <c r="X148" s="452">
        <f t="shared" si="38"/>
        <v>1</v>
      </c>
      <c r="Y148" s="447">
        <f t="shared" si="39"/>
        <v>10708.563160612846</v>
      </c>
      <c r="Z148" s="447">
        <f t="shared" si="46"/>
        <v>4634.813610815293</v>
      </c>
      <c r="AA148" s="447">
        <f>SUMPRODUCT($F$31:$F$33,$N$16:$N$18)*MIN(Q148/O148,1)*X148</f>
        <v>1759.7269451999114</v>
      </c>
      <c r="AB148" s="447">
        <v>0</v>
      </c>
      <c r="AC148" s="447">
        <v>0</v>
      </c>
      <c r="AD148" s="447">
        <f t="shared" si="49"/>
        <v>0</v>
      </c>
      <c r="AE148" s="447">
        <v>0</v>
      </c>
      <c r="AF148" s="448">
        <f t="shared" si="20"/>
        <v>17103.103716628051</v>
      </c>
      <c r="AG148" s="453">
        <f t="shared" si="40"/>
        <v>482.20312619156249</v>
      </c>
      <c r="AH148" s="454">
        <f t="shared" si="47"/>
        <v>-9.3686703334096286</v>
      </c>
      <c r="AI148" s="104">
        <f t="shared" si="41"/>
        <v>-19.468670333409626</v>
      </c>
      <c r="AJ148" s="455">
        <f t="shared" si="53"/>
        <v>-5.4686703334096265</v>
      </c>
      <c r="AK148" s="456" t="str">
        <f>IF(instatk="Mut","5-5ea/3-5s/5-5r",IF(Sealfate&gt;0,"5-5ea/3-4s/5-5r","5ea/3s/5r"))</f>
        <v>5ea/3s/5r</v>
      </c>
      <c r="AL148" t="str">
        <f>IF(AND(OR(allowrupt,NOT(D148)),OR(AND(poison,allowenv),NOT(F148)),$X$2-AG148&lt;50),MAX($AL$55:$AL147)+1,"")</f>
        <v/>
      </c>
      <c r="AO148">
        <f t="shared" si="44"/>
        <v>93</v>
      </c>
      <c r="AP148" t="str">
        <f t="shared" si="54"/>
        <v/>
      </c>
      <c r="AQ148" t="b">
        <v>1</v>
      </c>
    </row>
    <row r="149" spans="2:43" ht="12.75" customHeight="1">
      <c r="B149" s="15" t="s">
        <v>3180</v>
      </c>
      <c r="C149" s="445">
        <v>1</v>
      </c>
      <c r="D149" s="64">
        <v>1</v>
      </c>
      <c r="E149" s="64">
        <v>0</v>
      </c>
      <c r="F149" s="197">
        <v>0</v>
      </c>
      <c r="G149" s="197">
        <v>1</v>
      </c>
      <c r="H149" s="446">
        <f t="shared" ref="H149:H150" si="55">SUM(C149:G149)</f>
        <v>3</v>
      </c>
      <c r="I149" s="447">
        <f>$N$15+$M$15+$N$15</f>
        <v>12.200000000000001</v>
      </c>
      <c r="J149" s="447">
        <f t="shared" si="36"/>
        <v>489.99183673469389</v>
      </c>
      <c r="K149" s="447">
        <f>SUMPRODUCT($E$45:$E$47,$N$16:$N$18)+SUMPRODUCT($E$16:$E$18,$M$16:$M$18)+SUMPRODUCT($E$31:$E$33,$N$16:$N$18)</f>
        <v>5</v>
      </c>
      <c r="L149" s="448">
        <f t="shared" ref="L149:L150" si="56">J149+K149</f>
        <v>494.99183673469389</v>
      </c>
      <c r="M149" s="449">
        <f>SUMPRODUCT($C$45:$C$47,$N$16:$N$18)+SUMPRODUCT($C$16:$C$18,$M$16:$M$18)+SUMPRODUCT($C$31:$C$33,$N$16:$N$18)</f>
        <v>14</v>
      </c>
      <c r="N149" s="104">
        <f>SUMPRODUCT($D$16:$D$18,$M$16:$M$18)</f>
        <v>30.45</v>
      </c>
      <c r="O149" s="104">
        <f>SUMPRODUCT($D$31:$D$33,$N$16:$N$18)</f>
        <v>16</v>
      </c>
      <c r="P149" s="104">
        <f t="shared" si="50"/>
        <v>30</v>
      </c>
      <c r="Q149" s="450">
        <f t="shared" si="48"/>
        <v>38.034059544473251</v>
      </c>
      <c r="R149" s="1310">
        <f>(M$15+N$15+1-$J$15)*$O$2+$E$45+25</f>
        <v>362.37142857142857</v>
      </c>
      <c r="S149" s="1310">
        <f>(N$15+M$15+N$15+1-$J$15)*$O$2+$E$45+$E$16+$O$3</f>
        <v>544.08979591836737</v>
      </c>
      <c r="T149" s="1310">
        <f t="shared" si="51"/>
        <v>225.81632653061223</v>
      </c>
      <c r="U149" s="451">
        <f t="shared" si="45"/>
        <v>0.80059821025401701</v>
      </c>
      <c r="V149" s="451">
        <f t="shared" si="37"/>
        <v>0.42067557845859682</v>
      </c>
      <c r="W149" s="451">
        <f t="shared" si="52"/>
        <v>0.78876670960986905</v>
      </c>
      <c r="X149" s="452">
        <f t="shared" si="38"/>
        <v>1</v>
      </c>
      <c r="Y149" s="447">
        <f t="shared" si="39"/>
        <v>11664.684871381849</v>
      </c>
      <c r="Z149" s="447">
        <f t="shared" si="46"/>
        <v>5407.2825459511769</v>
      </c>
      <c r="AA149" s="447">
        <f>SUMPRODUCT($F$31:$F$33,$N$16:$N$18)*MIN(Q149/O149,1)*X149</f>
        <v>1759.7269451999114</v>
      </c>
      <c r="AB149" s="447">
        <v>0</v>
      </c>
      <c r="AC149" s="447">
        <v>0</v>
      </c>
      <c r="AD149" s="447">
        <f t="shared" si="49"/>
        <v>0</v>
      </c>
      <c r="AE149" s="447">
        <v>0</v>
      </c>
      <c r="AF149" s="448">
        <f t="shared" ref="AF149:AF150" si="57">SUM(Y149:AE149)</f>
        <v>18831.69436253294</v>
      </c>
      <c r="AG149" s="453">
        <f t="shared" si="40"/>
        <v>495.12711995712755</v>
      </c>
      <c r="AH149" s="454">
        <f t="shared" si="47"/>
        <v>-7.5840595444732521</v>
      </c>
      <c r="AI149" s="104">
        <f t="shared" si="41"/>
        <v>-22.034059544473251</v>
      </c>
      <c r="AJ149" s="455">
        <f t="shared" si="53"/>
        <v>-8.0340595444732514</v>
      </c>
      <c r="AK149" s="456" t="str">
        <f>IF(instatk="Mut","5-5ea/4-5s/5-5r",IF(Sealfate&gt;0,"5-5ea/4-5s/5-5r","5ea/4s/5r"))</f>
        <v>5ea/4s/5r</v>
      </c>
      <c r="AL149" t="str">
        <f>IF(AND(OR(allowrupt,NOT(D149)),OR(AND(poison,allowenv),NOT(F149)),$X$2-AG149&lt;50),MAX($AL$55:$AL148)+1,"")</f>
        <v/>
      </c>
      <c r="AO149">
        <f t="shared" si="44"/>
        <v>94</v>
      </c>
      <c r="AP149" t="str">
        <f t="shared" si="54"/>
        <v/>
      </c>
      <c r="AQ149" t="b">
        <v>1</v>
      </c>
    </row>
    <row r="150" spans="2:43" ht="12.75" customHeight="1">
      <c r="B150" s="15" t="s">
        <v>3181</v>
      </c>
      <c r="C150" s="445">
        <v>1</v>
      </c>
      <c r="D150" s="64">
        <v>1</v>
      </c>
      <c r="E150" s="64">
        <v>0</v>
      </c>
      <c r="F150" s="197">
        <v>0</v>
      </c>
      <c r="G150" s="197">
        <v>1</v>
      </c>
      <c r="H150" s="446">
        <f t="shared" si="55"/>
        <v>3</v>
      </c>
      <c r="I150" s="447">
        <f>$N$15+$N$15+$N$15</f>
        <v>13.200000000000001</v>
      </c>
      <c r="J150" s="447">
        <f t="shared" si="36"/>
        <v>530.15510204081636</v>
      </c>
      <c r="K150" s="447">
        <f>SUMPRODUCT($E$45:$E$47,$N$16:$N$18)+SUMPRODUCT($E$17:$E$19,$N$16:$N$18)+SUMPRODUCT($E$31:$E$33,$N$16:$N$18)</f>
        <v>0</v>
      </c>
      <c r="L150" s="448">
        <f t="shared" si="56"/>
        <v>530.15510204081636</v>
      </c>
      <c r="M150" s="449">
        <f>SUMPRODUCT($C$45:$C$47,$N$16:$N$18)+SUMPRODUCT($C$17:$C$19,$N$16:$N$18)+SUMPRODUCT($C$31:$C$33,$N$16:$N$18)</f>
        <v>15</v>
      </c>
      <c r="N150" s="104">
        <f>SUMPRODUCT($D$17:$D$19,$N$16:$N$18)</f>
        <v>34.799999999999997</v>
      </c>
      <c r="O150" s="104">
        <f>SUMPRODUCT($D$31:$D$33,$N$16:$N$18)</f>
        <v>16</v>
      </c>
      <c r="P150" s="104">
        <f t="shared" si="50"/>
        <v>30</v>
      </c>
      <c r="Q150" s="450">
        <f t="shared" si="48"/>
        <v>40.599448755536876</v>
      </c>
      <c r="R150" s="1310">
        <f>(N$15+N$15+1-$J$15)*$O$2+$E$45+25</f>
        <v>402.53469387755104</v>
      </c>
      <c r="S150" s="1310">
        <f>(N$15+N$15+N$15+1-$J$15)*$O$2+$E$45+$E$17+$O$3</f>
        <v>579.25306122448978</v>
      </c>
      <c r="T150" s="1310">
        <f t="shared" si="51"/>
        <v>225.81632653061223</v>
      </c>
      <c r="U150" s="451">
        <f t="shared" si="45"/>
        <v>0.85715449511501163</v>
      </c>
      <c r="V150" s="451">
        <f t="shared" si="37"/>
        <v>0.39409402074253408</v>
      </c>
      <c r="W150" s="451">
        <f t="shared" si="52"/>
        <v>0.73892628889225143</v>
      </c>
      <c r="X150" s="452">
        <f t="shared" si="38"/>
        <v>1</v>
      </c>
      <c r="Y150" s="447">
        <f t="shared" si="39"/>
        <v>12620.806582150854</v>
      </c>
      <c r="Z150" s="447">
        <f t="shared" si="46"/>
        <v>6179.7514810870571</v>
      </c>
      <c r="AA150" s="447">
        <f>SUMPRODUCT($F$31:$F$33,$N$16:$N$18)*MIN(Q150/O150,1)*X150</f>
        <v>1759.7269451999114</v>
      </c>
      <c r="AB150" s="447">
        <v>0</v>
      </c>
      <c r="AC150" s="447">
        <v>0</v>
      </c>
      <c r="AD150" s="447">
        <f t="shared" si="49"/>
        <v>0</v>
      </c>
      <c r="AE150" s="447">
        <v>0</v>
      </c>
      <c r="AF150" s="448">
        <f t="shared" si="57"/>
        <v>20560.285008437822</v>
      </c>
      <c r="AG150" s="453">
        <f t="shared" si="40"/>
        <v>506.41783666173177</v>
      </c>
      <c r="AH150" s="454">
        <f t="shared" si="47"/>
        <v>-5.7994487555368792</v>
      </c>
      <c r="AI150" s="104">
        <f t="shared" si="41"/>
        <v>-24.599448755536876</v>
      </c>
      <c r="AJ150" s="455">
        <f t="shared" si="53"/>
        <v>-10.599448755536876</v>
      </c>
      <c r="AK150" s="456" t="str">
        <f>IF(instatk="Mut","5-5ea/5-5s/5-5r",IF(Sealfate&gt;0,"5-5ea/5-5s/5-5r","5ea/5s/5r"))</f>
        <v>5ea/5s/5r</v>
      </c>
      <c r="AL150" t="str">
        <f>IF(AND(OR(allowrupt,NOT(D150)),OR(AND(poison,allowenv),NOT(F150)),$X$2-AG150&lt;50),MAX($AL$55:$AL149)+1,"")</f>
        <v/>
      </c>
      <c r="AO150">
        <f t="shared" si="44"/>
        <v>95</v>
      </c>
      <c r="AP150" t="str">
        <f t="shared" si="54"/>
        <v/>
      </c>
      <c r="AQ150" t="b">
        <v>1</v>
      </c>
    </row>
    <row r="151" spans="2:43" ht="12.75" customHeight="1">
      <c r="B151" s="465" t="s">
        <v>1772</v>
      </c>
      <c r="C151" s="466"/>
      <c r="D151" s="467"/>
      <c r="E151" s="467"/>
      <c r="F151" s="467"/>
      <c r="G151" s="467"/>
      <c r="H151" s="468"/>
      <c r="I151" s="469"/>
      <c r="J151" s="469"/>
      <c r="K151" s="469"/>
      <c r="L151" s="470"/>
      <c r="M151" s="471"/>
      <c r="N151" s="472"/>
      <c r="O151" s="472"/>
      <c r="P151" s="472"/>
      <c r="Q151" s="473"/>
      <c r="R151" s="1311"/>
      <c r="S151" s="1311"/>
      <c r="T151" s="1311"/>
      <c r="U151" s="474"/>
      <c r="V151" s="474"/>
      <c r="W151" s="474"/>
      <c r="X151" s="475"/>
      <c r="Y151" s="469"/>
      <c r="Z151" s="469"/>
      <c r="AA151" s="469"/>
      <c r="AB151" s="469"/>
      <c r="AC151" s="469"/>
      <c r="AD151" s="469"/>
      <c r="AE151" s="469"/>
      <c r="AF151" s="470"/>
      <c r="AG151" s="476"/>
      <c r="AH151" s="477"/>
      <c r="AI151" s="472"/>
      <c r="AJ151" s="478"/>
      <c r="AK151" s="444"/>
    </row>
    <row r="152" spans="2:43" ht="12.75" customHeight="1">
      <c r="B152" s="464" t="s">
        <v>1773</v>
      </c>
      <c r="C152" s="445"/>
      <c r="D152" s="64"/>
      <c r="E152" s="64"/>
      <c r="F152" s="64"/>
      <c r="G152" s="64"/>
      <c r="H152" s="446"/>
      <c r="I152" s="447"/>
      <c r="J152" s="447"/>
      <c r="K152" s="447"/>
      <c r="L152" s="448"/>
      <c r="M152" s="449"/>
      <c r="N152" s="104"/>
      <c r="O152" s="104"/>
      <c r="P152" s="104"/>
      <c r="Q152" s="450"/>
      <c r="R152" s="1310"/>
      <c r="S152" s="1310"/>
      <c r="T152" s="1310"/>
      <c r="U152" s="451"/>
      <c r="V152" s="451"/>
      <c r="W152" s="451"/>
      <c r="X152" s="452"/>
      <c r="Y152" s="447"/>
      <c r="Z152" s="447"/>
      <c r="AA152" s="447"/>
      <c r="AB152" s="447"/>
      <c r="AC152" s="447"/>
      <c r="AD152" s="447"/>
      <c r="AE152" s="447"/>
      <c r="AF152" s="448"/>
      <c r="AG152" s="453"/>
      <c r="AH152" s="454"/>
      <c r="AI152" s="104"/>
      <c r="AJ152" s="455"/>
      <c r="AK152" s="456"/>
    </row>
    <row r="153" spans="2:43" ht="12.75" customHeight="1">
      <c r="B153" s="464" t="s">
        <v>1774</v>
      </c>
      <c r="C153" s="445"/>
      <c r="D153" s="64"/>
      <c r="E153" s="64"/>
      <c r="F153" s="64"/>
      <c r="G153" s="64"/>
      <c r="H153" s="446"/>
      <c r="I153" s="447"/>
      <c r="J153" s="447"/>
      <c r="K153" s="447"/>
      <c r="L153" s="448"/>
      <c r="M153" s="449"/>
      <c r="N153" s="104"/>
      <c r="O153" s="104"/>
      <c r="P153" s="104"/>
      <c r="Q153" s="450"/>
      <c r="R153" s="1310"/>
      <c r="S153" s="1310"/>
      <c r="T153" s="1310"/>
      <c r="U153" s="451"/>
      <c r="V153" s="451"/>
      <c r="W153" s="451"/>
      <c r="X153" s="452"/>
      <c r="Y153" s="447"/>
      <c r="Z153" s="447"/>
      <c r="AA153" s="447"/>
      <c r="AB153" s="447"/>
      <c r="AC153" s="447"/>
      <c r="AD153" s="447"/>
      <c r="AE153" s="447"/>
      <c r="AF153" s="448"/>
      <c r="AG153" s="453"/>
      <c r="AH153" s="454"/>
      <c r="AI153" s="104"/>
      <c r="AJ153" s="455"/>
      <c r="AK153" s="456"/>
    </row>
    <row r="154" spans="2:43" ht="12.75" customHeight="1">
      <c r="B154" s="464" t="s">
        <v>1775</v>
      </c>
      <c r="C154" s="445"/>
      <c r="D154" s="64"/>
      <c r="E154" s="64"/>
      <c r="F154" s="64"/>
      <c r="G154" s="64"/>
      <c r="H154" s="446"/>
      <c r="I154" s="447"/>
      <c r="J154" s="447"/>
      <c r="K154" s="447"/>
      <c r="L154" s="448"/>
      <c r="M154" s="449"/>
      <c r="N154" s="104"/>
      <c r="O154" s="104"/>
      <c r="P154" s="104"/>
      <c r="Q154" s="450"/>
      <c r="R154" s="1310"/>
      <c r="S154" s="1310"/>
      <c r="T154" s="1310"/>
      <c r="U154" s="451"/>
      <c r="V154" s="451"/>
      <c r="W154" s="451"/>
      <c r="X154" s="452"/>
      <c r="Y154" s="447"/>
      <c r="Z154" s="447"/>
      <c r="AA154" s="447"/>
      <c r="AB154" s="447"/>
      <c r="AC154" s="447"/>
      <c r="AD154" s="447"/>
      <c r="AE154" s="447"/>
      <c r="AF154" s="448"/>
      <c r="AG154" s="453"/>
      <c r="AH154" s="454"/>
      <c r="AI154" s="104"/>
      <c r="AJ154" s="455"/>
      <c r="AK154" s="456"/>
    </row>
    <row r="155" spans="2:43" ht="12.75" customHeight="1">
      <c r="B155" s="464" t="s">
        <v>1776</v>
      </c>
      <c r="C155" s="445"/>
      <c r="D155" s="64"/>
      <c r="E155" s="64"/>
      <c r="F155" s="64"/>
      <c r="G155" s="64"/>
      <c r="H155" s="446"/>
      <c r="I155" s="447"/>
      <c r="J155" s="447"/>
      <c r="K155" s="447"/>
      <c r="L155" s="448"/>
      <c r="M155" s="449"/>
      <c r="N155" s="104"/>
      <c r="O155" s="104"/>
      <c r="P155" s="104"/>
      <c r="Q155" s="450"/>
      <c r="R155" s="1310"/>
      <c r="S155" s="1310"/>
      <c r="T155" s="1310"/>
      <c r="U155" s="451"/>
      <c r="V155" s="451"/>
      <c r="W155" s="451"/>
      <c r="X155" s="452"/>
      <c r="Y155" s="447"/>
      <c r="Z155" s="447"/>
      <c r="AA155" s="447"/>
      <c r="AB155" s="447"/>
      <c r="AC155" s="447"/>
      <c r="AD155" s="447"/>
      <c r="AE155" s="447"/>
      <c r="AF155" s="448"/>
      <c r="AG155" s="453"/>
      <c r="AH155" s="454"/>
      <c r="AI155" s="104"/>
      <c r="AJ155" s="455"/>
      <c r="AK155" s="456"/>
    </row>
    <row r="156" spans="2:43" ht="12.75" customHeight="1">
      <c r="B156" s="464" t="s">
        <v>1777</v>
      </c>
      <c r="C156" s="445"/>
      <c r="D156" s="64"/>
      <c r="E156" s="64"/>
      <c r="F156" s="64"/>
      <c r="G156" s="64"/>
      <c r="H156" s="446"/>
      <c r="I156" s="447"/>
      <c r="J156" s="447"/>
      <c r="K156" s="447"/>
      <c r="L156" s="448"/>
      <c r="M156" s="449"/>
      <c r="N156" s="104"/>
      <c r="O156" s="104"/>
      <c r="P156" s="104"/>
      <c r="Q156" s="450"/>
      <c r="R156" s="1310"/>
      <c r="S156" s="1310"/>
      <c r="T156" s="1310"/>
      <c r="U156" s="451"/>
      <c r="V156" s="451"/>
      <c r="W156" s="451"/>
      <c r="X156" s="452"/>
      <c r="Y156" s="447"/>
      <c r="Z156" s="447"/>
      <c r="AA156" s="447"/>
      <c r="AB156" s="447"/>
      <c r="AC156" s="447"/>
      <c r="AD156" s="447"/>
      <c r="AE156" s="447"/>
      <c r="AF156" s="448"/>
      <c r="AG156" s="453"/>
      <c r="AH156" s="454"/>
      <c r="AI156" s="104"/>
      <c r="AJ156" s="455"/>
      <c r="AK156" s="456"/>
    </row>
    <row r="157" spans="2:43" ht="12.75" customHeight="1">
      <c r="B157" s="464" t="s">
        <v>1778</v>
      </c>
      <c r="C157" s="445"/>
      <c r="D157" s="64"/>
      <c r="E157" s="64"/>
      <c r="F157" s="64"/>
      <c r="G157" s="64"/>
      <c r="H157" s="446"/>
      <c r="I157" s="447"/>
      <c r="J157" s="447"/>
      <c r="K157" s="447"/>
      <c r="L157" s="448"/>
      <c r="M157" s="449"/>
      <c r="N157" s="104"/>
      <c r="O157" s="104"/>
      <c r="P157" s="104"/>
      <c r="Q157" s="450"/>
      <c r="R157" s="1310"/>
      <c r="S157" s="1310"/>
      <c r="T157" s="1310"/>
      <c r="U157" s="451"/>
      <c r="V157" s="451"/>
      <c r="W157" s="451"/>
      <c r="X157" s="452"/>
      <c r="Y157" s="447"/>
      <c r="Z157" s="447"/>
      <c r="AA157" s="447"/>
      <c r="AB157" s="447"/>
      <c r="AC157" s="447"/>
      <c r="AD157" s="447"/>
      <c r="AE157" s="447"/>
      <c r="AF157" s="448"/>
      <c r="AG157" s="453"/>
      <c r="AH157" s="454"/>
      <c r="AI157" s="104"/>
      <c r="AJ157" s="455"/>
      <c r="AK157" s="456"/>
    </row>
    <row r="158" spans="2:43" ht="12.75" customHeight="1">
      <c r="B158" s="464" t="s">
        <v>1779</v>
      </c>
      <c r="C158" s="445"/>
      <c r="D158" s="64"/>
      <c r="E158" s="64"/>
      <c r="F158" s="64"/>
      <c r="G158" s="64"/>
      <c r="H158" s="446"/>
      <c r="I158" s="447"/>
      <c r="J158" s="447"/>
      <c r="K158" s="447"/>
      <c r="L158" s="448"/>
      <c r="M158" s="449"/>
      <c r="N158" s="104"/>
      <c r="O158" s="104"/>
      <c r="P158" s="104"/>
      <c r="Q158" s="450"/>
      <c r="R158" s="1310"/>
      <c r="S158" s="1310"/>
      <c r="T158" s="1310"/>
      <c r="U158" s="451"/>
      <c r="V158" s="451"/>
      <c r="W158" s="451"/>
      <c r="X158" s="452"/>
      <c r="Y158" s="447"/>
      <c r="Z158" s="447"/>
      <c r="AA158" s="447"/>
      <c r="AB158" s="447"/>
      <c r="AC158" s="447"/>
      <c r="AD158" s="447"/>
      <c r="AE158" s="447"/>
      <c r="AF158" s="448"/>
      <c r="AG158" s="453"/>
      <c r="AH158" s="454"/>
      <c r="AI158" s="104"/>
      <c r="AJ158" s="455"/>
      <c r="AK158" s="456"/>
    </row>
    <row r="159" spans="2:43" ht="12.75" customHeight="1">
      <c r="B159" s="464" t="s">
        <v>1780</v>
      </c>
      <c r="C159" s="445"/>
      <c r="D159" s="64"/>
      <c r="E159" s="64"/>
      <c r="F159" s="64"/>
      <c r="G159" s="64"/>
      <c r="H159" s="446"/>
      <c r="I159" s="447"/>
      <c r="J159" s="447"/>
      <c r="K159" s="447"/>
      <c r="L159" s="448"/>
      <c r="M159" s="449"/>
      <c r="N159" s="104"/>
      <c r="O159" s="104"/>
      <c r="P159" s="104"/>
      <c r="Q159" s="450"/>
      <c r="R159" s="1310"/>
      <c r="S159" s="1310"/>
      <c r="T159" s="1310"/>
      <c r="U159" s="451"/>
      <c r="V159" s="451"/>
      <c r="W159" s="451"/>
      <c r="X159" s="452"/>
      <c r="Y159" s="447"/>
      <c r="Z159" s="447"/>
      <c r="AA159" s="447"/>
      <c r="AB159" s="447"/>
      <c r="AC159" s="447"/>
      <c r="AD159" s="447"/>
      <c r="AE159" s="447"/>
      <c r="AF159" s="448"/>
      <c r="AG159" s="453"/>
      <c r="AH159" s="454"/>
      <c r="AI159" s="104"/>
      <c r="AJ159" s="455"/>
      <c r="AK159" s="456"/>
    </row>
    <row r="160" spans="2:43" ht="12.75" customHeight="1">
      <c r="B160" s="464" t="s">
        <v>1781</v>
      </c>
      <c r="C160" s="445"/>
      <c r="D160" s="64"/>
      <c r="E160" s="64"/>
      <c r="F160" s="64"/>
      <c r="G160" s="64"/>
      <c r="H160" s="446"/>
      <c r="I160" s="447"/>
      <c r="J160" s="447"/>
      <c r="K160" s="447"/>
      <c r="L160" s="448"/>
      <c r="M160" s="449"/>
      <c r="N160" s="104"/>
      <c r="O160" s="104"/>
      <c r="P160" s="104"/>
      <c r="Q160" s="450"/>
      <c r="R160" s="1310"/>
      <c r="S160" s="1310"/>
      <c r="T160" s="1310"/>
      <c r="U160" s="451"/>
      <c r="V160" s="451"/>
      <c r="W160" s="451"/>
      <c r="X160" s="452"/>
      <c r="Y160" s="447"/>
      <c r="Z160" s="447"/>
      <c r="AA160" s="447"/>
      <c r="AB160" s="447"/>
      <c r="AC160" s="447"/>
      <c r="AD160" s="447"/>
      <c r="AE160" s="447"/>
      <c r="AF160" s="448"/>
      <c r="AG160" s="453"/>
      <c r="AH160" s="454"/>
      <c r="AI160" s="104"/>
      <c r="AJ160" s="455"/>
      <c r="AK160" s="456"/>
    </row>
    <row r="161" spans="2:37" ht="12.75" customHeight="1">
      <c r="B161" s="464" t="s">
        <v>1782</v>
      </c>
      <c r="C161" s="445"/>
      <c r="D161" s="64"/>
      <c r="E161" s="64"/>
      <c r="F161" s="64"/>
      <c r="G161" s="64"/>
      <c r="H161" s="446"/>
      <c r="I161" s="447"/>
      <c r="J161" s="447"/>
      <c r="K161" s="447"/>
      <c r="L161" s="448"/>
      <c r="M161" s="449"/>
      <c r="N161" s="104"/>
      <c r="O161" s="104"/>
      <c r="P161" s="104"/>
      <c r="Q161" s="450"/>
      <c r="R161" s="1310"/>
      <c r="S161" s="1310"/>
      <c r="T161" s="1310"/>
      <c r="U161" s="451"/>
      <c r="V161" s="451"/>
      <c r="W161" s="451"/>
      <c r="X161" s="452"/>
      <c r="Y161" s="447"/>
      <c r="Z161" s="447"/>
      <c r="AA161" s="447"/>
      <c r="AB161" s="447"/>
      <c r="AC161" s="447"/>
      <c r="AD161" s="447"/>
      <c r="AE161" s="447"/>
      <c r="AF161" s="448"/>
      <c r="AG161" s="453"/>
      <c r="AH161" s="454"/>
      <c r="AI161" s="104"/>
      <c r="AJ161" s="455"/>
      <c r="AK161" s="456"/>
    </row>
    <row r="162" spans="2:37" ht="12.75" customHeight="1">
      <c r="B162" s="464" t="s">
        <v>1783</v>
      </c>
      <c r="C162" s="445"/>
      <c r="D162" s="64"/>
      <c r="E162" s="64"/>
      <c r="F162" s="64"/>
      <c r="G162" s="64"/>
      <c r="H162" s="446"/>
      <c r="I162" s="447"/>
      <c r="J162" s="447"/>
      <c r="K162" s="447"/>
      <c r="L162" s="448"/>
      <c r="M162" s="449"/>
      <c r="N162" s="104"/>
      <c r="O162" s="104"/>
      <c r="P162" s="104"/>
      <c r="Q162" s="450"/>
      <c r="R162" s="1310"/>
      <c r="S162" s="1310"/>
      <c r="T162" s="1310"/>
      <c r="U162" s="451"/>
      <c r="V162" s="451"/>
      <c r="W162" s="451"/>
      <c r="X162" s="452"/>
      <c r="Y162" s="447"/>
      <c r="Z162" s="447"/>
      <c r="AA162" s="447"/>
      <c r="AB162" s="447"/>
      <c r="AC162" s="447"/>
      <c r="AD162" s="447"/>
      <c r="AE162" s="447"/>
      <c r="AF162" s="448"/>
      <c r="AG162" s="453"/>
      <c r="AH162" s="454"/>
      <c r="AI162" s="104"/>
      <c r="AJ162" s="455"/>
      <c r="AK162" s="456"/>
    </row>
    <row r="163" spans="2:37" ht="12.75" customHeight="1">
      <c r="B163" s="464" t="s">
        <v>1784</v>
      </c>
      <c r="C163" s="445"/>
      <c r="D163" s="64"/>
      <c r="E163" s="64"/>
      <c r="F163" s="64"/>
      <c r="G163" s="64"/>
      <c r="H163" s="446"/>
      <c r="I163" s="447"/>
      <c r="J163" s="447"/>
      <c r="K163" s="447"/>
      <c r="L163" s="448"/>
      <c r="M163" s="449"/>
      <c r="N163" s="104"/>
      <c r="O163" s="104"/>
      <c r="P163" s="104"/>
      <c r="Q163" s="450"/>
      <c r="R163" s="1310"/>
      <c r="S163" s="1310"/>
      <c r="T163" s="1310"/>
      <c r="U163" s="451"/>
      <c r="V163" s="451"/>
      <c r="W163" s="451"/>
      <c r="X163" s="452"/>
      <c r="Y163" s="447"/>
      <c r="Z163" s="447"/>
      <c r="AA163" s="447"/>
      <c r="AB163" s="447"/>
      <c r="AC163" s="447"/>
      <c r="AD163" s="447"/>
      <c r="AE163" s="447"/>
      <c r="AF163" s="448"/>
      <c r="AG163" s="453"/>
      <c r="AH163" s="454"/>
      <c r="AI163" s="104"/>
      <c r="AJ163" s="455"/>
      <c r="AK163" s="456"/>
    </row>
    <row r="164" spans="2:37" ht="12.75" customHeight="1">
      <c r="B164" s="464" t="s">
        <v>1785</v>
      </c>
      <c r="C164" s="445"/>
      <c r="D164" s="64"/>
      <c r="E164" s="64"/>
      <c r="F164" s="64"/>
      <c r="G164" s="64"/>
      <c r="H164" s="446"/>
      <c r="I164" s="447"/>
      <c r="J164" s="447"/>
      <c r="K164" s="447"/>
      <c r="L164" s="448"/>
      <c r="M164" s="449"/>
      <c r="N164" s="104"/>
      <c r="O164" s="104"/>
      <c r="P164" s="104"/>
      <c r="Q164" s="450"/>
      <c r="R164" s="1310"/>
      <c r="S164" s="1310"/>
      <c r="T164" s="1310"/>
      <c r="U164" s="451"/>
      <c r="V164" s="451"/>
      <c r="W164" s="451"/>
      <c r="X164" s="452"/>
      <c r="Y164" s="447"/>
      <c r="Z164" s="447"/>
      <c r="AA164" s="447"/>
      <c r="AB164" s="447"/>
      <c r="AC164" s="447"/>
      <c r="AD164" s="447"/>
      <c r="AE164" s="447"/>
      <c r="AF164" s="448"/>
      <c r="AG164" s="453"/>
      <c r="AH164" s="454"/>
      <c r="AI164" s="104"/>
      <c r="AJ164" s="455"/>
      <c r="AK164" s="456"/>
    </row>
    <row r="165" spans="2:37" ht="12.75" customHeight="1">
      <c r="B165" s="464" t="s">
        <v>1786</v>
      </c>
      <c r="C165" s="445"/>
      <c r="D165" s="64"/>
      <c r="E165" s="64"/>
      <c r="F165" s="64"/>
      <c r="G165" s="64"/>
      <c r="H165" s="446"/>
      <c r="I165" s="447"/>
      <c r="J165" s="447"/>
      <c r="K165" s="447"/>
      <c r="L165" s="448"/>
      <c r="M165" s="449"/>
      <c r="N165" s="104"/>
      <c r="O165" s="104"/>
      <c r="P165" s="104"/>
      <c r="Q165" s="450"/>
      <c r="R165" s="1310"/>
      <c r="S165" s="1310"/>
      <c r="T165" s="1310"/>
      <c r="U165" s="451"/>
      <c r="V165" s="451"/>
      <c r="W165" s="451"/>
      <c r="X165" s="452"/>
      <c r="Y165" s="447"/>
      <c r="Z165" s="447"/>
      <c r="AA165" s="447"/>
      <c r="AB165" s="447"/>
      <c r="AC165" s="447"/>
      <c r="AD165" s="447"/>
      <c r="AE165" s="447"/>
      <c r="AF165" s="448"/>
      <c r="AG165" s="453"/>
      <c r="AH165" s="454"/>
      <c r="AI165" s="104"/>
      <c r="AJ165" s="455"/>
      <c r="AK165" s="456"/>
    </row>
    <row r="166" spans="2:37" ht="12.75" customHeight="1">
      <c r="B166" s="464" t="s">
        <v>1787</v>
      </c>
      <c r="C166" s="445"/>
      <c r="D166" s="64"/>
      <c r="E166" s="64"/>
      <c r="F166" s="64"/>
      <c r="G166" s="64"/>
      <c r="H166" s="446"/>
      <c r="I166" s="447"/>
      <c r="J166" s="447"/>
      <c r="K166" s="447"/>
      <c r="L166" s="448"/>
      <c r="M166" s="449"/>
      <c r="N166" s="104"/>
      <c r="O166" s="104"/>
      <c r="P166" s="104"/>
      <c r="Q166" s="450"/>
      <c r="R166" s="1310"/>
      <c r="S166" s="1310"/>
      <c r="T166" s="1310"/>
      <c r="U166" s="451"/>
      <c r="V166" s="451"/>
      <c r="W166" s="451"/>
      <c r="X166" s="452"/>
      <c r="Y166" s="447"/>
      <c r="Z166" s="447"/>
      <c r="AA166" s="447"/>
      <c r="AB166" s="447"/>
      <c r="AC166" s="447"/>
      <c r="AD166" s="447"/>
      <c r="AE166" s="447"/>
      <c r="AF166" s="448"/>
      <c r="AG166" s="453"/>
      <c r="AH166" s="454"/>
      <c r="AI166" s="104"/>
      <c r="AJ166" s="455"/>
      <c r="AK166" s="456"/>
    </row>
    <row r="167" spans="2:37" ht="12.75" customHeight="1">
      <c r="B167" s="464" t="s">
        <v>1788</v>
      </c>
      <c r="C167" s="445"/>
      <c r="D167" s="64"/>
      <c r="E167" s="64"/>
      <c r="F167" s="64"/>
      <c r="G167" s="64"/>
      <c r="H167" s="446"/>
      <c r="I167" s="447"/>
      <c r="J167" s="447"/>
      <c r="K167" s="447"/>
      <c r="L167" s="448"/>
      <c r="M167" s="449"/>
      <c r="N167" s="104"/>
      <c r="O167" s="104"/>
      <c r="P167" s="104"/>
      <c r="Q167" s="450"/>
      <c r="R167" s="1310"/>
      <c r="S167" s="1310"/>
      <c r="T167" s="1310"/>
      <c r="U167" s="451"/>
      <c r="V167" s="451"/>
      <c r="W167" s="451"/>
      <c r="X167" s="452"/>
      <c r="Y167" s="447"/>
      <c r="Z167" s="447"/>
      <c r="AA167" s="447"/>
      <c r="AB167" s="447"/>
      <c r="AC167" s="447"/>
      <c r="AD167" s="447"/>
      <c r="AE167" s="447"/>
      <c r="AF167" s="448"/>
      <c r="AG167" s="453"/>
      <c r="AH167" s="454"/>
      <c r="AI167" s="104"/>
      <c r="AJ167" s="455"/>
      <c r="AK167" s="456"/>
    </row>
    <row r="168" spans="2:37" ht="12.75" customHeight="1">
      <c r="B168" s="464" t="s">
        <v>1789</v>
      </c>
      <c r="C168" s="445"/>
      <c r="D168" s="64"/>
      <c r="E168" s="64"/>
      <c r="F168" s="64"/>
      <c r="G168" s="64"/>
      <c r="H168" s="446"/>
      <c r="I168" s="447"/>
      <c r="J168" s="447"/>
      <c r="K168" s="447"/>
      <c r="L168" s="448"/>
      <c r="M168" s="449"/>
      <c r="N168" s="104"/>
      <c r="O168" s="104"/>
      <c r="P168" s="104"/>
      <c r="Q168" s="450"/>
      <c r="R168" s="1310"/>
      <c r="S168" s="1310"/>
      <c r="T168" s="1310"/>
      <c r="U168" s="451"/>
      <c r="V168" s="451"/>
      <c r="W168" s="451"/>
      <c r="X168" s="452"/>
      <c r="Y168" s="447"/>
      <c r="Z168" s="447"/>
      <c r="AA168" s="447"/>
      <c r="AB168" s="447"/>
      <c r="AC168" s="447"/>
      <c r="AD168" s="447"/>
      <c r="AE168" s="447"/>
      <c r="AF168" s="448"/>
      <c r="AG168" s="453"/>
      <c r="AH168" s="454"/>
      <c r="AI168" s="104"/>
      <c r="AJ168" s="455"/>
      <c r="AK168" s="456"/>
    </row>
    <row r="169" spans="2:37" ht="12.75" customHeight="1">
      <c r="B169" s="464" t="s">
        <v>1790</v>
      </c>
      <c r="C169" s="445"/>
      <c r="D169" s="64"/>
      <c r="E169" s="64"/>
      <c r="F169" s="64"/>
      <c r="G169" s="64"/>
      <c r="H169" s="446"/>
      <c r="I169" s="447"/>
      <c r="J169" s="447"/>
      <c r="K169" s="447"/>
      <c r="L169" s="448"/>
      <c r="M169" s="449"/>
      <c r="N169" s="104"/>
      <c r="O169" s="104"/>
      <c r="P169" s="104"/>
      <c r="Q169" s="450"/>
      <c r="R169" s="1310"/>
      <c r="S169" s="1310"/>
      <c r="T169" s="1310"/>
      <c r="U169" s="451"/>
      <c r="V169" s="451"/>
      <c r="W169" s="451"/>
      <c r="X169" s="452"/>
      <c r="Y169" s="447"/>
      <c r="Z169" s="447"/>
      <c r="AA169" s="447"/>
      <c r="AB169" s="447"/>
      <c r="AC169" s="447"/>
      <c r="AD169" s="447"/>
      <c r="AE169" s="447"/>
      <c r="AF169" s="448"/>
      <c r="AG169" s="453"/>
      <c r="AH169" s="454"/>
      <c r="AI169" s="104"/>
      <c r="AJ169" s="455"/>
      <c r="AK169" s="456"/>
    </row>
    <row r="170" spans="2:37" ht="12.75" customHeight="1">
      <c r="B170" s="464" t="s">
        <v>1791</v>
      </c>
      <c r="C170" s="445"/>
      <c r="D170" s="64"/>
      <c r="E170" s="64"/>
      <c r="F170" s="64"/>
      <c r="G170" s="64"/>
      <c r="H170" s="446"/>
      <c r="I170" s="447"/>
      <c r="J170" s="447"/>
      <c r="K170" s="447"/>
      <c r="L170" s="448"/>
      <c r="M170" s="449"/>
      <c r="N170" s="104"/>
      <c r="O170" s="104"/>
      <c r="P170" s="104"/>
      <c r="Q170" s="450"/>
      <c r="R170" s="1310"/>
      <c r="S170" s="1310"/>
      <c r="T170" s="1310"/>
      <c r="U170" s="451"/>
      <c r="V170" s="451"/>
      <c r="W170" s="451"/>
      <c r="X170" s="452"/>
      <c r="Y170" s="447"/>
      <c r="Z170" s="447"/>
      <c r="AA170" s="447"/>
      <c r="AB170" s="447"/>
      <c r="AC170" s="447"/>
      <c r="AD170" s="447"/>
      <c r="AE170" s="447"/>
      <c r="AF170" s="448"/>
      <c r="AG170" s="453"/>
      <c r="AH170" s="454"/>
      <c r="AI170" s="104"/>
      <c r="AJ170" s="455"/>
      <c r="AK170" s="456"/>
    </row>
    <row r="171" spans="2:37" ht="12.75" customHeight="1">
      <c r="B171" s="464" t="s">
        <v>1792</v>
      </c>
      <c r="C171" s="445"/>
      <c r="D171" s="64"/>
      <c r="E171" s="64"/>
      <c r="F171" s="64"/>
      <c r="G171" s="64"/>
      <c r="H171" s="446"/>
      <c r="I171" s="447"/>
      <c r="J171" s="447"/>
      <c r="K171" s="447"/>
      <c r="L171" s="448"/>
      <c r="M171" s="449"/>
      <c r="N171" s="104"/>
      <c r="O171" s="104"/>
      <c r="P171" s="104"/>
      <c r="Q171" s="450"/>
      <c r="R171" s="1310"/>
      <c r="S171" s="1310"/>
      <c r="T171" s="1310"/>
      <c r="U171" s="451"/>
      <c r="V171" s="451"/>
      <c r="W171" s="451"/>
      <c r="X171" s="452"/>
      <c r="Y171" s="447"/>
      <c r="Z171" s="447"/>
      <c r="AA171" s="447"/>
      <c r="AB171" s="447"/>
      <c r="AC171" s="447"/>
      <c r="AD171" s="447"/>
      <c r="AE171" s="447"/>
      <c r="AF171" s="448"/>
      <c r="AG171" s="453"/>
      <c r="AH171" s="454"/>
      <c r="AI171" s="104"/>
      <c r="AJ171" s="455"/>
      <c r="AK171" s="456"/>
    </row>
    <row r="172" spans="2:37" ht="12.75" customHeight="1">
      <c r="B172" s="464" t="s">
        <v>1793</v>
      </c>
      <c r="C172" s="445"/>
      <c r="D172" s="64"/>
      <c r="E172" s="64"/>
      <c r="F172" s="64"/>
      <c r="G172" s="64"/>
      <c r="H172" s="446"/>
      <c r="I172" s="447"/>
      <c r="J172" s="447"/>
      <c r="K172" s="447"/>
      <c r="L172" s="448"/>
      <c r="M172" s="449"/>
      <c r="N172" s="104"/>
      <c r="O172" s="104"/>
      <c r="P172" s="104"/>
      <c r="Q172" s="450"/>
      <c r="R172" s="1310"/>
      <c r="S172" s="1310"/>
      <c r="T172" s="1310"/>
      <c r="U172" s="451"/>
      <c r="V172" s="451"/>
      <c r="W172" s="451"/>
      <c r="X172" s="452"/>
      <c r="Y172" s="447"/>
      <c r="Z172" s="447"/>
      <c r="AA172" s="447"/>
      <c r="AB172" s="447"/>
      <c r="AC172" s="447"/>
      <c r="AD172" s="447"/>
      <c r="AE172" s="447"/>
      <c r="AF172" s="448"/>
      <c r="AG172" s="453"/>
      <c r="AH172" s="454"/>
      <c r="AI172" s="104"/>
      <c r="AJ172" s="455"/>
      <c r="AK172" s="456"/>
    </row>
    <row r="173" spans="2:37" ht="12.75" customHeight="1">
      <c r="B173" s="464" t="s">
        <v>1794</v>
      </c>
      <c r="C173" s="445"/>
      <c r="D173" s="64"/>
      <c r="E173" s="64"/>
      <c r="F173" s="64"/>
      <c r="G173" s="64"/>
      <c r="H173" s="446"/>
      <c r="I173" s="447"/>
      <c r="J173" s="447"/>
      <c r="K173" s="447"/>
      <c r="L173" s="448"/>
      <c r="M173" s="449"/>
      <c r="N173" s="104"/>
      <c r="O173" s="104"/>
      <c r="P173" s="104"/>
      <c r="Q173" s="450"/>
      <c r="R173" s="1310"/>
      <c r="S173" s="1310"/>
      <c r="T173" s="1310"/>
      <c r="U173" s="451"/>
      <c r="V173" s="451"/>
      <c r="W173" s="451"/>
      <c r="X173" s="452"/>
      <c r="Y173" s="447"/>
      <c r="Z173" s="447"/>
      <c r="AA173" s="447"/>
      <c r="AB173" s="447"/>
      <c r="AC173" s="447"/>
      <c r="AD173" s="447"/>
      <c r="AE173" s="447"/>
      <c r="AF173" s="448"/>
      <c r="AG173" s="453"/>
      <c r="AH173" s="454"/>
      <c r="AI173" s="104"/>
      <c r="AJ173" s="455"/>
      <c r="AK173" s="456"/>
    </row>
    <row r="174" spans="2:37" ht="12.75" customHeight="1">
      <c r="B174" s="464" t="s">
        <v>1795</v>
      </c>
      <c r="C174" s="445"/>
      <c r="D174" s="64"/>
      <c r="E174" s="64"/>
      <c r="F174" s="64"/>
      <c r="G174" s="64"/>
      <c r="H174" s="446"/>
      <c r="I174" s="447"/>
      <c r="J174" s="447"/>
      <c r="K174" s="447"/>
      <c r="L174" s="448"/>
      <c r="M174" s="449"/>
      <c r="N174" s="104"/>
      <c r="O174" s="104"/>
      <c r="P174" s="104"/>
      <c r="Q174" s="450"/>
      <c r="R174" s="1310"/>
      <c r="S174" s="1310"/>
      <c r="T174" s="1310"/>
      <c r="U174" s="451"/>
      <c r="V174" s="451"/>
      <c r="W174" s="451"/>
      <c r="X174" s="452"/>
      <c r="Y174" s="447"/>
      <c r="Z174" s="447"/>
      <c r="AA174" s="447"/>
      <c r="AB174" s="447"/>
      <c r="AC174" s="447"/>
      <c r="AD174" s="447"/>
      <c r="AE174" s="447"/>
      <c r="AF174" s="448"/>
      <c r="AG174" s="453"/>
      <c r="AH174" s="454"/>
      <c r="AI174" s="104"/>
      <c r="AJ174" s="455"/>
      <c r="AK174" s="456"/>
    </row>
    <row r="175" spans="2:37" ht="12.75" customHeight="1">
      <c r="B175" s="464" t="s">
        <v>1796</v>
      </c>
      <c r="C175" s="445"/>
      <c r="D175" s="64"/>
      <c r="E175" s="64"/>
      <c r="F175" s="64"/>
      <c r="G175" s="64"/>
      <c r="H175" s="446"/>
      <c r="I175" s="447"/>
      <c r="J175" s="447"/>
      <c r="K175" s="447"/>
      <c r="L175" s="448"/>
      <c r="M175" s="449"/>
      <c r="N175" s="104"/>
      <c r="O175" s="104"/>
      <c r="P175" s="104"/>
      <c r="Q175" s="450"/>
      <c r="R175" s="1310"/>
      <c r="S175" s="1310"/>
      <c r="T175" s="1310"/>
      <c r="U175" s="451"/>
      <c r="V175" s="451"/>
      <c r="W175" s="451"/>
      <c r="X175" s="452"/>
      <c r="Y175" s="447"/>
      <c r="Z175" s="447"/>
      <c r="AA175" s="447"/>
      <c r="AB175" s="447"/>
      <c r="AC175" s="447"/>
      <c r="AD175" s="447"/>
      <c r="AE175" s="447"/>
      <c r="AF175" s="448"/>
      <c r="AG175" s="453"/>
      <c r="AH175" s="454"/>
      <c r="AI175" s="104"/>
      <c r="AJ175" s="455"/>
      <c r="AK175" s="456"/>
    </row>
    <row r="176" spans="2:37" ht="12.75" customHeight="1">
      <c r="B176" s="464" t="s">
        <v>1797</v>
      </c>
      <c r="C176" s="445"/>
      <c r="D176" s="64"/>
      <c r="E176" s="64"/>
      <c r="F176" s="64"/>
      <c r="G176" s="64"/>
      <c r="H176" s="446"/>
      <c r="I176" s="447"/>
      <c r="J176" s="447"/>
      <c r="K176" s="447"/>
      <c r="L176" s="448"/>
      <c r="M176" s="449"/>
      <c r="N176" s="104"/>
      <c r="O176" s="104"/>
      <c r="P176" s="104"/>
      <c r="Q176" s="450"/>
      <c r="R176" s="1310"/>
      <c r="S176" s="1310"/>
      <c r="T176" s="1310"/>
      <c r="U176" s="451"/>
      <c r="V176" s="451"/>
      <c r="W176" s="451"/>
      <c r="X176" s="452"/>
      <c r="Y176" s="447"/>
      <c r="Z176" s="447"/>
      <c r="AA176" s="447"/>
      <c r="AB176" s="447"/>
      <c r="AC176" s="447"/>
      <c r="AD176" s="447"/>
      <c r="AE176" s="447"/>
      <c r="AF176" s="448"/>
      <c r="AG176" s="453"/>
      <c r="AH176" s="454"/>
      <c r="AI176" s="104"/>
      <c r="AJ176" s="455"/>
      <c r="AK176" s="456"/>
    </row>
    <row r="177" spans="2:37" ht="12.75" customHeight="1">
      <c r="B177" s="464" t="s">
        <v>1798</v>
      </c>
      <c r="C177" s="445"/>
      <c r="D177" s="64"/>
      <c r="E177" s="64"/>
      <c r="F177" s="64"/>
      <c r="G177" s="64"/>
      <c r="H177" s="446"/>
      <c r="I177" s="447"/>
      <c r="J177" s="447"/>
      <c r="K177" s="447"/>
      <c r="L177" s="448"/>
      <c r="M177" s="449"/>
      <c r="N177" s="104"/>
      <c r="O177" s="104"/>
      <c r="P177" s="104"/>
      <c r="Q177" s="450"/>
      <c r="R177" s="1310"/>
      <c r="S177" s="1310"/>
      <c r="T177" s="1310"/>
      <c r="U177" s="451"/>
      <c r="V177" s="451"/>
      <c r="W177" s="451"/>
      <c r="X177" s="452"/>
      <c r="Y177" s="447"/>
      <c r="Z177" s="447"/>
      <c r="AA177" s="447"/>
      <c r="AB177" s="447"/>
      <c r="AC177" s="447"/>
      <c r="AD177" s="447"/>
      <c r="AE177" s="447"/>
      <c r="AF177" s="448"/>
      <c r="AG177" s="453"/>
      <c r="AH177" s="454"/>
      <c r="AI177" s="104"/>
      <c r="AJ177" s="455"/>
      <c r="AK177" s="456"/>
    </row>
    <row r="178" spans="2:37" ht="12.75" customHeight="1">
      <c r="B178" s="464" t="s">
        <v>1799</v>
      </c>
      <c r="C178" s="445"/>
      <c r="D178" s="64"/>
      <c r="E178" s="64"/>
      <c r="F178" s="64"/>
      <c r="G178" s="64"/>
      <c r="H178" s="446"/>
      <c r="I178" s="447"/>
      <c r="J178" s="447"/>
      <c r="K178" s="447"/>
      <c r="L178" s="448"/>
      <c r="M178" s="449"/>
      <c r="N178" s="104"/>
      <c r="O178" s="104"/>
      <c r="P178" s="104"/>
      <c r="Q178" s="450"/>
      <c r="R178" s="1310"/>
      <c r="S178" s="1310"/>
      <c r="T178" s="1310"/>
      <c r="U178" s="451"/>
      <c r="V178" s="451"/>
      <c r="W178" s="451"/>
      <c r="X178" s="452"/>
      <c r="Y178" s="447"/>
      <c r="Z178" s="447"/>
      <c r="AA178" s="447"/>
      <c r="AB178" s="447"/>
      <c r="AC178" s="447"/>
      <c r="AD178" s="447"/>
      <c r="AE178" s="447"/>
      <c r="AF178" s="448"/>
      <c r="AG178" s="453"/>
      <c r="AH178" s="454"/>
      <c r="AI178" s="104"/>
      <c r="AJ178" s="455"/>
      <c r="AK178" s="456"/>
    </row>
    <row r="179" spans="2:37" ht="12.75" customHeight="1">
      <c r="B179" s="464" t="s">
        <v>1800</v>
      </c>
      <c r="C179" s="445"/>
      <c r="D179" s="64"/>
      <c r="E179" s="64"/>
      <c r="F179" s="64"/>
      <c r="G179" s="64"/>
      <c r="H179" s="446"/>
      <c r="I179" s="447"/>
      <c r="J179" s="447"/>
      <c r="K179" s="447"/>
      <c r="L179" s="448"/>
      <c r="M179" s="449"/>
      <c r="N179" s="104"/>
      <c r="O179" s="104"/>
      <c r="P179" s="104"/>
      <c r="Q179" s="450"/>
      <c r="R179" s="1310"/>
      <c r="S179" s="1310"/>
      <c r="T179" s="1310"/>
      <c r="U179" s="451"/>
      <c r="V179" s="451"/>
      <c r="W179" s="451"/>
      <c r="X179" s="452"/>
      <c r="Y179" s="447"/>
      <c r="Z179" s="447"/>
      <c r="AA179" s="447"/>
      <c r="AB179" s="447"/>
      <c r="AC179" s="447"/>
      <c r="AD179" s="447"/>
      <c r="AE179" s="447"/>
      <c r="AF179" s="448"/>
      <c r="AG179" s="453"/>
      <c r="AH179" s="454"/>
      <c r="AI179" s="104"/>
      <c r="AJ179" s="455"/>
      <c r="AK179" s="456"/>
    </row>
    <row r="180" spans="2:37" ht="12.75" customHeight="1">
      <c r="B180" s="464" t="s">
        <v>1801</v>
      </c>
      <c r="C180" s="445"/>
      <c r="D180" s="64"/>
      <c r="E180" s="64"/>
      <c r="F180" s="64"/>
      <c r="G180" s="64"/>
      <c r="H180" s="446"/>
      <c r="I180" s="447"/>
      <c r="J180" s="447"/>
      <c r="K180" s="447"/>
      <c r="L180" s="448"/>
      <c r="M180" s="449"/>
      <c r="N180" s="104"/>
      <c r="O180" s="104"/>
      <c r="P180" s="104"/>
      <c r="Q180" s="450"/>
      <c r="R180" s="1310"/>
      <c r="S180" s="1310"/>
      <c r="T180" s="1310"/>
      <c r="U180" s="451"/>
      <c r="V180" s="451"/>
      <c r="W180" s="451"/>
      <c r="X180" s="452"/>
      <c r="Y180" s="447"/>
      <c r="Z180" s="447"/>
      <c r="AA180" s="447"/>
      <c r="AB180" s="447"/>
      <c r="AC180" s="447"/>
      <c r="AD180" s="447"/>
      <c r="AE180" s="447"/>
      <c r="AF180" s="448"/>
      <c r="AG180" s="453"/>
      <c r="AH180" s="454"/>
      <c r="AI180" s="104"/>
      <c r="AJ180" s="455"/>
      <c r="AK180" s="456"/>
    </row>
    <row r="181" spans="2:37" ht="12.75" customHeight="1">
      <c r="B181" s="464" t="s">
        <v>1802</v>
      </c>
      <c r="C181" s="445"/>
      <c r="D181" s="64"/>
      <c r="E181" s="64"/>
      <c r="F181" s="64"/>
      <c r="G181" s="64"/>
      <c r="H181" s="446"/>
      <c r="I181" s="447"/>
      <c r="J181" s="447"/>
      <c r="K181" s="447"/>
      <c r="L181" s="448"/>
      <c r="M181" s="449"/>
      <c r="N181" s="104"/>
      <c r="O181" s="104"/>
      <c r="P181" s="104"/>
      <c r="Q181" s="450"/>
      <c r="R181" s="1310"/>
      <c r="S181" s="1310"/>
      <c r="T181" s="1310"/>
      <c r="U181" s="451"/>
      <c r="V181" s="451"/>
      <c r="W181" s="451"/>
      <c r="X181" s="452"/>
      <c r="Y181" s="447"/>
      <c r="Z181" s="447"/>
      <c r="AA181" s="447"/>
      <c r="AB181" s="447"/>
      <c r="AC181" s="447"/>
      <c r="AD181" s="447"/>
      <c r="AE181" s="447"/>
      <c r="AF181" s="448"/>
      <c r="AG181" s="453"/>
      <c r="AH181" s="454"/>
      <c r="AI181" s="104"/>
      <c r="AJ181" s="455"/>
      <c r="AK181" s="456"/>
    </row>
    <row r="182" spans="2:37" ht="12.75" customHeight="1">
      <c r="B182" s="464" t="s">
        <v>1803</v>
      </c>
      <c r="C182" s="445"/>
      <c r="D182" s="64"/>
      <c r="E182" s="64"/>
      <c r="F182" s="64"/>
      <c r="G182" s="64"/>
      <c r="H182" s="446"/>
      <c r="I182" s="447"/>
      <c r="J182" s="447"/>
      <c r="K182" s="447"/>
      <c r="L182" s="448"/>
      <c r="M182" s="449"/>
      <c r="N182" s="104"/>
      <c r="O182" s="104"/>
      <c r="P182" s="104"/>
      <c r="Q182" s="450"/>
      <c r="R182" s="1310"/>
      <c r="S182" s="1310"/>
      <c r="T182" s="1310"/>
      <c r="U182" s="451"/>
      <c r="V182" s="451"/>
      <c r="W182" s="451"/>
      <c r="X182" s="452"/>
      <c r="Y182" s="447"/>
      <c r="Z182" s="447"/>
      <c r="AA182" s="447"/>
      <c r="AB182" s="447"/>
      <c r="AC182" s="447"/>
      <c r="AD182" s="447"/>
      <c r="AE182" s="447"/>
      <c r="AF182" s="448"/>
      <c r="AG182" s="453"/>
      <c r="AH182" s="454"/>
      <c r="AI182" s="104"/>
      <c r="AJ182" s="455"/>
      <c r="AK182" s="456"/>
    </row>
    <row r="183" spans="2:37" ht="12.75" customHeight="1">
      <c r="B183" s="464" t="s">
        <v>1804</v>
      </c>
      <c r="C183" s="445"/>
      <c r="D183" s="64"/>
      <c r="E183" s="64"/>
      <c r="F183" s="64"/>
      <c r="G183" s="64"/>
      <c r="H183" s="446"/>
      <c r="I183" s="447"/>
      <c r="J183" s="447"/>
      <c r="K183" s="447"/>
      <c r="L183" s="448"/>
      <c r="M183" s="449"/>
      <c r="N183" s="104"/>
      <c r="O183" s="104"/>
      <c r="P183" s="104"/>
      <c r="Q183" s="450"/>
      <c r="R183" s="1310"/>
      <c r="S183" s="1310"/>
      <c r="T183" s="1310"/>
      <c r="U183" s="451"/>
      <c r="V183" s="451"/>
      <c r="W183" s="451"/>
      <c r="X183" s="452"/>
      <c r="Y183" s="447"/>
      <c r="Z183" s="447"/>
      <c r="AA183" s="447"/>
      <c r="AB183" s="447"/>
      <c r="AC183" s="447"/>
      <c r="AD183" s="447"/>
      <c r="AE183" s="447"/>
      <c r="AF183" s="448"/>
      <c r="AG183" s="453"/>
      <c r="AH183" s="454"/>
      <c r="AI183" s="104"/>
      <c r="AJ183" s="455"/>
      <c r="AK183" s="456"/>
    </row>
    <row r="184" spans="2:37" ht="12.75" customHeight="1">
      <c r="B184" s="464" t="s">
        <v>1805</v>
      </c>
      <c r="C184" s="445"/>
      <c r="D184" s="64"/>
      <c r="E184" s="64"/>
      <c r="F184" s="64"/>
      <c r="G184" s="64"/>
      <c r="H184" s="446"/>
      <c r="I184" s="447"/>
      <c r="J184" s="447"/>
      <c r="K184" s="447"/>
      <c r="L184" s="448"/>
      <c r="M184" s="449"/>
      <c r="N184" s="104"/>
      <c r="O184" s="104"/>
      <c r="P184" s="104"/>
      <c r="Q184" s="450"/>
      <c r="R184" s="1310"/>
      <c r="S184" s="1310"/>
      <c r="T184" s="1310"/>
      <c r="U184" s="451"/>
      <c r="V184" s="451"/>
      <c r="W184" s="451"/>
      <c r="X184" s="452"/>
      <c r="Y184" s="447"/>
      <c r="Z184" s="447"/>
      <c r="AA184" s="447"/>
      <c r="AB184" s="447"/>
      <c r="AC184" s="447"/>
      <c r="AD184" s="447"/>
      <c r="AE184" s="447"/>
      <c r="AF184" s="448"/>
      <c r="AG184" s="453"/>
      <c r="AH184" s="454"/>
      <c r="AI184" s="104"/>
      <c r="AJ184" s="455"/>
      <c r="AK184" s="456"/>
    </row>
    <row r="185" spans="2:37" ht="12.75" customHeight="1">
      <c r="B185" s="464" t="s">
        <v>1806</v>
      </c>
      <c r="C185" s="445"/>
      <c r="D185" s="64"/>
      <c r="E185" s="64"/>
      <c r="F185" s="64"/>
      <c r="G185" s="64"/>
      <c r="H185" s="446"/>
      <c r="I185" s="447"/>
      <c r="J185" s="447"/>
      <c r="K185" s="447"/>
      <c r="L185" s="448"/>
      <c r="M185" s="449"/>
      <c r="N185" s="104"/>
      <c r="O185" s="104"/>
      <c r="P185" s="104"/>
      <c r="Q185" s="450"/>
      <c r="R185" s="1310"/>
      <c r="S185" s="1310"/>
      <c r="T185" s="1310"/>
      <c r="U185" s="451"/>
      <c r="V185" s="451"/>
      <c r="W185" s="451"/>
      <c r="X185" s="452"/>
      <c r="Y185" s="447"/>
      <c r="Z185" s="447"/>
      <c r="AA185" s="447"/>
      <c r="AB185" s="447"/>
      <c r="AC185" s="447"/>
      <c r="AD185" s="447"/>
      <c r="AE185" s="447"/>
      <c r="AF185" s="448"/>
      <c r="AG185" s="453"/>
      <c r="AH185" s="454"/>
      <c r="AI185" s="104"/>
      <c r="AJ185" s="455"/>
      <c r="AK185" s="456"/>
    </row>
    <row r="186" spans="2:37" ht="12.75" customHeight="1">
      <c r="B186" s="464" t="s">
        <v>1807</v>
      </c>
      <c r="C186" s="445"/>
      <c r="D186" s="64"/>
      <c r="E186" s="64"/>
      <c r="F186" s="64"/>
      <c r="G186" s="64"/>
      <c r="H186" s="446"/>
      <c r="I186" s="447"/>
      <c r="J186" s="447"/>
      <c r="K186" s="447"/>
      <c r="L186" s="448"/>
      <c r="M186" s="449"/>
      <c r="N186" s="104"/>
      <c r="O186" s="104"/>
      <c r="P186" s="104"/>
      <c r="Q186" s="450"/>
      <c r="R186" s="1310"/>
      <c r="S186" s="1310"/>
      <c r="T186" s="1310"/>
      <c r="U186" s="451"/>
      <c r="V186" s="451"/>
      <c r="W186" s="451"/>
      <c r="X186" s="452"/>
      <c r="Y186" s="447"/>
      <c r="Z186" s="447"/>
      <c r="AA186" s="447"/>
      <c r="AB186" s="447"/>
      <c r="AC186" s="447"/>
      <c r="AD186" s="447"/>
      <c r="AE186" s="447"/>
      <c r="AF186" s="448"/>
      <c r="AG186" s="453"/>
      <c r="AH186" s="454"/>
      <c r="AI186" s="104"/>
      <c r="AJ186" s="455"/>
      <c r="AK186" s="456"/>
    </row>
    <row r="187" spans="2:37" ht="12.75" customHeight="1">
      <c r="B187" s="464" t="s">
        <v>1808</v>
      </c>
      <c r="C187" s="445"/>
      <c r="D187" s="64"/>
      <c r="E187" s="64"/>
      <c r="F187" s="64"/>
      <c r="G187" s="64"/>
      <c r="H187" s="446"/>
      <c r="I187" s="447"/>
      <c r="J187" s="447"/>
      <c r="K187" s="447"/>
      <c r="L187" s="448"/>
      <c r="M187" s="449"/>
      <c r="N187" s="104"/>
      <c r="O187" s="104"/>
      <c r="P187" s="104"/>
      <c r="Q187" s="450"/>
      <c r="R187" s="1310"/>
      <c r="S187" s="1310"/>
      <c r="T187" s="1310"/>
      <c r="U187" s="451"/>
      <c r="V187" s="451"/>
      <c r="W187" s="451"/>
      <c r="X187" s="452"/>
      <c r="Y187" s="447"/>
      <c r="Z187" s="447"/>
      <c r="AA187" s="447"/>
      <c r="AB187" s="447"/>
      <c r="AC187" s="447"/>
      <c r="AD187" s="447"/>
      <c r="AE187" s="447"/>
      <c r="AF187" s="448"/>
      <c r="AG187" s="453"/>
      <c r="AH187" s="454"/>
      <c r="AI187" s="104"/>
      <c r="AJ187" s="455"/>
      <c r="AK187" s="456"/>
    </row>
    <row r="188" spans="2:37" ht="12.75" customHeight="1">
      <c r="B188" s="464" t="s">
        <v>1809</v>
      </c>
      <c r="C188" s="445"/>
      <c r="D188" s="64"/>
      <c r="E188" s="64"/>
      <c r="F188" s="64"/>
      <c r="G188" s="64"/>
      <c r="H188" s="446"/>
      <c r="I188" s="447"/>
      <c r="J188" s="447"/>
      <c r="K188" s="447"/>
      <c r="L188" s="448"/>
      <c r="M188" s="449"/>
      <c r="N188" s="104"/>
      <c r="O188" s="104"/>
      <c r="P188" s="104"/>
      <c r="Q188" s="450"/>
      <c r="R188" s="1310"/>
      <c r="S188" s="1310"/>
      <c r="T188" s="1310"/>
      <c r="U188" s="451"/>
      <c r="V188" s="451"/>
      <c r="W188" s="451"/>
      <c r="X188" s="452"/>
      <c r="Y188" s="447"/>
      <c r="Z188" s="447"/>
      <c r="AA188" s="447"/>
      <c r="AB188" s="447"/>
      <c r="AC188" s="447"/>
      <c r="AD188" s="447"/>
      <c r="AE188" s="447"/>
      <c r="AF188" s="448"/>
      <c r="AG188" s="453"/>
      <c r="AH188" s="454"/>
      <c r="AI188" s="104"/>
      <c r="AJ188" s="455"/>
      <c r="AK188" s="456"/>
    </row>
    <row r="189" spans="2:37" ht="12.75" customHeight="1">
      <c r="B189" s="464" t="s">
        <v>1810</v>
      </c>
      <c r="C189" s="445"/>
      <c r="D189" s="64"/>
      <c r="E189" s="64"/>
      <c r="F189" s="64"/>
      <c r="G189" s="64"/>
      <c r="H189" s="446"/>
      <c r="I189" s="447"/>
      <c r="J189" s="447"/>
      <c r="K189" s="447"/>
      <c r="L189" s="448"/>
      <c r="M189" s="449"/>
      <c r="N189" s="104"/>
      <c r="O189" s="104"/>
      <c r="P189" s="104"/>
      <c r="Q189" s="450"/>
      <c r="R189" s="1310"/>
      <c r="S189" s="1310"/>
      <c r="T189" s="1310"/>
      <c r="U189" s="451"/>
      <c r="V189" s="451"/>
      <c r="W189" s="451"/>
      <c r="X189" s="452"/>
      <c r="Y189" s="447"/>
      <c r="Z189" s="447"/>
      <c r="AA189" s="447"/>
      <c r="AB189" s="447"/>
      <c r="AC189" s="447"/>
      <c r="AD189" s="447"/>
      <c r="AE189" s="447"/>
      <c r="AF189" s="448"/>
      <c r="AG189" s="453"/>
      <c r="AH189" s="454"/>
      <c r="AI189" s="104"/>
      <c r="AJ189" s="455"/>
      <c r="AK189" s="456"/>
    </row>
    <row r="190" spans="2:37" ht="12.75" customHeight="1">
      <c r="B190" s="464" t="s">
        <v>1811</v>
      </c>
      <c r="C190" s="445"/>
      <c r="D190" s="64"/>
      <c r="E190" s="64"/>
      <c r="F190" s="64"/>
      <c r="G190" s="64"/>
      <c r="H190" s="446"/>
      <c r="I190" s="447"/>
      <c r="J190" s="447"/>
      <c r="K190" s="447"/>
      <c r="L190" s="448"/>
      <c r="M190" s="449"/>
      <c r="N190" s="104"/>
      <c r="O190" s="104"/>
      <c r="P190" s="104"/>
      <c r="Q190" s="450"/>
      <c r="R190" s="1310"/>
      <c r="S190" s="1310"/>
      <c r="T190" s="1310"/>
      <c r="U190" s="451"/>
      <c r="V190" s="451"/>
      <c r="W190" s="451"/>
      <c r="X190" s="452"/>
      <c r="Y190" s="447"/>
      <c r="Z190" s="447"/>
      <c r="AA190" s="447"/>
      <c r="AB190" s="447"/>
      <c r="AC190" s="447"/>
      <c r="AD190" s="447"/>
      <c r="AE190" s="447"/>
      <c r="AF190" s="448"/>
      <c r="AG190" s="453"/>
      <c r="AH190" s="454"/>
      <c r="AI190" s="104"/>
      <c r="AJ190" s="455"/>
      <c r="AK190" s="456"/>
    </row>
    <row r="191" spans="2:37" ht="12.75" customHeight="1">
      <c r="B191" s="464" t="s">
        <v>1812</v>
      </c>
      <c r="C191" s="445"/>
      <c r="D191" s="64"/>
      <c r="E191" s="64"/>
      <c r="F191" s="64"/>
      <c r="G191" s="64"/>
      <c r="H191" s="446"/>
      <c r="I191" s="447"/>
      <c r="J191" s="447"/>
      <c r="K191" s="447"/>
      <c r="L191" s="448"/>
      <c r="M191" s="449"/>
      <c r="N191" s="104"/>
      <c r="O191" s="104"/>
      <c r="P191" s="104"/>
      <c r="Q191" s="450"/>
      <c r="R191" s="1310"/>
      <c r="S191" s="1310"/>
      <c r="T191" s="1310"/>
      <c r="U191" s="451"/>
      <c r="V191" s="451"/>
      <c r="W191" s="451"/>
      <c r="X191" s="452"/>
      <c r="Y191" s="447"/>
      <c r="Z191" s="447"/>
      <c r="AA191" s="447"/>
      <c r="AB191" s="447"/>
      <c r="AC191" s="447"/>
      <c r="AD191" s="447"/>
      <c r="AE191" s="447"/>
      <c r="AF191" s="448"/>
      <c r="AG191" s="453"/>
      <c r="AH191" s="454"/>
      <c r="AI191" s="104"/>
      <c r="AJ191" s="455"/>
      <c r="AK191" s="456"/>
    </row>
    <row r="192" spans="2:37" ht="12.75" customHeight="1">
      <c r="B192" s="464" t="s">
        <v>1813</v>
      </c>
      <c r="C192" s="445"/>
      <c r="D192" s="64"/>
      <c r="E192" s="64"/>
      <c r="F192" s="64"/>
      <c r="G192" s="64"/>
      <c r="H192" s="446"/>
      <c r="I192" s="447"/>
      <c r="J192" s="447"/>
      <c r="K192" s="447"/>
      <c r="L192" s="448"/>
      <c r="M192" s="449"/>
      <c r="N192" s="104"/>
      <c r="O192" s="104"/>
      <c r="P192" s="104"/>
      <c r="Q192" s="450"/>
      <c r="R192" s="1310"/>
      <c r="S192" s="1310"/>
      <c r="T192" s="1310"/>
      <c r="U192" s="451"/>
      <c r="V192" s="451"/>
      <c r="W192" s="451"/>
      <c r="X192" s="452"/>
      <c r="Y192" s="447"/>
      <c r="Z192" s="447"/>
      <c r="AA192" s="447"/>
      <c r="AB192" s="447"/>
      <c r="AC192" s="447"/>
      <c r="AD192" s="447"/>
      <c r="AE192" s="447"/>
      <c r="AF192" s="448"/>
      <c r="AG192" s="453"/>
      <c r="AH192" s="454"/>
      <c r="AI192" s="104"/>
      <c r="AJ192" s="455"/>
      <c r="AK192" s="456"/>
    </row>
    <row r="193" spans="2:37" ht="12.75" customHeight="1">
      <c r="B193" s="464" t="s">
        <v>1814</v>
      </c>
      <c r="C193" s="445"/>
      <c r="D193" s="64"/>
      <c r="E193" s="64"/>
      <c r="F193" s="64"/>
      <c r="G193" s="64"/>
      <c r="H193" s="446"/>
      <c r="I193" s="447"/>
      <c r="J193" s="447"/>
      <c r="K193" s="447"/>
      <c r="L193" s="448"/>
      <c r="M193" s="449"/>
      <c r="N193" s="104"/>
      <c r="O193" s="104"/>
      <c r="P193" s="104"/>
      <c r="Q193" s="450"/>
      <c r="R193" s="1310"/>
      <c r="S193" s="1310"/>
      <c r="T193" s="1310"/>
      <c r="U193" s="451"/>
      <c r="V193" s="451"/>
      <c r="W193" s="451"/>
      <c r="X193" s="452"/>
      <c r="Y193" s="447"/>
      <c r="Z193" s="447"/>
      <c r="AA193" s="447"/>
      <c r="AB193" s="447"/>
      <c r="AC193" s="447"/>
      <c r="AD193" s="447"/>
      <c r="AE193" s="447"/>
      <c r="AF193" s="448"/>
      <c r="AG193" s="453"/>
      <c r="AH193" s="454"/>
      <c r="AI193" s="104"/>
      <c r="AJ193" s="455"/>
      <c r="AK193" s="456"/>
    </row>
    <row r="194" spans="2:37" ht="12.75" customHeight="1">
      <c r="B194" s="464" t="s">
        <v>1815</v>
      </c>
      <c r="C194" s="445"/>
      <c r="D194" s="64"/>
      <c r="E194" s="64"/>
      <c r="F194" s="64"/>
      <c r="G194" s="64"/>
      <c r="H194" s="446"/>
      <c r="I194" s="447"/>
      <c r="J194" s="447"/>
      <c r="K194" s="447"/>
      <c r="L194" s="448"/>
      <c r="M194" s="449"/>
      <c r="N194" s="104"/>
      <c r="O194" s="104"/>
      <c r="P194" s="104"/>
      <c r="Q194" s="450"/>
      <c r="R194" s="1310"/>
      <c r="S194" s="1310"/>
      <c r="T194" s="1310"/>
      <c r="U194" s="451"/>
      <c r="V194" s="451"/>
      <c r="W194" s="451"/>
      <c r="X194" s="452"/>
      <c r="Y194" s="447"/>
      <c r="Z194" s="447"/>
      <c r="AA194" s="447"/>
      <c r="AB194" s="447"/>
      <c r="AC194" s="447"/>
      <c r="AD194" s="447"/>
      <c r="AE194" s="447"/>
      <c r="AF194" s="448"/>
      <c r="AG194" s="453"/>
      <c r="AH194" s="454"/>
      <c r="AI194" s="104"/>
      <c r="AJ194" s="455"/>
      <c r="AK194" s="456"/>
    </row>
    <row r="195" spans="2:37" ht="12.75" customHeight="1">
      <c r="B195" s="464" t="s">
        <v>1816</v>
      </c>
      <c r="C195" s="445"/>
      <c r="D195" s="64"/>
      <c r="E195" s="64"/>
      <c r="F195" s="64"/>
      <c r="G195" s="64"/>
      <c r="H195" s="446"/>
      <c r="I195" s="447"/>
      <c r="J195" s="447"/>
      <c r="K195" s="447"/>
      <c r="L195" s="448"/>
      <c r="M195" s="449"/>
      <c r="N195" s="104"/>
      <c r="O195" s="104"/>
      <c r="P195" s="104"/>
      <c r="Q195" s="450"/>
      <c r="R195" s="1310"/>
      <c r="S195" s="1310"/>
      <c r="T195" s="1310"/>
      <c r="U195" s="451"/>
      <c r="V195" s="451"/>
      <c r="W195" s="451"/>
      <c r="X195" s="452"/>
      <c r="Y195" s="447"/>
      <c r="Z195" s="447"/>
      <c r="AA195" s="447"/>
      <c r="AB195" s="447"/>
      <c r="AC195" s="447"/>
      <c r="AD195" s="447"/>
      <c r="AE195" s="447"/>
      <c r="AF195" s="448"/>
      <c r="AG195" s="453"/>
      <c r="AH195" s="454"/>
      <c r="AI195" s="104"/>
      <c r="AJ195" s="455"/>
      <c r="AK195" s="456"/>
    </row>
    <row r="196" spans="2:37" ht="12.75" customHeight="1">
      <c r="B196" s="464" t="s">
        <v>1817</v>
      </c>
      <c r="C196" s="445"/>
      <c r="D196" s="64"/>
      <c r="E196" s="64"/>
      <c r="F196" s="64"/>
      <c r="G196" s="64"/>
      <c r="H196" s="446"/>
      <c r="I196" s="447"/>
      <c r="J196" s="447"/>
      <c r="K196" s="447"/>
      <c r="L196" s="448"/>
      <c r="M196" s="449"/>
      <c r="N196" s="104"/>
      <c r="O196" s="104"/>
      <c r="P196" s="104"/>
      <c r="Q196" s="450"/>
      <c r="R196" s="1310"/>
      <c r="S196" s="1310"/>
      <c r="T196" s="1310"/>
      <c r="U196" s="451"/>
      <c r="V196" s="451"/>
      <c r="W196" s="451"/>
      <c r="X196" s="452"/>
      <c r="Y196" s="447"/>
      <c r="Z196" s="447"/>
      <c r="AA196" s="447"/>
      <c r="AB196" s="447"/>
      <c r="AC196" s="447"/>
      <c r="AD196" s="447"/>
      <c r="AE196" s="447"/>
      <c r="AF196" s="448"/>
      <c r="AG196" s="453"/>
      <c r="AH196" s="454"/>
      <c r="AI196" s="104"/>
      <c r="AJ196" s="455"/>
      <c r="AK196" s="456"/>
    </row>
    <row r="197" spans="2:37" ht="12.75" customHeight="1">
      <c r="B197" s="430" t="s">
        <v>1818</v>
      </c>
      <c r="C197" s="466"/>
      <c r="D197" s="467"/>
      <c r="E197" s="467"/>
      <c r="F197" s="467"/>
      <c r="G197" s="467"/>
      <c r="H197" s="468"/>
      <c r="I197" s="469"/>
      <c r="J197" s="469"/>
      <c r="K197" s="469"/>
      <c r="L197" s="470"/>
      <c r="M197" s="471"/>
      <c r="N197" s="472"/>
      <c r="O197" s="472"/>
      <c r="P197" s="472"/>
      <c r="Q197" s="473"/>
      <c r="R197" s="1311"/>
      <c r="S197" s="1311"/>
      <c r="T197" s="1311"/>
      <c r="U197" s="474"/>
      <c r="V197" s="474"/>
      <c r="W197" s="474"/>
      <c r="X197" s="475"/>
      <c r="Y197" s="469"/>
      <c r="Z197" s="469"/>
      <c r="AA197" s="469"/>
      <c r="AB197" s="469"/>
      <c r="AC197" s="469"/>
      <c r="AD197" s="469"/>
      <c r="AE197" s="469"/>
      <c r="AF197" s="470"/>
      <c r="AG197" s="476"/>
      <c r="AH197" s="477"/>
      <c r="AI197" s="472"/>
      <c r="AJ197" s="478"/>
      <c r="AK197" s="444"/>
    </row>
    <row r="198" spans="2:37">
      <c r="B198" s="464" t="s">
        <v>1819</v>
      </c>
      <c r="C198" s="445"/>
      <c r="D198" s="64"/>
      <c r="E198" s="64"/>
      <c r="F198" s="64"/>
      <c r="G198" s="64"/>
      <c r="H198" s="446"/>
      <c r="I198" s="447"/>
      <c r="J198" s="447"/>
      <c r="K198" s="447"/>
      <c r="L198" s="448"/>
      <c r="M198" s="449"/>
      <c r="N198" s="104"/>
      <c r="O198" s="104"/>
      <c r="P198" s="104"/>
      <c r="Q198" s="450"/>
      <c r="R198" s="1310"/>
      <c r="S198" s="1310"/>
      <c r="T198" s="1310"/>
      <c r="U198" s="451"/>
      <c r="V198" s="451"/>
      <c r="W198" s="451"/>
      <c r="X198" s="452"/>
      <c r="Y198" s="447"/>
      <c r="Z198" s="447"/>
      <c r="AA198" s="447"/>
      <c r="AB198" s="447"/>
      <c r="AC198" s="447"/>
      <c r="AD198" s="447"/>
      <c r="AE198" s="447"/>
      <c r="AF198" s="448"/>
      <c r="AG198" s="453"/>
      <c r="AH198" s="454"/>
      <c r="AI198" s="104"/>
      <c r="AJ198" s="455"/>
      <c r="AK198" s="456"/>
    </row>
    <row r="199" spans="2:37">
      <c r="B199" s="464" t="s">
        <v>1820</v>
      </c>
      <c r="C199" s="445"/>
      <c r="D199" s="64"/>
      <c r="E199" s="64"/>
      <c r="F199" s="64"/>
      <c r="G199" s="64"/>
      <c r="H199" s="446"/>
      <c r="I199" s="447"/>
      <c r="J199" s="447"/>
      <c r="K199" s="447"/>
      <c r="L199" s="448"/>
      <c r="M199" s="449"/>
      <c r="N199" s="104"/>
      <c r="O199" s="104"/>
      <c r="P199" s="104"/>
      <c r="Q199" s="450"/>
      <c r="R199" s="1310"/>
      <c r="S199" s="1310"/>
      <c r="T199" s="1310"/>
      <c r="U199" s="451"/>
      <c r="V199" s="451"/>
      <c r="W199" s="451"/>
      <c r="X199" s="452"/>
      <c r="Y199" s="447"/>
      <c r="Z199" s="447"/>
      <c r="AA199" s="447"/>
      <c r="AB199" s="447"/>
      <c r="AC199" s="447"/>
      <c r="AD199" s="447"/>
      <c r="AE199" s="447"/>
      <c r="AF199" s="448"/>
      <c r="AG199" s="453"/>
      <c r="AH199" s="454"/>
      <c r="AI199" s="104"/>
      <c r="AJ199" s="455"/>
      <c r="AK199" s="456"/>
    </row>
    <row r="200" spans="2:37">
      <c r="B200" s="464" t="s">
        <v>1821</v>
      </c>
      <c r="C200" s="445"/>
      <c r="D200" s="64"/>
      <c r="E200" s="64"/>
      <c r="F200" s="64"/>
      <c r="G200" s="64"/>
      <c r="H200" s="446"/>
      <c r="I200" s="447"/>
      <c r="J200" s="447"/>
      <c r="K200" s="447"/>
      <c r="L200" s="448"/>
      <c r="M200" s="449"/>
      <c r="N200" s="104"/>
      <c r="O200" s="104"/>
      <c r="P200" s="104"/>
      <c r="Q200" s="450"/>
      <c r="R200" s="1310"/>
      <c r="S200" s="1310"/>
      <c r="T200" s="1310"/>
      <c r="U200" s="451"/>
      <c r="V200" s="451"/>
      <c r="W200" s="451"/>
      <c r="X200" s="452"/>
      <c r="Y200" s="447"/>
      <c r="Z200" s="447"/>
      <c r="AA200" s="447"/>
      <c r="AB200" s="447"/>
      <c r="AC200" s="447"/>
      <c r="AD200" s="447"/>
      <c r="AE200" s="447"/>
      <c r="AF200" s="448"/>
      <c r="AG200" s="453"/>
      <c r="AH200" s="454"/>
      <c r="AI200" s="104"/>
      <c r="AJ200" s="455"/>
      <c r="AK200" s="456"/>
    </row>
    <row r="201" spans="2:37">
      <c r="B201" s="464" t="s">
        <v>1822</v>
      </c>
      <c r="C201" s="445"/>
      <c r="D201" s="64"/>
      <c r="E201" s="64"/>
      <c r="F201" s="64"/>
      <c r="G201" s="64"/>
      <c r="H201" s="446"/>
      <c r="I201" s="447"/>
      <c r="J201" s="447"/>
      <c r="K201" s="447"/>
      <c r="L201" s="448"/>
      <c r="M201" s="449"/>
      <c r="N201" s="104"/>
      <c r="O201" s="104"/>
      <c r="P201" s="104"/>
      <c r="Q201" s="450"/>
      <c r="R201" s="1310"/>
      <c r="S201" s="1310"/>
      <c r="T201" s="1310"/>
      <c r="U201" s="451"/>
      <c r="V201" s="451"/>
      <c r="W201" s="451"/>
      <c r="X201" s="452"/>
      <c r="Y201" s="447"/>
      <c r="Z201" s="447"/>
      <c r="AA201" s="447"/>
      <c r="AB201" s="447"/>
      <c r="AC201" s="447"/>
      <c r="AD201" s="447"/>
      <c r="AE201" s="447"/>
      <c r="AF201" s="448"/>
      <c r="AG201" s="453"/>
      <c r="AH201" s="454"/>
      <c r="AI201" s="104"/>
      <c r="AJ201" s="455"/>
      <c r="AK201" s="456"/>
    </row>
    <row r="202" spans="2:37">
      <c r="B202" s="464" t="s">
        <v>1823</v>
      </c>
      <c r="C202" s="445"/>
      <c r="D202" s="64"/>
      <c r="E202" s="64"/>
      <c r="F202" s="64"/>
      <c r="G202" s="64"/>
      <c r="H202" s="446"/>
      <c r="I202" s="447"/>
      <c r="J202" s="447"/>
      <c r="K202" s="447"/>
      <c r="L202" s="448"/>
      <c r="M202" s="449"/>
      <c r="N202" s="104"/>
      <c r="O202" s="104"/>
      <c r="P202" s="104"/>
      <c r="Q202" s="450"/>
      <c r="R202" s="1310"/>
      <c r="S202" s="1310"/>
      <c r="T202" s="1310"/>
      <c r="U202" s="451"/>
      <c r="V202" s="451"/>
      <c r="W202" s="451"/>
      <c r="X202" s="452"/>
      <c r="Y202" s="447"/>
      <c r="Z202" s="447"/>
      <c r="AA202" s="447"/>
      <c r="AB202" s="447"/>
      <c r="AC202" s="447"/>
      <c r="AD202" s="447"/>
      <c r="AE202" s="447"/>
      <c r="AF202" s="448"/>
      <c r="AG202" s="453"/>
      <c r="AH202" s="454"/>
      <c r="AI202" s="104"/>
      <c r="AJ202" s="455"/>
      <c r="AK202" s="456"/>
    </row>
    <row r="203" spans="2:37">
      <c r="B203" s="464" t="s">
        <v>1824</v>
      </c>
      <c r="C203" s="445"/>
      <c r="D203" s="64"/>
      <c r="E203" s="64"/>
      <c r="F203" s="64"/>
      <c r="G203" s="64"/>
      <c r="H203" s="446"/>
      <c r="I203" s="447"/>
      <c r="J203" s="447"/>
      <c r="K203" s="447"/>
      <c r="L203" s="448"/>
      <c r="M203" s="449"/>
      <c r="N203" s="104"/>
      <c r="O203" s="104"/>
      <c r="P203" s="104"/>
      <c r="Q203" s="450"/>
      <c r="R203" s="1310"/>
      <c r="S203" s="1310"/>
      <c r="T203" s="1310"/>
      <c r="U203" s="451"/>
      <c r="V203" s="451"/>
      <c r="W203" s="451"/>
      <c r="X203" s="452"/>
      <c r="Y203" s="447"/>
      <c r="Z203" s="447"/>
      <c r="AA203" s="447"/>
      <c r="AB203" s="447"/>
      <c r="AC203" s="447"/>
      <c r="AD203" s="447"/>
      <c r="AE203" s="447"/>
      <c r="AF203" s="448"/>
      <c r="AG203" s="453"/>
      <c r="AH203" s="454"/>
      <c r="AI203" s="104"/>
      <c r="AJ203" s="455"/>
      <c r="AK203" s="456"/>
    </row>
    <row r="204" spans="2:37">
      <c r="B204" s="464" t="s">
        <v>1825</v>
      </c>
      <c r="C204" s="445"/>
      <c r="D204" s="64"/>
      <c r="E204" s="64"/>
      <c r="F204" s="64"/>
      <c r="G204" s="64"/>
      <c r="H204" s="446"/>
      <c r="I204" s="447"/>
      <c r="J204" s="447"/>
      <c r="K204" s="447"/>
      <c r="L204" s="448"/>
      <c r="M204" s="449"/>
      <c r="N204" s="104"/>
      <c r="O204" s="104"/>
      <c r="P204" s="104"/>
      <c r="Q204" s="450"/>
      <c r="R204" s="1310"/>
      <c r="S204" s="1310"/>
      <c r="T204" s="1310"/>
      <c r="U204" s="451"/>
      <c r="V204" s="451"/>
      <c r="W204" s="451"/>
      <c r="X204" s="452"/>
      <c r="Y204" s="447"/>
      <c r="Z204" s="447"/>
      <c r="AA204" s="447"/>
      <c r="AB204" s="447"/>
      <c r="AC204" s="447"/>
      <c r="AD204" s="447"/>
      <c r="AE204" s="447"/>
      <c r="AF204" s="448"/>
      <c r="AG204" s="453"/>
      <c r="AH204" s="454"/>
      <c r="AI204" s="104"/>
      <c r="AJ204" s="455"/>
      <c r="AK204" s="456"/>
    </row>
    <row r="205" spans="2:37">
      <c r="B205" s="464" t="s">
        <v>1826</v>
      </c>
      <c r="C205" s="445"/>
      <c r="D205" s="64"/>
      <c r="E205" s="64"/>
      <c r="F205" s="64"/>
      <c r="G205" s="64"/>
      <c r="H205" s="446"/>
      <c r="I205" s="447"/>
      <c r="J205" s="447"/>
      <c r="K205" s="447"/>
      <c r="L205" s="448"/>
      <c r="M205" s="449"/>
      <c r="N205" s="104"/>
      <c r="O205" s="104"/>
      <c r="P205" s="104"/>
      <c r="Q205" s="450"/>
      <c r="R205" s="1310"/>
      <c r="S205" s="1310"/>
      <c r="T205" s="1310"/>
      <c r="U205" s="451"/>
      <c r="V205" s="451"/>
      <c r="W205" s="451"/>
      <c r="X205" s="452"/>
      <c r="Y205" s="447"/>
      <c r="Z205" s="447"/>
      <c r="AA205" s="447"/>
      <c r="AB205" s="447"/>
      <c r="AC205" s="447"/>
      <c r="AD205" s="447"/>
      <c r="AE205" s="447"/>
      <c r="AF205" s="448"/>
      <c r="AG205" s="453"/>
      <c r="AH205" s="454"/>
      <c r="AI205" s="104"/>
      <c r="AJ205" s="455"/>
      <c r="AK205" s="456"/>
    </row>
    <row r="206" spans="2:37">
      <c r="B206" s="464" t="s">
        <v>1827</v>
      </c>
      <c r="C206" s="445"/>
      <c r="D206" s="64"/>
      <c r="E206" s="64"/>
      <c r="F206" s="64"/>
      <c r="G206" s="64"/>
      <c r="H206" s="446"/>
      <c r="I206" s="447"/>
      <c r="J206" s="447"/>
      <c r="K206" s="447"/>
      <c r="L206" s="448"/>
      <c r="M206" s="449"/>
      <c r="N206" s="104"/>
      <c r="O206" s="104"/>
      <c r="P206" s="104"/>
      <c r="Q206" s="450"/>
      <c r="R206" s="1310"/>
      <c r="S206" s="1310"/>
      <c r="T206" s="1310"/>
      <c r="U206" s="451"/>
      <c r="V206" s="451"/>
      <c r="W206" s="451"/>
      <c r="X206" s="452"/>
      <c r="Y206" s="447"/>
      <c r="Z206" s="447"/>
      <c r="AA206" s="447"/>
      <c r="AB206" s="447"/>
      <c r="AC206" s="447"/>
      <c r="AD206" s="447"/>
      <c r="AE206" s="447"/>
      <c r="AF206" s="448"/>
      <c r="AG206" s="453"/>
      <c r="AH206" s="454"/>
      <c r="AI206" s="104"/>
      <c r="AJ206" s="455"/>
      <c r="AK206" s="456"/>
    </row>
    <row r="207" spans="2:37">
      <c r="B207" s="464" t="s">
        <v>1828</v>
      </c>
      <c r="C207" s="445"/>
      <c r="D207" s="64"/>
      <c r="E207" s="64"/>
      <c r="F207" s="64"/>
      <c r="G207" s="64"/>
      <c r="H207" s="446"/>
      <c r="I207" s="447"/>
      <c r="J207" s="447"/>
      <c r="K207" s="447"/>
      <c r="L207" s="448"/>
      <c r="M207" s="449"/>
      <c r="N207" s="104"/>
      <c r="O207" s="104"/>
      <c r="P207" s="104"/>
      <c r="Q207" s="450"/>
      <c r="R207" s="1310"/>
      <c r="S207" s="1310"/>
      <c r="T207" s="1310"/>
      <c r="U207" s="451"/>
      <c r="V207" s="451"/>
      <c r="W207" s="451"/>
      <c r="X207" s="452"/>
      <c r="Y207" s="447"/>
      <c r="Z207" s="447"/>
      <c r="AA207" s="447"/>
      <c r="AB207" s="447"/>
      <c r="AC207" s="447"/>
      <c r="AD207" s="447"/>
      <c r="AE207" s="447"/>
      <c r="AF207" s="448"/>
      <c r="AG207" s="453"/>
      <c r="AH207" s="454"/>
      <c r="AI207" s="104"/>
      <c r="AJ207" s="455"/>
      <c r="AK207" s="456"/>
    </row>
    <row r="208" spans="2:37">
      <c r="B208" s="464" t="s">
        <v>1829</v>
      </c>
      <c r="C208" s="445"/>
      <c r="D208" s="64"/>
      <c r="E208" s="64"/>
      <c r="F208" s="64"/>
      <c r="G208" s="64"/>
      <c r="H208" s="446"/>
      <c r="I208" s="447"/>
      <c r="J208" s="447"/>
      <c r="K208" s="447"/>
      <c r="L208" s="448"/>
      <c r="M208" s="449"/>
      <c r="N208" s="104"/>
      <c r="O208" s="104"/>
      <c r="P208" s="104"/>
      <c r="Q208" s="450"/>
      <c r="R208" s="1310"/>
      <c r="S208" s="1310"/>
      <c r="T208" s="1310"/>
      <c r="U208" s="451"/>
      <c r="V208" s="451"/>
      <c r="W208" s="451"/>
      <c r="X208" s="452"/>
      <c r="Y208" s="447"/>
      <c r="Z208" s="447"/>
      <c r="AA208" s="447"/>
      <c r="AB208" s="447"/>
      <c r="AC208" s="447"/>
      <c r="AD208" s="447"/>
      <c r="AE208" s="447"/>
      <c r="AF208" s="448"/>
      <c r="AG208" s="453"/>
      <c r="AH208" s="454"/>
      <c r="AI208" s="104"/>
      <c r="AJ208" s="455"/>
      <c r="AK208" s="456"/>
    </row>
    <row r="209" spans="2:37">
      <c r="B209" s="464" t="s">
        <v>1830</v>
      </c>
      <c r="C209" s="445"/>
      <c r="D209" s="64"/>
      <c r="E209" s="64"/>
      <c r="F209" s="64"/>
      <c r="G209" s="64"/>
      <c r="H209" s="446"/>
      <c r="I209" s="447"/>
      <c r="J209" s="447"/>
      <c r="K209" s="447"/>
      <c r="L209" s="448"/>
      <c r="M209" s="449"/>
      <c r="N209" s="104"/>
      <c r="O209" s="104"/>
      <c r="P209" s="104"/>
      <c r="Q209" s="450"/>
      <c r="R209" s="1310"/>
      <c r="S209" s="1310"/>
      <c r="T209" s="1310"/>
      <c r="U209" s="451"/>
      <c r="V209" s="451"/>
      <c r="W209" s="451"/>
      <c r="X209" s="452"/>
      <c r="Y209" s="447"/>
      <c r="Z209" s="447"/>
      <c r="AA209" s="447"/>
      <c r="AB209" s="447"/>
      <c r="AC209" s="447"/>
      <c r="AD209" s="447"/>
      <c r="AE209" s="447"/>
      <c r="AF209" s="448"/>
      <c r="AG209" s="453"/>
      <c r="AH209" s="454"/>
      <c r="AI209" s="104"/>
      <c r="AJ209" s="455"/>
      <c r="AK209" s="456"/>
    </row>
    <row r="210" spans="2:37">
      <c r="B210" s="464" t="s">
        <v>1831</v>
      </c>
      <c r="C210" s="445"/>
      <c r="D210" s="64"/>
      <c r="E210" s="64"/>
      <c r="F210" s="64"/>
      <c r="G210" s="64"/>
      <c r="H210" s="446"/>
      <c r="I210" s="447"/>
      <c r="J210" s="447"/>
      <c r="K210" s="447"/>
      <c r="L210" s="448"/>
      <c r="M210" s="449"/>
      <c r="N210" s="104"/>
      <c r="O210" s="104"/>
      <c r="P210" s="104"/>
      <c r="Q210" s="450"/>
      <c r="R210" s="1310"/>
      <c r="S210" s="1310"/>
      <c r="T210" s="1310"/>
      <c r="U210" s="451"/>
      <c r="V210" s="451"/>
      <c r="W210" s="451"/>
      <c r="X210" s="452"/>
      <c r="Y210" s="447"/>
      <c r="Z210" s="447"/>
      <c r="AA210" s="447"/>
      <c r="AB210" s="447"/>
      <c r="AC210" s="447"/>
      <c r="AD210" s="447"/>
      <c r="AE210" s="447"/>
      <c r="AF210" s="448"/>
      <c r="AG210" s="453"/>
      <c r="AH210" s="454"/>
      <c r="AI210" s="104"/>
      <c r="AJ210" s="455"/>
      <c r="AK210" s="456"/>
    </row>
    <row r="211" spans="2:37">
      <c r="B211" s="464" t="s">
        <v>1832</v>
      </c>
      <c r="C211" s="445"/>
      <c r="D211" s="64"/>
      <c r="E211" s="64"/>
      <c r="F211" s="64"/>
      <c r="G211" s="64"/>
      <c r="H211" s="446"/>
      <c r="I211" s="447"/>
      <c r="J211" s="447"/>
      <c r="K211" s="447"/>
      <c r="L211" s="448"/>
      <c r="M211" s="449"/>
      <c r="N211" s="104"/>
      <c r="O211" s="104"/>
      <c r="P211" s="104"/>
      <c r="Q211" s="450"/>
      <c r="R211" s="1310"/>
      <c r="S211" s="1310"/>
      <c r="T211" s="1310"/>
      <c r="U211" s="451"/>
      <c r="V211" s="451"/>
      <c r="W211" s="451"/>
      <c r="X211" s="452"/>
      <c r="Y211" s="447"/>
      <c r="Z211" s="447"/>
      <c r="AA211" s="447"/>
      <c r="AB211" s="447"/>
      <c r="AC211" s="447"/>
      <c r="AD211" s="447"/>
      <c r="AE211" s="447"/>
      <c r="AF211" s="448"/>
      <c r="AG211" s="453"/>
      <c r="AH211" s="454"/>
      <c r="AI211" s="104"/>
      <c r="AJ211" s="455"/>
      <c r="AK211" s="456"/>
    </row>
    <row r="212" spans="2:37">
      <c r="B212" s="464" t="s">
        <v>1833</v>
      </c>
      <c r="C212" s="445"/>
      <c r="D212" s="64"/>
      <c r="E212" s="64"/>
      <c r="F212" s="64"/>
      <c r="G212" s="64"/>
      <c r="H212" s="446"/>
      <c r="I212" s="447"/>
      <c r="J212" s="447"/>
      <c r="K212" s="447"/>
      <c r="L212" s="448"/>
      <c r="M212" s="449"/>
      <c r="N212" s="104"/>
      <c r="O212" s="104"/>
      <c r="P212" s="104"/>
      <c r="Q212" s="450"/>
      <c r="R212" s="1310"/>
      <c r="S212" s="1310"/>
      <c r="T212" s="1310"/>
      <c r="U212" s="451"/>
      <c r="V212" s="451"/>
      <c r="W212" s="451"/>
      <c r="X212" s="452"/>
      <c r="Y212" s="447"/>
      <c r="Z212" s="447"/>
      <c r="AA212" s="447"/>
      <c r="AB212" s="447"/>
      <c r="AC212" s="447"/>
      <c r="AD212" s="447"/>
      <c r="AE212" s="447"/>
      <c r="AF212" s="448"/>
      <c r="AG212" s="453"/>
      <c r="AH212" s="454"/>
      <c r="AI212" s="104"/>
      <c r="AJ212" s="455"/>
      <c r="AK212" s="456"/>
    </row>
    <row r="213" spans="2:37">
      <c r="B213" s="464" t="s">
        <v>2185</v>
      </c>
      <c r="C213" s="445"/>
      <c r="D213" s="64"/>
      <c r="E213" s="64"/>
      <c r="F213" s="64"/>
      <c r="G213" s="64"/>
      <c r="H213" s="446"/>
      <c r="I213" s="447"/>
      <c r="J213" s="447"/>
      <c r="K213" s="447"/>
      <c r="L213" s="448"/>
      <c r="M213" s="449"/>
      <c r="N213" s="104"/>
      <c r="O213" s="104"/>
      <c r="P213" s="104"/>
      <c r="Q213" s="450"/>
      <c r="R213" s="1310"/>
      <c r="S213" s="1310"/>
      <c r="T213" s="1310"/>
      <c r="U213" s="451"/>
      <c r="V213" s="451"/>
      <c r="W213" s="451"/>
      <c r="X213" s="452"/>
      <c r="Y213" s="447"/>
      <c r="Z213" s="447"/>
      <c r="AA213" s="447"/>
      <c r="AB213" s="447"/>
      <c r="AC213" s="447"/>
      <c r="AD213" s="447"/>
      <c r="AE213" s="447"/>
      <c r="AF213" s="448"/>
      <c r="AG213" s="453"/>
      <c r="AH213" s="454"/>
      <c r="AI213" s="104"/>
      <c r="AJ213" s="455"/>
      <c r="AK213" s="456"/>
    </row>
    <row r="214" spans="2:37">
      <c r="B214" s="464" t="s">
        <v>2186</v>
      </c>
      <c r="C214" s="445"/>
      <c r="D214" s="64"/>
      <c r="E214" s="64"/>
      <c r="F214" s="64"/>
      <c r="G214" s="64"/>
      <c r="H214" s="446"/>
      <c r="I214" s="447"/>
      <c r="J214" s="447"/>
      <c r="K214" s="447"/>
      <c r="L214" s="448"/>
      <c r="M214" s="449"/>
      <c r="N214" s="104"/>
      <c r="O214" s="104"/>
      <c r="P214" s="104"/>
      <c r="Q214" s="450"/>
      <c r="R214" s="1310"/>
      <c r="S214" s="1310"/>
      <c r="T214" s="1310"/>
      <c r="U214" s="451"/>
      <c r="V214" s="451"/>
      <c r="W214" s="451"/>
      <c r="X214" s="452"/>
      <c r="Y214" s="447"/>
      <c r="Z214" s="447"/>
      <c r="AA214" s="447"/>
      <c r="AB214" s="447"/>
      <c r="AC214" s="447"/>
      <c r="AD214" s="447"/>
      <c r="AE214" s="447"/>
      <c r="AF214" s="448"/>
      <c r="AG214" s="453"/>
      <c r="AH214" s="454"/>
      <c r="AI214" s="104"/>
      <c r="AJ214" s="455"/>
      <c r="AK214" s="456"/>
    </row>
    <row r="215" spans="2:37">
      <c r="B215" s="464" t="s">
        <v>2187</v>
      </c>
      <c r="C215" s="445"/>
      <c r="D215" s="64"/>
      <c r="E215" s="64"/>
      <c r="F215" s="64"/>
      <c r="G215" s="64"/>
      <c r="H215" s="446"/>
      <c r="I215" s="447"/>
      <c r="J215" s="447"/>
      <c r="K215" s="447"/>
      <c r="L215" s="448"/>
      <c r="M215" s="449"/>
      <c r="N215" s="104"/>
      <c r="O215" s="104"/>
      <c r="P215" s="104"/>
      <c r="Q215" s="450"/>
      <c r="R215" s="1310"/>
      <c r="S215" s="1310"/>
      <c r="T215" s="1310"/>
      <c r="U215" s="451"/>
      <c r="V215" s="451"/>
      <c r="W215" s="451"/>
      <c r="X215" s="452"/>
      <c r="Y215" s="447"/>
      <c r="Z215" s="447"/>
      <c r="AA215" s="447"/>
      <c r="AB215" s="447"/>
      <c r="AC215" s="447"/>
      <c r="AD215" s="447"/>
      <c r="AE215" s="447"/>
      <c r="AF215" s="448"/>
      <c r="AG215" s="453"/>
      <c r="AH215" s="454"/>
      <c r="AI215" s="104"/>
      <c r="AJ215" s="455"/>
      <c r="AK215" s="456"/>
    </row>
    <row r="216" spans="2:37">
      <c r="B216" s="464" t="s">
        <v>2188</v>
      </c>
      <c r="C216" s="445"/>
      <c r="D216" s="64"/>
      <c r="E216" s="64"/>
      <c r="F216" s="64"/>
      <c r="G216" s="64"/>
      <c r="H216" s="446"/>
      <c r="I216" s="447"/>
      <c r="J216" s="447"/>
      <c r="K216" s="447"/>
      <c r="L216" s="448"/>
      <c r="M216" s="449"/>
      <c r="N216" s="104"/>
      <c r="O216" s="104"/>
      <c r="P216" s="104"/>
      <c r="Q216" s="450"/>
      <c r="R216" s="1310"/>
      <c r="S216" s="1310"/>
      <c r="T216" s="1310"/>
      <c r="U216" s="451"/>
      <c r="V216" s="451"/>
      <c r="W216" s="451"/>
      <c r="X216" s="452"/>
      <c r="Y216" s="447"/>
      <c r="Z216" s="447"/>
      <c r="AA216" s="447"/>
      <c r="AB216" s="447"/>
      <c r="AC216" s="447"/>
      <c r="AD216" s="447"/>
      <c r="AE216" s="447"/>
      <c r="AF216" s="448"/>
      <c r="AG216" s="453"/>
      <c r="AH216" s="454"/>
      <c r="AI216" s="104"/>
      <c r="AJ216" s="455"/>
      <c r="AK216" s="456"/>
    </row>
    <row r="217" spans="2:37" ht="12.75" customHeight="1">
      <c r="B217" s="464" t="s">
        <v>2189</v>
      </c>
      <c r="C217" s="445"/>
      <c r="D217" s="64"/>
      <c r="E217" s="64"/>
      <c r="F217" s="64"/>
      <c r="G217" s="64"/>
      <c r="H217" s="446"/>
      <c r="I217" s="447"/>
      <c r="J217" s="447"/>
      <c r="K217" s="447"/>
      <c r="L217" s="448"/>
      <c r="M217" s="449"/>
      <c r="N217" s="104"/>
      <c r="O217" s="104"/>
      <c r="P217" s="104"/>
      <c r="Q217" s="450"/>
      <c r="R217" s="1310"/>
      <c r="S217" s="1310"/>
      <c r="T217" s="1310"/>
      <c r="U217" s="451"/>
      <c r="V217" s="451"/>
      <c r="W217" s="451"/>
      <c r="X217" s="452"/>
      <c r="Y217" s="447"/>
      <c r="Z217" s="447"/>
      <c r="AA217" s="447"/>
      <c r="AB217" s="447"/>
      <c r="AC217" s="447"/>
      <c r="AD217" s="447"/>
      <c r="AE217" s="447"/>
      <c r="AF217" s="448"/>
      <c r="AG217" s="453"/>
      <c r="AH217" s="454"/>
      <c r="AI217" s="104"/>
      <c r="AJ217" s="455"/>
      <c r="AK217" s="456"/>
    </row>
    <row r="218" spans="2:37" ht="12.75" customHeight="1">
      <c r="B218" s="464" t="s">
        <v>2190</v>
      </c>
      <c r="C218" s="445"/>
      <c r="D218" s="64"/>
      <c r="E218" s="64"/>
      <c r="F218" s="64"/>
      <c r="G218" s="64"/>
      <c r="H218" s="446"/>
      <c r="I218" s="447"/>
      <c r="J218" s="447"/>
      <c r="K218" s="447"/>
      <c r="L218" s="448"/>
      <c r="M218" s="449"/>
      <c r="N218" s="104"/>
      <c r="O218" s="104"/>
      <c r="P218" s="104"/>
      <c r="Q218" s="450"/>
      <c r="R218" s="1310"/>
      <c r="S218" s="1310"/>
      <c r="T218" s="1310"/>
      <c r="U218" s="451"/>
      <c r="V218" s="451"/>
      <c r="W218" s="451"/>
      <c r="X218" s="452"/>
      <c r="Y218" s="447"/>
      <c r="Z218" s="447"/>
      <c r="AA218" s="447"/>
      <c r="AB218" s="447"/>
      <c r="AC218" s="447"/>
      <c r="AD218" s="447"/>
      <c r="AE218" s="447"/>
      <c r="AF218" s="448"/>
      <c r="AG218" s="453"/>
      <c r="AH218" s="454"/>
      <c r="AI218" s="104"/>
      <c r="AJ218" s="455"/>
      <c r="AK218" s="456"/>
    </row>
    <row r="219" spans="2:37" ht="12.75" customHeight="1">
      <c r="B219" s="464" t="s">
        <v>2191</v>
      </c>
      <c r="C219" s="445"/>
      <c r="D219" s="64"/>
      <c r="E219" s="64"/>
      <c r="F219" s="64"/>
      <c r="G219" s="64"/>
      <c r="H219" s="446"/>
      <c r="I219" s="447"/>
      <c r="J219" s="447"/>
      <c r="K219" s="447"/>
      <c r="L219" s="448"/>
      <c r="M219" s="449"/>
      <c r="N219" s="104"/>
      <c r="O219" s="104"/>
      <c r="P219" s="104"/>
      <c r="Q219" s="450"/>
      <c r="R219" s="1310"/>
      <c r="S219" s="1310"/>
      <c r="T219" s="1310"/>
      <c r="U219" s="451"/>
      <c r="V219" s="451"/>
      <c r="W219" s="451"/>
      <c r="X219" s="452"/>
      <c r="Y219" s="447"/>
      <c r="Z219" s="447"/>
      <c r="AA219" s="447"/>
      <c r="AB219" s="447"/>
      <c r="AC219" s="447"/>
      <c r="AD219" s="447"/>
      <c r="AE219" s="447"/>
      <c r="AF219" s="448"/>
      <c r="AG219" s="453"/>
      <c r="AH219" s="454"/>
      <c r="AI219" s="104"/>
      <c r="AJ219" s="455"/>
      <c r="AK219" s="456"/>
    </row>
    <row r="220" spans="2:37" ht="12.75" customHeight="1">
      <c r="B220" s="464" t="s">
        <v>2192</v>
      </c>
      <c r="C220" s="445"/>
      <c r="D220" s="64"/>
      <c r="E220" s="64"/>
      <c r="F220" s="64"/>
      <c r="G220" s="64"/>
      <c r="H220" s="446"/>
      <c r="I220" s="447"/>
      <c r="J220" s="447"/>
      <c r="K220" s="447"/>
      <c r="L220" s="448"/>
      <c r="M220" s="449"/>
      <c r="N220" s="104"/>
      <c r="O220" s="104"/>
      <c r="P220" s="104"/>
      <c r="Q220" s="450"/>
      <c r="R220" s="1310"/>
      <c r="S220" s="1310"/>
      <c r="T220" s="1310"/>
      <c r="U220" s="451"/>
      <c r="V220" s="451"/>
      <c r="W220" s="451"/>
      <c r="X220" s="452"/>
      <c r="Y220" s="447"/>
      <c r="Z220" s="447"/>
      <c r="AA220" s="447"/>
      <c r="AB220" s="447"/>
      <c r="AC220" s="447"/>
      <c r="AD220" s="447"/>
      <c r="AE220" s="447"/>
      <c r="AF220" s="448"/>
      <c r="AG220" s="453"/>
      <c r="AH220" s="454"/>
      <c r="AI220" s="104"/>
      <c r="AJ220" s="455"/>
      <c r="AK220" s="456"/>
    </row>
    <row r="221" spans="2:37" ht="12.75" customHeight="1">
      <c r="B221" s="464" t="s">
        <v>2193</v>
      </c>
      <c r="C221" s="445"/>
      <c r="D221" s="64"/>
      <c r="E221" s="64"/>
      <c r="F221" s="64"/>
      <c r="G221" s="64"/>
      <c r="H221" s="446"/>
      <c r="I221" s="447"/>
      <c r="J221" s="447"/>
      <c r="K221" s="447"/>
      <c r="L221" s="448"/>
      <c r="M221" s="449"/>
      <c r="N221" s="104"/>
      <c r="O221" s="104"/>
      <c r="P221" s="104"/>
      <c r="Q221" s="450"/>
      <c r="R221" s="1310"/>
      <c r="S221" s="1310"/>
      <c r="T221" s="1310"/>
      <c r="U221" s="451"/>
      <c r="V221" s="451"/>
      <c r="W221" s="451"/>
      <c r="X221" s="452"/>
      <c r="Y221" s="447"/>
      <c r="Z221" s="447"/>
      <c r="AA221" s="447"/>
      <c r="AB221" s="447"/>
      <c r="AC221" s="447"/>
      <c r="AD221" s="447"/>
      <c r="AE221" s="447"/>
      <c r="AF221" s="448"/>
      <c r="AG221" s="453"/>
      <c r="AH221" s="454"/>
      <c r="AI221" s="104"/>
      <c r="AJ221" s="455"/>
      <c r="AK221" s="456"/>
    </row>
    <row r="222" spans="2:37" ht="12.75" customHeight="1">
      <c r="B222" s="464" t="s">
        <v>2194</v>
      </c>
      <c r="C222" s="445"/>
      <c r="D222" s="64"/>
      <c r="E222" s="64"/>
      <c r="F222" s="64"/>
      <c r="G222" s="64"/>
      <c r="H222" s="446"/>
      <c r="I222" s="447"/>
      <c r="J222" s="447"/>
      <c r="K222" s="447"/>
      <c r="L222" s="448"/>
      <c r="M222" s="449"/>
      <c r="N222" s="104"/>
      <c r="O222" s="104"/>
      <c r="P222" s="104"/>
      <c r="Q222" s="450"/>
      <c r="R222" s="1310"/>
      <c r="S222" s="1310"/>
      <c r="T222" s="1310"/>
      <c r="U222" s="451"/>
      <c r="V222" s="451"/>
      <c r="W222" s="451"/>
      <c r="X222" s="452"/>
      <c r="Y222" s="447"/>
      <c r="Z222" s="447"/>
      <c r="AA222" s="447"/>
      <c r="AB222" s="447"/>
      <c r="AC222" s="447"/>
      <c r="AD222" s="447"/>
      <c r="AE222" s="447"/>
      <c r="AF222" s="448"/>
      <c r="AG222" s="453"/>
      <c r="AH222" s="454"/>
      <c r="AI222" s="104"/>
      <c r="AJ222" s="455"/>
      <c r="AK222" s="456"/>
    </row>
    <row r="223" spans="2:37" ht="12.75" customHeight="1">
      <c r="B223" s="464" t="s">
        <v>2195</v>
      </c>
      <c r="C223" s="445"/>
      <c r="D223" s="64"/>
      <c r="E223" s="64"/>
      <c r="F223" s="64"/>
      <c r="G223" s="64"/>
      <c r="H223" s="446"/>
      <c r="I223" s="447"/>
      <c r="J223" s="447"/>
      <c r="K223" s="447"/>
      <c r="L223" s="448"/>
      <c r="M223" s="449"/>
      <c r="N223" s="104"/>
      <c r="O223" s="104"/>
      <c r="P223" s="104"/>
      <c r="Q223" s="450"/>
      <c r="R223" s="1310"/>
      <c r="S223" s="1310"/>
      <c r="T223" s="1310"/>
      <c r="U223" s="451"/>
      <c r="V223" s="451"/>
      <c r="W223" s="451"/>
      <c r="X223" s="452"/>
      <c r="Y223" s="447"/>
      <c r="Z223" s="447"/>
      <c r="AA223" s="447"/>
      <c r="AB223" s="447"/>
      <c r="AC223" s="447"/>
      <c r="AD223" s="447"/>
      <c r="AE223" s="447"/>
      <c r="AF223" s="448"/>
      <c r="AG223" s="453"/>
      <c r="AH223" s="454"/>
      <c r="AI223" s="104"/>
      <c r="AJ223" s="455"/>
      <c r="AK223" s="456"/>
    </row>
    <row r="224" spans="2:37" ht="12.75" customHeight="1">
      <c r="B224" s="464" t="s">
        <v>2196</v>
      </c>
      <c r="C224" s="445"/>
      <c r="D224" s="64"/>
      <c r="E224" s="64"/>
      <c r="F224" s="64"/>
      <c r="G224" s="64"/>
      <c r="H224" s="446"/>
      <c r="I224" s="447"/>
      <c r="J224" s="447"/>
      <c r="K224" s="447"/>
      <c r="L224" s="448"/>
      <c r="M224" s="449"/>
      <c r="N224" s="104"/>
      <c r="O224" s="104"/>
      <c r="P224" s="104"/>
      <c r="Q224" s="450"/>
      <c r="R224" s="1310"/>
      <c r="S224" s="1310"/>
      <c r="T224" s="1310"/>
      <c r="U224" s="451"/>
      <c r="V224" s="451"/>
      <c r="W224" s="451"/>
      <c r="X224" s="452"/>
      <c r="Y224" s="447"/>
      <c r="Z224" s="447"/>
      <c r="AA224" s="447"/>
      <c r="AB224" s="447"/>
      <c r="AC224" s="447"/>
      <c r="AD224" s="447"/>
      <c r="AE224" s="447"/>
      <c r="AF224" s="448"/>
      <c r="AG224" s="453"/>
      <c r="AH224" s="454"/>
      <c r="AI224" s="104"/>
      <c r="AJ224" s="455"/>
      <c r="AK224" s="456"/>
    </row>
    <row r="225" spans="2:43" ht="12.75" customHeight="1">
      <c r="B225" s="464" t="s">
        <v>2197</v>
      </c>
      <c r="C225" s="445"/>
      <c r="D225" s="64"/>
      <c r="E225" s="64"/>
      <c r="F225" s="64"/>
      <c r="G225" s="64"/>
      <c r="H225" s="446"/>
      <c r="I225" s="447"/>
      <c r="J225" s="447"/>
      <c r="K225" s="447"/>
      <c r="L225" s="448"/>
      <c r="M225" s="449"/>
      <c r="N225" s="104"/>
      <c r="O225" s="104"/>
      <c r="P225" s="104"/>
      <c r="Q225" s="450"/>
      <c r="R225" s="1310"/>
      <c r="S225" s="1310"/>
      <c r="T225" s="1310"/>
      <c r="U225" s="451"/>
      <c r="V225" s="451"/>
      <c r="W225" s="451"/>
      <c r="X225" s="452"/>
      <c r="Y225" s="447"/>
      <c r="Z225" s="447"/>
      <c r="AA225" s="447"/>
      <c r="AB225" s="447"/>
      <c r="AC225" s="447"/>
      <c r="AD225" s="447"/>
      <c r="AE225" s="447"/>
      <c r="AF225" s="448"/>
      <c r="AG225" s="453"/>
      <c r="AH225" s="454"/>
      <c r="AI225" s="104"/>
      <c r="AJ225" s="455"/>
      <c r="AK225" s="456"/>
    </row>
    <row r="226" spans="2:43" ht="12.75" customHeight="1">
      <c r="B226" s="464" t="s">
        <v>2198</v>
      </c>
      <c r="C226" s="445"/>
      <c r="D226" s="64"/>
      <c r="E226" s="64"/>
      <c r="F226" s="64"/>
      <c r="G226" s="64"/>
      <c r="H226" s="446"/>
      <c r="I226" s="447"/>
      <c r="J226" s="447"/>
      <c r="K226" s="447"/>
      <c r="L226" s="448"/>
      <c r="M226" s="449"/>
      <c r="N226" s="104"/>
      <c r="O226" s="104"/>
      <c r="P226" s="104"/>
      <c r="Q226" s="450"/>
      <c r="R226" s="1310"/>
      <c r="S226" s="1310"/>
      <c r="T226" s="1310"/>
      <c r="U226" s="451"/>
      <c r="V226" s="451"/>
      <c r="W226" s="451"/>
      <c r="X226" s="452"/>
      <c r="Y226" s="447"/>
      <c r="Z226" s="447"/>
      <c r="AA226" s="447"/>
      <c r="AB226" s="447"/>
      <c r="AC226" s="447"/>
      <c r="AD226" s="447"/>
      <c r="AE226" s="447"/>
      <c r="AF226" s="448"/>
      <c r="AG226" s="453"/>
      <c r="AH226" s="454"/>
      <c r="AI226" s="104"/>
      <c r="AJ226" s="455"/>
      <c r="AK226" s="456"/>
    </row>
    <row r="227" spans="2:43" ht="12.75" customHeight="1">
      <c r="B227" s="464" t="s">
        <v>2199</v>
      </c>
      <c r="C227" s="445"/>
      <c r="D227" s="64"/>
      <c r="E227" s="64"/>
      <c r="F227" s="64"/>
      <c r="G227" s="64"/>
      <c r="H227" s="446"/>
      <c r="I227" s="447"/>
      <c r="J227" s="447"/>
      <c r="K227" s="447"/>
      <c r="L227" s="448"/>
      <c r="M227" s="449"/>
      <c r="N227" s="104"/>
      <c r="O227" s="104"/>
      <c r="P227" s="104"/>
      <c r="Q227" s="450"/>
      <c r="R227" s="1310"/>
      <c r="S227" s="1310"/>
      <c r="T227" s="1310"/>
      <c r="U227" s="451"/>
      <c r="V227" s="451"/>
      <c r="W227" s="451"/>
      <c r="X227" s="452"/>
      <c r="Y227" s="447"/>
      <c r="Z227" s="447"/>
      <c r="AA227" s="447"/>
      <c r="AB227" s="447"/>
      <c r="AC227" s="447"/>
      <c r="AD227" s="447"/>
      <c r="AE227" s="447"/>
      <c r="AF227" s="448"/>
      <c r="AG227" s="453"/>
      <c r="AH227" s="454"/>
      <c r="AI227" s="104"/>
      <c r="AJ227" s="455"/>
      <c r="AK227" s="456"/>
    </row>
    <row r="228" spans="2:43" ht="12.75" customHeight="1">
      <c r="B228" s="464" t="s">
        <v>2200</v>
      </c>
      <c r="C228" s="445"/>
      <c r="D228" s="64"/>
      <c r="E228" s="64"/>
      <c r="F228" s="64"/>
      <c r="G228" s="64"/>
      <c r="H228" s="446"/>
      <c r="I228" s="447"/>
      <c r="J228" s="447"/>
      <c r="K228" s="447"/>
      <c r="L228" s="448"/>
      <c r="M228" s="449"/>
      <c r="N228" s="104"/>
      <c r="O228" s="104"/>
      <c r="P228" s="104"/>
      <c r="Q228" s="450"/>
      <c r="R228" s="1310"/>
      <c r="S228" s="1310"/>
      <c r="T228" s="1310"/>
      <c r="U228" s="451"/>
      <c r="V228" s="451"/>
      <c r="W228" s="451"/>
      <c r="X228" s="452"/>
      <c r="Y228" s="447"/>
      <c r="Z228" s="447"/>
      <c r="AA228" s="447"/>
      <c r="AB228" s="447"/>
      <c r="AC228" s="447"/>
      <c r="AD228" s="447"/>
      <c r="AE228" s="447"/>
      <c r="AF228" s="448"/>
      <c r="AG228" s="453"/>
      <c r="AH228" s="454"/>
      <c r="AI228" s="104"/>
      <c r="AJ228" s="455"/>
      <c r="AK228" s="456"/>
    </row>
    <row r="229" spans="2:43" ht="12.75" customHeight="1">
      <c r="B229" s="464" t="s">
        <v>2201</v>
      </c>
      <c r="C229" s="445"/>
      <c r="D229" s="64"/>
      <c r="E229" s="64"/>
      <c r="F229" s="64"/>
      <c r="G229" s="64"/>
      <c r="H229" s="446"/>
      <c r="I229" s="447"/>
      <c r="J229" s="447"/>
      <c r="K229" s="447"/>
      <c r="L229" s="448"/>
      <c r="M229" s="449"/>
      <c r="N229" s="104"/>
      <c r="O229" s="104"/>
      <c r="P229" s="104"/>
      <c r="Q229" s="450"/>
      <c r="R229" s="1310"/>
      <c r="S229" s="1310"/>
      <c r="T229" s="1310"/>
      <c r="U229" s="451"/>
      <c r="V229" s="451"/>
      <c r="W229" s="451"/>
      <c r="X229" s="452"/>
      <c r="Y229" s="447"/>
      <c r="Z229" s="447"/>
      <c r="AA229" s="447"/>
      <c r="AB229" s="447"/>
      <c r="AC229" s="447"/>
      <c r="AD229" s="447"/>
      <c r="AE229" s="447"/>
      <c r="AF229" s="448"/>
      <c r="AG229" s="453"/>
      <c r="AH229" s="454"/>
      <c r="AI229" s="104"/>
      <c r="AJ229" s="455"/>
      <c r="AK229" s="456"/>
    </row>
    <row r="230" spans="2:43" ht="12.75" customHeight="1">
      <c r="B230" s="464" t="s">
        <v>2202</v>
      </c>
      <c r="C230" s="445"/>
      <c r="D230" s="64"/>
      <c r="E230" s="64"/>
      <c r="F230" s="64"/>
      <c r="G230" s="64"/>
      <c r="H230" s="446"/>
      <c r="I230" s="447"/>
      <c r="J230" s="447"/>
      <c r="K230" s="447"/>
      <c r="L230" s="448"/>
      <c r="M230" s="449"/>
      <c r="N230" s="104"/>
      <c r="O230" s="104"/>
      <c r="P230" s="104"/>
      <c r="Q230" s="450"/>
      <c r="R230" s="1310"/>
      <c r="S230" s="1310"/>
      <c r="T230" s="1310"/>
      <c r="U230" s="451"/>
      <c r="V230" s="451"/>
      <c r="W230" s="451"/>
      <c r="X230" s="452"/>
      <c r="Y230" s="447"/>
      <c r="Z230" s="447"/>
      <c r="AA230" s="447"/>
      <c r="AB230" s="447"/>
      <c r="AC230" s="447"/>
      <c r="AD230" s="447"/>
      <c r="AE230" s="447"/>
      <c r="AF230" s="448"/>
      <c r="AG230" s="453"/>
      <c r="AH230" s="454"/>
      <c r="AI230" s="104"/>
      <c r="AJ230" s="455"/>
      <c r="AK230" s="456"/>
    </row>
    <row r="231" spans="2:43" ht="12.75" customHeight="1">
      <c r="B231" s="464" t="s">
        <v>1835</v>
      </c>
      <c r="C231" s="445"/>
      <c r="D231" s="64"/>
      <c r="E231" s="64"/>
      <c r="F231" s="64"/>
      <c r="G231" s="64"/>
      <c r="H231" s="446"/>
      <c r="I231" s="447"/>
      <c r="J231" s="447"/>
      <c r="K231" s="447"/>
      <c r="L231" s="448"/>
      <c r="M231" s="449"/>
      <c r="N231" s="104"/>
      <c r="O231" s="104"/>
      <c r="P231" s="104"/>
      <c r="Q231" s="450"/>
      <c r="R231" s="1310"/>
      <c r="S231" s="1310"/>
      <c r="T231" s="1310"/>
      <c r="U231" s="451"/>
      <c r="V231" s="451"/>
      <c r="W231" s="451"/>
      <c r="X231" s="452"/>
      <c r="Y231" s="447"/>
      <c r="Z231" s="447"/>
      <c r="AA231" s="447"/>
      <c r="AB231" s="447"/>
      <c r="AC231" s="447"/>
      <c r="AD231" s="447"/>
      <c r="AE231" s="447"/>
      <c r="AF231" s="448"/>
      <c r="AG231" s="453"/>
      <c r="AH231" s="454"/>
      <c r="AI231" s="104"/>
      <c r="AJ231" s="455"/>
      <c r="AK231" s="456"/>
    </row>
    <row r="232" spans="2:43" ht="12.75" customHeight="1">
      <c r="B232" s="464" t="s">
        <v>1836</v>
      </c>
      <c r="C232" s="445"/>
      <c r="D232" s="64"/>
      <c r="E232" s="64"/>
      <c r="F232" s="64"/>
      <c r="G232" s="64"/>
      <c r="H232" s="446"/>
      <c r="I232" s="447"/>
      <c r="J232" s="447"/>
      <c r="K232" s="447"/>
      <c r="L232" s="448"/>
      <c r="M232" s="449"/>
      <c r="N232" s="104"/>
      <c r="O232" s="104"/>
      <c r="P232" s="104"/>
      <c r="Q232" s="450"/>
      <c r="R232" s="1310"/>
      <c r="S232" s="1310"/>
      <c r="T232" s="1310"/>
      <c r="U232" s="451"/>
      <c r="V232" s="451"/>
      <c r="W232" s="451"/>
      <c r="X232" s="452"/>
      <c r="Y232" s="447"/>
      <c r="Z232" s="447"/>
      <c r="AA232" s="447"/>
      <c r="AB232" s="447"/>
      <c r="AC232" s="447"/>
      <c r="AD232" s="447"/>
      <c r="AE232" s="447"/>
      <c r="AF232" s="448"/>
      <c r="AG232" s="453"/>
      <c r="AH232" s="454"/>
      <c r="AI232" s="104"/>
      <c r="AJ232" s="455"/>
      <c r="AK232" s="456"/>
    </row>
    <row r="233" spans="2:43" ht="12.75" customHeight="1">
      <c r="B233" s="465" t="s">
        <v>1837</v>
      </c>
      <c r="C233" s="466"/>
      <c r="D233" s="467"/>
      <c r="E233" s="467"/>
      <c r="F233" s="467"/>
      <c r="G233" s="467"/>
      <c r="H233" s="468"/>
      <c r="I233" s="469"/>
      <c r="J233" s="469"/>
      <c r="K233" s="469"/>
      <c r="L233" s="470"/>
      <c r="M233" s="471"/>
      <c r="N233" s="472"/>
      <c r="O233" s="472"/>
      <c r="P233" s="472"/>
      <c r="Q233" s="473"/>
      <c r="R233" s="1311"/>
      <c r="S233" s="1311"/>
      <c r="T233" s="1311"/>
      <c r="U233" s="474"/>
      <c r="V233" s="474"/>
      <c r="W233" s="474"/>
      <c r="X233" s="475"/>
      <c r="Y233" s="469"/>
      <c r="Z233" s="469"/>
      <c r="AA233" s="469"/>
      <c r="AB233" s="469"/>
      <c r="AC233" s="469"/>
      <c r="AD233" s="469"/>
      <c r="AE233" s="469"/>
      <c r="AF233" s="470"/>
      <c r="AG233" s="476"/>
      <c r="AH233" s="477"/>
      <c r="AI233" s="472"/>
      <c r="AJ233" s="478"/>
      <c r="AK233" s="444"/>
    </row>
    <row r="234" spans="2:43" ht="12.75" customHeight="1">
      <c r="B234" t="s">
        <v>1838</v>
      </c>
      <c r="C234" s="445">
        <v>1</v>
      </c>
      <c r="D234" s="64">
        <v>0</v>
      </c>
      <c r="E234" s="64">
        <v>0</v>
      </c>
      <c r="F234" s="64">
        <v>0</v>
      </c>
      <c r="G234" s="64">
        <v>0</v>
      </c>
      <c r="H234" s="446">
        <f t="shared" ref="H234:H284" si="58">SUM(C234:G234)</f>
        <v>1</v>
      </c>
      <c r="I234" s="447">
        <f>J$15</f>
        <v>0.39999999999999991</v>
      </c>
      <c r="J234" s="447">
        <f t="shared" ref="J234:J284" si="59">I234*$O$2</f>
        <v>16.065306122448977</v>
      </c>
      <c r="K234" s="94">
        <f>SUMPRODUCT($E$13:$E$15,$J$16:$J$18)</f>
        <v>20</v>
      </c>
      <c r="L234" s="448">
        <f t="shared" ref="L234:L284" si="60">J234+K234</f>
        <v>36.065306122448973</v>
      </c>
      <c r="M234" s="449">
        <f>SUMPRODUCT($C$13:$C$15,$J$16:$J$18)</f>
        <v>1</v>
      </c>
      <c r="N234" s="104">
        <f>SUMPRODUCT($D$13:$D$15,$J$16:$J$18)</f>
        <v>17.399999999999999</v>
      </c>
      <c r="O234" s="104">
        <v>0</v>
      </c>
      <c r="P234" s="104">
        <v>0</v>
      </c>
      <c r="Q234" s="450">
        <f t="shared" ref="Q234:Q243" si="61">IF(N234&gt;L234/sndeps,L234/sndeps,N234+(L234/sndeps-N234)*sndeps/eps)</f>
        <v>2.7387180339156001</v>
      </c>
      <c r="R234" s="1310">
        <f>(J$15+1-$J$15)*$O$2+25</f>
        <v>65.16326530612244</v>
      </c>
      <c r="S234" s="1310">
        <v>0</v>
      </c>
      <c r="T234" s="1310">
        <v>0</v>
      </c>
      <c r="U234" s="451">
        <f>IF(N234&gt;0,MIN(1,N234/Q234),0)</f>
        <v>1</v>
      </c>
      <c r="V234" s="451">
        <v>0</v>
      </c>
      <c r="W234" s="451">
        <v>0</v>
      </c>
      <c r="X234" s="452">
        <f t="shared" ref="X234:X284" si="62">MIN(1,H234*10/Q234)*fw+(1-(MIN(1,H234*10/Q234)))*1</f>
        <v>1</v>
      </c>
      <c r="Y234" s="447">
        <f t="shared" ref="Y234:Y284" si="63">(I234*avginst)*X234*$K$4</f>
        <v>382.44868430760147</v>
      </c>
      <c r="Z234" s="447">
        <f>Q234*U234*$O$6*(sndfact-1)*$K$4</f>
        <v>486.338989263499</v>
      </c>
      <c r="AA234" s="447">
        <v>0</v>
      </c>
      <c r="AB234" s="447">
        <v>0</v>
      </c>
      <c r="AC234" s="447">
        <v>0</v>
      </c>
      <c r="AD234" s="447">
        <v>0</v>
      </c>
      <c r="AE234" s="447">
        <v>0</v>
      </c>
      <c r="AF234" s="448">
        <f t="shared" ref="AF234:AF243" si="64">SUM(Y234:AE234)</f>
        <v>868.78767357110041</v>
      </c>
      <c r="AG234" s="453">
        <f t="shared" ref="AG234:AG265" si="65">IF(AND(forceea,W234=0),0,IF(time=0, AF234/Q234, IF(time&lt;Q234, 0, AF234/Q234))*AQ234)</f>
        <v>317.22421323124576</v>
      </c>
      <c r="AH234" s="454">
        <f>N234-$Q234</f>
        <v>14.661281966084399</v>
      </c>
      <c r="AI234" s="104">
        <v>0</v>
      </c>
      <c r="AJ234" s="455">
        <v>0</v>
      </c>
      <c r="AK234" s="456" t="str">
        <f>IF(instatk="Mut","1-3s",IF(Sealfate&gt;0,"1-2s","1s"))</f>
        <v>1s</v>
      </c>
      <c r="AL234" t="str">
        <f>IF(AND(OR(allowrupt,NOT(D234)),OR(AND(poison,allowenv),NOT(F234)),$X$2-AG234&lt;50),MAX($AL$55:$AL233)+1,"")</f>
        <v/>
      </c>
      <c r="AQ234" t="b">
        <v>1</v>
      </c>
    </row>
    <row r="235" spans="2:43" ht="12.75" customHeight="1">
      <c r="B235" t="s">
        <v>1839</v>
      </c>
      <c r="C235" s="445">
        <v>1</v>
      </c>
      <c r="D235" s="64">
        <v>0</v>
      </c>
      <c r="E235" s="64">
        <v>0</v>
      </c>
      <c r="F235" s="64">
        <v>0</v>
      </c>
      <c r="G235" s="64">
        <v>0</v>
      </c>
      <c r="H235" s="446">
        <f t="shared" si="58"/>
        <v>1</v>
      </c>
      <c r="I235" s="447">
        <f>K$15</f>
        <v>1.4</v>
      </c>
      <c r="J235" s="447">
        <f t="shared" si="59"/>
        <v>56.228571428571421</v>
      </c>
      <c r="K235" s="94">
        <f>SUMPRODUCT($E$14:$E$16,$K$16:$K$18)</f>
        <v>15</v>
      </c>
      <c r="L235" s="448">
        <f t="shared" si="60"/>
        <v>71.228571428571428</v>
      </c>
      <c r="M235" s="449">
        <f>SUMPRODUCT($C$14:$C$16,$K$16:$K$18)</f>
        <v>2</v>
      </c>
      <c r="N235" s="104">
        <f>SUMPRODUCT($D$14:$D$16,$K$16:$K$18)</f>
        <v>21.75</v>
      </c>
      <c r="O235" s="104">
        <v>0</v>
      </c>
      <c r="P235" s="104">
        <v>0</v>
      </c>
      <c r="Q235" s="450">
        <f t="shared" si="61"/>
        <v>5.4089371219851907</v>
      </c>
      <c r="R235" s="1310">
        <f>(K$15+1-$J$15)*$O$2+25</f>
        <v>105.32653061224489</v>
      </c>
      <c r="S235" s="1310">
        <v>0</v>
      </c>
      <c r="T235" s="1310">
        <v>0</v>
      </c>
      <c r="U235" s="451">
        <f>IF(N235&gt;0,MIN(1,N235/Q235),0)</f>
        <v>1</v>
      </c>
      <c r="V235" s="451">
        <v>0</v>
      </c>
      <c r="W235" s="451">
        <v>0</v>
      </c>
      <c r="X235" s="452">
        <f t="shared" si="62"/>
        <v>1</v>
      </c>
      <c r="Y235" s="447">
        <f t="shared" si="63"/>
        <v>1338.5703950766056</v>
      </c>
      <c r="Z235" s="447">
        <f>Q235*U235*$O$6*(sndfact-1)*$K$4</f>
        <v>960.51399973260789</v>
      </c>
      <c r="AA235" s="447">
        <v>0</v>
      </c>
      <c r="AB235" s="447">
        <v>0</v>
      </c>
      <c r="AC235" s="447">
        <v>0</v>
      </c>
      <c r="AD235" s="447">
        <v>0</v>
      </c>
      <c r="AE235" s="447">
        <v>0</v>
      </c>
      <c r="AF235" s="448">
        <f t="shared" si="64"/>
        <v>2299.0843948092133</v>
      </c>
      <c r="AG235" s="453">
        <f t="shared" si="65"/>
        <v>425.05289726226329</v>
      </c>
      <c r="AH235" s="454">
        <f>N235-$Q235</f>
        <v>16.34106287801481</v>
      </c>
      <c r="AI235" s="104">
        <v>0</v>
      </c>
      <c r="AJ235" s="455">
        <v>0</v>
      </c>
      <c r="AK235" s="456" t="str">
        <f>IF(instatk="Mut","2-4s",IF(Sealfate&gt;0,"2-3s","2s"))</f>
        <v>2s</v>
      </c>
      <c r="AL235" t="str">
        <f>IF(AND(OR(allowrupt,NOT(D235)),OR(AND(poison,allowenv),NOT(F235)),$X$2-AG235&lt;50),MAX($AL$55:$AL234)+1,"")</f>
        <v/>
      </c>
      <c r="AQ235" t="b">
        <v>1</v>
      </c>
    </row>
    <row r="236" spans="2:43" ht="12.75" customHeight="1">
      <c r="B236" t="s">
        <v>1840</v>
      </c>
      <c r="C236" s="445">
        <v>1</v>
      </c>
      <c r="D236" s="64">
        <v>0</v>
      </c>
      <c r="E236" s="64">
        <v>0</v>
      </c>
      <c r="F236" s="64">
        <v>0</v>
      </c>
      <c r="G236" s="64">
        <v>0</v>
      </c>
      <c r="H236" s="446">
        <f t="shared" si="58"/>
        <v>1</v>
      </c>
      <c r="I236" s="447">
        <f>L$15</f>
        <v>2.4</v>
      </c>
      <c r="J236" s="447">
        <f t="shared" si="59"/>
        <v>96.391836734693868</v>
      </c>
      <c r="K236" s="94">
        <f>SUMPRODUCT($E$15:$E$17,$L$16:$L$18)</f>
        <v>10</v>
      </c>
      <c r="L236" s="448">
        <f t="shared" si="60"/>
        <v>106.39183673469387</v>
      </c>
      <c r="M236" s="449">
        <f>SUMPRODUCT($C$15:$C$17,$L$16:$L$18)</f>
        <v>3</v>
      </c>
      <c r="N236" s="104">
        <f>SUMPRODUCT($D$15:$D$17,$L$16:$L$18)</f>
        <v>26.099999999999998</v>
      </c>
      <c r="O236" s="104">
        <v>0</v>
      </c>
      <c r="P236" s="104">
        <v>0</v>
      </c>
      <c r="Q236" s="450">
        <f t="shared" si="61"/>
        <v>8.07915621005478</v>
      </c>
      <c r="R236" s="1310">
        <f>(L$15+1-$J$15)*$O$2+25</f>
        <v>145.48979591836735</v>
      </c>
      <c r="S236" s="1310">
        <v>0</v>
      </c>
      <c r="T236" s="1310">
        <v>0</v>
      </c>
      <c r="U236" s="451">
        <f>IF(N236&gt;0,MIN(1,N236/Q236),0)</f>
        <v>1</v>
      </c>
      <c r="V236" s="451">
        <v>0</v>
      </c>
      <c r="W236" s="451">
        <v>0</v>
      </c>
      <c r="X236" s="452">
        <f t="shared" si="62"/>
        <v>1</v>
      </c>
      <c r="Y236" s="447">
        <f t="shared" si="63"/>
        <v>2294.6921058456096</v>
      </c>
      <c r="Z236" s="447">
        <f>Q236*U236*$O$6*(sndfact-1)*$K$4</f>
        <v>1434.6890102017164</v>
      </c>
      <c r="AA236" s="447">
        <v>0</v>
      </c>
      <c r="AB236" s="447">
        <v>0</v>
      </c>
      <c r="AC236" s="447">
        <v>0</v>
      </c>
      <c r="AD236" s="447">
        <v>0</v>
      </c>
      <c r="AE236" s="447">
        <v>0</v>
      </c>
      <c r="AF236" s="448">
        <f t="shared" si="64"/>
        <v>3729.381116047326</v>
      </c>
      <c r="AG236" s="453">
        <f t="shared" si="65"/>
        <v>461.60527400200363</v>
      </c>
      <c r="AH236" s="454">
        <f>N236-$Q236</f>
        <v>18.020843789945218</v>
      </c>
      <c r="AI236" s="104">
        <v>0</v>
      </c>
      <c r="AJ236" s="455">
        <v>0</v>
      </c>
      <c r="AK236" s="456" t="str">
        <f>IF(instatk="Mut","3-5s",IF(Sealfate&gt;0,"3-4s","3s"))</f>
        <v>3s</v>
      </c>
      <c r="AL236" t="str">
        <f>IF(AND(OR(allowrupt,NOT(D236)),OR(AND(poison,allowenv),NOT(F236)),$X$2-AG236&lt;50),MAX($AL$55:$AL235)+1,"")</f>
        <v/>
      </c>
      <c r="AQ236" t="b">
        <v>1</v>
      </c>
    </row>
    <row r="237" spans="2:43" ht="12.75" customHeight="1">
      <c r="B237" t="s">
        <v>509</v>
      </c>
      <c r="C237" s="445">
        <v>1</v>
      </c>
      <c r="D237" s="64">
        <v>0</v>
      </c>
      <c r="E237" s="64">
        <v>0</v>
      </c>
      <c r="F237" s="64">
        <v>0</v>
      </c>
      <c r="G237" s="64">
        <v>0</v>
      </c>
      <c r="H237" s="446">
        <f t="shared" si="58"/>
        <v>1</v>
      </c>
      <c r="I237" s="447">
        <f>M$15</f>
        <v>3.4</v>
      </c>
      <c r="J237" s="447">
        <f t="shared" si="59"/>
        <v>136.55510204081631</v>
      </c>
      <c r="K237" s="94">
        <f>SUMPRODUCT($E$16:$E$18,$M$16:$M$18)</f>
        <v>5</v>
      </c>
      <c r="L237" s="448">
        <f t="shared" si="60"/>
        <v>141.55510204081631</v>
      </c>
      <c r="M237" s="449">
        <f>SUMPRODUCT($C$16:$C$18,$M$16:$M$18)</f>
        <v>4</v>
      </c>
      <c r="N237" s="104">
        <f>SUMPRODUCT($D$16:$D$18,$M$16:$M$18)</f>
        <v>30.45</v>
      </c>
      <c r="O237" s="104">
        <v>0</v>
      </c>
      <c r="P237" s="104">
        <v>0</v>
      </c>
      <c r="Q237" s="450">
        <f t="shared" si="61"/>
        <v>10.74937529812437</v>
      </c>
      <c r="R237" s="1310">
        <f>(M$15+1-$J$15)*$O$2+25</f>
        <v>185.65306122448979</v>
      </c>
      <c r="S237" s="1310">
        <v>0</v>
      </c>
      <c r="T237" s="1310">
        <v>0</v>
      </c>
      <c r="U237" s="451">
        <f>IF(N237&gt;0,MIN(1,N237/Q237),0)</f>
        <v>1</v>
      </c>
      <c r="V237" s="451">
        <v>0</v>
      </c>
      <c r="W237" s="451">
        <v>0</v>
      </c>
      <c r="X237" s="452">
        <f t="shared" si="62"/>
        <v>1</v>
      </c>
      <c r="Y237" s="447">
        <f t="shared" si="63"/>
        <v>3250.8138166146132</v>
      </c>
      <c r="Z237" s="447">
        <f>Q237*U237*$O$6*(sndfact-1)*$K$4</f>
        <v>1908.8640206708253</v>
      </c>
      <c r="AA237" s="447">
        <v>0</v>
      </c>
      <c r="AB237" s="447">
        <v>0</v>
      </c>
      <c r="AC237" s="447">
        <v>0</v>
      </c>
      <c r="AD237" s="447">
        <v>0</v>
      </c>
      <c r="AE237" s="447">
        <v>0</v>
      </c>
      <c r="AF237" s="448">
        <f t="shared" si="64"/>
        <v>5159.6778372854387</v>
      </c>
      <c r="AG237" s="453">
        <f t="shared" si="65"/>
        <v>479.99792491994742</v>
      </c>
      <c r="AH237" s="454">
        <f>N237-$Q237</f>
        <v>19.700624701875629</v>
      </c>
      <c r="AI237" s="104">
        <v>0</v>
      </c>
      <c r="AJ237" s="455">
        <v>0</v>
      </c>
      <c r="AK237" s="456" t="str">
        <f>IF(instatk="Mut","4-5s",IF(Sealfate&gt;0,"4-5s","4s"))</f>
        <v>4s</v>
      </c>
      <c r="AL237" t="str">
        <f>IF(AND(OR(allowrupt,NOT(D237)),OR(AND(poison,allowenv),NOT(F237)),$X$2-AG237&lt;50),MAX($AL$55:$AL236)+1,"")</f>
        <v/>
      </c>
      <c r="AQ237" t="b">
        <v>1</v>
      </c>
    </row>
    <row r="238" spans="2:43" ht="12.75" customHeight="1">
      <c r="B238" t="s">
        <v>1904</v>
      </c>
      <c r="C238" s="445">
        <v>1</v>
      </c>
      <c r="D238" s="64">
        <v>0</v>
      </c>
      <c r="E238" s="64">
        <v>0</v>
      </c>
      <c r="F238" s="64">
        <v>0</v>
      </c>
      <c r="G238" s="64">
        <v>0</v>
      </c>
      <c r="H238" s="446">
        <f t="shared" si="58"/>
        <v>1</v>
      </c>
      <c r="I238" s="447">
        <f>N$15</f>
        <v>4.4000000000000004</v>
      </c>
      <c r="J238" s="447">
        <f t="shared" si="59"/>
        <v>176.71836734693878</v>
      </c>
      <c r="K238" s="94">
        <f>SUMPRODUCT($E$17:$E$19,$N$16:$N$18)</f>
        <v>0</v>
      </c>
      <c r="L238" s="448">
        <f t="shared" si="60"/>
        <v>176.71836734693878</v>
      </c>
      <c r="M238" s="449">
        <f>SUMPRODUCT($C$17:$C$19,$N$16:$N$18)</f>
        <v>5</v>
      </c>
      <c r="N238" s="104">
        <f>SUMPRODUCT($D$17:$D$19,$N$16:$N$18)</f>
        <v>34.799999999999997</v>
      </c>
      <c r="O238" s="104">
        <v>0</v>
      </c>
      <c r="P238" s="104">
        <v>0</v>
      </c>
      <c r="Q238" s="450">
        <f t="shared" si="61"/>
        <v>13.419594386193962</v>
      </c>
      <c r="R238" s="1310">
        <f>(N$15+1-$J$15)*$O$2+25</f>
        <v>225.81632653061223</v>
      </c>
      <c r="S238" s="1310">
        <v>0</v>
      </c>
      <c r="T238" s="1310">
        <v>0</v>
      </c>
      <c r="U238" s="451">
        <f>IF(N238&gt;0,MIN(1,N238/Q238),0)</f>
        <v>1</v>
      </c>
      <c r="V238" s="451">
        <v>0</v>
      </c>
      <c r="W238" s="451">
        <v>0</v>
      </c>
      <c r="X238" s="452">
        <f t="shared" si="62"/>
        <v>1</v>
      </c>
      <c r="Y238" s="447">
        <f t="shared" si="63"/>
        <v>4206.9355273836181</v>
      </c>
      <c r="Z238" s="447">
        <f>Q238*U238*$O$6*(sndfact-1)*$K$4</f>
        <v>2383.0390311399347</v>
      </c>
      <c r="AA238" s="447">
        <v>0</v>
      </c>
      <c r="AB238" s="447">
        <v>0</v>
      </c>
      <c r="AC238" s="447">
        <v>0</v>
      </c>
      <c r="AD238" s="447">
        <v>0</v>
      </c>
      <c r="AE238" s="447">
        <v>0</v>
      </c>
      <c r="AF238" s="448">
        <f t="shared" si="64"/>
        <v>6589.9745585235523</v>
      </c>
      <c r="AG238" s="453">
        <f t="shared" si="65"/>
        <v>491.07106883225163</v>
      </c>
      <c r="AH238" s="454">
        <f>N238-$Q238</f>
        <v>21.380405613806033</v>
      </c>
      <c r="AI238" s="104">
        <v>0</v>
      </c>
      <c r="AJ238" s="455">
        <v>0</v>
      </c>
      <c r="AK238" s="456" t="str">
        <f>IF(instatk="Mut","5-5s",IF(Sealfate&gt;0,"5-5s","5s"))</f>
        <v>5s</v>
      </c>
      <c r="AL238" t="str">
        <f>IF(AND(OR(allowrupt,NOT(D238)),OR(AND(poison,allowenv),NOT(F238)),$X$2-AG238&lt;50),MAX($AL$55:$AL237)+1,"")</f>
        <v/>
      </c>
      <c r="AQ238" t="b">
        <v>1</v>
      </c>
    </row>
    <row r="239" spans="2:43">
      <c r="B239" t="s">
        <v>1841</v>
      </c>
      <c r="C239" s="445">
        <v>0</v>
      </c>
      <c r="D239" s="64">
        <v>0</v>
      </c>
      <c r="E239">
        <v>1</v>
      </c>
      <c r="F239" s="64">
        <v>0</v>
      </c>
      <c r="G239" s="64">
        <v>0</v>
      </c>
      <c r="H239" s="446">
        <f t="shared" si="58"/>
        <v>1</v>
      </c>
      <c r="I239" s="447">
        <f>J$15</f>
        <v>0.39999999999999991</v>
      </c>
      <c r="J239" s="447">
        <f t="shared" si="59"/>
        <v>16.065306122448977</v>
      </c>
      <c r="K239" s="94">
        <f>SUMPRODUCT($E$20:$E$22,$J$16:$J$18)</f>
        <v>30</v>
      </c>
      <c r="L239" s="448">
        <f t="shared" si="60"/>
        <v>46.065306122448973</v>
      </c>
      <c r="M239" s="449">
        <f>SUMPRODUCT($C$20:$C$22,$J$16:$J$18)</f>
        <v>1</v>
      </c>
      <c r="N239">
        <v>0</v>
      </c>
      <c r="O239" s="104">
        <v>0</v>
      </c>
      <c r="P239" s="104">
        <v>0</v>
      </c>
      <c r="Q239" s="450">
        <f t="shared" si="61"/>
        <v>3.7164006948969361</v>
      </c>
      <c r="R239" s="1310">
        <v>0</v>
      </c>
      <c r="S239" s="1310">
        <v>0</v>
      </c>
      <c r="T239" s="1310">
        <v>0</v>
      </c>
      <c r="U239" s="451">
        <v>0</v>
      </c>
      <c r="V239" s="451">
        <v>0</v>
      </c>
      <c r="W239" s="451">
        <v>0</v>
      </c>
      <c r="X239" s="452">
        <f t="shared" si="62"/>
        <v>1</v>
      </c>
      <c r="Y239" s="447">
        <f t="shared" si="63"/>
        <v>382.44868430760147</v>
      </c>
      <c r="Z239" s="159">
        <v>0</v>
      </c>
      <c r="AA239" s="447">
        <v>0</v>
      </c>
      <c r="AB239">
        <f>SUMPRODUCT($F$20:$F$22,$J$16:$J$18)*X239</f>
        <v>384.02905544238831</v>
      </c>
      <c r="AC239" s="447">
        <v>0</v>
      </c>
      <c r="AD239" s="447">
        <v>0</v>
      </c>
      <c r="AE239" s="447">
        <v>0</v>
      </c>
      <c r="AF239" s="448">
        <f t="shared" si="64"/>
        <v>766.47773974998972</v>
      </c>
      <c r="AG239" s="453">
        <f t="shared" si="65"/>
        <v>206.24195361992466</v>
      </c>
      <c r="AH239" s="454">
        <v>0</v>
      </c>
      <c r="AI239" s="104">
        <v>0</v>
      </c>
      <c r="AJ239" s="455">
        <v>0</v>
      </c>
      <c r="AK239" s="456" t="str">
        <f>IF(instatk="Mut","1-3e",IF(Sealfate&gt;0,"1-2e","1e"))</f>
        <v>1e</v>
      </c>
      <c r="AL239" t="str">
        <f>IF(AND(OR(allowrupt,NOT(D239)),OR(AND(poison,allowenv),NOT(F239)),$X$2-AG239&lt;50),MAX($AL$55:$AL238)+1,"")</f>
        <v/>
      </c>
      <c r="AQ239" t="b">
        <v>1</v>
      </c>
    </row>
    <row r="240" spans="2:43">
      <c r="B240" t="s">
        <v>1842</v>
      </c>
      <c r="C240" s="445">
        <v>0</v>
      </c>
      <c r="D240" s="64">
        <v>0</v>
      </c>
      <c r="E240">
        <v>1</v>
      </c>
      <c r="F240" s="64">
        <v>0</v>
      </c>
      <c r="G240" s="64">
        <v>0</v>
      </c>
      <c r="H240" s="446">
        <f t="shared" si="58"/>
        <v>1</v>
      </c>
      <c r="I240" s="447">
        <f>K$15</f>
        <v>1.4</v>
      </c>
      <c r="J240" s="447">
        <f t="shared" si="59"/>
        <v>56.228571428571421</v>
      </c>
      <c r="K240" s="94">
        <f>SUMPRODUCT($E$21:$E$23,$K$16:$K$18)</f>
        <v>25</v>
      </c>
      <c r="L240" s="448">
        <f t="shared" si="60"/>
        <v>81.228571428571428</v>
      </c>
      <c r="M240" s="449">
        <f>SUMPRODUCT($C$21:$C$23,$K$16:$K$18)</f>
        <v>2</v>
      </c>
      <c r="N240">
        <v>0</v>
      </c>
      <c r="O240" s="104">
        <v>0</v>
      </c>
      <c r="P240" s="104">
        <v>0</v>
      </c>
      <c r="Q240" s="450">
        <f t="shared" si="61"/>
        <v>6.5532598111947493</v>
      </c>
      <c r="R240" s="1310">
        <v>0</v>
      </c>
      <c r="S240" s="1310">
        <v>0</v>
      </c>
      <c r="T240" s="1310">
        <v>0</v>
      </c>
      <c r="U240" s="451">
        <v>0</v>
      </c>
      <c r="V240" s="451">
        <v>0</v>
      </c>
      <c r="W240" s="451">
        <v>0</v>
      </c>
      <c r="X240" s="452">
        <f t="shared" si="62"/>
        <v>1</v>
      </c>
      <c r="Y240" s="447">
        <f t="shared" si="63"/>
        <v>1338.5703950766056</v>
      </c>
      <c r="Z240" s="159">
        <v>0</v>
      </c>
      <c r="AA240" s="447">
        <v>0</v>
      </c>
      <c r="AB240">
        <f>SUMPRODUCT($F$21:$F$23,$K$16:$K$18)*X240</f>
        <v>652.8395626965472</v>
      </c>
      <c r="AC240" s="447">
        <v>0</v>
      </c>
      <c r="AD240" s="447">
        <v>0</v>
      </c>
      <c r="AE240" s="447">
        <v>0</v>
      </c>
      <c r="AF240" s="448">
        <f t="shared" si="64"/>
        <v>1991.4099577731527</v>
      </c>
      <c r="AG240" s="453">
        <f t="shared" si="65"/>
        <v>303.88081888212076</v>
      </c>
      <c r="AH240" s="454">
        <v>0</v>
      </c>
      <c r="AI240" s="104">
        <v>0</v>
      </c>
      <c r="AJ240" s="455">
        <v>0</v>
      </c>
      <c r="AK240" s="456" t="str">
        <f>IF(instatk="Mut","2-4e",IF(Sealfate&gt;0,"2-3e","2e"))</f>
        <v>2e</v>
      </c>
      <c r="AL240" t="str">
        <f>IF(AND(OR(allowrupt,NOT(D240)),OR(AND(poison,allowenv),NOT(F240)),$X$2-AG240&lt;50),MAX($AL$55:$AL239)+1,"")</f>
        <v/>
      </c>
      <c r="AQ240" t="b">
        <v>1</v>
      </c>
    </row>
    <row r="241" spans="2:43">
      <c r="B241" t="s">
        <v>1843</v>
      </c>
      <c r="C241" s="445">
        <v>0</v>
      </c>
      <c r="D241" s="64">
        <v>0</v>
      </c>
      <c r="E241">
        <v>1</v>
      </c>
      <c r="F241" s="64">
        <v>0</v>
      </c>
      <c r="G241" s="64">
        <v>0</v>
      </c>
      <c r="H241" s="446">
        <f t="shared" si="58"/>
        <v>1</v>
      </c>
      <c r="I241" s="447">
        <f>L$15</f>
        <v>2.4</v>
      </c>
      <c r="J241" s="447">
        <f t="shared" si="59"/>
        <v>96.391836734693868</v>
      </c>
      <c r="K241" s="94">
        <f>SUMPRODUCT($E$22:$E$24,$L$16:$L$18)</f>
        <v>20</v>
      </c>
      <c r="L241" s="448">
        <f t="shared" si="60"/>
        <v>116.39183673469387</v>
      </c>
      <c r="M241" s="449">
        <f>SUMPRODUCT($C$22:$C$24,$L$16:$L$18)</f>
        <v>3</v>
      </c>
      <c r="N241">
        <v>0</v>
      </c>
      <c r="O241" s="104">
        <v>0</v>
      </c>
      <c r="P241" s="104">
        <v>0</v>
      </c>
      <c r="Q241" s="450">
        <f t="shared" si="61"/>
        <v>9.3901189274925603</v>
      </c>
      <c r="R241" s="1310">
        <v>0</v>
      </c>
      <c r="S241" s="1310">
        <v>0</v>
      </c>
      <c r="T241" s="1310">
        <v>0</v>
      </c>
      <c r="U241" s="451">
        <v>0</v>
      </c>
      <c r="V241" s="451">
        <v>0</v>
      </c>
      <c r="W241" s="451">
        <v>0</v>
      </c>
      <c r="X241" s="452">
        <f t="shared" si="62"/>
        <v>1</v>
      </c>
      <c r="Y241" s="447">
        <f t="shared" si="63"/>
        <v>2294.6921058456096</v>
      </c>
      <c r="Z241" s="159">
        <v>0</v>
      </c>
      <c r="AA241" s="447">
        <v>0</v>
      </c>
      <c r="AB241">
        <f>SUMPRODUCT($F$22:$F$24,$L$16:$L$18)*X241</f>
        <v>921.65006995070587</v>
      </c>
      <c r="AC241" s="447">
        <v>0</v>
      </c>
      <c r="AD241" s="447">
        <v>0</v>
      </c>
      <c r="AE241" s="447">
        <v>0</v>
      </c>
      <c r="AF241" s="448">
        <f t="shared" si="64"/>
        <v>3216.3421757963156</v>
      </c>
      <c r="AG241" s="453">
        <f t="shared" si="65"/>
        <v>342.52411504389477</v>
      </c>
      <c r="AH241" s="454">
        <v>0</v>
      </c>
      <c r="AI241" s="104">
        <v>0</v>
      </c>
      <c r="AJ241" s="455">
        <v>0</v>
      </c>
      <c r="AK241" s="456" t="str">
        <f>IF(instatk="Mut","3-5e",IF(Sealfate&gt;0,"3-4e","3e"))</f>
        <v>3e</v>
      </c>
      <c r="AL241" t="str">
        <f>IF(AND(OR(allowrupt,NOT(D241)),OR(AND(poison,allowenv),NOT(F241)),$X$2-AG241&lt;50),MAX($AL$55:$AL240)+1,"")</f>
        <v/>
      </c>
      <c r="AQ241" t="b">
        <v>1</v>
      </c>
    </row>
    <row r="242" spans="2:43">
      <c r="B242" t="s">
        <v>193</v>
      </c>
      <c r="C242" s="445">
        <v>0</v>
      </c>
      <c r="D242" s="64">
        <v>0</v>
      </c>
      <c r="E242">
        <v>1</v>
      </c>
      <c r="F242" s="64">
        <v>0</v>
      </c>
      <c r="G242" s="64">
        <v>0</v>
      </c>
      <c r="H242" s="446">
        <f t="shared" si="58"/>
        <v>1</v>
      </c>
      <c r="I242" s="447">
        <f>M$15</f>
        <v>3.4</v>
      </c>
      <c r="J242" s="447">
        <f t="shared" si="59"/>
        <v>136.55510204081631</v>
      </c>
      <c r="K242" s="94">
        <f>SUMPRODUCT($E$23:$E$25,$M$16:$M$18)</f>
        <v>15</v>
      </c>
      <c r="L242" s="448">
        <f t="shared" si="60"/>
        <v>151.55510204081631</v>
      </c>
      <c r="M242" s="449">
        <f>SUMPRODUCT($C$23:$C$25,$M$16:$M$18)</f>
        <v>4</v>
      </c>
      <c r="N242">
        <v>0</v>
      </c>
      <c r="O242" s="104">
        <v>0</v>
      </c>
      <c r="P242" s="104">
        <v>0</v>
      </c>
      <c r="Q242" s="450">
        <f t="shared" si="61"/>
        <v>12.226978043790373</v>
      </c>
      <c r="R242" s="1310">
        <v>0</v>
      </c>
      <c r="S242" s="1310">
        <v>0</v>
      </c>
      <c r="T242" s="1310">
        <v>0</v>
      </c>
      <c r="U242" s="451">
        <v>0</v>
      </c>
      <c r="V242" s="451">
        <v>0</v>
      </c>
      <c r="W242" s="451">
        <v>0</v>
      </c>
      <c r="X242" s="452">
        <f t="shared" si="62"/>
        <v>1</v>
      </c>
      <c r="Y242" s="447">
        <f t="shared" si="63"/>
        <v>3250.8138166146132</v>
      </c>
      <c r="Z242" s="159">
        <v>0</v>
      </c>
      <c r="AA242" s="447">
        <v>0</v>
      </c>
      <c r="AB242">
        <f>SUMPRODUCT($F$23:$F$25,$M$16:$M$18)*X242</f>
        <v>1190.4605772048644</v>
      </c>
      <c r="AC242" s="447">
        <v>0</v>
      </c>
      <c r="AD242" s="447">
        <v>0</v>
      </c>
      <c r="AE242" s="447">
        <v>0</v>
      </c>
      <c r="AF242" s="448">
        <f t="shared" si="64"/>
        <v>4441.2743938194781</v>
      </c>
      <c r="AG242" s="453">
        <f t="shared" si="65"/>
        <v>363.23565626054557</v>
      </c>
      <c r="AH242" s="454">
        <v>0</v>
      </c>
      <c r="AI242" s="104">
        <v>0</v>
      </c>
      <c r="AJ242" s="455">
        <v>0</v>
      </c>
      <c r="AK242" s="456" t="str">
        <f>IF(instatk="Mut","4-5e",IF(Sealfate&gt;0,"4-5e","4e"))</f>
        <v>4e</v>
      </c>
      <c r="AL242" t="str">
        <f>IF(AND(OR(allowrupt,NOT(D242)),OR(AND(poison,allowenv),NOT(F242)),$X$2-AG242&lt;50),MAX($AL$55:$AL241)+1,"")</f>
        <v/>
      </c>
      <c r="AQ242" t="b">
        <v>1</v>
      </c>
    </row>
    <row r="243" spans="2:43">
      <c r="B243" t="s">
        <v>1905</v>
      </c>
      <c r="C243" s="445">
        <v>0</v>
      </c>
      <c r="D243" s="64">
        <v>0</v>
      </c>
      <c r="E243">
        <v>1</v>
      </c>
      <c r="F243" s="64">
        <v>0</v>
      </c>
      <c r="G243" s="64">
        <v>0</v>
      </c>
      <c r="H243" s="446">
        <f t="shared" si="58"/>
        <v>1</v>
      </c>
      <c r="I243" s="447">
        <f>N$15</f>
        <v>4.4000000000000004</v>
      </c>
      <c r="J243" s="447">
        <f t="shared" si="59"/>
        <v>176.71836734693878</v>
      </c>
      <c r="K243" s="94">
        <f>SUMPRODUCT($E$24:$E$26,$N$16:$N$18)</f>
        <v>10</v>
      </c>
      <c r="L243" s="448">
        <f t="shared" si="60"/>
        <v>186.71836734693878</v>
      </c>
      <c r="M243" s="449">
        <f>SUMPRODUCT($C$24:$C$26,$N$16:$N$18)</f>
        <v>5</v>
      </c>
      <c r="N243">
        <v>0</v>
      </c>
      <c r="O243" s="104">
        <v>0</v>
      </c>
      <c r="P243" s="104">
        <v>0</v>
      </c>
      <c r="Q243" s="450">
        <f t="shared" si="61"/>
        <v>15.063837160088186</v>
      </c>
      <c r="R243" s="1310">
        <v>0</v>
      </c>
      <c r="S243" s="1310">
        <v>0</v>
      </c>
      <c r="T243" s="1310">
        <v>0</v>
      </c>
      <c r="U243" s="451">
        <v>0</v>
      </c>
      <c r="V243" s="451">
        <v>0</v>
      </c>
      <c r="W243" s="451">
        <v>0</v>
      </c>
      <c r="X243" s="452">
        <f t="shared" si="62"/>
        <v>1</v>
      </c>
      <c r="Y243" s="447">
        <f t="shared" si="63"/>
        <v>4206.9355273836181</v>
      </c>
      <c r="Z243" s="159">
        <v>0</v>
      </c>
      <c r="AA243" s="447">
        <v>0</v>
      </c>
      <c r="AB243">
        <f>SUMPRODUCT($F$24:$F$26,$N$16:$N$18)*X243</f>
        <v>1459.2710844590233</v>
      </c>
      <c r="AC243" s="447">
        <v>0</v>
      </c>
      <c r="AD243" s="447">
        <v>0</v>
      </c>
      <c r="AE243" s="447">
        <v>0</v>
      </c>
      <c r="AF243" s="448">
        <f t="shared" si="64"/>
        <v>5666.206611842641</v>
      </c>
      <c r="AG243" s="453">
        <f t="shared" si="65"/>
        <v>376.14630001812037</v>
      </c>
      <c r="AH243" s="454">
        <v>0</v>
      </c>
      <c r="AI243" s="104">
        <v>0</v>
      </c>
      <c r="AJ243" s="455">
        <v>0</v>
      </c>
      <c r="AK243" s="456" t="str">
        <f>IF(instatk="Mut","5-5e",IF(Sealfate&gt;0,"5-5e","5e"))</f>
        <v>5e</v>
      </c>
      <c r="AL243" t="str">
        <f>IF(AND(OR(allowrupt,NOT(D243)),OR(AND(poison,allowenv),NOT(F243)),$X$2-AG243&lt;50),MAX($AL$55:$AL242)+1,"")</f>
        <v/>
      </c>
      <c r="AQ243" t="b">
        <v>1</v>
      </c>
    </row>
    <row r="244" spans="2:43">
      <c r="B244" t="s">
        <v>218</v>
      </c>
      <c r="C244" s="445">
        <v>1</v>
      </c>
      <c r="D244" s="64">
        <v>0</v>
      </c>
      <c r="E244" s="64">
        <v>1</v>
      </c>
      <c r="F244" s="64">
        <v>0</v>
      </c>
      <c r="G244" s="64">
        <v>0</v>
      </c>
      <c r="H244" s="446">
        <f t="shared" si="58"/>
        <v>2</v>
      </c>
      <c r="I244" s="447">
        <f>J$15+L$15</f>
        <v>2.8</v>
      </c>
      <c r="J244" s="447">
        <f t="shared" si="59"/>
        <v>112.45714285714284</v>
      </c>
      <c r="K244" s="447">
        <f>SUMPRODUCT($E$13:$E$15,$J$16:$J$18)+SUMPRODUCT($E$22:$E$24,$L$16:$L$18)</f>
        <v>40</v>
      </c>
      <c r="L244" s="448">
        <f t="shared" si="60"/>
        <v>152.45714285714286</v>
      </c>
      <c r="M244" s="449">
        <f>SUMPRODUCT($C$13:$C$15,$J$16:$J$18)+SUMPRODUCT($C$22:$C$24,$L$16:$L$18)</f>
        <v>4</v>
      </c>
      <c r="N244" s="104">
        <f>SUMPRODUCT($D$13:$D$15,$J$16:$J$18)</f>
        <v>17.399999999999999</v>
      </c>
      <c r="O244" s="104">
        <v>0</v>
      </c>
      <c r="P244" s="104">
        <v>0</v>
      </c>
      <c r="Q244" s="450">
        <f t="shared" ref="Q244:Q259" si="66">IF(N244&gt;L244/sndeps,L244/sndeps,N244+(L244/sndeps-N244)*sndeps/eps)</f>
        <v>11.577251697919365</v>
      </c>
      <c r="R244" s="1310">
        <f>(J$15+1-$J$15)*$O$2+25</f>
        <v>65.16326530612244</v>
      </c>
      <c r="S244" s="1310">
        <v>0</v>
      </c>
      <c r="T244" s="1310">
        <v>0</v>
      </c>
      <c r="U244" s="451">
        <f t="shared" ref="U244:U284" si="67">IF(N244&gt;0,MIN(1,N244/Q244),0)</f>
        <v>1</v>
      </c>
      <c r="V244" s="451">
        <v>0</v>
      </c>
      <c r="W244" s="451">
        <v>0</v>
      </c>
      <c r="X244" s="452">
        <f t="shared" si="62"/>
        <v>1</v>
      </c>
      <c r="Y244" s="447">
        <f t="shared" si="63"/>
        <v>2677.1407901532111</v>
      </c>
      <c r="Z244" s="447">
        <f t="shared" ref="Z244:Z284" si="68">Q244*U244*$O$6*(sndfact-1)*$K$4</f>
        <v>2055.8775381360592</v>
      </c>
      <c r="AA244" s="447">
        <v>0</v>
      </c>
      <c r="AB244">
        <f>SUMPRODUCT($F$22:$F$24,$L$16:$L$18)*X244</f>
        <v>921.65006995070587</v>
      </c>
      <c r="AC244" s="447">
        <v>0</v>
      </c>
      <c r="AD244" s="447">
        <v>0</v>
      </c>
      <c r="AE244" s="447">
        <v>0</v>
      </c>
      <c r="AF244" s="448">
        <f t="shared" ref="AF244:AF258" si="69">SUM(Y244:AE244)</f>
        <v>5654.6683982399763</v>
      </c>
      <c r="AG244" s="453">
        <f t="shared" si="65"/>
        <v>488.42925296823415</v>
      </c>
      <c r="AH244" s="454">
        <f t="shared" ref="AH244:AH284" si="70">N244-$Q244</f>
        <v>5.8227483020806332</v>
      </c>
      <c r="AI244" s="104">
        <v>0</v>
      </c>
      <c r="AJ244" s="455">
        <v>0</v>
      </c>
      <c r="AK244" s="456" t="str">
        <f>IF(instatk="Mut","1-3s/3-5e",IF(Sealfate&gt;0,"1-2s/3-4e","1s/3e"))</f>
        <v>1s/3e</v>
      </c>
      <c r="AL244" t="str">
        <f>IF(AND(OR(allowrupt,NOT(D244)),OR(AND(poison,allowenv),NOT(F244)),$X$2-AG244&lt;50),MAX($AL$55:$AL243)+1,"")</f>
        <v/>
      </c>
      <c r="AQ244" t="b">
        <v>1</v>
      </c>
    </row>
    <row r="245" spans="2:43">
      <c r="B245" t="s">
        <v>1844</v>
      </c>
      <c r="C245" s="445">
        <v>1</v>
      </c>
      <c r="D245" s="64">
        <v>0</v>
      </c>
      <c r="E245" s="64">
        <v>1</v>
      </c>
      <c r="F245" s="64">
        <v>0</v>
      </c>
      <c r="G245" s="64">
        <v>0</v>
      </c>
      <c r="H245" s="446">
        <f t="shared" si="58"/>
        <v>2</v>
      </c>
      <c r="I245" s="447">
        <f>K$15+L$15</f>
        <v>3.8</v>
      </c>
      <c r="J245" s="447">
        <f t="shared" si="59"/>
        <v>152.6204081632653</v>
      </c>
      <c r="K245" s="447">
        <f>SUMPRODUCT($E$14:$E$16,$K$16:$K$18)+SUMPRODUCT($E$22:$E$24,$L$16:$L$18)</f>
        <v>35</v>
      </c>
      <c r="L245" s="448">
        <f t="shared" si="60"/>
        <v>187.6204081632653</v>
      </c>
      <c r="M245" s="449">
        <f>SUMPRODUCT($C$14:$C$16,$K$16:$K$18)+SUMPRODUCT($C$22:$C$24,$L$16:$L$18)</f>
        <v>5</v>
      </c>
      <c r="N245" s="104">
        <f>SUMPRODUCT($D$14:$D$16,$J$16:$J$18)</f>
        <v>21.75</v>
      </c>
      <c r="O245" s="104">
        <v>0</v>
      </c>
      <c r="P245" s="104">
        <v>0</v>
      </c>
      <c r="Q245" s="450">
        <f t="shared" si="66"/>
        <v>14.247470785988956</v>
      </c>
      <c r="R245" s="1310">
        <f>(K$15+1-$J$15)*$O$2+25</f>
        <v>105.32653061224489</v>
      </c>
      <c r="S245" s="1310">
        <v>0</v>
      </c>
      <c r="T245" s="1310">
        <v>0</v>
      </c>
      <c r="U245" s="451">
        <f t="shared" si="67"/>
        <v>1</v>
      </c>
      <c r="V245" s="451">
        <v>0</v>
      </c>
      <c r="W245" s="451">
        <v>0</v>
      </c>
      <c r="X245" s="452">
        <f t="shared" si="62"/>
        <v>1</v>
      </c>
      <c r="Y245" s="447">
        <f t="shared" si="63"/>
        <v>3633.2625009222152</v>
      </c>
      <c r="Z245" s="447">
        <f t="shared" si="68"/>
        <v>2530.0525486051679</v>
      </c>
      <c r="AA245" s="447">
        <v>0</v>
      </c>
      <c r="AB245">
        <f>SUMPRODUCT($F$22:$F$24,$L$16:$L$18)*X245</f>
        <v>921.65006995070587</v>
      </c>
      <c r="AC245" s="447">
        <v>0</v>
      </c>
      <c r="AD245" s="447">
        <v>0</v>
      </c>
      <c r="AE245" s="447">
        <v>0</v>
      </c>
      <c r="AF245" s="448">
        <f t="shared" si="69"/>
        <v>7084.965119478089</v>
      </c>
      <c r="AG245" s="453">
        <f t="shared" si="65"/>
        <v>497.27879606852639</v>
      </c>
      <c r="AH245" s="454">
        <f t="shared" si="70"/>
        <v>7.5025292140110444</v>
      </c>
      <c r="AI245" s="104">
        <v>0</v>
      </c>
      <c r="AJ245" s="455">
        <v>0</v>
      </c>
      <c r="AK245" s="456" t="str">
        <f>IF(instatk="Mut","2-4s/3-5e",IF(Sealfate&gt;0,"2-3s/3-4e","2s/3e"))</f>
        <v>2s/3e</v>
      </c>
      <c r="AL245" t="str">
        <f>IF(AND(OR(allowrupt,NOT(D245)),OR(AND(poison,allowenv),NOT(F245)),$X$2-AG245&lt;50),MAX($AL$55:$AL244)+1,"")</f>
        <v/>
      </c>
      <c r="AQ245" t="b">
        <v>1</v>
      </c>
    </row>
    <row r="246" spans="2:43">
      <c r="B246" t="s">
        <v>1845</v>
      </c>
      <c r="C246" s="445">
        <v>1</v>
      </c>
      <c r="D246" s="64">
        <v>0</v>
      </c>
      <c r="E246" s="64">
        <v>1</v>
      </c>
      <c r="F246" s="64">
        <v>0</v>
      </c>
      <c r="G246" s="64">
        <v>0</v>
      </c>
      <c r="H246" s="446">
        <f t="shared" si="58"/>
        <v>2</v>
      </c>
      <c r="I246" s="447">
        <f>L$15+L$15</f>
        <v>4.8</v>
      </c>
      <c r="J246" s="447">
        <f t="shared" si="59"/>
        <v>192.78367346938774</v>
      </c>
      <c r="K246" s="447">
        <f>SUMPRODUCT($E$15:$E$17,$L$16:$L$18)+SUMPRODUCT($E$22:$E$24,$L$16:$L$18)</f>
        <v>30</v>
      </c>
      <c r="L246" s="448">
        <f t="shared" si="60"/>
        <v>222.78367346938774</v>
      </c>
      <c r="M246" s="449">
        <f>SUMPRODUCT($C$15:$C$17,$L$16:$L$18)+SUMPRODUCT($C$22:$C$24,$L$16:$L$18)</f>
        <v>6</v>
      </c>
      <c r="N246" s="104">
        <f>SUMPRODUCT($D$15:$D$17,$J$16:$J$18)</f>
        <v>26.099999999999998</v>
      </c>
      <c r="O246" s="104">
        <v>0</v>
      </c>
      <c r="P246" s="104">
        <v>0</v>
      </c>
      <c r="Q246" s="450">
        <f t="shared" si="66"/>
        <v>16.917689874058546</v>
      </c>
      <c r="R246" s="1310">
        <f>(L$15+1-$J$15)*$O$2+25</f>
        <v>145.48979591836735</v>
      </c>
      <c r="S246" s="1310">
        <v>0</v>
      </c>
      <c r="T246" s="1310">
        <v>0</v>
      </c>
      <c r="U246" s="451">
        <f t="shared" si="67"/>
        <v>1</v>
      </c>
      <c r="V246" s="451">
        <v>0</v>
      </c>
      <c r="W246" s="451">
        <v>0</v>
      </c>
      <c r="X246" s="452">
        <f t="shared" si="62"/>
        <v>1</v>
      </c>
      <c r="Y246" s="447">
        <f t="shared" si="63"/>
        <v>4589.3842116912192</v>
      </c>
      <c r="Z246" s="447">
        <f t="shared" si="68"/>
        <v>3004.227559074277</v>
      </c>
      <c r="AA246" s="447">
        <v>0</v>
      </c>
      <c r="AB246">
        <f>SUMPRODUCT($F$22:$F$24,$L$16:$L$18)*X246</f>
        <v>921.65006995070587</v>
      </c>
      <c r="AC246" s="447">
        <v>0</v>
      </c>
      <c r="AD246" s="447">
        <v>0</v>
      </c>
      <c r="AE246" s="447">
        <v>0</v>
      </c>
      <c r="AF246" s="448">
        <f t="shared" si="69"/>
        <v>8515.2618407162008</v>
      </c>
      <c r="AG246" s="453">
        <f t="shared" si="65"/>
        <v>503.33478767532188</v>
      </c>
      <c r="AH246" s="454">
        <f t="shared" si="70"/>
        <v>9.1823101259414521</v>
      </c>
      <c r="AI246" s="104">
        <v>0</v>
      </c>
      <c r="AJ246" s="455">
        <v>0</v>
      </c>
      <c r="AK246" s="456" t="str">
        <f>IF(instatk="Mut","3-5s/3-5e",IF(Sealfate&gt;0,"3-4s/3-4e","3s/3e"))</f>
        <v>3s/3e</v>
      </c>
      <c r="AL246" t="str">
        <f>IF(AND(OR(allowrupt,NOT(D246)),OR(AND(poison,allowenv),NOT(F246)),$X$2-AG246&lt;50),MAX($AL$55:$AL245)+1,"")</f>
        <v/>
      </c>
      <c r="AQ246" t="b">
        <v>1</v>
      </c>
    </row>
    <row r="247" spans="2:43">
      <c r="B247" t="s">
        <v>1846</v>
      </c>
      <c r="C247" s="445">
        <v>1</v>
      </c>
      <c r="D247" s="64">
        <v>0</v>
      </c>
      <c r="E247" s="64">
        <v>1</v>
      </c>
      <c r="F247" s="64">
        <v>0</v>
      </c>
      <c r="G247" s="64">
        <v>0</v>
      </c>
      <c r="H247" s="446">
        <f t="shared" si="58"/>
        <v>2</v>
      </c>
      <c r="I247" s="447">
        <f>M$15+L$15</f>
        <v>5.8</v>
      </c>
      <c r="J247" s="447">
        <f t="shared" si="59"/>
        <v>232.94693877551018</v>
      </c>
      <c r="K247" s="447">
        <f>SUMPRODUCT($E$16:$E$18,$M$16:$M$18)+SUMPRODUCT($E$22:$E$24,$L$16:$L$18)</f>
        <v>25</v>
      </c>
      <c r="L247" s="448">
        <f t="shared" si="60"/>
        <v>257.94693877551015</v>
      </c>
      <c r="M247" s="449">
        <f>SUMPRODUCT($C$16:$C$18,$M$16:$M$18)+SUMPRODUCT($C$22:$C$24,$L$16:$L$18)</f>
        <v>7</v>
      </c>
      <c r="N247" s="104">
        <f>SUMPRODUCT($D$16:$D$18,$J$16:$J$18)</f>
        <v>30.45</v>
      </c>
      <c r="O247" s="104">
        <v>0</v>
      </c>
      <c r="P247" s="104">
        <v>0</v>
      </c>
      <c r="Q247" s="450">
        <f t="shared" si="66"/>
        <v>19.587908962128132</v>
      </c>
      <c r="R247" s="1310">
        <f>(M$15+1-$J$15)*$O$2+25</f>
        <v>185.65306122448979</v>
      </c>
      <c r="S247" s="1310">
        <v>0</v>
      </c>
      <c r="T247" s="1310">
        <v>0</v>
      </c>
      <c r="U247" s="451">
        <f t="shared" si="67"/>
        <v>1</v>
      </c>
      <c r="V247" s="451">
        <v>0</v>
      </c>
      <c r="W247" s="451">
        <v>0</v>
      </c>
      <c r="X247" s="452">
        <f t="shared" si="62"/>
        <v>1</v>
      </c>
      <c r="Y247" s="447">
        <f t="shared" si="63"/>
        <v>5545.5059224602228</v>
      </c>
      <c r="Z247" s="447">
        <f t="shared" si="68"/>
        <v>3478.4025695433847</v>
      </c>
      <c r="AA247" s="447">
        <v>0</v>
      </c>
      <c r="AB247">
        <f>SUMPRODUCT($F$22:$F$24,$L$16:$L$18)*X247</f>
        <v>921.65006995070587</v>
      </c>
      <c r="AC247" s="447">
        <v>0</v>
      </c>
      <c r="AD247" s="447">
        <v>0</v>
      </c>
      <c r="AE247" s="447">
        <v>0</v>
      </c>
      <c r="AF247" s="448">
        <f t="shared" si="69"/>
        <v>9945.5585619543126</v>
      </c>
      <c r="AG247" s="453">
        <f t="shared" si="65"/>
        <v>507.73967661292295</v>
      </c>
      <c r="AH247" s="454">
        <f t="shared" si="70"/>
        <v>10.862091037871867</v>
      </c>
      <c r="AI247" s="104">
        <v>0</v>
      </c>
      <c r="AJ247" s="455">
        <v>0</v>
      </c>
      <c r="AK247" s="456" t="str">
        <f>IF(instatk="Mut","4-5s/3-5e",IF(Sealfate&gt;0,"4-5s/3-4e","4s/3e"))</f>
        <v>4s/3e</v>
      </c>
      <c r="AL247" t="str">
        <f>IF(AND(OR(allowrupt,NOT(D247)),OR(AND(poison,allowenv),NOT(F247)),$X$2-AG247&lt;50),MAX($AL$55:$AL246)+1,"")</f>
        <v/>
      </c>
      <c r="AQ247" t="b">
        <v>1</v>
      </c>
    </row>
    <row r="248" spans="2:43">
      <c r="B248" t="s">
        <v>1847</v>
      </c>
      <c r="C248" s="445">
        <v>1</v>
      </c>
      <c r="D248" s="64">
        <v>0</v>
      </c>
      <c r="E248" s="64">
        <v>1</v>
      </c>
      <c r="F248" s="64">
        <v>0</v>
      </c>
      <c r="G248" s="64">
        <v>0</v>
      </c>
      <c r="H248" s="446">
        <f t="shared" si="58"/>
        <v>2</v>
      </c>
      <c r="I248" s="447">
        <f>N$15+L$15</f>
        <v>6.8000000000000007</v>
      </c>
      <c r="J248" s="447">
        <f t="shared" si="59"/>
        <v>273.11020408163267</v>
      </c>
      <c r="K248" s="447">
        <f>SUMPRODUCT($E$17:$E$19,$N$16:$N$18)+SUMPRODUCT($E$22:$E$24,$L$16:$L$18)</f>
        <v>20</v>
      </c>
      <c r="L248" s="448">
        <f t="shared" si="60"/>
        <v>293.11020408163267</v>
      </c>
      <c r="M248" s="449">
        <f>SUMPRODUCT($C$17:$C$19,$N$16:$N$18)+SUMPRODUCT($C$22:$C$24,$L$16:$L$18)</f>
        <v>8</v>
      </c>
      <c r="N248" s="104">
        <f>SUMPRODUCT($D$17:$D$19,$J$16:$J$18)</f>
        <v>34.799999999999997</v>
      </c>
      <c r="O248" s="104">
        <v>0</v>
      </c>
      <c r="P248" s="104">
        <v>0</v>
      </c>
      <c r="Q248" s="450">
        <f t="shared" si="66"/>
        <v>22.25812805019773</v>
      </c>
      <c r="R248" s="1310">
        <f>(N$15+1-$J$15)*$O$2+25</f>
        <v>225.81632653061223</v>
      </c>
      <c r="S248" s="1310">
        <v>0</v>
      </c>
      <c r="T248" s="1310">
        <v>0</v>
      </c>
      <c r="U248" s="451">
        <f t="shared" si="67"/>
        <v>1</v>
      </c>
      <c r="V248" s="451">
        <v>0</v>
      </c>
      <c r="W248" s="451">
        <v>0</v>
      </c>
      <c r="X248" s="452">
        <f t="shared" si="62"/>
        <v>1</v>
      </c>
      <c r="Y248" s="447">
        <f t="shared" si="63"/>
        <v>6501.6276332292282</v>
      </c>
      <c r="Z248" s="447">
        <f t="shared" si="68"/>
        <v>3952.5775800124952</v>
      </c>
      <c r="AA248" s="447">
        <v>0</v>
      </c>
      <c r="AB248">
        <f>SUMPRODUCT($F$22:$F$24,$L$16:$L$18)*X248</f>
        <v>921.65006995070587</v>
      </c>
      <c r="AC248" s="447">
        <v>0</v>
      </c>
      <c r="AD248" s="447">
        <v>0</v>
      </c>
      <c r="AE248" s="447">
        <v>0</v>
      </c>
      <c r="AF248" s="448">
        <f t="shared" si="69"/>
        <v>11375.855283192428</v>
      </c>
      <c r="AG248" s="453">
        <f t="shared" si="65"/>
        <v>511.08769154068062</v>
      </c>
      <c r="AH248" s="454">
        <f t="shared" si="70"/>
        <v>12.541871949802267</v>
      </c>
      <c r="AI248" s="104">
        <v>0</v>
      </c>
      <c r="AJ248" s="455">
        <v>0</v>
      </c>
      <c r="AK248" s="456" t="str">
        <f>IF(instatk="Mut","5-5s/3-5e",IF(Sealfate&gt;0,"5-5s/3-4e","5s/3e"))</f>
        <v>5s/3e</v>
      </c>
      <c r="AL248" t="str">
        <f>IF(AND(OR(allowrupt,NOT(D248)),OR(AND(poison,allowenv),NOT(F248)),$X$2-AG248&lt;50),MAX($AL$55:$AL247)+1,"")</f>
        <v/>
      </c>
      <c r="AQ248" t="b">
        <v>1</v>
      </c>
    </row>
    <row r="249" spans="2:43">
      <c r="B249" t="s">
        <v>514</v>
      </c>
      <c r="C249" s="445">
        <v>1</v>
      </c>
      <c r="D249" s="64">
        <v>0</v>
      </c>
      <c r="E249" s="64">
        <v>1</v>
      </c>
      <c r="F249" s="64">
        <v>0</v>
      </c>
      <c r="G249" s="64">
        <v>0</v>
      </c>
      <c r="H249" s="446">
        <f t="shared" si="58"/>
        <v>2</v>
      </c>
      <c r="I249" s="447">
        <f>J$15+M$15</f>
        <v>3.8</v>
      </c>
      <c r="J249" s="447">
        <f t="shared" si="59"/>
        <v>152.6204081632653</v>
      </c>
      <c r="K249" s="447">
        <f>SUMPRODUCT($E$13:$E$15,$J$16:$J$18)+SUMPRODUCT($E$23:$E$25,$M$16:$M$18)</f>
        <v>35</v>
      </c>
      <c r="L249" s="448">
        <f t="shared" si="60"/>
        <v>187.6204081632653</v>
      </c>
      <c r="M249" s="449">
        <f>SUMPRODUCT($C$13:$C$15,$J$16:$J$18)+SUMPRODUCT($C$23:$C$25,$M$16:$M$18)</f>
        <v>5</v>
      </c>
      <c r="N249" s="104">
        <f>SUMPRODUCT($D$13:$D$15,$J$16:$J$18)</f>
        <v>17.399999999999999</v>
      </c>
      <c r="O249" s="104">
        <v>0</v>
      </c>
      <c r="P249" s="104">
        <v>0</v>
      </c>
      <c r="Q249" s="450">
        <f t="shared" si="66"/>
        <v>14.247470785988956</v>
      </c>
      <c r="R249" s="1310">
        <f>(J$15+1-$J$15)*$O$2+25</f>
        <v>65.16326530612244</v>
      </c>
      <c r="S249" s="1310">
        <v>0</v>
      </c>
      <c r="T249" s="1310">
        <v>0</v>
      </c>
      <c r="U249" s="451">
        <f t="shared" si="67"/>
        <v>1</v>
      </c>
      <c r="V249" s="451">
        <v>0</v>
      </c>
      <c r="W249" s="451">
        <v>0</v>
      </c>
      <c r="X249" s="452">
        <f t="shared" si="62"/>
        <v>1</v>
      </c>
      <c r="Y249" s="447">
        <f t="shared" si="63"/>
        <v>3633.2625009222152</v>
      </c>
      <c r="Z249" s="447">
        <f t="shared" si="68"/>
        <v>2530.0525486051679</v>
      </c>
      <c r="AA249" s="447">
        <v>0</v>
      </c>
      <c r="AB249">
        <f>SUMPRODUCT($F$23:$F$25,$M$16:$M$18)*X249</f>
        <v>1190.4605772048644</v>
      </c>
      <c r="AC249" s="447">
        <v>0</v>
      </c>
      <c r="AD249" s="447">
        <v>0</v>
      </c>
      <c r="AE249" s="447">
        <v>0</v>
      </c>
      <c r="AF249" s="448">
        <f t="shared" si="69"/>
        <v>7353.7756267322475</v>
      </c>
      <c r="AG249" s="453">
        <f t="shared" si="65"/>
        <v>516.1460400370845</v>
      </c>
      <c r="AH249" s="454">
        <f t="shared" si="70"/>
        <v>3.152529214011043</v>
      </c>
      <c r="AI249" s="104">
        <v>0</v>
      </c>
      <c r="AJ249" s="455">
        <v>0</v>
      </c>
      <c r="AK249" s="456" t="str">
        <f>IF(instatk="Mut","1-3s/4-5e",IF(Sealfate&gt;0,"1-2s/4-5e","1s/4e"))</f>
        <v>1s/4e</v>
      </c>
      <c r="AL249" t="str">
        <f>IF(AND(OR(allowrupt,NOT(D249)),OR(AND(poison,allowenv),NOT(F249)),$X$2-AG249&lt;50),MAX($AL$55:$AL248)+1,"")</f>
        <v/>
      </c>
      <c r="AQ249" t="b">
        <v>1</v>
      </c>
    </row>
    <row r="250" spans="2:43">
      <c r="B250" t="s">
        <v>515</v>
      </c>
      <c r="C250" s="445">
        <v>1</v>
      </c>
      <c r="D250" s="64">
        <v>0</v>
      </c>
      <c r="E250" s="64">
        <v>1</v>
      </c>
      <c r="F250" s="64">
        <v>0</v>
      </c>
      <c r="G250" s="64">
        <v>0</v>
      </c>
      <c r="H250" s="446">
        <f t="shared" si="58"/>
        <v>2</v>
      </c>
      <c r="I250" s="447">
        <f>K$15+M$15</f>
        <v>4.8</v>
      </c>
      <c r="J250" s="447">
        <f t="shared" si="59"/>
        <v>192.78367346938774</v>
      </c>
      <c r="K250" s="447">
        <f>SUMPRODUCT($E$14:$E$16,$K$16:$K$18)+SUMPRODUCT($E$23:$E$25,$M$16:$M$18)</f>
        <v>30</v>
      </c>
      <c r="L250" s="448">
        <f t="shared" si="60"/>
        <v>222.78367346938774</v>
      </c>
      <c r="M250" s="449">
        <f>SUMPRODUCT($C$14:$C$16,$K$16:$K$18)+SUMPRODUCT($C$23:$C$25,$M$16:$M$18)</f>
        <v>6</v>
      </c>
      <c r="N250" s="104">
        <f>SUMPRODUCT($D$14:$D$16,$K$16:$K$18)</f>
        <v>21.75</v>
      </c>
      <c r="O250" s="104">
        <v>0</v>
      </c>
      <c r="P250" s="104">
        <v>0</v>
      </c>
      <c r="Q250" s="450">
        <f t="shared" si="66"/>
        <v>16.917689874058546</v>
      </c>
      <c r="R250" s="1310">
        <f>(K$15+1-$J$15)*$O$2+25</f>
        <v>105.32653061224489</v>
      </c>
      <c r="S250" s="1310">
        <v>0</v>
      </c>
      <c r="T250" s="1310">
        <v>0</v>
      </c>
      <c r="U250" s="451">
        <f t="shared" si="67"/>
        <v>1</v>
      </c>
      <c r="V250" s="451">
        <v>0</v>
      </c>
      <c r="W250" s="451">
        <v>0</v>
      </c>
      <c r="X250" s="452">
        <f t="shared" si="62"/>
        <v>1</v>
      </c>
      <c r="Y250" s="447">
        <f t="shared" si="63"/>
        <v>4589.3842116912192</v>
      </c>
      <c r="Z250" s="447">
        <f t="shared" si="68"/>
        <v>3004.227559074277</v>
      </c>
      <c r="AA250" s="447">
        <v>0</v>
      </c>
      <c r="AB250">
        <f>SUMPRODUCT($F$23:$F$25,$M$16:$M$18)*X250</f>
        <v>1190.4605772048644</v>
      </c>
      <c r="AC250" s="447">
        <v>0</v>
      </c>
      <c r="AD250" s="447">
        <v>0</v>
      </c>
      <c r="AE250" s="447">
        <v>0</v>
      </c>
      <c r="AF250" s="448">
        <f t="shared" si="69"/>
        <v>8784.0723479703593</v>
      </c>
      <c r="AG250" s="453">
        <f t="shared" si="65"/>
        <v>519.22410289833886</v>
      </c>
      <c r="AH250" s="454">
        <f t="shared" si="70"/>
        <v>4.8323101259414543</v>
      </c>
      <c r="AI250" s="104">
        <v>0</v>
      </c>
      <c r="AJ250" s="455">
        <v>0</v>
      </c>
      <c r="AK250" s="456" t="str">
        <f>IF(instatk="Mut","2-4s/4-5e",IF(Sealfate&gt;0,"2-3s/4-5e","2s/4e"))</f>
        <v>2s/4e</v>
      </c>
      <c r="AL250" t="str">
        <f>IF(AND(OR(allowrupt,NOT(D250)),OR(AND(poison,allowenv),NOT(F250)),$X$2-AG250&lt;50),MAX($AL$55:$AL249)+1,"")</f>
        <v/>
      </c>
      <c r="AQ250" t="b">
        <v>1</v>
      </c>
    </row>
    <row r="251" spans="2:43">
      <c r="B251" t="s">
        <v>516</v>
      </c>
      <c r="C251" s="445">
        <v>1</v>
      </c>
      <c r="D251" s="64">
        <v>0</v>
      </c>
      <c r="E251" s="64">
        <v>1</v>
      </c>
      <c r="F251" s="64">
        <v>0</v>
      </c>
      <c r="G251" s="64">
        <v>0</v>
      </c>
      <c r="H251" s="446">
        <f t="shared" si="58"/>
        <v>2</v>
      </c>
      <c r="I251" s="447">
        <f>L$15+M$15</f>
        <v>5.8</v>
      </c>
      <c r="J251" s="447">
        <f t="shared" si="59"/>
        <v>232.94693877551018</v>
      </c>
      <c r="K251" s="447">
        <f>SUMPRODUCT($E$15:$E$17,$L$16:$L$18)+SUMPRODUCT($E$23:$E$25,$M$16:$M$18)</f>
        <v>25</v>
      </c>
      <c r="L251" s="448">
        <f t="shared" si="60"/>
        <v>257.94693877551015</v>
      </c>
      <c r="M251" s="449">
        <f>SUMPRODUCT($C$15:$C$17,$L$16:$L$18)+SUMPRODUCT($C$23:$C$25,$M$16:$M$18)</f>
        <v>7</v>
      </c>
      <c r="N251" s="104">
        <f>SUMPRODUCT($D$15:$D$17,$L$16:$L$18)</f>
        <v>26.099999999999998</v>
      </c>
      <c r="O251" s="104">
        <v>0</v>
      </c>
      <c r="P251" s="104">
        <v>0</v>
      </c>
      <c r="Q251" s="450">
        <f t="shared" si="66"/>
        <v>19.587908962128132</v>
      </c>
      <c r="R251" s="1310">
        <f>(L$15+1-$J$15)*$O$2+25</f>
        <v>145.48979591836735</v>
      </c>
      <c r="S251" s="1310">
        <v>0</v>
      </c>
      <c r="T251" s="1310">
        <v>0</v>
      </c>
      <c r="U251" s="451">
        <f t="shared" si="67"/>
        <v>1</v>
      </c>
      <c r="V251" s="451">
        <v>0</v>
      </c>
      <c r="W251" s="451">
        <v>0</v>
      </c>
      <c r="X251" s="452">
        <f t="shared" si="62"/>
        <v>1</v>
      </c>
      <c r="Y251" s="447">
        <f t="shared" si="63"/>
        <v>5545.5059224602228</v>
      </c>
      <c r="Z251" s="447">
        <f t="shared" si="68"/>
        <v>3478.4025695433847</v>
      </c>
      <c r="AA251" s="447">
        <v>0</v>
      </c>
      <c r="AB251">
        <f>SUMPRODUCT($F$23:$F$25,$M$16:$M$18)*X251</f>
        <v>1190.4605772048644</v>
      </c>
      <c r="AC251" s="447">
        <v>0</v>
      </c>
      <c r="AD251" s="447">
        <v>0</v>
      </c>
      <c r="AE251" s="447">
        <v>0</v>
      </c>
      <c r="AF251" s="448">
        <f t="shared" si="69"/>
        <v>10214.369069208471</v>
      </c>
      <c r="AG251" s="453">
        <f t="shared" si="65"/>
        <v>521.46296416617247</v>
      </c>
      <c r="AH251" s="454">
        <f t="shared" si="70"/>
        <v>6.5120910378718655</v>
      </c>
      <c r="AI251" s="104">
        <v>0</v>
      </c>
      <c r="AJ251" s="455">
        <v>0</v>
      </c>
      <c r="AK251" s="456" t="str">
        <f>IF(instatk="Mut","3-5s/4-5e",IF(Sealfate&gt;0,"3-4s/4-5e","3s/4e"))</f>
        <v>3s/4e</v>
      </c>
      <c r="AL251">
        <f>IF(AND(OR(allowrupt,NOT(D251)),OR(AND(poison,allowenv),NOT(F251)),$X$2-AG251&lt;50),MAX($AL$55:$AL250)+1,"")</f>
        <v>53</v>
      </c>
      <c r="AQ251" t="b">
        <v>1</v>
      </c>
    </row>
    <row r="252" spans="2:43">
      <c r="B252" t="s">
        <v>517</v>
      </c>
      <c r="C252" s="445">
        <v>1</v>
      </c>
      <c r="D252" s="64">
        <v>0</v>
      </c>
      <c r="E252" s="64">
        <v>1</v>
      </c>
      <c r="F252" s="64">
        <v>0</v>
      </c>
      <c r="G252" s="64">
        <v>0</v>
      </c>
      <c r="H252" s="446">
        <f t="shared" si="58"/>
        <v>2</v>
      </c>
      <c r="I252" s="447">
        <f>M$15+M$15</f>
        <v>6.8</v>
      </c>
      <c r="J252" s="447">
        <f t="shared" si="59"/>
        <v>273.11020408163262</v>
      </c>
      <c r="K252" s="447">
        <f>SUMPRODUCT($E$16:$E$18,$M$16:$M$18)+SUMPRODUCT($E$23:$E$25,$M$16:$M$18)</f>
        <v>20</v>
      </c>
      <c r="L252" s="448">
        <f t="shared" si="60"/>
        <v>293.11020408163262</v>
      </c>
      <c r="M252" s="449">
        <f>SUMPRODUCT($C$16:$C$18,$M$16:$M$18)+SUMPRODUCT($C$23:$C$25,$M$16:$M$18)</f>
        <v>8</v>
      </c>
      <c r="N252" s="104">
        <f>SUMPRODUCT($D$16:$D$18,$M$16:$M$18)</f>
        <v>30.45</v>
      </c>
      <c r="O252" s="104">
        <v>0</v>
      </c>
      <c r="P252" s="104">
        <v>0</v>
      </c>
      <c r="Q252" s="450">
        <f t="shared" si="66"/>
        <v>22.258128050197726</v>
      </c>
      <c r="R252" s="1310">
        <f>(M$15+1-$J$15)*$O$2+25</f>
        <v>185.65306122448979</v>
      </c>
      <c r="S252" s="1310">
        <v>0</v>
      </c>
      <c r="T252" s="1310">
        <v>0</v>
      </c>
      <c r="U252" s="451">
        <f t="shared" si="67"/>
        <v>1</v>
      </c>
      <c r="V252" s="451">
        <v>0</v>
      </c>
      <c r="W252" s="451">
        <v>0</v>
      </c>
      <c r="X252" s="452">
        <f t="shared" si="62"/>
        <v>1</v>
      </c>
      <c r="Y252" s="447">
        <f t="shared" si="63"/>
        <v>6501.6276332292264</v>
      </c>
      <c r="Z252" s="447">
        <f t="shared" si="68"/>
        <v>3952.5775800124939</v>
      </c>
      <c r="AA252" s="447">
        <v>0</v>
      </c>
      <c r="AB252">
        <f>SUMPRODUCT($F$23:$F$25,$M$16:$M$18)*X252</f>
        <v>1190.4605772048644</v>
      </c>
      <c r="AC252" s="447">
        <v>0</v>
      </c>
      <c r="AD252" s="447">
        <v>0</v>
      </c>
      <c r="AE252" s="447">
        <v>0</v>
      </c>
      <c r="AF252" s="448">
        <f t="shared" si="69"/>
        <v>11644.665790446583</v>
      </c>
      <c r="AG252" s="453">
        <f t="shared" si="65"/>
        <v>523.16465087202778</v>
      </c>
      <c r="AH252" s="454">
        <f t="shared" si="70"/>
        <v>8.1918719498022732</v>
      </c>
      <c r="AI252" s="104">
        <v>0</v>
      </c>
      <c r="AJ252" s="455">
        <v>0</v>
      </c>
      <c r="AK252" s="456" t="str">
        <f>IF(instatk="Mut","4-5s/4-5e",IF(Sealfate&gt;0,"4-5s/4-5e","4s/4e"))</f>
        <v>4s/4e</v>
      </c>
      <c r="AL252">
        <f>IF(AND(OR(allowrupt,NOT(D252)),OR(AND(poison,allowenv),NOT(F252)),$X$2-AG252&lt;50),MAX($AL$55:$AL251)+1,"")</f>
        <v>54</v>
      </c>
      <c r="AQ252" t="b">
        <v>1</v>
      </c>
    </row>
    <row r="253" spans="2:43">
      <c r="B253" t="s">
        <v>192</v>
      </c>
      <c r="C253" s="445">
        <v>1</v>
      </c>
      <c r="D253" s="64">
        <v>0</v>
      </c>
      <c r="E253" s="64">
        <v>1</v>
      </c>
      <c r="F253" s="64">
        <v>0</v>
      </c>
      <c r="G253" s="64">
        <v>0</v>
      </c>
      <c r="H253" s="446">
        <f t="shared" si="58"/>
        <v>2</v>
      </c>
      <c r="I253" s="447">
        <f>N$15+M$15</f>
        <v>7.8000000000000007</v>
      </c>
      <c r="J253" s="447">
        <f t="shared" si="59"/>
        <v>313.27346938775514</v>
      </c>
      <c r="K253" s="447">
        <f>SUMPRODUCT($E$17:$E$19,$N$16:$N$18)+SUMPRODUCT($E$23:$E$25,$M$16:$M$18)</f>
        <v>15</v>
      </c>
      <c r="L253" s="448">
        <f t="shared" si="60"/>
        <v>328.27346938775514</v>
      </c>
      <c r="M253" s="449">
        <f>SUMPRODUCT($C$17:$C$19,$N$16:$N$18)+SUMPRODUCT($C$23:$C$25,$M$16:$M$18)</f>
        <v>9</v>
      </c>
      <c r="N253" s="104">
        <f>SUMPRODUCT($D$17:$D$19,$N$16:$N$18)</f>
        <v>34.799999999999997</v>
      </c>
      <c r="O253" s="104">
        <v>0</v>
      </c>
      <c r="P253" s="104">
        <v>0</v>
      </c>
      <c r="Q253" s="450">
        <f t="shared" si="66"/>
        <v>24.92834713826732</v>
      </c>
      <c r="R253" s="1310">
        <f>(N$15+1-$J$15)*$O$2+25</f>
        <v>225.81632653061223</v>
      </c>
      <c r="S253" s="1310">
        <v>0</v>
      </c>
      <c r="T253" s="1310">
        <v>0</v>
      </c>
      <c r="U253" s="451">
        <f t="shared" si="67"/>
        <v>1</v>
      </c>
      <c r="V253" s="451">
        <v>0</v>
      </c>
      <c r="W253" s="451">
        <v>0</v>
      </c>
      <c r="X253" s="452">
        <f t="shared" si="62"/>
        <v>1</v>
      </c>
      <c r="Y253" s="447">
        <f t="shared" si="63"/>
        <v>7457.7493439982318</v>
      </c>
      <c r="Z253" s="447">
        <f t="shared" si="68"/>
        <v>4426.7525904816039</v>
      </c>
      <c r="AA253" s="447">
        <v>0</v>
      </c>
      <c r="AB253">
        <f>SUMPRODUCT($F$23:$F$25,$M$16:$M$18)*X253</f>
        <v>1190.4605772048644</v>
      </c>
      <c r="AC253" s="447">
        <v>0</v>
      </c>
      <c r="AD253" s="447">
        <v>0</v>
      </c>
      <c r="AE253" s="447">
        <v>0</v>
      </c>
      <c r="AF253" s="448">
        <f t="shared" si="69"/>
        <v>13074.962511684698</v>
      </c>
      <c r="AG253" s="453">
        <f t="shared" si="65"/>
        <v>524.50178261572023</v>
      </c>
      <c r="AH253" s="454">
        <f t="shared" si="70"/>
        <v>9.8716528617326773</v>
      </c>
      <c r="AI253" s="104">
        <v>0</v>
      </c>
      <c r="AJ253" s="455">
        <v>0</v>
      </c>
      <c r="AK253" s="456" t="str">
        <f>IF(instatk="Mut","5-5s/4-5e",IF(Sealfate&gt;0,"5-5s/4-5e","5s/4e"))</f>
        <v>5s/4e</v>
      </c>
      <c r="AL253">
        <f>IF(AND(OR(allowrupt,NOT(D253)),OR(AND(poison,allowenv),NOT(F253)),$X$2-AG253&lt;50),MAX($AL$55:$AL252)+1,"")</f>
        <v>55</v>
      </c>
      <c r="AQ253" t="b">
        <v>1</v>
      </c>
    </row>
    <row r="254" spans="2:43">
      <c r="B254" t="s">
        <v>510</v>
      </c>
      <c r="C254" s="445">
        <v>1</v>
      </c>
      <c r="D254" s="64">
        <v>0</v>
      </c>
      <c r="E254" s="64">
        <v>1</v>
      </c>
      <c r="F254" s="64">
        <v>0</v>
      </c>
      <c r="G254" s="64">
        <v>0</v>
      </c>
      <c r="H254" s="446">
        <f t="shared" si="58"/>
        <v>2</v>
      </c>
      <c r="I254" s="447">
        <f>J$15+N$15</f>
        <v>4.8000000000000007</v>
      </c>
      <c r="J254" s="447">
        <f t="shared" si="59"/>
        <v>192.78367346938776</v>
      </c>
      <c r="K254" s="447">
        <f>SUMPRODUCT($E$13:$E$15,$J$16:$J$18)+SUMPRODUCT($E$24:$E$26,$N$16:$N$18)</f>
        <v>30</v>
      </c>
      <c r="L254" s="448">
        <f t="shared" si="60"/>
        <v>222.78367346938776</v>
      </c>
      <c r="M254" s="449">
        <f>SUMPRODUCT($C$13:$C$15,$J$16:$J$18)+SUMPRODUCT($C$24:$C$26,$N$16:$N$18)</f>
        <v>6</v>
      </c>
      <c r="N254" s="104">
        <f>SUMPRODUCT($D$13:$D$15,$J$16:$J$18)</f>
        <v>17.399999999999999</v>
      </c>
      <c r="O254" s="104">
        <v>0</v>
      </c>
      <c r="P254" s="104">
        <v>0</v>
      </c>
      <c r="Q254" s="450">
        <f t="shared" si="66"/>
        <v>16.917689874058549</v>
      </c>
      <c r="R254" s="1310">
        <f>(J$15+1-$J$15)*$O$2+25</f>
        <v>65.16326530612244</v>
      </c>
      <c r="S254" s="1310">
        <v>0</v>
      </c>
      <c r="T254" s="1310">
        <v>0</v>
      </c>
      <c r="U254" s="451">
        <f t="shared" si="67"/>
        <v>1</v>
      </c>
      <c r="V254" s="451">
        <v>0</v>
      </c>
      <c r="W254" s="451">
        <v>0</v>
      </c>
      <c r="X254" s="452">
        <f t="shared" si="62"/>
        <v>1</v>
      </c>
      <c r="Y254" s="447">
        <f t="shared" si="63"/>
        <v>4589.3842116912201</v>
      </c>
      <c r="Z254" s="447">
        <f t="shared" si="68"/>
        <v>3004.2275590742775</v>
      </c>
      <c r="AA254" s="447">
        <v>0</v>
      </c>
      <c r="AB254">
        <f>SUMPRODUCT($F$24:$F$26,$N$16:$N$18)*X254</f>
        <v>1459.2710844590233</v>
      </c>
      <c r="AC254" s="447">
        <v>0</v>
      </c>
      <c r="AD254" s="447">
        <v>0</v>
      </c>
      <c r="AE254" s="447">
        <v>0</v>
      </c>
      <c r="AF254" s="448">
        <f t="shared" si="69"/>
        <v>9052.8828552245213</v>
      </c>
      <c r="AG254" s="453">
        <f t="shared" si="65"/>
        <v>535.11341812135595</v>
      </c>
      <c r="AH254" s="454">
        <f t="shared" si="70"/>
        <v>0.48231012594144929</v>
      </c>
      <c r="AI254" s="104">
        <v>0</v>
      </c>
      <c r="AJ254" s="455">
        <v>0</v>
      </c>
      <c r="AK254" s="456" t="str">
        <f>IF(instatk="Mut","1-3s/5-5e",IF(Sealfate&gt;0,"1-2s/5-5e","1s/5e"))</f>
        <v>1s/5e</v>
      </c>
      <c r="AL254">
        <f>IF(AND(OR(allowrupt,NOT(D254)),OR(AND(poison,allowenv),NOT(F254)),$X$2-AG254&lt;50),MAX($AL$55:$AL253)+1,"")</f>
        <v>56</v>
      </c>
      <c r="AQ254" t="b">
        <v>1</v>
      </c>
    </row>
    <row r="255" spans="2:43">
      <c r="B255" t="s">
        <v>511</v>
      </c>
      <c r="C255" s="445">
        <v>1</v>
      </c>
      <c r="D255" s="64">
        <v>0</v>
      </c>
      <c r="E255" s="64">
        <v>1</v>
      </c>
      <c r="F255" s="64">
        <v>0</v>
      </c>
      <c r="G255" s="64">
        <v>0</v>
      </c>
      <c r="H255" s="446">
        <f t="shared" si="58"/>
        <v>2</v>
      </c>
      <c r="I255" s="447">
        <f>K$15+N$15</f>
        <v>5.8000000000000007</v>
      </c>
      <c r="J255" s="447">
        <f t="shared" si="59"/>
        <v>232.94693877551023</v>
      </c>
      <c r="K255" s="447">
        <f>SUMPRODUCT($E$14:$E$16,$K$16:$K$18)+SUMPRODUCT($E$24:$E$26,$N$16:$N$18)</f>
        <v>25</v>
      </c>
      <c r="L255" s="448">
        <f t="shared" si="60"/>
        <v>257.94693877551026</v>
      </c>
      <c r="M255" s="449">
        <f>SUMPRODUCT($C$14:$C$16,$K$16:$K$18)+SUMPRODUCT($C$24:$C$26,$N$16:$N$18)</f>
        <v>7</v>
      </c>
      <c r="N255" s="104">
        <f>SUMPRODUCT($D$14:$D$16,$K$16:$K$18)</f>
        <v>21.75</v>
      </c>
      <c r="O255" s="104">
        <v>0</v>
      </c>
      <c r="P255" s="104">
        <v>0</v>
      </c>
      <c r="Q255" s="450">
        <f t="shared" si="66"/>
        <v>19.587908962128143</v>
      </c>
      <c r="R255" s="1310">
        <f>(K$15+1-$J$15)*$O$2+25</f>
        <v>105.32653061224489</v>
      </c>
      <c r="S255" s="1310">
        <v>0</v>
      </c>
      <c r="T255" s="1310">
        <v>0</v>
      </c>
      <c r="U255" s="451">
        <f t="shared" si="67"/>
        <v>1</v>
      </c>
      <c r="V255" s="451">
        <v>0</v>
      </c>
      <c r="W255" s="451">
        <v>0</v>
      </c>
      <c r="X255" s="452">
        <f t="shared" si="62"/>
        <v>1</v>
      </c>
      <c r="Y255" s="447">
        <f t="shared" si="63"/>
        <v>5545.5059224602237</v>
      </c>
      <c r="Z255" s="447">
        <f t="shared" si="68"/>
        <v>3478.402569543387</v>
      </c>
      <c r="AA255" s="447">
        <v>0</v>
      </c>
      <c r="AB255">
        <f>SUMPRODUCT($F$24:$F$26,$N$16:$N$18)*X255</f>
        <v>1459.2710844590233</v>
      </c>
      <c r="AC255" s="447">
        <v>0</v>
      </c>
      <c r="AD255" s="447">
        <v>0</v>
      </c>
      <c r="AE255" s="447">
        <v>0</v>
      </c>
      <c r="AF255" s="448">
        <f t="shared" si="69"/>
        <v>10483.179576462635</v>
      </c>
      <c r="AG255" s="453">
        <f t="shared" si="65"/>
        <v>535.18625171942199</v>
      </c>
      <c r="AH255" s="454">
        <f t="shared" si="70"/>
        <v>2.162091037871857</v>
      </c>
      <c r="AI255" s="104">
        <v>0</v>
      </c>
      <c r="AJ255" s="455">
        <v>0</v>
      </c>
      <c r="AK255" s="456" t="str">
        <f>IF(instatk="Mut","2-4s/5-5e",IF(Sealfate&gt;0,"2-3s/5-5e","2s/5e"))</f>
        <v>2s/5e</v>
      </c>
      <c r="AL255">
        <f>IF(AND(OR(allowrupt,NOT(D255)),OR(AND(poison,allowenv),NOT(F255)),$X$2-AG255&lt;50),MAX($AL$55:$AL254)+1,"")</f>
        <v>57</v>
      </c>
      <c r="AQ255" t="b">
        <v>1</v>
      </c>
    </row>
    <row r="256" spans="2:43">
      <c r="B256" t="s">
        <v>512</v>
      </c>
      <c r="C256" s="445">
        <v>1</v>
      </c>
      <c r="D256" s="64">
        <v>0</v>
      </c>
      <c r="E256" s="64">
        <v>1</v>
      </c>
      <c r="F256" s="64">
        <v>0</v>
      </c>
      <c r="G256" s="64">
        <v>0</v>
      </c>
      <c r="H256" s="446">
        <f t="shared" si="58"/>
        <v>2</v>
      </c>
      <c r="I256" s="447">
        <f>L$15+N$15</f>
        <v>6.8000000000000007</v>
      </c>
      <c r="J256" s="447">
        <f t="shared" si="59"/>
        <v>273.11020408163267</v>
      </c>
      <c r="K256" s="447">
        <f>SUMPRODUCT($E$15:$E$17,$L$16:$L$18)+SUMPRODUCT($E$24:$E$26,$N$16:$N$18)</f>
        <v>20</v>
      </c>
      <c r="L256" s="448">
        <f t="shared" si="60"/>
        <v>293.11020408163267</v>
      </c>
      <c r="M256" s="449">
        <f>SUMPRODUCT($C$15:$C$17,$L$16:$L$18)+SUMPRODUCT($C$24:$C$26,$N$16:$N$18)</f>
        <v>8</v>
      </c>
      <c r="N256" s="104">
        <f>SUMPRODUCT($D$15:$D$17,$L$16:$L$18)</f>
        <v>26.099999999999998</v>
      </c>
      <c r="O256" s="104">
        <v>0</v>
      </c>
      <c r="P256" s="104">
        <v>0</v>
      </c>
      <c r="Q256" s="450">
        <f t="shared" si="66"/>
        <v>22.25812805019773</v>
      </c>
      <c r="R256" s="1310">
        <f>(L$15+1-$J$15)*$O$2+25</f>
        <v>145.48979591836735</v>
      </c>
      <c r="S256" s="1310">
        <v>0</v>
      </c>
      <c r="T256" s="1310">
        <v>0</v>
      </c>
      <c r="U256" s="451">
        <f t="shared" si="67"/>
        <v>1</v>
      </c>
      <c r="V256" s="451">
        <v>0</v>
      </c>
      <c r="W256" s="451">
        <v>0</v>
      </c>
      <c r="X256" s="452">
        <f t="shared" si="62"/>
        <v>1</v>
      </c>
      <c r="Y256" s="447">
        <f t="shared" si="63"/>
        <v>6501.6276332292282</v>
      </c>
      <c r="Z256" s="447">
        <f t="shared" si="68"/>
        <v>3952.5775800124952</v>
      </c>
      <c r="AA256" s="447">
        <v>0</v>
      </c>
      <c r="AB256">
        <f>SUMPRODUCT($F$24:$F$26,$N$16:$N$18)*X256</f>
        <v>1459.2710844590233</v>
      </c>
      <c r="AC256" s="447">
        <v>0</v>
      </c>
      <c r="AD256" s="447">
        <v>0</v>
      </c>
      <c r="AE256" s="447">
        <v>0</v>
      </c>
      <c r="AF256" s="448">
        <f t="shared" si="69"/>
        <v>11913.476297700747</v>
      </c>
      <c r="AG256" s="453">
        <f t="shared" si="65"/>
        <v>535.24161020337533</v>
      </c>
      <c r="AH256" s="454">
        <f t="shared" si="70"/>
        <v>3.8418719498022682</v>
      </c>
      <c r="AI256" s="104">
        <v>0</v>
      </c>
      <c r="AJ256" s="455">
        <v>0</v>
      </c>
      <c r="AK256" s="456" t="str">
        <f>IF(instatk="Mut","3-5s/5-5e",IF(Sealfate&gt;0,"3-4s/5-5e","3s/5e"))</f>
        <v>3s/5e</v>
      </c>
      <c r="AL256">
        <f>IF(AND(OR(allowrupt,NOT(D256)),OR(AND(poison,allowenv),NOT(F256)),$X$2-AG256&lt;50),MAX($AL$55:$AL255)+1,"")</f>
        <v>58</v>
      </c>
      <c r="AQ256" t="b">
        <v>1</v>
      </c>
    </row>
    <row r="257" spans="2:43">
      <c r="B257" t="s">
        <v>513</v>
      </c>
      <c r="C257" s="445">
        <v>1</v>
      </c>
      <c r="D257" s="64">
        <v>0</v>
      </c>
      <c r="E257" s="64">
        <v>1</v>
      </c>
      <c r="F257" s="64">
        <v>0</v>
      </c>
      <c r="G257" s="64">
        <v>0</v>
      </c>
      <c r="H257" s="446">
        <f t="shared" si="58"/>
        <v>2</v>
      </c>
      <c r="I257" s="447">
        <f>M$15+N$15</f>
        <v>7.8000000000000007</v>
      </c>
      <c r="J257" s="447">
        <f t="shared" si="59"/>
        <v>313.27346938775514</v>
      </c>
      <c r="K257" s="447">
        <f>SUMPRODUCT($E$16:$E$18,$M$16:$M$18)+SUMPRODUCT($E$24:$E$26,$N$16:$N$18)</f>
        <v>15</v>
      </c>
      <c r="L257" s="448">
        <f t="shared" si="60"/>
        <v>328.27346938775514</v>
      </c>
      <c r="M257" s="449">
        <f>SUMPRODUCT($C$16:$C$18,$M$16:$M$18)+SUMPRODUCT($C$24:$C$26,$N$16:$N$18)</f>
        <v>9</v>
      </c>
      <c r="N257" s="104">
        <f>SUMPRODUCT($D$16:$D$18,$M$16:$M$18)</f>
        <v>30.45</v>
      </c>
      <c r="O257" s="104">
        <v>0</v>
      </c>
      <c r="P257" s="104">
        <v>0</v>
      </c>
      <c r="Q257" s="450">
        <f t="shared" si="66"/>
        <v>24.92834713826732</v>
      </c>
      <c r="R257" s="1310">
        <f>(M$15+1-$J$15)*$O$2+25</f>
        <v>185.65306122448979</v>
      </c>
      <c r="S257" s="1310">
        <v>0</v>
      </c>
      <c r="T257" s="1310">
        <v>0</v>
      </c>
      <c r="U257" s="451">
        <f t="shared" si="67"/>
        <v>1</v>
      </c>
      <c r="V257" s="451">
        <v>0</v>
      </c>
      <c r="W257" s="451">
        <v>0</v>
      </c>
      <c r="X257" s="452">
        <f t="shared" si="62"/>
        <v>1</v>
      </c>
      <c r="Y257" s="447">
        <f t="shared" si="63"/>
        <v>7457.7493439982318</v>
      </c>
      <c r="Z257" s="447">
        <f t="shared" si="68"/>
        <v>4426.7525904816039</v>
      </c>
      <c r="AA257" s="447">
        <v>0</v>
      </c>
      <c r="AB257">
        <f>SUMPRODUCT($F$24:$F$26,$N$16:$N$18)*X257</f>
        <v>1459.2710844590233</v>
      </c>
      <c r="AC257" s="447">
        <v>0</v>
      </c>
      <c r="AD257" s="447">
        <v>0</v>
      </c>
      <c r="AE257" s="447">
        <v>0</v>
      </c>
      <c r="AF257" s="448">
        <f t="shared" si="69"/>
        <v>13343.773018938859</v>
      </c>
      <c r="AG257" s="453">
        <f t="shared" si="65"/>
        <v>535.28510915410561</v>
      </c>
      <c r="AH257" s="454">
        <f t="shared" si="70"/>
        <v>5.5216528617326794</v>
      </c>
      <c r="AI257" s="104">
        <v>0</v>
      </c>
      <c r="AJ257" s="455">
        <v>0</v>
      </c>
      <c r="AK257" s="456" t="str">
        <f>IF(instatk="Mut","4-5s/5-5e",IF(Sealfate&gt;0,"4-5s/5-5e","4s/5e"))</f>
        <v>4s/5e</v>
      </c>
      <c r="AL257">
        <f>IF(AND(OR(allowrupt,NOT(D257)),OR(AND(poison,allowenv),NOT(F257)),$X$2-AG257&lt;50),MAX($AL$55:$AL256)+1,"")</f>
        <v>59</v>
      </c>
      <c r="AQ257" t="b">
        <v>1</v>
      </c>
    </row>
    <row r="258" spans="2:43" ht="12.75" customHeight="1">
      <c r="B258" t="s">
        <v>2256</v>
      </c>
      <c r="C258" s="445">
        <v>1</v>
      </c>
      <c r="D258" s="64">
        <v>0</v>
      </c>
      <c r="E258" s="64">
        <v>1</v>
      </c>
      <c r="F258" s="64">
        <v>0</v>
      </c>
      <c r="G258" s="64">
        <v>0</v>
      </c>
      <c r="H258" s="446">
        <f t="shared" si="58"/>
        <v>2</v>
      </c>
      <c r="I258" s="447">
        <f>N$15+N$15</f>
        <v>8.8000000000000007</v>
      </c>
      <c r="J258" s="447">
        <f t="shared" si="59"/>
        <v>353.43673469387755</v>
      </c>
      <c r="K258" s="447">
        <f>SUMPRODUCT($E$17:$E$19,$N$16:$N$18)+SUMPRODUCT($E$24:$E$26,$N$16:$N$18)</f>
        <v>10</v>
      </c>
      <c r="L258" s="448">
        <f t="shared" si="60"/>
        <v>363.43673469387755</v>
      </c>
      <c r="M258" s="449">
        <f>SUMPRODUCT($C$17:$C$19,$N$16:$N$18)+SUMPRODUCT($C$24:$C$26,$N$16:$N$18)</f>
        <v>10</v>
      </c>
      <c r="N258" s="104">
        <f>SUMPRODUCT($D$17:$D$19,$N$16:$N$18)</f>
        <v>34.799999999999997</v>
      </c>
      <c r="O258" s="104">
        <v>0</v>
      </c>
      <c r="P258" s="104">
        <v>0</v>
      </c>
      <c r="Q258" s="450">
        <f t="shared" si="66"/>
        <v>27.59856622633691</v>
      </c>
      <c r="R258" s="1310">
        <f>(N$15+1-$J$15)*$O$2+25</f>
        <v>225.81632653061223</v>
      </c>
      <c r="S258" s="1310">
        <v>0</v>
      </c>
      <c r="T258" s="1310">
        <v>0</v>
      </c>
      <c r="U258" s="451">
        <f t="shared" si="67"/>
        <v>1</v>
      </c>
      <c r="V258" s="451">
        <v>0</v>
      </c>
      <c r="W258" s="451">
        <v>0</v>
      </c>
      <c r="X258" s="452">
        <f t="shared" si="62"/>
        <v>1</v>
      </c>
      <c r="Y258" s="447">
        <f t="shared" si="63"/>
        <v>8413.8710547672363</v>
      </c>
      <c r="Z258" s="447">
        <f t="shared" si="68"/>
        <v>4900.927600950713</v>
      </c>
      <c r="AA258" s="447">
        <v>0</v>
      </c>
      <c r="AB258">
        <f>SUMPRODUCT($F$24:$F$26,$N$16:$N$18)*X258</f>
        <v>1459.2710844590233</v>
      </c>
      <c r="AC258" s="447">
        <v>0</v>
      </c>
      <c r="AD258" s="447">
        <v>0</v>
      </c>
      <c r="AE258" s="447">
        <v>0</v>
      </c>
      <c r="AF258" s="448">
        <f t="shared" si="69"/>
        <v>14774.069740176974</v>
      </c>
      <c r="AG258" s="453">
        <f t="shared" si="65"/>
        <v>535.32019087565118</v>
      </c>
      <c r="AH258" s="454">
        <f t="shared" si="70"/>
        <v>7.2014337736630871</v>
      </c>
      <c r="AI258" s="104">
        <v>0</v>
      </c>
      <c r="AJ258" s="455">
        <v>0</v>
      </c>
      <c r="AK258" s="456" t="str">
        <f>IF(instatk="Mut","5-5s/5-5e",IF(Sealfate&gt;0,"5-5s/5-5e","5s/5e"))</f>
        <v>5s/5e</v>
      </c>
      <c r="AL258">
        <f>IF(AND(OR(allowrupt,NOT(D258)),OR(AND(poison,allowenv),NOT(F258)),$X$2-AG258&lt;50),MAX($AL$55:$AL257)+1,"")</f>
        <v>60</v>
      </c>
      <c r="AQ258" t="b">
        <v>1</v>
      </c>
    </row>
    <row r="259" spans="2:43" ht="12.75" customHeight="1">
      <c r="B259" t="s">
        <v>1848</v>
      </c>
      <c r="C259" s="445">
        <v>2</v>
      </c>
      <c r="D259" s="64">
        <v>0</v>
      </c>
      <c r="E259" s="197">
        <v>1</v>
      </c>
      <c r="F259" s="64">
        <v>0</v>
      </c>
      <c r="G259" s="64">
        <v>0</v>
      </c>
      <c r="H259" s="446">
        <f t="shared" si="58"/>
        <v>3</v>
      </c>
      <c r="I259" s="447">
        <f>J$15+M$15+L$15</f>
        <v>6.1999999999999993</v>
      </c>
      <c r="J259" s="447">
        <f t="shared" si="59"/>
        <v>249.01224489795914</v>
      </c>
      <c r="K259" s="94">
        <f>SUMPRODUCT($E$13:$E$15,$J$16:$J$18)+SUMPRODUCT($E$16:$E$18,$M$16:$M$18)+SUMPRODUCT($E$22:$E$24,$L$16:$L$18)</f>
        <v>45</v>
      </c>
      <c r="L259" s="448">
        <f t="shared" si="60"/>
        <v>294.01224489795914</v>
      </c>
      <c r="M259" s="457">
        <f>SUMPRODUCT($C$13:$C$15,$J$16:$J$18)+SUMPRODUCT($C$16:$C$18,$M$16:$M$18)+SUMPRODUCT($C$22:$C$24,$L$16:$L$18)</f>
        <v>8</v>
      </c>
      <c r="N259" s="104">
        <f>SUMPRODUCT($D$13:$D$15,$J$16:$J$18)+SUMPRODUCT($D$16:$D$18,$M$16:$M$18)</f>
        <v>47.849999999999994</v>
      </c>
      <c r="O259" s="104">
        <v>0</v>
      </c>
      <c r="P259" s="104">
        <v>0</v>
      </c>
      <c r="Q259" s="450">
        <f t="shared" si="66"/>
        <v>22.326626996043736</v>
      </c>
      <c r="R259" s="1310">
        <f>(J$15+1-$J$15)*$O$2+25</f>
        <v>65.16326530612244</v>
      </c>
      <c r="S259" s="1310">
        <v>0</v>
      </c>
      <c r="T259" s="1310">
        <v>0</v>
      </c>
      <c r="U259" s="451">
        <f t="shared" si="67"/>
        <v>1</v>
      </c>
      <c r="V259" s="451">
        <v>0</v>
      </c>
      <c r="W259" s="451">
        <v>0</v>
      </c>
      <c r="X259" s="452">
        <f t="shared" si="62"/>
        <v>1</v>
      </c>
      <c r="Y259" s="447">
        <f t="shared" si="63"/>
        <v>5927.9546067678239</v>
      </c>
      <c r="Z259" s="447">
        <f t="shared" si="68"/>
        <v>3964.7415588068843</v>
      </c>
      <c r="AA259" s="447">
        <v>0</v>
      </c>
      <c r="AB259">
        <f>SUMPRODUCT($F$22:$F$24,$L$16:$L$18)*X259</f>
        <v>921.65006995070587</v>
      </c>
      <c r="AC259" s="447">
        <v>0</v>
      </c>
      <c r="AD259" s="447">
        <v>0</v>
      </c>
      <c r="AE259" s="447">
        <v>0</v>
      </c>
      <c r="AF259" s="448">
        <f t="shared" ref="AF259:AF284" si="71">SUM(Y259:AE259)</f>
        <v>10814.346235525412</v>
      </c>
      <c r="AG259" s="453">
        <f t="shared" si="65"/>
        <v>484.36990672355961</v>
      </c>
      <c r="AH259" s="454">
        <f t="shared" si="70"/>
        <v>25.523373003956259</v>
      </c>
      <c r="AI259" s="104">
        <v>0</v>
      </c>
      <c r="AJ259" s="455">
        <v>0</v>
      </c>
      <c r="AK259" s="456" t="str">
        <f>IF(instatk="Mut","1-3s/4-5s/3-5e",IF(Sealfate&gt;0,"1-2s/4-5s/3-4e","1s/4s/3e"))</f>
        <v>1s/4s/3e</v>
      </c>
      <c r="AL259" t="str">
        <f>IF(AND(OR(allowrupt,NOT(D259)),OR(AND(poison,allowenv),NOT(F259)),$X$2-AG259&lt;50),MAX($AL$55:$AL258)+1,"")</f>
        <v/>
      </c>
      <c r="AQ259" t="b">
        <v>1</v>
      </c>
    </row>
    <row r="260" spans="2:43" ht="12.75" customHeight="1">
      <c r="B260" t="s">
        <v>1849</v>
      </c>
      <c r="C260" s="445">
        <v>2</v>
      </c>
      <c r="D260" s="64">
        <v>0</v>
      </c>
      <c r="E260" s="197">
        <v>1</v>
      </c>
      <c r="F260" s="64">
        <v>0</v>
      </c>
      <c r="G260" s="64">
        <v>0</v>
      </c>
      <c r="H260" s="446">
        <f t="shared" si="58"/>
        <v>3</v>
      </c>
      <c r="I260" s="447">
        <f>K$15+M$15+L$15</f>
        <v>7.1999999999999993</v>
      </c>
      <c r="J260" s="447">
        <f t="shared" si="59"/>
        <v>289.1755102040816</v>
      </c>
      <c r="K260" s="94">
        <f>SUMPRODUCT($E$14:$E$16,$K$16:$K$18)+SUMPRODUCT($E$16:$E$18,$M$16:$M$18)+SUMPRODUCT($E$22:$E$24,$L$16:$L$18)</f>
        <v>40</v>
      </c>
      <c r="L260" s="448">
        <f t="shared" si="60"/>
        <v>329.1755102040816</v>
      </c>
      <c r="M260" s="457">
        <f>SUMPRODUCT($C$14:$C$16,$K$16:$K$18)+SUMPRODUCT($C$16:$C$18,$M$16:$M$18)+SUMPRODUCT($C$22:$C$24,$L$16:$L$18)</f>
        <v>9</v>
      </c>
      <c r="N260" s="104">
        <f>SUMPRODUCT($D$14:$D$16,$K$16:$K$18)+SUMPRODUCT($D$16:$D$18,$M$16:$M$18)</f>
        <v>52.2</v>
      </c>
      <c r="O260" s="104">
        <v>0</v>
      </c>
      <c r="P260" s="104">
        <v>0</v>
      </c>
      <c r="Q260" s="450">
        <f t="shared" ref="Q260:Q284" si="72">IF(N260&gt;L260/sndeps,L260/sndeps,N260+(L260/sndeps-N260)*sndeps/eps)</f>
        <v>24.996846084113326</v>
      </c>
      <c r="R260" s="1310">
        <f>(K$15+1-$J$15)*$O$2+25</f>
        <v>105.32653061224489</v>
      </c>
      <c r="S260" s="1310">
        <v>0</v>
      </c>
      <c r="T260" s="1310">
        <v>0</v>
      </c>
      <c r="U260" s="451">
        <f t="shared" si="67"/>
        <v>1</v>
      </c>
      <c r="V260" s="451">
        <v>0</v>
      </c>
      <c r="W260" s="451">
        <v>0</v>
      </c>
      <c r="X260" s="452">
        <f t="shared" si="62"/>
        <v>1</v>
      </c>
      <c r="Y260" s="447">
        <f t="shared" si="63"/>
        <v>6884.0763175368284</v>
      </c>
      <c r="Z260" s="447">
        <f t="shared" si="68"/>
        <v>4438.9165692759934</v>
      </c>
      <c r="AA260" s="447">
        <v>0</v>
      </c>
      <c r="AB260">
        <f>SUMPRODUCT($F$22:$F$24,$L$16:$L$18)*X260</f>
        <v>921.65006995070587</v>
      </c>
      <c r="AC260" s="447">
        <v>0</v>
      </c>
      <c r="AD260" s="447">
        <v>0</v>
      </c>
      <c r="AE260" s="447">
        <v>0</v>
      </c>
      <c r="AF260" s="448">
        <f t="shared" si="71"/>
        <v>12244.642956763528</v>
      </c>
      <c r="AG260" s="453">
        <f t="shared" si="65"/>
        <v>489.84751578502443</v>
      </c>
      <c r="AH260" s="454">
        <f t="shared" si="70"/>
        <v>27.203153915886677</v>
      </c>
      <c r="AI260" s="104">
        <v>0</v>
      </c>
      <c r="AJ260" s="455">
        <v>0</v>
      </c>
      <c r="AK260" s="456" t="str">
        <f>IF(instatk="Mut","2-4s/4-5s/3-5e",IF(Sealfate&gt;0,"2-3s/4-5s/3-4e","2s/4s/3e"))</f>
        <v>2s/4s/3e</v>
      </c>
      <c r="AL260" t="str">
        <f>IF(AND(OR(allowrupt,NOT(D260)),OR(AND(poison,allowenv),NOT(F260)),$X$2-AG260&lt;50),MAX($AL$55:$AL259)+1,"")</f>
        <v/>
      </c>
      <c r="AQ260" t="b">
        <v>1</v>
      </c>
    </row>
    <row r="261" spans="2:43" ht="12.75" customHeight="1">
      <c r="B261" t="s">
        <v>1850</v>
      </c>
      <c r="C261" s="445">
        <v>2</v>
      </c>
      <c r="D261" s="64">
        <v>0</v>
      </c>
      <c r="E261" s="197">
        <v>1</v>
      </c>
      <c r="F261" s="64">
        <v>0</v>
      </c>
      <c r="G261" s="64">
        <v>0</v>
      </c>
      <c r="H261" s="446">
        <f t="shared" si="58"/>
        <v>3</v>
      </c>
      <c r="I261" s="447">
        <f>J$15+M$15+M$15</f>
        <v>7.1999999999999993</v>
      </c>
      <c r="J261" s="447">
        <f t="shared" si="59"/>
        <v>289.1755102040816</v>
      </c>
      <c r="K261" s="94">
        <f>SUMPRODUCT($E$13:$E$15,$J$16:$J$18)+SUMPRODUCT($E$16:$E$18,$M$16:$M$18)+SUMPRODUCT($E$23:$E$25,$M$16:$M$18)</f>
        <v>40</v>
      </c>
      <c r="L261" s="448">
        <f t="shared" si="60"/>
        <v>329.1755102040816</v>
      </c>
      <c r="M261" s="457">
        <f>SUMPRODUCT($C$13:$C$15,$J$16:$J$18)+SUMPRODUCT($C$16:$C$18,$M$16:$M$18)+SUMPRODUCT($C$23:$C$25,$M$16:$M$18)</f>
        <v>9</v>
      </c>
      <c r="N261" s="104">
        <f>SUMPRODUCT($D$13:$D$15,$J$16:$J$18)+SUMPRODUCT($D$16:$D$18,$M$16:$M$18)</f>
        <v>47.849999999999994</v>
      </c>
      <c r="O261" s="104">
        <v>0</v>
      </c>
      <c r="P261" s="104">
        <v>0</v>
      </c>
      <c r="Q261" s="450">
        <f t="shared" si="72"/>
        <v>24.996846084113326</v>
      </c>
      <c r="R261" s="1310">
        <f>(J$15+1-$J$15)*$O$2+25</f>
        <v>65.16326530612244</v>
      </c>
      <c r="S261" s="1310">
        <v>0</v>
      </c>
      <c r="T261" s="1310">
        <v>0</v>
      </c>
      <c r="U261" s="451">
        <f t="shared" si="67"/>
        <v>1</v>
      </c>
      <c r="V261" s="451">
        <v>0</v>
      </c>
      <c r="W261" s="451">
        <v>0</v>
      </c>
      <c r="X261" s="452">
        <f t="shared" si="62"/>
        <v>1</v>
      </c>
      <c r="Y261" s="447">
        <f t="shared" si="63"/>
        <v>6884.0763175368284</v>
      </c>
      <c r="Z261" s="447">
        <f t="shared" si="68"/>
        <v>4438.9165692759934</v>
      </c>
      <c r="AA261" s="447">
        <v>0</v>
      </c>
      <c r="AB261">
        <f>SUMPRODUCT($F$23:$F$25,$M$16:$M$18)*X261</f>
        <v>1190.4605772048644</v>
      </c>
      <c r="AC261" s="447">
        <v>0</v>
      </c>
      <c r="AD261" s="447">
        <v>0</v>
      </c>
      <c r="AE261" s="447">
        <v>0</v>
      </c>
      <c r="AF261" s="448">
        <f t="shared" si="71"/>
        <v>12513.453464017686</v>
      </c>
      <c r="AG261" s="453">
        <f t="shared" si="65"/>
        <v>500.60129273550939</v>
      </c>
      <c r="AH261" s="454">
        <f t="shared" si="70"/>
        <v>22.853153915886669</v>
      </c>
      <c r="AI261" s="104">
        <v>0</v>
      </c>
      <c r="AJ261" s="455">
        <v>0</v>
      </c>
      <c r="AK261" s="456" t="str">
        <f>IF(instatk="Mut","1-3s/4-5s/4-5e",IF(Sealfate&gt;0,"1-2s/4-5s/4-5e","1s/4s/4e"))</f>
        <v>1s/4s/4e</v>
      </c>
      <c r="AL261" t="str">
        <f>IF(AND(OR(allowrupt,NOT(D261)),OR(AND(poison,allowenv),NOT(F261)),$X$2-AG261&lt;50),MAX($AL$55:$AL260)+1,"")</f>
        <v/>
      </c>
      <c r="AQ261" t="b">
        <v>1</v>
      </c>
    </row>
    <row r="262" spans="2:43" ht="12.75" customHeight="1">
      <c r="B262" t="s">
        <v>508</v>
      </c>
      <c r="C262" s="445">
        <v>2</v>
      </c>
      <c r="D262" s="64">
        <v>0</v>
      </c>
      <c r="E262" s="197">
        <v>1</v>
      </c>
      <c r="F262" s="64">
        <v>0</v>
      </c>
      <c r="G262" s="64">
        <v>0</v>
      </c>
      <c r="H262" s="446">
        <f t="shared" si="58"/>
        <v>3</v>
      </c>
      <c r="I262" s="447">
        <f>K$15+M$15+M$15</f>
        <v>8.1999999999999993</v>
      </c>
      <c r="J262" s="447">
        <f t="shared" si="59"/>
        <v>329.33877551020402</v>
      </c>
      <c r="K262" s="94">
        <f>SUMPRODUCT($E$14:$E$16,$K$16:$K$18)+SUMPRODUCT($E$16:$E$18,$M$16:$M$18)+SUMPRODUCT($E$23:$E$25,$M$16:$M$18)</f>
        <v>35</v>
      </c>
      <c r="L262" s="448">
        <f t="shared" si="60"/>
        <v>364.33877551020402</v>
      </c>
      <c r="M262" s="457">
        <f>SUMPRODUCT($C$14:$C$16,$K$16:$K$18)+SUMPRODUCT($C$16:$C$18,$M$16:$M$18)+SUMPRODUCT($C$23:$C$25,$M$16:$M$18)</f>
        <v>10</v>
      </c>
      <c r="N262" s="104">
        <f>SUMPRODUCT($D$14:$D$16,$K$16:$K$18)+SUMPRODUCT($D$16:$D$18,$M$16:$M$18)</f>
        <v>52.2</v>
      </c>
      <c r="O262" s="104">
        <v>0</v>
      </c>
      <c r="P262" s="104">
        <v>0</v>
      </c>
      <c r="Q262" s="450">
        <f t="shared" si="72"/>
        <v>27.667065172182912</v>
      </c>
      <c r="R262" s="1310">
        <f>(K$15+1-$J$15)*$O$2+25</f>
        <v>105.32653061224489</v>
      </c>
      <c r="S262" s="1310">
        <v>0</v>
      </c>
      <c r="T262" s="1310">
        <v>0</v>
      </c>
      <c r="U262" s="451">
        <f t="shared" si="67"/>
        <v>1</v>
      </c>
      <c r="V262" s="451">
        <v>0</v>
      </c>
      <c r="W262" s="451">
        <v>0</v>
      </c>
      <c r="X262" s="452">
        <f t="shared" si="62"/>
        <v>1</v>
      </c>
      <c r="Y262" s="447">
        <f t="shared" si="63"/>
        <v>7840.1980283058319</v>
      </c>
      <c r="Z262" s="447">
        <f t="shared" si="68"/>
        <v>4913.0915797451016</v>
      </c>
      <c r="AA262" s="447">
        <v>0</v>
      </c>
      <c r="AB262">
        <f>SUMPRODUCT($F$23:$F$25,$M$16:$M$18)*X262</f>
        <v>1190.4605772048644</v>
      </c>
      <c r="AC262" s="447">
        <v>0</v>
      </c>
      <c r="AD262" s="447">
        <v>0</v>
      </c>
      <c r="AE262" s="447">
        <v>0</v>
      </c>
      <c r="AF262" s="448">
        <f t="shared" si="71"/>
        <v>13943.750185255798</v>
      </c>
      <c r="AG262" s="453">
        <f t="shared" si="65"/>
        <v>503.98371126385882</v>
      </c>
      <c r="AH262" s="454">
        <f t="shared" si="70"/>
        <v>24.53293482781709</v>
      </c>
      <c r="AI262" s="104">
        <v>0</v>
      </c>
      <c r="AJ262" s="455">
        <v>0</v>
      </c>
      <c r="AK262" s="456" t="str">
        <f>IF(instatk="Mut","2-4s/4-5s/4-5e",IF(Sealfate&gt;0,"2-3s/4-5s/4-5e","2s/4s/4e"))</f>
        <v>2s/4s/4e</v>
      </c>
      <c r="AL262" t="str">
        <f>IF(AND(OR(allowrupt,NOT(D262)),OR(AND(poison,allowenv),NOT(F262)),$X$2-AG262&lt;50),MAX($AL$55:$AL261)+1,"")</f>
        <v/>
      </c>
      <c r="AQ262" t="b">
        <v>1</v>
      </c>
    </row>
    <row r="263" spans="2:43" ht="12.75" customHeight="1">
      <c r="B263" t="s">
        <v>399</v>
      </c>
      <c r="C263" s="445">
        <v>2</v>
      </c>
      <c r="D263" s="64">
        <v>0</v>
      </c>
      <c r="E263" s="197">
        <v>1</v>
      </c>
      <c r="F263" s="64">
        <v>0</v>
      </c>
      <c r="G263" s="64">
        <v>0</v>
      </c>
      <c r="H263" s="446">
        <f t="shared" si="58"/>
        <v>3</v>
      </c>
      <c r="I263" s="447">
        <f>J$15+M$15+N$15</f>
        <v>8.1999999999999993</v>
      </c>
      <c r="J263" s="447">
        <f t="shared" si="59"/>
        <v>329.33877551020402</v>
      </c>
      <c r="K263" s="94">
        <f>SUMPRODUCT($E$13:$E$15,$J$16:$J$18)+SUMPRODUCT($E$16:$E$18,$M$16:$M$18)+SUMPRODUCT($E$24:$E$26,$N$16:$N$18)</f>
        <v>35</v>
      </c>
      <c r="L263" s="448">
        <f t="shared" si="60"/>
        <v>364.33877551020402</v>
      </c>
      <c r="M263" s="457">
        <f>SUMPRODUCT($C$13:$C$15,$J$16:$J$18)+SUMPRODUCT($C$16:$C$18,$M$16:$M$18)+SUMPRODUCT($C$24:$C$26,$N$16:$N$18)</f>
        <v>10</v>
      </c>
      <c r="N263" s="104">
        <f>SUMPRODUCT($D$13:$D$15,$J$16:$J$18)+SUMPRODUCT($D$16:$D$18,$M$16:$M$18)</f>
        <v>47.849999999999994</v>
      </c>
      <c r="O263" s="104">
        <v>0</v>
      </c>
      <c r="P263" s="104">
        <v>0</v>
      </c>
      <c r="Q263" s="450">
        <f t="shared" si="72"/>
        <v>27.667065172182912</v>
      </c>
      <c r="R263" s="1310">
        <f>(J$15+1-$J$15)*$O$2+25</f>
        <v>65.16326530612244</v>
      </c>
      <c r="S263" s="1310">
        <v>0</v>
      </c>
      <c r="T263" s="1310">
        <v>0</v>
      </c>
      <c r="U263" s="451">
        <f t="shared" si="67"/>
        <v>1</v>
      </c>
      <c r="V263" s="451">
        <v>0</v>
      </c>
      <c r="W263" s="451">
        <v>0</v>
      </c>
      <c r="X263" s="452">
        <f t="shared" si="62"/>
        <v>1</v>
      </c>
      <c r="Y263" s="447">
        <f t="shared" si="63"/>
        <v>7840.1980283058319</v>
      </c>
      <c r="Z263" s="447">
        <f t="shared" si="68"/>
        <v>4913.0915797451016</v>
      </c>
      <c r="AA263" s="447">
        <v>0</v>
      </c>
      <c r="AB263">
        <f>SUMPRODUCT($F$24:$F$26,$N$16:$N$18)*X263</f>
        <v>1459.2710844590233</v>
      </c>
      <c r="AC263" s="447">
        <v>0</v>
      </c>
      <c r="AD263" s="447">
        <v>0</v>
      </c>
      <c r="AE263" s="447">
        <v>0</v>
      </c>
      <c r="AF263" s="448">
        <f t="shared" si="71"/>
        <v>14212.560692509958</v>
      </c>
      <c r="AG263" s="453">
        <f t="shared" si="65"/>
        <v>513.69961374868137</v>
      </c>
      <c r="AH263" s="454">
        <f t="shared" si="70"/>
        <v>20.182934827817082</v>
      </c>
      <c r="AI263" s="104">
        <v>0</v>
      </c>
      <c r="AJ263" s="455">
        <v>0</v>
      </c>
      <c r="AK263" s="456" t="str">
        <f>IF(instatk="Mut","1-3s/4-5s/5-5e",IF(Sealfate&gt;0,"1-2s/4-5s/5-5e","1s/4s/5e"))</f>
        <v>1s/4s/5e</v>
      </c>
      <c r="AL263" t="str">
        <f>IF(AND(OR(allowrupt,NOT(D263)),OR(AND(poison,allowenv),NOT(F263)),$X$2-AG263&lt;50),MAX($AL$55:$AL262)+1,"")</f>
        <v/>
      </c>
      <c r="AQ263" t="b">
        <v>1</v>
      </c>
    </row>
    <row r="264" spans="2:43" ht="12.75" customHeight="1">
      <c r="B264" t="s">
        <v>730</v>
      </c>
      <c r="C264" s="445">
        <v>2</v>
      </c>
      <c r="D264" s="64">
        <v>0</v>
      </c>
      <c r="E264" s="197">
        <v>1</v>
      </c>
      <c r="F264" s="64">
        <v>0</v>
      </c>
      <c r="G264" s="64">
        <v>0</v>
      </c>
      <c r="H264" s="446">
        <f t="shared" si="58"/>
        <v>3</v>
      </c>
      <c r="I264" s="447">
        <f>K$15+M$15+N$15</f>
        <v>9.1999999999999993</v>
      </c>
      <c r="J264" s="447">
        <f t="shared" si="59"/>
        <v>369.50204081632648</v>
      </c>
      <c r="K264" s="94">
        <f>SUMPRODUCT($E$14:$E$16,$K$16:$K$18)+SUMPRODUCT($E$16:$E$18,$M$16:$M$18)+SUMPRODUCT($E$24:$E$26,$N$16:$N$18)</f>
        <v>30</v>
      </c>
      <c r="L264" s="448">
        <f t="shared" si="60"/>
        <v>399.50204081632648</v>
      </c>
      <c r="M264" s="457">
        <f>SUMPRODUCT($C$14:$C$16,$K$16:$K$18)+SUMPRODUCT($C$16:$C$18,$M$16:$M$18)+SUMPRODUCT($C$24:$C$26,$N$16:$N$18)</f>
        <v>11</v>
      </c>
      <c r="N264" s="104">
        <f>SUMPRODUCT($D$14:$D$16,$K$16:$K$18)+SUMPRODUCT($D$16:$D$18,$M$16:$M$18)</f>
        <v>52.2</v>
      </c>
      <c r="O264" s="104">
        <v>0</v>
      </c>
      <c r="P264" s="104">
        <v>0</v>
      </c>
      <c r="Q264" s="450">
        <f t="shared" si="72"/>
        <v>30.337284260252506</v>
      </c>
      <c r="R264" s="1310">
        <f>(K$15+1-$J$15)*$O$2+25</f>
        <v>105.32653061224489</v>
      </c>
      <c r="S264" s="1310">
        <v>0</v>
      </c>
      <c r="T264" s="1310">
        <v>0</v>
      </c>
      <c r="U264" s="451">
        <f t="shared" si="67"/>
        <v>1</v>
      </c>
      <c r="V264" s="451">
        <v>0</v>
      </c>
      <c r="W264" s="451">
        <v>0</v>
      </c>
      <c r="X264" s="452">
        <f t="shared" si="62"/>
        <v>1</v>
      </c>
      <c r="Y264" s="447">
        <f t="shared" si="63"/>
        <v>8796.3197390748355</v>
      </c>
      <c r="Z264" s="447">
        <f t="shared" si="68"/>
        <v>5387.2665902142107</v>
      </c>
      <c r="AA264" s="447">
        <v>0</v>
      </c>
      <c r="AB264">
        <f>SUMPRODUCT($F$24:$F$26,$N$16:$N$18)*X264</f>
        <v>1459.2710844590233</v>
      </c>
      <c r="AC264" s="447">
        <v>0</v>
      </c>
      <c r="AD264" s="447">
        <v>0</v>
      </c>
      <c r="AE264" s="447">
        <v>0</v>
      </c>
      <c r="AF264" s="448">
        <f t="shared" si="71"/>
        <v>15642.85741374807</v>
      </c>
      <c r="AG264" s="453">
        <f t="shared" si="65"/>
        <v>515.63143488895366</v>
      </c>
      <c r="AH264" s="454">
        <f t="shared" si="70"/>
        <v>21.862715739747497</v>
      </c>
      <c r="AI264" s="104">
        <v>0</v>
      </c>
      <c r="AJ264" s="455">
        <v>0</v>
      </c>
      <c r="AK264" s="456" t="str">
        <f>IF(instatk="Mut","2-4s/4-5s/5-5e",IF(Sealfate&gt;0,"2-3s/4-5s/5-5e","2s/4s/5e"))</f>
        <v>2s/4s/5e</v>
      </c>
      <c r="AL264" t="str">
        <f>IF(AND(OR(allowrupt,NOT(D264)),OR(AND(poison,allowenv),NOT(F264)),$X$2-AG264&lt;50),MAX($AL$55:$AL263)+1,"")</f>
        <v/>
      </c>
      <c r="AQ264" t="b">
        <v>1</v>
      </c>
    </row>
    <row r="265" spans="2:43" ht="12.75" customHeight="1">
      <c r="B265" t="s">
        <v>400</v>
      </c>
      <c r="C265" s="445">
        <v>2</v>
      </c>
      <c r="D265" s="64">
        <v>0</v>
      </c>
      <c r="E265" s="197">
        <v>1</v>
      </c>
      <c r="F265" s="64">
        <v>0</v>
      </c>
      <c r="G265" s="64">
        <v>0</v>
      </c>
      <c r="H265" s="446">
        <f t="shared" si="58"/>
        <v>3</v>
      </c>
      <c r="I265" s="447">
        <f>J$15+N$15+L$15</f>
        <v>7.2000000000000011</v>
      </c>
      <c r="J265" s="447">
        <f t="shared" si="59"/>
        <v>289.17551020408166</v>
      </c>
      <c r="K265" s="94">
        <f>SUMPRODUCT($E$13:$E$15,$J$16:$J$18)+SUMPRODUCT($E$17:$E$19,$N$16:$N$18)+SUMPRODUCT($E$22:$E$24,$L$16:$L$18)</f>
        <v>40</v>
      </c>
      <c r="L265" s="448">
        <f t="shared" si="60"/>
        <v>329.17551020408166</v>
      </c>
      <c r="M265" s="457">
        <f>SUMPRODUCT($C$13:$C$15,$J$16:$J$18)+SUMPRODUCT($C$17:$C$19,$N$16:$N$18)+SUMPRODUCT($C$22:$C$24,$L$16:$L$18)</f>
        <v>9</v>
      </c>
      <c r="N265" s="104">
        <f>SUMPRODUCT($D$13:$D$15,$J$16:$J$18)+SUMPRODUCT($D$17:$D$19,$N$16:$N$18)</f>
        <v>52.199999999999996</v>
      </c>
      <c r="O265" s="104">
        <v>0</v>
      </c>
      <c r="P265" s="104">
        <v>0</v>
      </c>
      <c r="Q265" s="450">
        <f t="shared" si="72"/>
        <v>24.996846084113329</v>
      </c>
      <c r="R265" s="1310">
        <f>(J$15+1-$J$15)*$O$2+25</f>
        <v>65.16326530612244</v>
      </c>
      <c r="S265" s="1310">
        <v>0</v>
      </c>
      <c r="T265" s="1310">
        <v>0</v>
      </c>
      <c r="U265" s="451">
        <f t="shared" si="67"/>
        <v>1</v>
      </c>
      <c r="V265" s="451">
        <v>0</v>
      </c>
      <c r="W265" s="451">
        <v>0</v>
      </c>
      <c r="X265" s="452">
        <f t="shared" si="62"/>
        <v>1</v>
      </c>
      <c r="Y265" s="447">
        <f t="shared" si="63"/>
        <v>6884.0763175368302</v>
      </c>
      <c r="Z265" s="447">
        <f t="shared" si="68"/>
        <v>4438.9165692759934</v>
      </c>
      <c r="AA265" s="447">
        <v>0</v>
      </c>
      <c r="AB265">
        <f>SUMPRODUCT($F$22:$F$24,$L$16:$L$18)*X265</f>
        <v>921.65006995070587</v>
      </c>
      <c r="AC265" s="447">
        <v>0</v>
      </c>
      <c r="AD265" s="447">
        <v>0</v>
      </c>
      <c r="AE265" s="447">
        <v>0</v>
      </c>
      <c r="AF265" s="448">
        <f t="shared" si="71"/>
        <v>12244.642956763528</v>
      </c>
      <c r="AG265" s="453">
        <f t="shared" si="65"/>
        <v>489.84751578502431</v>
      </c>
      <c r="AH265" s="454">
        <f t="shared" si="70"/>
        <v>27.203153915886666</v>
      </c>
      <c r="AI265" s="104">
        <v>0</v>
      </c>
      <c r="AJ265" s="455">
        <v>0</v>
      </c>
      <c r="AK265" s="456" t="str">
        <f>IF(instatk="Mut","1-3s/5-5s/3-5e",IF(Sealfate&gt;0,"1-2s/5-5s/3-4e","1s/5s/3e"))</f>
        <v>1s/5s/3e</v>
      </c>
      <c r="AL265" t="str">
        <f>IF(AND(OR(allowrupt,NOT(D265)),OR(AND(poison,allowenv),NOT(F265)),$X$2-AG265&lt;50),MAX($AL$55:$AL264)+1,"")</f>
        <v/>
      </c>
      <c r="AQ265" t="b">
        <v>1</v>
      </c>
    </row>
    <row r="266" spans="2:43" ht="12.75" customHeight="1">
      <c r="B266" t="s">
        <v>401</v>
      </c>
      <c r="C266" s="445">
        <v>2</v>
      </c>
      <c r="D266" s="64">
        <v>0</v>
      </c>
      <c r="E266" s="197">
        <v>1</v>
      </c>
      <c r="F266" s="64">
        <v>0</v>
      </c>
      <c r="G266" s="64">
        <v>0</v>
      </c>
      <c r="H266" s="446">
        <f t="shared" si="58"/>
        <v>3</v>
      </c>
      <c r="I266" s="447">
        <f>K$15+N$15+L$15</f>
        <v>8.2000000000000011</v>
      </c>
      <c r="J266" s="447">
        <f t="shared" si="59"/>
        <v>329.33877551020413</v>
      </c>
      <c r="K266" s="94">
        <f>SUMPRODUCT($E$14:$E$16,$K$16:$K$18)+SUMPRODUCT($E$17:$E$19,$N$16:$N$18)+SUMPRODUCT($E$22:$E$24,$L$16:$L$18)</f>
        <v>35</v>
      </c>
      <c r="L266" s="448">
        <f t="shared" si="60"/>
        <v>364.33877551020413</v>
      </c>
      <c r="M266" s="457">
        <f>SUMPRODUCT($C$14:$C$16,$K$16:$K$18)+SUMPRODUCT($C$17:$C$19,$N$16:$N$18)+SUMPRODUCT($C$22:$C$24,$L$16:$L$18)</f>
        <v>10</v>
      </c>
      <c r="N266" s="104">
        <f>SUMPRODUCT($D$14:$D$16,$K$16:$K$18)+SUMPRODUCT($D$17:$D$19,$N$16:$N$18)</f>
        <v>56.55</v>
      </c>
      <c r="O266" s="104">
        <v>0</v>
      </c>
      <c r="P266" s="104">
        <v>0</v>
      </c>
      <c r="Q266" s="450">
        <f t="shared" si="72"/>
        <v>27.667065172182923</v>
      </c>
      <c r="R266" s="1310">
        <f>(K$15+1-$J$15)*$O$2+25</f>
        <v>105.32653061224489</v>
      </c>
      <c r="S266" s="1310">
        <v>0</v>
      </c>
      <c r="T266" s="1310">
        <v>0</v>
      </c>
      <c r="U266" s="451">
        <f t="shared" si="67"/>
        <v>1</v>
      </c>
      <c r="V266" s="451">
        <v>0</v>
      </c>
      <c r="W266" s="451">
        <v>0</v>
      </c>
      <c r="X266" s="452">
        <f t="shared" si="62"/>
        <v>1</v>
      </c>
      <c r="Y266" s="447">
        <f t="shared" si="63"/>
        <v>7840.1980283058338</v>
      </c>
      <c r="Z266" s="447">
        <f t="shared" si="68"/>
        <v>4913.0915797451034</v>
      </c>
      <c r="AA266" s="447">
        <v>0</v>
      </c>
      <c r="AB266">
        <f>SUMPRODUCT($F$22:$F$24,$L$16:$L$18)*X266</f>
        <v>921.65006995070587</v>
      </c>
      <c r="AC266" s="447">
        <v>0</v>
      </c>
      <c r="AD266" s="447">
        <v>0</v>
      </c>
      <c r="AE266" s="447">
        <v>0</v>
      </c>
      <c r="AF266" s="448">
        <f t="shared" si="71"/>
        <v>13674.939678001643</v>
      </c>
      <c r="AG266" s="453">
        <f t="shared" ref="AG266:AG284" si="73">IF(AND(forceea,W266=0),0,IF(time=0, AF266/Q266, IF(time&lt;Q266, 0, AF266/Q266))*AQ266)</f>
        <v>494.26780877903627</v>
      </c>
      <c r="AH266" s="454">
        <f t="shared" si="70"/>
        <v>28.882934827817074</v>
      </c>
      <c r="AI266" s="104">
        <v>0</v>
      </c>
      <c r="AJ266" s="455">
        <v>0</v>
      </c>
      <c r="AK266" s="456" t="str">
        <f>IF(instatk="Mut","2-4s/5-5s/3-5e",IF(Sealfate&gt;0,"2-3s/5-5s/3-4e","2s/5s/3e"))</f>
        <v>2s/5s/3e</v>
      </c>
      <c r="AL266" t="str">
        <f>IF(AND(OR(allowrupt,NOT(D266)),OR(AND(poison,allowenv),NOT(F266)),$X$2-AG266&lt;50),MAX($AL$55:$AL265)+1,"")</f>
        <v/>
      </c>
      <c r="AQ266" t="b">
        <v>1</v>
      </c>
    </row>
    <row r="267" spans="2:43" ht="12.75" customHeight="1">
      <c r="B267" t="s">
        <v>402</v>
      </c>
      <c r="C267" s="445">
        <v>2</v>
      </c>
      <c r="D267" s="64">
        <v>0</v>
      </c>
      <c r="E267" s="197">
        <v>1</v>
      </c>
      <c r="F267" s="64">
        <v>0</v>
      </c>
      <c r="G267" s="64">
        <v>0</v>
      </c>
      <c r="H267" s="446">
        <f t="shared" si="58"/>
        <v>3</v>
      </c>
      <c r="I267" s="447">
        <f>L$15+N$15+L$15</f>
        <v>9.2000000000000011</v>
      </c>
      <c r="J267" s="447">
        <f t="shared" si="59"/>
        <v>369.50204081632654</v>
      </c>
      <c r="K267" s="94">
        <f>SUMPRODUCT($E$15:$E$17,$L$16:$L$18)+SUMPRODUCT($E$17:$E$19,$N$16:$N$18)+SUMPRODUCT($E$22:$E$24,$L$16:$L$18)</f>
        <v>30</v>
      </c>
      <c r="L267" s="448">
        <f t="shared" si="60"/>
        <v>399.50204081632654</v>
      </c>
      <c r="M267" s="457">
        <f>SUMPRODUCT($C$15:$C$17,$L$16:$L$18)+SUMPRODUCT($C$17:$C$19,$N$16:$N$18)+SUMPRODUCT($C$22:$C$24,$L$16:$L$18)</f>
        <v>11</v>
      </c>
      <c r="N267" s="104">
        <f>SUMPRODUCT($D$15:$D$17,$L$16:$L$18)+SUMPRODUCT($D$17:$D$19,$N$16:$N$18)</f>
        <v>60.899999999999991</v>
      </c>
      <c r="O267" s="104">
        <v>0</v>
      </c>
      <c r="P267" s="104">
        <v>0</v>
      </c>
      <c r="Q267" s="450">
        <f t="shared" si="72"/>
        <v>30.33728426025251</v>
      </c>
      <c r="R267" s="1310">
        <f>(L$15+1-$J$15)*$O$2+25</f>
        <v>145.48979591836735</v>
      </c>
      <c r="S267" s="1310">
        <v>0</v>
      </c>
      <c r="T267" s="1310">
        <v>0</v>
      </c>
      <c r="U267" s="451">
        <f t="shared" si="67"/>
        <v>1</v>
      </c>
      <c r="V267" s="451">
        <v>0</v>
      </c>
      <c r="W267" s="451">
        <v>0</v>
      </c>
      <c r="X267" s="452">
        <f t="shared" si="62"/>
        <v>1</v>
      </c>
      <c r="Y267" s="447">
        <f t="shared" si="63"/>
        <v>8796.3197390748373</v>
      </c>
      <c r="Z267" s="447">
        <f t="shared" si="68"/>
        <v>5387.2665902142116</v>
      </c>
      <c r="AA267" s="447">
        <v>0</v>
      </c>
      <c r="AB267">
        <f>SUMPRODUCT($F$22:$F$24,$L$16:$L$18)*X267</f>
        <v>921.65006995070587</v>
      </c>
      <c r="AC267" s="447">
        <v>0</v>
      </c>
      <c r="AD267" s="447">
        <v>0</v>
      </c>
      <c r="AE267" s="447">
        <v>0</v>
      </c>
      <c r="AF267" s="448">
        <f t="shared" si="71"/>
        <v>15105.236399239755</v>
      </c>
      <c r="AG267" s="453">
        <f t="shared" si="73"/>
        <v>497.90997340623619</v>
      </c>
      <c r="AH267" s="454">
        <f t="shared" si="70"/>
        <v>30.562715739747482</v>
      </c>
      <c r="AI267" s="104">
        <v>0</v>
      </c>
      <c r="AJ267" s="455">
        <v>0</v>
      </c>
      <c r="AK267" s="456" t="str">
        <f>IF(instatk="Mut","3-5s/5-5s/3-5e",IF(Sealfate&gt;0,"3-4s/5-5s/3-4e","3s/5s/3e"))</f>
        <v>3s/5s/3e</v>
      </c>
      <c r="AL267" t="str">
        <f>IF(AND(OR(allowrupt,NOT(D267)),OR(AND(poison,allowenv),NOT(F267)),$X$2-AG267&lt;50),MAX($AL$55:$AL266)+1,"")</f>
        <v/>
      </c>
      <c r="AQ267" t="b">
        <v>1</v>
      </c>
    </row>
    <row r="268" spans="2:43" ht="12.75" customHeight="1">
      <c r="B268" t="s">
        <v>403</v>
      </c>
      <c r="C268" s="445">
        <v>2</v>
      </c>
      <c r="D268" s="64">
        <v>0</v>
      </c>
      <c r="E268" s="197">
        <v>1</v>
      </c>
      <c r="F268" s="64">
        <v>0</v>
      </c>
      <c r="G268" s="64">
        <v>0</v>
      </c>
      <c r="H268" s="446">
        <f t="shared" si="58"/>
        <v>3</v>
      </c>
      <c r="I268" s="447">
        <f>J$15+N$15+M$15</f>
        <v>8.2000000000000011</v>
      </c>
      <c r="J268" s="447">
        <f t="shared" si="59"/>
        <v>329.33877551020413</v>
      </c>
      <c r="K268" s="94">
        <f>SUMPRODUCT($E$13:$E$15,$J$16:$J$18)+SUMPRODUCT($E$17:$E$19,$N$16:$N$18)+SUMPRODUCT($E$23:$E$25,$M$16:$M$18)</f>
        <v>35</v>
      </c>
      <c r="L268" s="448">
        <f t="shared" si="60"/>
        <v>364.33877551020413</v>
      </c>
      <c r="M268" s="457">
        <f>SUMPRODUCT($C$13:$C$15,$J$16:$J$18)+SUMPRODUCT($C$17:$C$19,$N$16:$N$18)+SUMPRODUCT($C$23:$C$25,$M$16:$M$18)</f>
        <v>10</v>
      </c>
      <c r="N268" s="104">
        <f>SUMPRODUCT($D$13:$D$15,$J$16:$J$18)+SUMPRODUCT($D$17:$D$19,$N$16:$N$18)</f>
        <v>52.199999999999996</v>
      </c>
      <c r="O268" s="104">
        <v>0</v>
      </c>
      <c r="P268" s="104">
        <v>0</v>
      </c>
      <c r="Q268" s="450">
        <f t="shared" si="72"/>
        <v>27.667065172182923</v>
      </c>
      <c r="R268" s="1310">
        <f>(J$15+1-$J$15)*$O$2+25</f>
        <v>65.16326530612244</v>
      </c>
      <c r="S268" s="1310">
        <v>0</v>
      </c>
      <c r="T268" s="1310">
        <v>0</v>
      </c>
      <c r="U268" s="451">
        <f t="shared" si="67"/>
        <v>1</v>
      </c>
      <c r="V268" s="451">
        <v>0</v>
      </c>
      <c r="W268" s="451">
        <v>0</v>
      </c>
      <c r="X268" s="452">
        <f t="shared" si="62"/>
        <v>1</v>
      </c>
      <c r="Y268" s="447">
        <f t="shared" si="63"/>
        <v>7840.1980283058338</v>
      </c>
      <c r="Z268" s="447">
        <f t="shared" si="68"/>
        <v>4913.0915797451034</v>
      </c>
      <c r="AA268" s="447">
        <v>0</v>
      </c>
      <c r="AB268">
        <f>SUMPRODUCT($F$23:$F$25,$M$16:$M$18)*X268</f>
        <v>1190.4605772048644</v>
      </c>
      <c r="AC268" s="447">
        <v>0</v>
      </c>
      <c r="AD268" s="447">
        <v>0</v>
      </c>
      <c r="AE268" s="447">
        <v>0</v>
      </c>
      <c r="AF268" s="448">
        <f t="shared" si="71"/>
        <v>13943.750185255802</v>
      </c>
      <c r="AG268" s="453">
        <f t="shared" si="73"/>
        <v>503.98371126385877</v>
      </c>
      <c r="AH268" s="454">
        <f t="shared" si="70"/>
        <v>24.532934827817073</v>
      </c>
      <c r="AI268" s="104">
        <v>0</v>
      </c>
      <c r="AJ268" s="455">
        <v>0</v>
      </c>
      <c r="AK268" s="456" t="str">
        <f>IF(instatk="Mut","1-3s/5-5s/4-5e",IF(Sealfate&gt;0,"1-2s/5-5s/4-5e","1s/5s/4e"))</f>
        <v>1s/5s/4e</v>
      </c>
      <c r="AL268" t="str">
        <f>IF(AND(OR(allowrupt,NOT(D268)),OR(AND(poison,allowenv),NOT(F268)),$X$2-AG268&lt;50),MAX($AL$55:$AL267)+1,"")</f>
        <v/>
      </c>
      <c r="AQ268" t="b">
        <v>1</v>
      </c>
    </row>
    <row r="269" spans="2:43" ht="12.75" customHeight="1">
      <c r="B269" t="s">
        <v>507</v>
      </c>
      <c r="C269" s="445">
        <v>2</v>
      </c>
      <c r="D269" s="64">
        <v>0</v>
      </c>
      <c r="E269" s="197">
        <v>1</v>
      </c>
      <c r="F269" s="64">
        <v>0</v>
      </c>
      <c r="G269" s="64">
        <v>0</v>
      </c>
      <c r="H269" s="446">
        <f t="shared" si="58"/>
        <v>3</v>
      </c>
      <c r="I269" s="447">
        <f>K$15+N$15+M$15</f>
        <v>9.2000000000000011</v>
      </c>
      <c r="J269" s="447">
        <f t="shared" si="59"/>
        <v>369.50204081632654</v>
      </c>
      <c r="K269" s="94">
        <f>SUMPRODUCT($E$14:$E$16,$K$16:$K$18)+SUMPRODUCT($E$17:$E$19,$N$16:$N$18)+SUMPRODUCT($E$23:$E$25,$M$16:$M$18)</f>
        <v>30</v>
      </c>
      <c r="L269" s="448">
        <f t="shared" si="60"/>
        <v>399.50204081632654</v>
      </c>
      <c r="M269" s="457">
        <f>SUMPRODUCT($C$14:$C$16,$K$16:$K$18)+SUMPRODUCT($C$17:$C$19,$N$16:$N$18)+SUMPRODUCT($C$23:$C$25,$M$16:$M$18)</f>
        <v>11</v>
      </c>
      <c r="N269" s="104">
        <f>SUMPRODUCT($D$14:$D$16,$K$16:$K$18)+SUMPRODUCT($D$17:$D$19,$N$16:$N$18)</f>
        <v>56.55</v>
      </c>
      <c r="O269" s="104">
        <v>0</v>
      </c>
      <c r="P269" s="104">
        <v>0</v>
      </c>
      <c r="Q269" s="450">
        <f t="shared" si="72"/>
        <v>30.33728426025251</v>
      </c>
      <c r="R269" s="1310">
        <f>(K$15+1-$J$15)*$O$2+25</f>
        <v>105.32653061224489</v>
      </c>
      <c r="S269" s="1310">
        <v>0</v>
      </c>
      <c r="T269" s="1310">
        <v>0</v>
      </c>
      <c r="U269" s="451">
        <f t="shared" si="67"/>
        <v>1</v>
      </c>
      <c r="V269" s="451">
        <v>0</v>
      </c>
      <c r="W269" s="451">
        <v>0</v>
      </c>
      <c r="X269" s="452">
        <f t="shared" si="62"/>
        <v>1</v>
      </c>
      <c r="Y269" s="447">
        <f t="shared" si="63"/>
        <v>8796.3197390748373</v>
      </c>
      <c r="Z269" s="447">
        <f t="shared" si="68"/>
        <v>5387.2665902142116</v>
      </c>
      <c r="AA269" s="447">
        <v>0</v>
      </c>
      <c r="AB269">
        <f>SUMPRODUCT($F$23:$F$25,$M$16:$M$18)*X269</f>
        <v>1190.4605772048644</v>
      </c>
      <c r="AC269" s="447">
        <v>0</v>
      </c>
      <c r="AD269" s="447">
        <v>0</v>
      </c>
      <c r="AE269" s="447">
        <v>0</v>
      </c>
      <c r="AF269" s="448">
        <f t="shared" si="71"/>
        <v>15374.046906493913</v>
      </c>
      <c r="AG269" s="453">
        <f t="shared" si="73"/>
        <v>506.77070414759493</v>
      </c>
      <c r="AH269" s="454">
        <f t="shared" si="70"/>
        <v>26.212715739747487</v>
      </c>
      <c r="AI269" s="104">
        <v>0</v>
      </c>
      <c r="AJ269" s="455">
        <v>0</v>
      </c>
      <c r="AK269" s="456" t="str">
        <f>IF(instatk="Mut","2-4s/5-5s/4-5e",IF(Sealfate&gt;0,"2-3s/5-5s/4-5e","2s/5s/4e"))</f>
        <v>2s/5s/4e</v>
      </c>
      <c r="AL269" t="str">
        <f>IF(AND(OR(allowrupt,NOT(D269)),OR(AND(poison,allowenv),NOT(F269)),$X$2-AG269&lt;50),MAX($AL$55:$AL268)+1,"")</f>
        <v/>
      </c>
      <c r="AQ269" t="b">
        <v>1</v>
      </c>
    </row>
    <row r="270" spans="2:43" ht="12.75" customHeight="1">
      <c r="B270" t="s">
        <v>506</v>
      </c>
      <c r="C270" s="445">
        <v>2</v>
      </c>
      <c r="D270" s="64">
        <v>0</v>
      </c>
      <c r="E270" s="197">
        <v>1</v>
      </c>
      <c r="F270" s="64">
        <v>0</v>
      </c>
      <c r="G270" s="64">
        <v>0</v>
      </c>
      <c r="H270" s="446">
        <f t="shared" si="58"/>
        <v>3</v>
      </c>
      <c r="I270" s="447">
        <f>L$15+N$15+M$15</f>
        <v>10.200000000000001</v>
      </c>
      <c r="J270" s="447">
        <f t="shared" si="59"/>
        <v>409.66530612244901</v>
      </c>
      <c r="K270" s="94">
        <f>SUMPRODUCT($E$15:$E$17,$L$16:$L$18)+SUMPRODUCT($E$17:$E$19,$N$16:$N$18)+SUMPRODUCT($E$23:$E$25,$M$16:$M$18)</f>
        <v>25</v>
      </c>
      <c r="L270" s="448">
        <f t="shared" si="60"/>
        <v>434.66530612244901</v>
      </c>
      <c r="M270" s="457">
        <f>SUMPRODUCT($C$15:$C$17,$L$16:$L$18)+SUMPRODUCT($C$17:$C$19,$N$16:$N$18)+SUMPRODUCT($C$23:$C$25,$M$16:$M$18)</f>
        <v>12</v>
      </c>
      <c r="N270" s="104">
        <f>SUMPRODUCT($D$15:$D$17,$L$16:$L$18)+SUMPRODUCT($D$17:$D$19,$N$16:$N$18)</f>
        <v>60.899999999999991</v>
      </c>
      <c r="O270" s="104">
        <v>0</v>
      </c>
      <c r="P270" s="104">
        <v>0</v>
      </c>
      <c r="Q270" s="450">
        <f t="shared" si="72"/>
        <v>33.007503348322103</v>
      </c>
      <c r="R270" s="1310">
        <f>(L$15+1-$J$15)*$O$2+25</f>
        <v>145.48979591836735</v>
      </c>
      <c r="S270" s="1310">
        <v>0</v>
      </c>
      <c r="T270" s="1310">
        <v>0</v>
      </c>
      <c r="U270" s="451">
        <f t="shared" si="67"/>
        <v>1</v>
      </c>
      <c r="V270" s="451">
        <v>0</v>
      </c>
      <c r="W270" s="451">
        <v>0</v>
      </c>
      <c r="X270" s="452">
        <f t="shared" si="62"/>
        <v>1</v>
      </c>
      <c r="Y270" s="447">
        <f t="shared" si="63"/>
        <v>9752.4414498438418</v>
      </c>
      <c r="Z270" s="447">
        <f t="shared" si="68"/>
        <v>5861.4416006833208</v>
      </c>
      <c r="AA270" s="447">
        <v>0</v>
      </c>
      <c r="AB270">
        <f>SUMPRODUCT($F$23:$F$25,$M$16:$M$18)*X270</f>
        <v>1190.4605772048644</v>
      </c>
      <c r="AC270" s="447">
        <v>0</v>
      </c>
      <c r="AD270" s="447">
        <v>0</v>
      </c>
      <c r="AE270" s="447">
        <v>0</v>
      </c>
      <c r="AF270" s="448">
        <f t="shared" si="71"/>
        <v>16804.343627732025</v>
      </c>
      <c r="AG270" s="453">
        <f t="shared" si="73"/>
        <v>509.1067764319792</v>
      </c>
      <c r="AH270" s="454">
        <f t="shared" si="70"/>
        <v>27.892496651677888</v>
      </c>
      <c r="AI270" s="104">
        <v>0</v>
      </c>
      <c r="AJ270" s="455">
        <v>0</v>
      </c>
      <c r="AK270" s="456" t="str">
        <f>IF(instatk="Mut","3-5s/5-5s/4-5e",IF(Sealfate&gt;0,"3-4s/5-5s/4-5e","3s/5s/4e"))</f>
        <v>3s/5s/4e</v>
      </c>
      <c r="AL270" t="str">
        <f>IF(AND(OR(allowrupt,NOT(D270)),OR(AND(poison,allowenv),NOT(F270)),$X$2-AG270&lt;50),MAX($AL$55:$AL269)+1,"")</f>
        <v/>
      </c>
      <c r="AQ270" t="b">
        <v>1</v>
      </c>
    </row>
    <row r="271" spans="2:43" ht="12.75" customHeight="1">
      <c r="B271" t="s">
        <v>404</v>
      </c>
      <c r="C271" s="445">
        <v>2</v>
      </c>
      <c r="D271" s="64">
        <v>0</v>
      </c>
      <c r="E271" s="197">
        <v>1</v>
      </c>
      <c r="F271" s="64">
        <v>0</v>
      </c>
      <c r="G271" s="64">
        <v>0</v>
      </c>
      <c r="H271" s="446">
        <f t="shared" si="58"/>
        <v>3</v>
      </c>
      <c r="I271" s="447">
        <f>J$15+N$15+N$15</f>
        <v>9.2000000000000011</v>
      </c>
      <c r="J271" s="447">
        <f t="shared" si="59"/>
        <v>369.50204081632654</v>
      </c>
      <c r="K271" s="94">
        <f>SUMPRODUCT($E$13:$E$15,$J$16:$J$18)+SUMPRODUCT($E$17:$E$19,$N$16:$N$18)+SUMPRODUCT($E$24:$E$26,$N$16:$N$18)</f>
        <v>30</v>
      </c>
      <c r="L271" s="448">
        <f t="shared" si="60"/>
        <v>399.50204081632654</v>
      </c>
      <c r="M271" s="457">
        <f>SUMPRODUCT($C$13:$C$15,$J$16:$J$18)+SUMPRODUCT($C$17:$C$19,$N$16:$N$18)+SUMPRODUCT($C$24:$C$26,$N$16:$N$18)</f>
        <v>11</v>
      </c>
      <c r="N271" s="104">
        <f>SUMPRODUCT($D$13:$D$15,$J$16:$J$18)+SUMPRODUCT($D$17:$D$19,$N$16:$N$18)</f>
        <v>52.199999999999996</v>
      </c>
      <c r="O271" s="104">
        <v>0</v>
      </c>
      <c r="P271" s="104">
        <v>0</v>
      </c>
      <c r="Q271" s="450">
        <f t="shared" si="72"/>
        <v>30.33728426025251</v>
      </c>
      <c r="R271" s="1310">
        <f>(J$15+1-$J$15)*$O$2+25</f>
        <v>65.16326530612244</v>
      </c>
      <c r="S271" s="1310">
        <v>0</v>
      </c>
      <c r="T271" s="1310">
        <v>0</v>
      </c>
      <c r="U271" s="451">
        <f t="shared" si="67"/>
        <v>1</v>
      </c>
      <c r="V271" s="451">
        <v>0</v>
      </c>
      <c r="W271" s="451">
        <v>0</v>
      </c>
      <c r="X271" s="452">
        <f t="shared" si="62"/>
        <v>1</v>
      </c>
      <c r="Y271" s="447">
        <f t="shared" si="63"/>
        <v>8796.3197390748373</v>
      </c>
      <c r="Z271" s="447">
        <f t="shared" si="68"/>
        <v>5387.2665902142116</v>
      </c>
      <c r="AA271" s="447">
        <v>0</v>
      </c>
      <c r="AB271">
        <f>SUMPRODUCT($F$24:$F$26,$N$16:$N$18)*X271</f>
        <v>1459.2710844590233</v>
      </c>
      <c r="AC271" s="447">
        <v>0</v>
      </c>
      <c r="AD271" s="447">
        <v>0</v>
      </c>
      <c r="AE271" s="447">
        <v>0</v>
      </c>
      <c r="AF271" s="448">
        <f t="shared" si="71"/>
        <v>15642.857413748074</v>
      </c>
      <c r="AG271" s="453">
        <f t="shared" si="73"/>
        <v>515.63143488895378</v>
      </c>
      <c r="AH271" s="454">
        <f t="shared" si="70"/>
        <v>21.862715739747486</v>
      </c>
      <c r="AI271" s="104">
        <v>0</v>
      </c>
      <c r="AJ271" s="455">
        <v>0</v>
      </c>
      <c r="AK271" s="456" t="str">
        <f>IF(instatk="Mut","1-3s/5-5s/5-5e",IF(Sealfate&gt;0,"1-2s/5-5s/5-5e","1s/5s/5e"))</f>
        <v>1s/5s/5e</v>
      </c>
      <c r="AL271" t="str">
        <f>IF(AND(OR(allowrupt,NOT(D271)),OR(AND(poison,allowenv),NOT(F271)),$X$2-AG271&lt;50),MAX($AL$55:$AL270)+1,"")</f>
        <v/>
      </c>
      <c r="AQ271" t="b">
        <v>1</v>
      </c>
    </row>
    <row r="272" spans="2:43" ht="12.75" customHeight="1">
      <c r="B272" t="s">
        <v>729</v>
      </c>
      <c r="C272" s="445">
        <v>2</v>
      </c>
      <c r="D272" s="64">
        <v>0</v>
      </c>
      <c r="E272" s="197">
        <v>1</v>
      </c>
      <c r="F272" s="64">
        <v>0</v>
      </c>
      <c r="G272" s="64">
        <v>0</v>
      </c>
      <c r="H272" s="446">
        <f t="shared" si="58"/>
        <v>3</v>
      </c>
      <c r="I272" s="447">
        <f>K$15+N$15+N$15</f>
        <v>10.200000000000001</v>
      </c>
      <c r="J272" s="447">
        <f t="shared" si="59"/>
        <v>409.66530612244901</v>
      </c>
      <c r="K272" s="94">
        <f>SUMPRODUCT($E$14:$E$16,$K$16:$K$18)+SUMPRODUCT($E$17:$E$19,$N$16:$N$18)+SUMPRODUCT($E$24:$E$26,$N$16:$N$18)</f>
        <v>25</v>
      </c>
      <c r="L272" s="448">
        <f t="shared" si="60"/>
        <v>434.66530612244901</v>
      </c>
      <c r="M272" s="457">
        <f>SUMPRODUCT($C$14:$C$16,$K$16:$K$18)+SUMPRODUCT($C$17:$C$19,$N$16:$N$18)+SUMPRODUCT($C$24:$C$26,$N$16:$N$18)</f>
        <v>12</v>
      </c>
      <c r="N272" s="104">
        <f>SUMPRODUCT($D$14:$D$16,$K$16:$K$18)+SUMPRODUCT($D$17:$D$19,$N$16:$N$18)</f>
        <v>56.55</v>
      </c>
      <c r="O272" s="104">
        <v>0</v>
      </c>
      <c r="P272" s="104">
        <v>0</v>
      </c>
      <c r="Q272" s="450">
        <f t="shared" si="72"/>
        <v>33.007503348322103</v>
      </c>
      <c r="R272" s="1310">
        <f>(K$15+1-$J$15)*$O$2+25</f>
        <v>105.32653061224489</v>
      </c>
      <c r="S272" s="1310">
        <v>0</v>
      </c>
      <c r="T272" s="1310">
        <v>0</v>
      </c>
      <c r="U272" s="451">
        <f t="shared" si="67"/>
        <v>1</v>
      </c>
      <c r="V272" s="451">
        <v>0</v>
      </c>
      <c r="W272" s="451">
        <v>0</v>
      </c>
      <c r="X272" s="452">
        <f t="shared" si="62"/>
        <v>1</v>
      </c>
      <c r="Y272" s="447">
        <f t="shared" si="63"/>
        <v>9752.4414498438418</v>
      </c>
      <c r="Z272" s="447">
        <f t="shared" si="68"/>
        <v>5861.4416006833208</v>
      </c>
      <c r="AA272" s="447">
        <v>0</v>
      </c>
      <c r="AB272">
        <f>SUMPRODUCT($F$24:$F$26,$N$16:$N$18)*X272</f>
        <v>1459.2710844590233</v>
      </c>
      <c r="AC272" s="447">
        <v>0</v>
      </c>
      <c r="AD272" s="447">
        <v>0</v>
      </c>
      <c r="AE272" s="447">
        <v>0</v>
      </c>
      <c r="AF272" s="448">
        <f t="shared" si="71"/>
        <v>17073.154134986184</v>
      </c>
      <c r="AG272" s="453">
        <f t="shared" si="73"/>
        <v>517.25069766156901</v>
      </c>
      <c r="AH272" s="454">
        <f t="shared" si="70"/>
        <v>23.542496651677894</v>
      </c>
      <c r="AI272" s="104">
        <v>0</v>
      </c>
      <c r="AJ272" s="455">
        <v>0</v>
      </c>
      <c r="AK272" s="456" t="str">
        <f>IF(instatk="Mut","2-4s/5-5s/5-5e",IF(Sealfate&gt;0,"2-3s/5-5s/5-5e","2s/5s/5e"))</f>
        <v>2s/5s/5e</v>
      </c>
      <c r="AL272" t="str">
        <f>IF(AND(OR(allowrupt,NOT(D272)),OR(AND(poison,allowenv),NOT(F272)),$X$2-AG272&lt;50),MAX($AL$55:$AL271)+1,"")</f>
        <v/>
      </c>
      <c r="AQ272" t="b">
        <v>1</v>
      </c>
    </row>
    <row r="273" spans="1:43" ht="12.75" customHeight="1">
      <c r="B273" t="s">
        <v>181</v>
      </c>
      <c r="C273" s="445">
        <v>2</v>
      </c>
      <c r="D273" s="64">
        <v>0</v>
      </c>
      <c r="E273" s="197">
        <v>1</v>
      </c>
      <c r="F273" s="64">
        <v>0</v>
      </c>
      <c r="G273" s="64">
        <v>0</v>
      </c>
      <c r="H273" s="446">
        <f t="shared" si="58"/>
        <v>3</v>
      </c>
      <c r="I273" s="447">
        <f>L$15+N$15+N$15</f>
        <v>11.200000000000001</v>
      </c>
      <c r="J273" s="447">
        <f t="shared" si="59"/>
        <v>449.82857142857148</v>
      </c>
      <c r="K273" s="94">
        <f>SUMPRODUCT($E$15:$E$17,$L$16:$L$18)+SUMPRODUCT($E$17:$E$19,$N$16:$N$18)+SUMPRODUCT($E$24:$E$26,$N$16:$N$18)</f>
        <v>20</v>
      </c>
      <c r="L273" s="448">
        <f t="shared" si="60"/>
        <v>469.82857142857148</v>
      </c>
      <c r="M273" s="457">
        <f>SUMPRODUCT($C$15:$C$17,$L$16:$L$18)+SUMPRODUCT($C$17:$C$19,$N$16:$N$18)+SUMPRODUCT($C$24:$C$26,$N$16:$N$18)</f>
        <v>13</v>
      </c>
      <c r="N273" s="104">
        <f>SUMPRODUCT($D$15:$D$17,$L$16:$L$18)+SUMPRODUCT($D$17:$D$19,$N$16:$N$18)</f>
        <v>60.899999999999991</v>
      </c>
      <c r="O273" s="104">
        <v>0</v>
      </c>
      <c r="P273" s="104">
        <v>0</v>
      </c>
      <c r="Q273" s="450">
        <f t="shared" si="72"/>
        <v>35.677722436391697</v>
      </c>
      <c r="R273" s="1310">
        <f>(L$15+1-$J$15)*$O$2+25</f>
        <v>145.48979591836735</v>
      </c>
      <c r="S273" s="1310">
        <v>0</v>
      </c>
      <c r="T273" s="1310">
        <v>0</v>
      </c>
      <c r="U273" s="451">
        <f t="shared" si="67"/>
        <v>1</v>
      </c>
      <c r="V273" s="451">
        <v>0</v>
      </c>
      <c r="W273" s="451">
        <v>0</v>
      </c>
      <c r="X273" s="452">
        <f t="shared" si="62"/>
        <v>1</v>
      </c>
      <c r="Y273" s="447">
        <f t="shared" si="63"/>
        <v>10708.563160612846</v>
      </c>
      <c r="Z273" s="447">
        <f t="shared" si="68"/>
        <v>6335.6166111524299</v>
      </c>
      <c r="AA273" s="447">
        <v>0</v>
      </c>
      <c r="AB273">
        <f>SUMPRODUCT($F$24:$F$26,$N$16:$N$18)*X273</f>
        <v>1459.2710844590233</v>
      </c>
      <c r="AC273" s="447">
        <v>0</v>
      </c>
      <c r="AD273" s="447">
        <v>0</v>
      </c>
      <c r="AE273" s="447">
        <v>0</v>
      </c>
      <c r="AF273" s="448">
        <f t="shared" si="71"/>
        <v>18503.450856224299</v>
      </c>
      <c r="AG273" s="453">
        <f t="shared" si="73"/>
        <v>518.62758025581138</v>
      </c>
      <c r="AH273" s="454">
        <f t="shared" si="70"/>
        <v>25.222277563608294</v>
      </c>
      <c r="AI273" s="104">
        <v>0</v>
      </c>
      <c r="AJ273" s="455">
        <v>0</v>
      </c>
      <c r="AK273" s="456" t="str">
        <f>IF(instatk="Mut","3-5s/5-5s/5-5e",IF(Sealfate&gt;0,"3-4s/5-5s/5-5e","3s/5s/5e"))</f>
        <v>3s/5s/5e</v>
      </c>
      <c r="AL273" t="str">
        <f>IF(AND(OR(allowrupt,NOT(D273)),OR(AND(poison,allowenv),NOT(F273)),$X$2-AG273&lt;50),MAX($AL$55:$AL272)+1,"")</f>
        <v/>
      </c>
      <c r="AQ273" t="b">
        <v>1</v>
      </c>
    </row>
    <row r="274" spans="1:43" ht="12.75" customHeight="1">
      <c r="B274" s="15" t="s">
        <v>405</v>
      </c>
      <c r="C274" s="445">
        <v>0</v>
      </c>
      <c r="D274" s="64">
        <v>0</v>
      </c>
      <c r="E274" s="64">
        <v>0</v>
      </c>
      <c r="F274" s="64">
        <v>0</v>
      </c>
      <c r="G274" s="197">
        <v>1</v>
      </c>
      <c r="H274" s="446">
        <f t="shared" si="58"/>
        <v>1</v>
      </c>
      <c r="I274" s="447">
        <f>$N$15</f>
        <v>4.4000000000000004</v>
      </c>
      <c r="J274" s="447">
        <f t="shared" si="59"/>
        <v>176.71836734693878</v>
      </c>
      <c r="K274" s="447">
        <f>SUMPRODUCT($E$45:$E$47,$N$16:$N$18)</f>
        <v>0</v>
      </c>
      <c r="L274" s="448">
        <f t="shared" si="60"/>
        <v>176.71836734693878</v>
      </c>
      <c r="M274" s="449">
        <f>SUMPRODUCT($C$45:$C$47,$N$16:$N$18)</f>
        <v>5</v>
      </c>
      <c r="N274" s="104">
        <v>0</v>
      </c>
      <c r="O274" s="104">
        <v>0</v>
      </c>
      <c r="P274" s="104">
        <f>SUMPRODUCT($D$45:$D$47,$N$16:$N$18)</f>
        <v>30</v>
      </c>
      <c r="Q274" s="450">
        <f t="shared" si="72"/>
        <v>14.25706933247012</v>
      </c>
      <c r="R274" s="1310">
        <v>0</v>
      </c>
      <c r="S274" s="1310">
        <v>0</v>
      </c>
      <c r="T274" s="1310">
        <f>(N$15+1-$J$15)*$O$2+$O$3</f>
        <v>225.81632653061223</v>
      </c>
      <c r="U274" s="451">
        <f t="shared" si="67"/>
        <v>0</v>
      </c>
      <c r="V274" s="451">
        <v>0</v>
      </c>
      <c r="W274" s="451">
        <f t="shared" ref="W274:W284" si="74">IF(P274&gt;0,MIN(1,P274/Q274),0)</f>
        <v>1</v>
      </c>
      <c r="X274" s="452">
        <f t="shared" si="62"/>
        <v>1</v>
      </c>
      <c r="Y274" s="447">
        <f t="shared" si="63"/>
        <v>4206.9355273836181</v>
      </c>
      <c r="Z274" s="447">
        <f t="shared" si="68"/>
        <v>0</v>
      </c>
      <c r="AA274" s="447">
        <v>0</v>
      </c>
      <c r="AB274" s="447">
        <v>0</v>
      </c>
      <c r="AC274" s="447">
        <v>0</v>
      </c>
      <c r="AD274" s="447">
        <f t="shared" ref="AD274:AD284" si="75">IF(AND(forceea,physicaldps=0),4000,(physicaldps*armorpostEA-physicaldps*armorpreEA))*Q274*W274</f>
        <v>0</v>
      </c>
      <c r="AE274" s="447">
        <v>0</v>
      </c>
      <c r="AF274" s="448">
        <f t="shared" si="71"/>
        <v>4206.9355273836181</v>
      </c>
      <c r="AG274" s="453">
        <f t="shared" si="73"/>
        <v>295.07715991830293</v>
      </c>
      <c r="AH274" s="454">
        <f t="shared" si="70"/>
        <v>-14.25706933247012</v>
      </c>
      <c r="AI274" s="104">
        <v>0</v>
      </c>
      <c r="AJ274" s="455">
        <f t="shared" ref="AJ274:AJ284" si="76">P274-$Q274</f>
        <v>15.74293066752988</v>
      </c>
      <c r="AK274" s="456" t="str">
        <f>IF(instatk="Mut","5-5ea",IF(Sealfate&gt;0,"5-5ea","5ea"))</f>
        <v>5ea</v>
      </c>
      <c r="AL274" t="str">
        <f>IF(AND(OR(allowrupt,NOT(D274)),OR(AND(poison,allowenv),NOT(F274)),$X$2-AG274&lt;50),MAX($AL$55:$AL273)+1,"")</f>
        <v/>
      </c>
      <c r="AQ274" t="b">
        <v>1</v>
      </c>
    </row>
    <row r="275" spans="1:43">
      <c r="B275" s="15" t="s">
        <v>3182</v>
      </c>
      <c r="C275" s="445">
        <v>1</v>
      </c>
      <c r="D275" s="64">
        <v>0</v>
      </c>
      <c r="E275" s="64">
        <v>0</v>
      </c>
      <c r="F275" s="64">
        <v>0</v>
      </c>
      <c r="G275" s="197">
        <v>1</v>
      </c>
      <c r="H275" s="446">
        <f t="shared" si="58"/>
        <v>2</v>
      </c>
      <c r="I275" s="447">
        <f>$N$15+J$15</f>
        <v>4.8000000000000007</v>
      </c>
      <c r="J275" s="447">
        <f t="shared" si="59"/>
        <v>192.78367346938776</v>
      </c>
      <c r="K275" s="447">
        <f>SUMPRODUCT($E$45:$E$47,$N$16:$N$18)+SUMPRODUCT($E$13:$E$15,$J$16:$J$18)</f>
        <v>20</v>
      </c>
      <c r="L275" s="448">
        <f t="shared" si="60"/>
        <v>212.78367346938776</v>
      </c>
      <c r="M275" s="449">
        <f>SUMPRODUCT($C$45:$C$47,$N$16:$N$18)+SUMPRODUCT($C$13:$C$15,$J$16:$J$18)</f>
        <v>6</v>
      </c>
      <c r="N275" s="104">
        <f>SUMPRODUCT($D$13:$D$15,$J$16:$J$18)</f>
        <v>17.399999999999999</v>
      </c>
      <c r="O275" s="104">
        <v>0</v>
      </c>
      <c r="P275" s="104">
        <f t="shared" ref="P275:P284" si="77">SUMPRODUCT($D$45:$D$47,$N$16:$N$18)</f>
        <v>30</v>
      </c>
      <c r="Q275" s="450">
        <f t="shared" si="72"/>
        <v>16.158312420109564</v>
      </c>
      <c r="R275" s="1310">
        <f>(J$15+N$15+1-$J$15)*$O$2+$E$45+25</f>
        <v>241.88163265306122</v>
      </c>
      <c r="S275" s="1310">
        <v>0</v>
      </c>
      <c r="T275" s="1310">
        <f t="shared" ref="T275:T284" si="78">(N$15+1-$J$15)*$O$2+$O$3</f>
        <v>225.81632653061223</v>
      </c>
      <c r="U275" s="451">
        <f t="shared" si="67"/>
        <v>1</v>
      </c>
      <c r="V275" s="451">
        <v>0</v>
      </c>
      <c r="W275" s="451">
        <f t="shared" si="74"/>
        <v>1</v>
      </c>
      <c r="X275" s="452">
        <f t="shared" si="62"/>
        <v>1</v>
      </c>
      <c r="Y275" s="447">
        <f t="shared" si="63"/>
        <v>4589.3842116912201</v>
      </c>
      <c r="Z275" s="447">
        <f t="shared" si="68"/>
        <v>2869.3780204034333</v>
      </c>
      <c r="AA275" s="447">
        <v>0</v>
      </c>
      <c r="AB275" s="447">
        <v>0</v>
      </c>
      <c r="AC275" s="447">
        <v>0</v>
      </c>
      <c r="AD275" s="447">
        <f t="shared" si="75"/>
        <v>0</v>
      </c>
      <c r="AE275" s="447">
        <v>0</v>
      </c>
      <c r="AF275" s="448">
        <f t="shared" si="71"/>
        <v>7458.7622320946539</v>
      </c>
      <c r="AG275" s="453">
        <f t="shared" si="73"/>
        <v>461.60527400200368</v>
      </c>
      <c r="AH275" s="454">
        <f t="shared" si="70"/>
        <v>1.241687579890435</v>
      </c>
      <c r="AI275" s="104">
        <v>0</v>
      </c>
      <c r="AJ275" s="455">
        <f t="shared" si="76"/>
        <v>13.841687579890436</v>
      </c>
      <c r="AK275" s="456" t="str">
        <f>IF(instatk="Mut","5-5ea/1-3s",IF(Sealfate&gt;0,"5-5ea/1-2s","5ea/1s"))</f>
        <v>5ea/1s</v>
      </c>
      <c r="AL275" t="str">
        <f>IF(AND(OR(allowrupt,NOT(D275)),OR(AND(poison,allowenv),NOT(F275)),$X$2-AG275&lt;50),MAX($AL$55:$AL274)+1,"")</f>
        <v/>
      </c>
      <c r="AQ275" t="b">
        <v>1</v>
      </c>
    </row>
    <row r="276" spans="1:43">
      <c r="B276" s="15" t="s">
        <v>3183</v>
      </c>
      <c r="C276" s="445">
        <v>1</v>
      </c>
      <c r="D276" s="64">
        <v>0</v>
      </c>
      <c r="E276" s="64">
        <v>0</v>
      </c>
      <c r="F276" s="64">
        <v>0</v>
      </c>
      <c r="G276" s="197">
        <v>1</v>
      </c>
      <c r="H276" s="446">
        <f t="shared" si="58"/>
        <v>2</v>
      </c>
      <c r="I276" s="447">
        <f>$N$15+K$15</f>
        <v>5.8000000000000007</v>
      </c>
      <c r="J276" s="447">
        <f t="shared" si="59"/>
        <v>232.94693877551023</v>
      </c>
      <c r="K276" s="447">
        <f>SUMPRODUCT($E$45:$E$47,$N$16:$N$18)+SUMPRODUCT($E$14:$E$16,$K$16:$K$18)</f>
        <v>15</v>
      </c>
      <c r="L276" s="448">
        <f t="shared" si="60"/>
        <v>247.94693877551023</v>
      </c>
      <c r="M276" s="449">
        <f>SUMPRODUCT($C$45:$C$47,$N$16:$N$18)+SUMPRODUCT($C$14:$C$16,$K$16:$K$18)</f>
        <v>7</v>
      </c>
      <c r="N276" s="104">
        <f>SUMPRODUCT($D$14:$D$16,$K$16:$K$18)</f>
        <v>21.75</v>
      </c>
      <c r="O276" s="104">
        <v>0</v>
      </c>
      <c r="P276" s="104">
        <f t="shared" si="77"/>
        <v>30</v>
      </c>
      <c r="Q276" s="450">
        <f t="shared" si="72"/>
        <v>18.828531508179157</v>
      </c>
      <c r="R276" s="1310">
        <f>(K$15+N$15+1-$J$15)*$O$2+$E$45+25</f>
        <v>282.04489795918369</v>
      </c>
      <c r="S276" s="1310">
        <v>0</v>
      </c>
      <c r="T276" s="1310">
        <f t="shared" si="78"/>
        <v>225.81632653061223</v>
      </c>
      <c r="U276" s="451">
        <f t="shared" si="67"/>
        <v>1</v>
      </c>
      <c r="V276" s="451">
        <v>0</v>
      </c>
      <c r="W276" s="451">
        <f t="shared" si="74"/>
        <v>1</v>
      </c>
      <c r="X276" s="452">
        <f t="shared" si="62"/>
        <v>1</v>
      </c>
      <c r="Y276" s="447">
        <f t="shared" si="63"/>
        <v>5545.5059224602237</v>
      </c>
      <c r="Z276" s="447">
        <f t="shared" si="68"/>
        <v>3343.5530308725429</v>
      </c>
      <c r="AA276" s="447">
        <v>0</v>
      </c>
      <c r="AB276" s="447">
        <v>0</v>
      </c>
      <c r="AC276" s="447">
        <v>0</v>
      </c>
      <c r="AD276" s="447">
        <f t="shared" si="75"/>
        <v>0</v>
      </c>
      <c r="AE276" s="447">
        <v>0</v>
      </c>
      <c r="AF276" s="448">
        <f t="shared" si="71"/>
        <v>8889.0589533327657</v>
      </c>
      <c r="AG276" s="453">
        <f t="shared" si="73"/>
        <v>472.10580121298034</v>
      </c>
      <c r="AH276" s="454">
        <f t="shared" si="70"/>
        <v>2.9214684918208427</v>
      </c>
      <c r="AI276" s="104">
        <v>0</v>
      </c>
      <c r="AJ276" s="455">
        <f t="shared" si="76"/>
        <v>11.171468491820843</v>
      </c>
      <c r="AK276" s="456" t="str">
        <f>IF(instatk="Mut","5-5ea/2-4s",IF(Sealfate&gt;0,"5-5ea/2-3s","5ea/2s"))</f>
        <v>5ea/2s</v>
      </c>
      <c r="AL276" t="str">
        <f>IF(AND(OR(allowrupt,NOT(D276)),OR(AND(poison,allowenv),NOT(F276)),$X$2-AG276&lt;50),MAX($AL$55:$AL275)+1,"")</f>
        <v/>
      </c>
      <c r="AQ276" t="b">
        <v>1</v>
      </c>
    </row>
    <row r="277" spans="1:43">
      <c r="B277" s="15" t="s">
        <v>3184</v>
      </c>
      <c r="C277" s="445">
        <v>1</v>
      </c>
      <c r="D277" s="64">
        <v>0</v>
      </c>
      <c r="E277" s="64">
        <v>0</v>
      </c>
      <c r="F277" s="64">
        <v>0</v>
      </c>
      <c r="G277" s="197">
        <v>1</v>
      </c>
      <c r="H277" s="446">
        <f t="shared" si="58"/>
        <v>2</v>
      </c>
      <c r="I277" s="447">
        <f>$N$15+L$15</f>
        <v>6.8000000000000007</v>
      </c>
      <c r="J277" s="447">
        <f t="shared" si="59"/>
        <v>273.11020408163267</v>
      </c>
      <c r="K277" s="447">
        <f>SUMPRODUCT($E$45:$E$47,$N$16:$N$18)+SUMPRODUCT($E$15:$E$17,$L$16:$L$18)</f>
        <v>10</v>
      </c>
      <c r="L277" s="448">
        <f t="shared" si="60"/>
        <v>283.11020408163267</v>
      </c>
      <c r="M277" s="449">
        <f>SUMPRODUCT($C$45:$C$47,$N$16:$N$18)+SUMPRODUCT($C$15:$C$17,$L$16:$L$18)</f>
        <v>8</v>
      </c>
      <c r="N277" s="104">
        <f>SUMPRODUCT($D$15:$D$17,$L$16:$L$18)</f>
        <v>26.099999999999998</v>
      </c>
      <c r="O277" s="104">
        <v>0</v>
      </c>
      <c r="P277" s="104">
        <f t="shared" si="77"/>
        <v>30</v>
      </c>
      <c r="Q277" s="450">
        <f t="shared" si="72"/>
        <v>21.498750596248744</v>
      </c>
      <c r="R277" s="1310">
        <f>(L$15+N$15+1-$J$15)*$O$2+$E$45+25</f>
        <v>322.2081632653061</v>
      </c>
      <c r="S277" s="1310">
        <v>0</v>
      </c>
      <c r="T277" s="1310">
        <f t="shared" si="78"/>
        <v>225.81632653061223</v>
      </c>
      <c r="U277" s="451">
        <f t="shared" si="67"/>
        <v>1</v>
      </c>
      <c r="V277" s="451">
        <v>0</v>
      </c>
      <c r="W277" s="451">
        <f t="shared" si="74"/>
        <v>1</v>
      </c>
      <c r="X277" s="452">
        <f t="shared" si="62"/>
        <v>1</v>
      </c>
      <c r="Y277" s="447">
        <f t="shared" si="63"/>
        <v>6501.6276332292282</v>
      </c>
      <c r="Z277" s="447">
        <f t="shared" si="68"/>
        <v>3817.7280413416511</v>
      </c>
      <c r="AA277" s="447">
        <v>0</v>
      </c>
      <c r="AB277" s="447">
        <v>0</v>
      </c>
      <c r="AC277" s="447">
        <v>0</v>
      </c>
      <c r="AD277" s="447">
        <f t="shared" si="75"/>
        <v>0</v>
      </c>
      <c r="AE277" s="447">
        <v>0</v>
      </c>
      <c r="AF277" s="448">
        <f t="shared" si="71"/>
        <v>10319.355674570879</v>
      </c>
      <c r="AG277" s="453">
        <f t="shared" si="73"/>
        <v>479.99792491994742</v>
      </c>
      <c r="AH277" s="454">
        <f t="shared" si="70"/>
        <v>4.6012494037512539</v>
      </c>
      <c r="AI277" s="104">
        <v>0</v>
      </c>
      <c r="AJ277" s="455">
        <f t="shared" si="76"/>
        <v>8.501249403751256</v>
      </c>
      <c r="AK277" s="456" t="str">
        <f>IF(instatk="Mut","5-5ea/3-5s",IF(Sealfate&gt;0,"5-5ea/3-4s","5ea/3s"))</f>
        <v>5ea/3s</v>
      </c>
      <c r="AL277" t="str">
        <f>IF(AND(OR(allowrupt,NOT(D277)),OR(AND(poison,allowenv),NOT(F277)),$X$2-AG277&lt;50),MAX($AL$55:$AL276)+1,"")</f>
        <v/>
      </c>
      <c r="AQ277" t="b">
        <v>1</v>
      </c>
    </row>
    <row r="278" spans="1:43">
      <c r="B278" s="15" t="s">
        <v>3185</v>
      </c>
      <c r="C278" s="445">
        <v>1</v>
      </c>
      <c r="D278" s="64">
        <v>0</v>
      </c>
      <c r="E278" s="64">
        <v>0</v>
      </c>
      <c r="F278" s="64">
        <v>0</v>
      </c>
      <c r="G278" s="197">
        <v>1</v>
      </c>
      <c r="H278" s="446">
        <f t="shared" si="58"/>
        <v>2</v>
      </c>
      <c r="I278" s="447">
        <f>$N$15+M$15</f>
        <v>7.8000000000000007</v>
      </c>
      <c r="J278" s="447">
        <f t="shared" si="59"/>
        <v>313.27346938775514</v>
      </c>
      <c r="K278" s="447">
        <f>SUMPRODUCT($E$45:$E$47,$N$16:$N$18)+SUMPRODUCT($E$16:$E$18,$M$16:$M$18)</f>
        <v>5</v>
      </c>
      <c r="L278" s="448">
        <f t="shared" si="60"/>
        <v>318.27346938775514</v>
      </c>
      <c r="M278" s="449">
        <f>SUMPRODUCT($C$45:$C$47,$N$16:$N$18)+SUMPRODUCT($C$16:$C$18,$M$16:$M$18)</f>
        <v>9</v>
      </c>
      <c r="N278" s="104">
        <f>SUMPRODUCT($D$16:$D$18,$M$16:$M$18)</f>
        <v>30.45</v>
      </c>
      <c r="O278" s="104">
        <v>0</v>
      </c>
      <c r="P278" s="104">
        <f t="shared" si="77"/>
        <v>30</v>
      </c>
      <c r="Q278" s="450">
        <f t="shared" si="72"/>
        <v>24.168969684318338</v>
      </c>
      <c r="R278" s="1310">
        <f>(M$15+N$15+1-$J$15)*$O$2+$E$45+25</f>
        <v>362.37142857142857</v>
      </c>
      <c r="S278" s="1310">
        <v>0</v>
      </c>
      <c r="T278" s="1310">
        <f t="shared" si="78"/>
        <v>225.81632653061223</v>
      </c>
      <c r="U278" s="451">
        <f t="shared" si="67"/>
        <v>1</v>
      </c>
      <c r="V278" s="451">
        <v>0</v>
      </c>
      <c r="W278" s="451">
        <f t="shared" si="74"/>
        <v>1</v>
      </c>
      <c r="X278" s="452">
        <f t="shared" si="62"/>
        <v>1</v>
      </c>
      <c r="Y278" s="447">
        <f t="shared" si="63"/>
        <v>7457.7493439982318</v>
      </c>
      <c r="Z278" s="447">
        <f t="shared" si="68"/>
        <v>4291.9030518107611</v>
      </c>
      <c r="AA278" s="447">
        <v>0</v>
      </c>
      <c r="AB278" s="447">
        <v>0</v>
      </c>
      <c r="AC278" s="447">
        <v>0</v>
      </c>
      <c r="AD278" s="447">
        <f t="shared" si="75"/>
        <v>0</v>
      </c>
      <c r="AE278" s="447">
        <v>0</v>
      </c>
      <c r="AF278" s="448">
        <f t="shared" si="71"/>
        <v>11749.652395808993</v>
      </c>
      <c r="AG278" s="453">
        <f t="shared" si="73"/>
        <v>486.14618451992072</v>
      </c>
      <c r="AH278" s="454">
        <f t="shared" si="70"/>
        <v>6.2810303156816616</v>
      </c>
      <c r="AI278" s="104">
        <v>0</v>
      </c>
      <c r="AJ278" s="455">
        <f t="shared" si="76"/>
        <v>5.8310303156816623</v>
      </c>
      <c r="AK278" s="456" t="str">
        <f>IF(instatk="Mut","5-5ea/4-5s",IF(Sealfate&gt;0,"5-5ea/4-5s","5ea/4s"))</f>
        <v>5ea/4s</v>
      </c>
      <c r="AL278" t="str">
        <f>IF(AND(OR(allowrupt,NOT(D278)),OR(AND(poison,allowenv),NOT(F278)),$X$2-AG278&lt;50),MAX($AL$55:$AL277)+1,"")</f>
        <v/>
      </c>
      <c r="AQ278" t="b">
        <v>1</v>
      </c>
    </row>
    <row r="279" spans="1:43" ht="12.75" customHeight="1">
      <c r="B279" s="15" t="s">
        <v>3186</v>
      </c>
      <c r="C279" s="445">
        <v>1</v>
      </c>
      <c r="D279" s="64">
        <v>0</v>
      </c>
      <c r="E279" s="64">
        <v>0</v>
      </c>
      <c r="F279" s="64">
        <v>0</v>
      </c>
      <c r="G279" s="197">
        <v>1</v>
      </c>
      <c r="H279" s="446">
        <f t="shared" si="58"/>
        <v>2</v>
      </c>
      <c r="I279" s="447">
        <f>$N$15+N$15</f>
        <v>8.8000000000000007</v>
      </c>
      <c r="J279" s="447">
        <f t="shared" si="59"/>
        <v>353.43673469387755</v>
      </c>
      <c r="K279" s="447">
        <f>SUMPRODUCT($E$45:$E$47,$N$16:$N$18)+SUMPRODUCT($E$17:$E$19,$N$16:$N$18)</f>
        <v>0</v>
      </c>
      <c r="L279" s="448">
        <f t="shared" si="60"/>
        <v>353.43673469387755</v>
      </c>
      <c r="M279" s="449">
        <f>SUMPRODUCT($C$45:$C$47,$N$16:$N$18)+SUMPRODUCT($C$17:$C$19,$N$16:$N$18)</f>
        <v>10</v>
      </c>
      <c r="N279" s="104">
        <f>SUMPRODUCT($D$17:$D$19,$N$16:$N$18)</f>
        <v>34.799999999999997</v>
      </c>
      <c r="O279" s="104">
        <v>0</v>
      </c>
      <c r="P279" s="104">
        <f t="shared" si="77"/>
        <v>30</v>
      </c>
      <c r="Q279" s="450">
        <f t="shared" si="72"/>
        <v>26.839188772387924</v>
      </c>
      <c r="R279" s="1310">
        <f>(N$15+N$15+1-$J$15)*$O$2+$E$45+25</f>
        <v>402.53469387755104</v>
      </c>
      <c r="S279" s="1310">
        <v>0</v>
      </c>
      <c r="T279" s="1310">
        <f t="shared" si="78"/>
        <v>225.81632653061223</v>
      </c>
      <c r="U279" s="451">
        <f t="shared" si="67"/>
        <v>1</v>
      </c>
      <c r="V279" s="451">
        <v>0</v>
      </c>
      <c r="W279" s="451">
        <f t="shared" si="74"/>
        <v>1</v>
      </c>
      <c r="X279" s="452">
        <f t="shared" si="62"/>
        <v>1</v>
      </c>
      <c r="Y279" s="447">
        <f t="shared" si="63"/>
        <v>8413.8710547672363</v>
      </c>
      <c r="Z279" s="447">
        <f t="shared" si="68"/>
        <v>4766.0780622798693</v>
      </c>
      <c r="AA279" s="447">
        <v>0</v>
      </c>
      <c r="AB279" s="447">
        <v>0</v>
      </c>
      <c r="AC279" s="447">
        <v>0</v>
      </c>
      <c r="AD279" s="447">
        <f t="shared" si="75"/>
        <v>0</v>
      </c>
      <c r="AE279" s="447">
        <v>0</v>
      </c>
      <c r="AF279" s="448">
        <f t="shared" si="71"/>
        <v>13179.949117047105</v>
      </c>
      <c r="AG279" s="453">
        <f t="shared" si="73"/>
        <v>491.07106883225163</v>
      </c>
      <c r="AH279" s="454">
        <f t="shared" si="70"/>
        <v>7.9608112276120728</v>
      </c>
      <c r="AI279" s="104">
        <v>0</v>
      </c>
      <c r="AJ279" s="455">
        <f t="shared" si="76"/>
        <v>3.1608112276120757</v>
      </c>
      <c r="AK279" s="456" t="str">
        <f>IF(instatk="Mut","5-5ea/5-5s",IF(Sealfate&gt;0,"5-5ea/5-5s","5ea/5s"))</f>
        <v>5ea/5s</v>
      </c>
      <c r="AL279" t="str">
        <f>IF(AND(OR(allowrupt,NOT(D279)),OR(AND(poison,allowenv),NOT(F279)),$X$2-AG279&lt;50),MAX($AL$55:$AL278)+1,"")</f>
        <v/>
      </c>
      <c r="AQ279" t="b">
        <v>1</v>
      </c>
    </row>
    <row r="280" spans="1:43" ht="12.75" customHeight="1">
      <c r="B280" s="15" t="s">
        <v>3187</v>
      </c>
      <c r="C280" s="445">
        <v>2</v>
      </c>
      <c r="D280" s="64">
        <v>0</v>
      </c>
      <c r="E280" s="64">
        <v>0</v>
      </c>
      <c r="F280" s="64">
        <v>0</v>
      </c>
      <c r="G280" s="197">
        <v>1</v>
      </c>
      <c r="H280" s="446">
        <f t="shared" si="58"/>
        <v>3</v>
      </c>
      <c r="I280" s="447">
        <f>$N$15+J$15+M$15</f>
        <v>8.2000000000000011</v>
      </c>
      <c r="J280" s="447">
        <f t="shared" si="59"/>
        <v>329.33877551020413</v>
      </c>
      <c r="K280" s="447">
        <f>SUMPRODUCT($E$45:$E$47,$N$16:$N$18)+SUMPRODUCT($E$13:$E$15,$J$16:$J$18)+SUMPRODUCT($E$16:$E$18,$M$16:$M$18)</f>
        <v>25</v>
      </c>
      <c r="L280" s="448">
        <f t="shared" si="60"/>
        <v>354.33877551020413</v>
      </c>
      <c r="M280" s="449">
        <f>SUMPRODUCT($C$45:$C$47,$N$16:$N$18)+SUMPRODUCT($C$13:$C$15,$J$16:$J$18)+SUMPRODUCT($C$16:$C$18,$M$16:$M$18)</f>
        <v>10</v>
      </c>
      <c r="N280" s="104">
        <f>SUMPRODUCT($D$13:$D$15,$J$16:$J$18)+SUMPRODUCT($D$16:$D$18,$M$16:$M$18)</f>
        <v>47.849999999999994</v>
      </c>
      <c r="O280" s="104">
        <v>0</v>
      </c>
      <c r="P280" s="104">
        <f t="shared" si="77"/>
        <v>30</v>
      </c>
      <c r="Q280" s="450">
        <f t="shared" si="72"/>
        <v>26.907687718233937</v>
      </c>
      <c r="R280" s="1310">
        <f>(J$15+N$15+1-$J$15)*$O$2+$E$45+25</f>
        <v>241.88163265306122</v>
      </c>
      <c r="S280" s="1310">
        <v>0</v>
      </c>
      <c r="T280" s="1310">
        <f t="shared" si="78"/>
        <v>225.81632653061223</v>
      </c>
      <c r="U280" s="451">
        <f t="shared" si="67"/>
        <v>1</v>
      </c>
      <c r="V280" s="451">
        <v>0</v>
      </c>
      <c r="W280" s="451">
        <f t="shared" si="74"/>
        <v>1</v>
      </c>
      <c r="X280" s="452">
        <f t="shared" si="62"/>
        <v>1</v>
      </c>
      <c r="Y280" s="447">
        <f t="shared" si="63"/>
        <v>7840.1980283058338</v>
      </c>
      <c r="Z280" s="447">
        <f t="shared" si="68"/>
        <v>4778.2420410742598</v>
      </c>
      <c r="AA280" s="447">
        <v>0</v>
      </c>
      <c r="AB280" s="447">
        <v>0</v>
      </c>
      <c r="AC280" s="447">
        <v>0</v>
      </c>
      <c r="AD280" s="447">
        <f t="shared" si="75"/>
        <v>0</v>
      </c>
      <c r="AE280" s="447">
        <v>0</v>
      </c>
      <c r="AF280" s="448">
        <f t="shared" si="71"/>
        <v>12618.440069380093</v>
      </c>
      <c r="AG280" s="453">
        <f t="shared" si="73"/>
        <v>468.9529699287105</v>
      </c>
      <c r="AH280" s="454">
        <f t="shared" si="70"/>
        <v>20.942312281766057</v>
      </c>
      <c r="AI280" s="104">
        <v>0</v>
      </c>
      <c r="AJ280" s="455">
        <f t="shared" si="76"/>
        <v>3.0923122817660627</v>
      </c>
      <c r="AK280" s="456" t="str">
        <f>IF(instatk="Mut","5-5ea/1-3s/4s-5s",IF(Sealfate&gt;0,"5-5ea/1-2s/4s-5s","5ea/1s/4s"))</f>
        <v>5ea/1s/4s</v>
      </c>
      <c r="AL280" t="str">
        <f>IF(AND(OR(allowrupt,NOT(D280)),OR(AND(poison,allowenv),NOT(F280)),$X$2-AG280&lt;50),MAX($AL$55:$AL279)+1,"")</f>
        <v/>
      </c>
      <c r="AQ280" t="b">
        <v>1</v>
      </c>
    </row>
    <row r="281" spans="1:43" ht="12.75" customHeight="1">
      <c r="B281" s="15" t="s">
        <v>3188</v>
      </c>
      <c r="C281" s="445">
        <v>2</v>
      </c>
      <c r="D281" s="64">
        <v>0</v>
      </c>
      <c r="E281" s="64">
        <v>0</v>
      </c>
      <c r="F281" s="64">
        <v>0</v>
      </c>
      <c r="G281" s="197">
        <v>1</v>
      </c>
      <c r="H281" s="446">
        <f t="shared" si="58"/>
        <v>3</v>
      </c>
      <c r="I281" s="447">
        <f>$N$15+K$15+M$15</f>
        <v>9.2000000000000011</v>
      </c>
      <c r="J281" s="447">
        <f t="shared" si="59"/>
        <v>369.50204081632654</v>
      </c>
      <c r="K281" s="447">
        <f>SUMPRODUCT($E$45:$E$47,$N$16:$N$18)+SUMPRODUCT($E$14:$E$16,$K$16:$K$18)+SUMPRODUCT($E$16:$E$18,$M$16:$M$18)</f>
        <v>20</v>
      </c>
      <c r="L281" s="448">
        <f t="shared" si="60"/>
        <v>389.50204081632654</v>
      </c>
      <c r="M281" s="449">
        <f>SUMPRODUCT($C$45:$C$47,$N$16:$N$18)+SUMPRODUCT($C$14:$C$16,$K$16:$K$18)+SUMPRODUCT($C$16:$C$18,$M$16:$M$18)</f>
        <v>11</v>
      </c>
      <c r="N281" s="104">
        <f>SUMPRODUCT($D$14:$D$16,$K$16:$K$18)+SUMPRODUCT($D$16:$D$18,$M$16:$M$18)</f>
        <v>52.2</v>
      </c>
      <c r="O281" s="104">
        <v>0</v>
      </c>
      <c r="P281" s="104">
        <f t="shared" si="77"/>
        <v>30</v>
      </c>
      <c r="Q281" s="450">
        <f t="shared" si="72"/>
        <v>29.577906806303528</v>
      </c>
      <c r="R281" s="1310">
        <f>(K$15+N$15+1-$J$15)*$O$2+$E$45+25</f>
        <v>282.04489795918369</v>
      </c>
      <c r="S281" s="1310">
        <v>0</v>
      </c>
      <c r="T281" s="1310">
        <f t="shared" si="78"/>
        <v>225.81632653061223</v>
      </c>
      <c r="U281" s="451">
        <f t="shared" si="67"/>
        <v>1</v>
      </c>
      <c r="V281" s="451">
        <v>0</v>
      </c>
      <c r="W281" s="451">
        <f t="shared" si="74"/>
        <v>1</v>
      </c>
      <c r="X281" s="452">
        <f t="shared" si="62"/>
        <v>1</v>
      </c>
      <c r="Y281" s="447">
        <f t="shared" si="63"/>
        <v>8796.3197390748373</v>
      </c>
      <c r="Z281" s="447">
        <f t="shared" si="68"/>
        <v>5252.417051543368</v>
      </c>
      <c r="AA281" s="447">
        <v>0</v>
      </c>
      <c r="AB281" s="447">
        <v>0</v>
      </c>
      <c r="AC281" s="447">
        <v>0</v>
      </c>
      <c r="AD281" s="447">
        <f t="shared" si="75"/>
        <v>0</v>
      </c>
      <c r="AE281" s="447">
        <v>0</v>
      </c>
      <c r="AF281" s="448">
        <f t="shared" si="71"/>
        <v>14048.736790618204</v>
      </c>
      <c r="AG281" s="453">
        <f t="shared" si="73"/>
        <v>474.97400281294392</v>
      </c>
      <c r="AH281" s="454">
        <f t="shared" si="70"/>
        <v>22.622093193696475</v>
      </c>
      <c r="AI281" s="104">
        <v>0</v>
      </c>
      <c r="AJ281" s="455">
        <f t="shared" si="76"/>
        <v>0.42209319369647247</v>
      </c>
      <c r="AK281" s="456" t="str">
        <f>IF(instatk="Mut","5-5ea/2-4s/4s-5s",IF(Sealfate&gt;0,"5-5ea/2-3s/4s-5s","5ea/2s/4s"))</f>
        <v>5ea/2s/4s</v>
      </c>
      <c r="AL281" t="str">
        <f>IF(AND(OR(allowrupt,NOT(D281)),OR(AND(poison,allowenv),NOT(F281)),$X$2-AG281&lt;50),MAX($AL$55:$AL280)+1,"")</f>
        <v/>
      </c>
      <c r="AQ281" t="b">
        <v>1</v>
      </c>
    </row>
    <row r="282" spans="1:43" ht="12.75" customHeight="1">
      <c r="B282" s="15" t="s">
        <v>3189</v>
      </c>
      <c r="C282" s="445">
        <v>2</v>
      </c>
      <c r="D282" s="64">
        <v>0</v>
      </c>
      <c r="E282" s="64">
        <v>0</v>
      </c>
      <c r="F282" s="64">
        <v>0</v>
      </c>
      <c r="G282" s="197">
        <v>1</v>
      </c>
      <c r="H282" s="446">
        <f t="shared" si="58"/>
        <v>3</v>
      </c>
      <c r="I282" s="447">
        <f>$N$15+J$15+N$15</f>
        <v>9.2000000000000011</v>
      </c>
      <c r="J282" s="447">
        <f t="shared" si="59"/>
        <v>369.50204081632654</v>
      </c>
      <c r="K282" s="447">
        <f>SUMPRODUCT($E$45:$E$47,$N$16:$N$18)+SUMPRODUCT($E$13:$E$15,$J$16:$J$18)+SUMPRODUCT($E$17:$E$19,$N$16:$N$18)</f>
        <v>20</v>
      </c>
      <c r="L282" s="448">
        <f t="shared" si="60"/>
        <v>389.50204081632654</v>
      </c>
      <c r="M282" s="449">
        <f>SUMPRODUCT($C$45:$C$47,$N$16:$N$18)+SUMPRODUCT($C$13:$C$15,$J$16:$J$18)+SUMPRODUCT($C$17:$C$19,$N$16:$N$18)</f>
        <v>11</v>
      </c>
      <c r="N282" s="104">
        <f>SUMPRODUCT($D$13:$D$15,$J$16:$J$18)+SUMPRODUCT($D$17:$D$19,$N$16:$N$18)</f>
        <v>52.199999999999996</v>
      </c>
      <c r="O282" s="104">
        <v>0</v>
      </c>
      <c r="P282" s="104">
        <f t="shared" si="77"/>
        <v>30</v>
      </c>
      <c r="Q282" s="450">
        <f t="shared" si="72"/>
        <v>29.577906806303528</v>
      </c>
      <c r="R282" s="1310">
        <f>(J$15+N$15+1-$J$15)*$O$2+$E$45+25</f>
        <v>241.88163265306122</v>
      </c>
      <c r="S282" s="1310">
        <v>0</v>
      </c>
      <c r="T282" s="1310">
        <f t="shared" si="78"/>
        <v>225.81632653061223</v>
      </c>
      <c r="U282" s="451">
        <f t="shared" si="67"/>
        <v>1</v>
      </c>
      <c r="V282" s="451">
        <v>0</v>
      </c>
      <c r="W282" s="451">
        <f t="shared" si="74"/>
        <v>1</v>
      </c>
      <c r="X282" s="452">
        <f t="shared" si="62"/>
        <v>1</v>
      </c>
      <c r="Y282" s="447">
        <f t="shared" si="63"/>
        <v>8796.3197390748373</v>
      </c>
      <c r="Z282" s="447">
        <f t="shared" si="68"/>
        <v>5252.417051543368</v>
      </c>
      <c r="AA282" s="447">
        <v>0</v>
      </c>
      <c r="AB282" s="447">
        <v>0</v>
      </c>
      <c r="AC282" s="447">
        <v>0</v>
      </c>
      <c r="AD282" s="447">
        <f t="shared" si="75"/>
        <v>0</v>
      </c>
      <c r="AE282" s="447">
        <v>0</v>
      </c>
      <c r="AF282" s="448">
        <f t="shared" si="71"/>
        <v>14048.736790618204</v>
      </c>
      <c r="AG282" s="453">
        <f t="shared" si="73"/>
        <v>474.97400281294392</v>
      </c>
      <c r="AH282" s="454">
        <f t="shared" si="70"/>
        <v>22.622093193696468</v>
      </c>
      <c r="AI282" s="104">
        <v>0</v>
      </c>
      <c r="AJ282" s="455">
        <f t="shared" si="76"/>
        <v>0.42209319369647247</v>
      </c>
      <c r="AK282" s="456" t="str">
        <f>IF(instatk="Mut","5-5ea/1-3s/5s-5s",IF(Sealfate&gt;0,"5-5ea/1-2s/5s-5s","5ea/1s/5s"))</f>
        <v>5ea/1s/5s</v>
      </c>
      <c r="AL282" t="str">
        <f>IF(AND(OR(allowrupt,NOT(D282)),OR(AND(poison,allowenv),NOT(F282)),$X$2-AG282&lt;50),MAX($AL$55:$AL281)+1,"")</f>
        <v/>
      </c>
      <c r="AQ282" t="b">
        <v>1</v>
      </c>
    </row>
    <row r="283" spans="1:43" ht="12.75" customHeight="1">
      <c r="B283" s="15" t="s">
        <v>3190</v>
      </c>
      <c r="C283" s="445">
        <v>2</v>
      </c>
      <c r="D283" s="64">
        <v>0</v>
      </c>
      <c r="E283" s="64">
        <v>0</v>
      </c>
      <c r="F283" s="64">
        <v>0</v>
      </c>
      <c r="G283" s="197">
        <v>1</v>
      </c>
      <c r="H283" s="446">
        <f t="shared" si="58"/>
        <v>3</v>
      </c>
      <c r="I283" s="447">
        <f>$N$15+K$15+N$15</f>
        <v>10.200000000000001</v>
      </c>
      <c r="J283" s="447">
        <f t="shared" si="59"/>
        <v>409.66530612244901</v>
      </c>
      <c r="K283" s="447">
        <f>SUMPRODUCT($E$45:$E$47,$N$16:$N$18)+SUMPRODUCT($E$14:$E$16,$K$16:$K$18)+SUMPRODUCT($E$17:$E$19,$N$16:$N$18)</f>
        <v>15</v>
      </c>
      <c r="L283" s="448">
        <f t="shared" si="60"/>
        <v>424.66530612244901</v>
      </c>
      <c r="M283" s="449">
        <f>SUMPRODUCT($C$45:$C$47,$N$16:$N$18)+SUMPRODUCT($C$14:$C$16,$K$16:$K$18)+SUMPRODUCT($C$17:$C$19,$N$16:$N$18)</f>
        <v>12</v>
      </c>
      <c r="N283" s="104">
        <f>SUMPRODUCT($D$14:$D$16,$K$16:$K$18)+SUMPRODUCT($D$17:$D$19,$N$16:$N$18)</f>
        <v>56.55</v>
      </c>
      <c r="O283" s="104">
        <v>0</v>
      </c>
      <c r="P283" s="104">
        <f t="shared" si="77"/>
        <v>30</v>
      </c>
      <c r="Q283" s="450">
        <f t="shared" si="72"/>
        <v>32.248125894373118</v>
      </c>
      <c r="R283" s="1310">
        <f>(K$15+N$15+1-$J$15)*$O$2+$E$45+25</f>
        <v>282.04489795918369</v>
      </c>
      <c r="S283" s="1310">
        <v>0</v>
      </c>
      <c r="T283" s="1310">
        <f t="shared" si="78"/>
        <v>225.81632653061223</v>
      </c>
      <c r="U283" s="451">
        <f t="shared" si="67"/>
        <v>1</v>
      </c>
      <c r="V283" s="451">
        <v>0</v>
      </c>
      <c r="W283" s="451">
        <f t="shared" si="74"/>
        <v>0.93028661877168539</v>
      </c>
      <c r="X283" s="452">
        <f t="shared" si="62"/>
        <v>1</v>
      </c>
      <c r="Y283" s="447">
        <f t="shared" si="63"/>
        <v>9752.4414498438418</v>
      </c>
      <c r="Z283" s="447">
        <f t="shared" si="68"/>
        <v>5726.5920620124771</v>
      </c>
      <c r="AA283" s="447">
        <v>0</v>
      </c>
      <c r="AB283" s="447">
        <v>0</v>
      </c>
      <c r="AC283" s="447">
        <v>0</v>
      </c>
      <c r="AD283" s="447">
        <f t="shared" si="75"/>
        <v>0</v>
      </c>
      <c r="AE283" s="447">
        <v>0</v>
      </c>
      <c r="AF283" s="448">
        <f t="shared" si="71"/>
        <v>15479.03351185632</v>
      </c>
      <c r="AG283" s="453">
        <f t="shared" si="73"/>
        <v>479.99792491994742</v>
      </c>
      <c r="AH283" s="454">
        <f t="shared" si="70"/>
        <v>24.301874105626879</v>
      </c>
      <c r="AI283" s="104">
        <v>0</v>
      </c>
      <c r="AJ283" s="455">
        <f t="shared" si="76"/>
        <v>-2.2481258943731177</v>
      </c>
      <c r="AK283" s="456" t="str">
        <f>IF(instatk="Mut","5-5ea/2-4s/5s-5s",IF(Sealfate&gt;0,"5-5ea/2-3s/5s-5s","5ea/2s/5s"))</f>
        <v>5ea/2s/5s</v>
      </c>
      <c r="AL283" t="str">
        <f>IF(AND(OR(allowrupt,NOT(D283)),OR(AND(poison,allowenv),NOT(F283)),$X$2-AG283&lt;50),MAX($AL$55:$AL282)+1,"")</f>
        <v/>
      </c>
      <c r="AQ283" t="b">
        <v>1</v>
      </c>
    </row>
    <row r="284" spans="1:43" ht="12.75" customHeight="1">
      <c r="B284" s="15" t="s">
        <v>3191</v>
      </c>
      <c r="C284" s="445">
        <v>2</v>
      </c>
      <c r="D284" s="64">
        <v>0</v>
      </c>
      <c r="E284" s="64">
        <v>0</v>
      </c>
      <c r="F284" s="64">
        <v>0</v>
      </c>
      <c r="G284" s="197">
        <v>1</v>
      </c>
      <c r="H284" s="446">
        <f t="shared" si="58"/>
        <v>3</v>
      </c>
      <c r="I284" s="447">
        <f>$N$15+L$15+N$15</f>
        <v>11.200000000000001</v>
      </c>
      <c r="J284" s="447">
        <f t="shared" si="59"/>
        <v>449.82857142857148</v>
      </c>
      <c r="K284" s="447">
        <f>SUMPRODUCT($E$45:$E$47,$N$16:$N$18)+SUMPRODUCT($E$15:$E$17,$L$16:$L$18)+SUMPRODUCT($E$17:$E$19,$N$16:$N$18)</f>
        <v>10</v>
      </c>
      <c r="L284" s="448">
        <f t="shared" si="60"/>
        <v>459.82857142857148</v>
      </c>
      <c r="M284" s="449">
        <f>SUMPRODUCT($C$45:$C$47,$N$16:$N$18)+SUMPRODUCT($C$15:$C$17,$L$16:$L$18)+SUMPRODUCT($C$17:$C$19,$N$16:$N$18)</f>
        <v>13</v>
      </c>
      <c r="N284" s="104">
        <f>SUMPRODUCT($D$15:$D$17,$L$16:$L$18)+SUMPRODUCT($D$17:$D$19,$N$16:$N$18)</f>
        <v>60.899999999999991</v>
      </c>
      <c r="O284" s="104">
        <v>0</v>
      </c>
      <c r="P284" s="104">
        <f t="shared" si="77"/>
        <v>30</v>
      </c>
      <c r="Q284" s="450">
        <f t="shared" si="72"/>
        <v>34.918344982442711</v>
      </c>
      <c r="R284" s="1310">
        <f>(L$15+N$15+1-$J$15)*$O$2+$E$45+25</f>
        <v>322.2081632653061</v>
      </c>
      <c r="S284" s="1310">
        <v>0</v>
      </c>
      <c r="T284" s="1310">
        <f t="shared" si="78"/>
        <v>225.81632653061223</v>
      </c>
      <c r="U284" s="451">
        <f t="shared" si="67"/>
        <v>1</v>
      </c>
      <c r="V284" s="451">
        <v>0</v>
      </c>
      <c r="W284" s="451">
        <f t="shared" si="74"/>
        <v>0.85914724810366283</v>
      </c>
      <c r="X284" s="452">
        <f t="shared" si="62"/>
        <v>1</v>
      </c>
      <c r="Y284" s="447">
        <f t="shared" si="63"/>
        <v>10708.563160612846</v>
      </c>
      <c r="Z284" s="447">
        <f t="shared" si="68"/>
        <v>6200.7670724815862</v>
      </c>
      <c r="AA284" s="447">
        <v>0</v>
      </c>
      <c r="AB284" s="447">
        <v>0</v>
      </c>
      <c r="AC284" s="447">
        <v>0</v>
      </c>
      <c r="AD284" s="447">
        <f t="shared" si="75"/>
        <v>0</v>
      </c>
      <c r="AE284" s="447">
        <v>0</v>
      </c>
      <c r="AF284" s="448">
        <f t="shared" si="71"/>
        <v>16909.330233094432</v>
      </c>
      <c r="AG284" s="453">
        <f t="shared" si="73"/>
        <v>484.25348456797167</v>
      </c>
      <c r="AH284" s="454">
        <f t="shared" si="70"/>
        <v>25.98165501755728</v>
      </c>
      <c r="AI284" s="104">
        <v>0</v>
      </c>
      <c r="AJ284" s="455">
        <f t="shared" si="76"/>
        <v>-4.9183449824427115</v>
      </c>
      <c r="AK284" s="456" t="str">
        <f>IF(instatk="Mut","5-5ea/3-5s/5s-5s",IF(Sealfate&gt;0,"5-5ea/3-4s/5s-5s","5ea/3s/5s"))</f>
        <v>5ea/3s/5s</v>
      </c>
      <c r="AL284" t="str">
        <f>IF(AND(OR(allowrupt,NOT(D284)),OR(AND(poison,allowenv),NOT(F284)),$X$2-AG284&lt;50),MAX($AL$55:$AL283)+1,"")</f>
        <v/>
      </c>
      <c r="AQ284" t="b">
        <v>1</v>
      </c>
    </row>
    <row r="285" spans="1:43">
      <c r="A285" s="901"/>
      <c r="B285" s="901"/>
      <c r="C285" s="901"/>
      <c r="D285" s="901"/>
      <c r="E285" s="901"/>
      <c r="F285" s="901"/>
      <c r="G285" s="901"/>
      <c r="H285" s="901"/>
      <c r="I285" s="901"/>
      <c r="J285" s="901"/>
      <c r="K285" s="901"/>
      <c r="L285" s="901"/>
      <c r="M285" s="901"/>
      <c r="N285" s="901"/>
      <c r="O285" s="901"/>
      <c r="P285" s="901"/>
      <c r="Q285" s="1374"/>
      <c r="R285" s="1375"/>
      <c r="S285" s="901"/>
      <c r="T285" s="901"/>
      <c r="U285" s="901"/>
      <c r="V285" s="901"/>
      <c r="W285" s="901"/>
      <c r="X285" s="901"/>
      <c r="Y285" s="901"/>
      <c r="Z285" s="901"/>
      <c r="AA285" s="901"/>
      <c r="AB285" s="901"/>
      <c r="AC285" s="901"/>
      <c r="AD285" s="901"/>
      <c r="AE285" s="901"/>
      <c r="AF285" s="901"/>
      <c r="AG285" s="901"/>
      <c r="AH285" s="901"/>
      <c r="AI285" s="901"/>
      <c r="AJ285" s="901"/>
    </row>
  </sheetData>
  <mergeCells count="25">
    <mergeCell ref="H44:H46"/>
    <mergeCell ref="H43:I43"/>
    <mergeCell ref="AK53:AK54"/>
    <mergeCell ref="N53:Q53"/>
    <mergeCell ref="U53:W53"/>
    <mergeCell ref="Y53:AF53"/>
    <mergeCell ref="AG53:AG54"/>
    <mergeCell ref="M52:N52"/>
    <mergeCell ref="M51:N51"/>
    <mergeCell ref="B53:B54"/>
    <mergeCell ref="C53:H53"/>
    <mergeCell ref="J53:L53"/>
    <mergeCell ref="AH53:AJ53"/>
    <mergeCell ref="R53:T53"/>
    <mergeCell ref="H22:I22"/>
    <mergeCell ref="H15:I15"/>
    <mergeCell ref="H14:I14"/>
    <mergeCell ref="H20:N21"/>
    <mergeCell ref="H23:I23"/>
    <mergeCell ref="H16:H18"/>
    <mergeCell ref="P20:V21"/>
    <mergeCell ref="P22:Q22"/>
    <mergeCell ref="P23:Q23"/>
    <mergeCell ref="P36:Q36"/>
    <mergeCell ref="P37:P39"/>
  </mergeCells>
  <phoneticPr fontId="2" type="noConversion"/>
  <conditionalFormatting sqref="M52">
    <cfRule type="expression" dxfId="49" priority="1" stopIfTrue="1">
      <formula>($J$52-$L$52)&gt;0</formula>
    </cfRule>
    <cfRule type="expression" dxfId="48" priority="2" stopIfTrue="1">
      <formula>($J$52-$L$52)&lt;0</formula>
    </cfRule>
  </conditionalFormatting>
  <dataValidations disablePrompts="1" count="2">
    <dataValidation type="list" allowBlank="1" showInputMessage="1" showErrorMessage="1" sqref="AQ55" xr:uid="{00000000-0002-0000-0900-000001000000}">
      <formula1>cyclelist</formula1>
    </dataValidation>
    <dataValidation type="list" allowBlank="1" showInputMessage="1" showErrorMessage="1" sqref="AQ234:AQ284 AQ56:AQ150" xr:uid="{12A99580-BCFB-4EB4-A1CD-6D8452BBB3A3}">
      <formula1>"TRUE, FALSE"</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0898" r:id="rId4" name="Check Box 2">
              <controlPr defaultSize="0" autoFill="0" autoLine="0" autoPict="0">
                <anchor moveWithCells="1" sizeWithCells="1">
                  <from>
                    <xdr:col>0</xdr:col>
                    <xdr:colOff>19050</xdr:colOff>
                    <xdr:row>54</xdr:row>
                    <xdr:rowOff>123825</xdr:rowOff>
                  </from>
                  <to>
                    <xdr:col>1</xdr:col>
                    <xdr:colOff>0</xdr:colOff>
                    <xdr:row>56</xdr:row>
                    <xdr:rowOff>38100</xdr:rowOff>
                  </to>
                </anchor>
              </controlPr>
            </control>
          </mc:Choice>
        </mc:AlternateContent>
        <mc:AlternateContent xmlns:mc="http://schemas.openxmlformats.org/markup-compatibility/2006">
          <mc:Choice Requires="x14">
            <control shapeId="80911" r:id="rId5" name="Check Box 15">
              <controlPr defaultSize="0" autoFill="0" autoLine="0" autoPict="0">
                <anchor moveWithCells="1" sizeWithCells="1">
                  <from>
                    <xdr:col>0</xdr:col>
                    <xdr:colOff>19050</xdr:colOff>
                    <xdr:row>55</xdr:row>
                    <xdr:rowOff>123825</xdr:rowOff>
                  </from>
                  <to>
                    <xdr:col>1</xdr:col>
                    <xdr:colOff>0</xdr:colOff>
                    <xdr:row>57</xdr:row>
                    <xdr:rowOff>38100</xdr:rowOff>
                  </to>
                </anchor>
              </controlPr>
            </control>
          </mc:Choice>
        </mc:AlternateContent>
        <mc:AlternateContent xmlns:mc="http://schemas.openxmlformats.org/markup-compatibility/2006">
          <mc:Choice Requires="x14">
            <control shapeId="80912" r:id="rId6" name="Check Box 16">
              <controlPr defaultSize="0" autoFill="0" autoLine="0" autoPict="0">
                <anchor moveWithCells="1" sizeWithCells="1">
                  <from>
                    <xdr:col>0</xdr:col>
                    <xdr:colOff>19050</xdr:colOff>
                    <xdr:row>56</xdr:row>
                    <xdr:rowOff>123825</xdr:rowOff>
                  </from>
                  <to>
                    <xdr:col>1</xdr:col>
                    <xdr:colOff>0</xdr:colOff>
                    <xdr:row>58</xdr:row>
                    <xdr:rowOff>38100</xdr:rowOff>
                  </to>
                </anchor>
              </controlPr>
            </control>
          </mc:Choice>
        </mc:AlternateContent>
        <mc:AlternateContent xmlns:mc="http://schemas.openxmlformats.org/markup-compatibility/2006">
          <mc:Choice Requires="x14">
            <control shapeId="80913" r:id="rId7" name="Check Box 17">
              <controlPr defaultSize="0" autoFill="0" autoLine="0" autoPict="0">
                <anchor moveWithCells="1" sizeWithCells="1">
                  <from>
                    <xdr:col>0</xdr:col>
                    <xdr:colOff>19050</xdr:colOff>
                    <xdr:row>57</xdr:row>
                    <xdr:rowOff>123825</xdr:rowOff>
                  </from>
                  <to>
                    <xdr:col>1</xdr:col>
                    <xdr:colOff>0</xdr:colOff>
                    <xdr:row>59</xdr:row>
                    <xdr:rowOff>38100</xdr:rowOff>
                  </to>
                </anchor>
              </controlPr>
            </control>
          </mc:Choice>
        </mc:AlternateContent>
        <mc:AlternateContent xmlns:mc="http://schemas.openxmlformats.org/markup-compatibility/2006">
          <mc:Choice Requires="x14">
            <control shapeId="80914" r:id="rId8" name="Check Box 18">
              <controlPr defaultSize="0" autoFill="0" autoLine="0" autoPict="0">
                <anchor moveWithCells="1" sizeWithCells="1">
                  <from>
                    <xdr:col>0</xdr:col>
                    <xdr:colOff>19050</xdr:colOff>
                    <xdr:row>58</xdr:row>
                    <xdr:rowOff>123825</xdr:rowOff>
                  </from>
                  <to>
                    <xdr:col>1</xdr:col>
                    <xdr:colOff>0</xdr:colOff>
                    <xdr:row>60</xdr:row>
                    <xdr:rowOff>38100</xdr:rowOff>
                  </to>
                </anchor>
              </controlPr>
            </control>
          </mc:Choice>
        </mc:AlternateContent>
        <mc:AlternateContent xmlns:mc="http://schemas.openxmlformats.org/markup-compatibility/2006">
          <mc:Choice Requires="x14">
            <control shapeId="80915" r:id="rId9" name="Check Box 19">
              <controlPr defaultSize="0" autoFill="0" autoLine="0" autoPict="0">
                <anchor moveWithCells="1" sizeWithCells="1">
                  <from>
                    <xdr:col>0</xdr:col>
                    <xdr:colOff>19050</xdr:colOff>
                    <xdr:row>59</xdr:row>
                    <xdr:rowOff>123825</xdr:rowOff>
                  </from>
                  <to>
                    <xdr:col>1</xdr:col>
                    <xdr:colOff>0</xdr:colOff>
                    <xdr:row>61</xdr:row>
                    <xdr:rowOff>38100</xdr:rowOff>
                  </to>
                </anchor>
              </controlPr>
            </control>
          </mc:Choice>
        </mc:AlternateContent>
        <mc:AlternateContent xmlns:mc="http://schemas.openxmlformats.org/markup-compatibility/2006">
          <mc:Choice Requires="x14">
            <control shapeId="80916" r:id="rId10" name="Check Box 20">
              <controlPr defaultSize="0" autoFill="0" autoLine="0" autoPict="0">
                <anchor moveWithCells="1" sizeWithCells="1">
                  <from>
                    <xdr:col>0</xdr:col>
                    <xdr:colOff>19050</xdr:colOff>
                    <xdr:row>60</xdr:row>
                    <xdr:rowOff>123825</xdr:rowOff>
                  </from>
                  <to>
                    <xdr:col>1</xdr:col>
                    <xdr:colOff>0</xdr:colOff>
                    <xdr:row>62</xdr:row>
                    <xdr:rowOff>38100</xdr:rowOff>
                  </to>
                </anchor>
              </controlPr>
            </control>
          </mc:Choice>
        </mc:AlternateContent>
        <mc:AlternateContent xmlns:mc="http://schemas.openxmlformats.org/markup-compatibility/2006">
          <mc:Choice Requires="x14">
            <control shapeId="80917" r:id="rId11" name="Check Box 21">
              <controlPr defaultSize="0" autoFill="0" autoLine="0" autoPict="0">
                <anchor moveWithCells="1" sizeWithCells="1">
                  <from>
                    <xdr:col>0</xdr:col>
                    <xdr:colOff>19050</xdr:colOff>
                    <xdr:row>61</xdr:row>
                    <xdr:rowOff>123825</xdr:rowOff>
                  </from>
                  <to>
                    <xdr:col>1</xdr:col>
                    <xdr:colOff>0</xdr:colOff>
                    <xdr:row>63</xdr:row>
                    <xdr:rowOff>38100</xdr:rowOff>
                  </to>
                </anchor>
              </controlPr>
            </control>
          </mc:Choice>
        </mc:AlternateContent>
        <mc:AlternateContent xmlns:mc="http://schemas.openxmlformats.org/markup-compatibility/2006">
          <mc:Choice Requires="x14">
            <control shapeId="80918" r:id="rId12" name="Check Box 22">
              <controlPr defaultSize="0" autoFill="0" autoLine="0" autoPict="0">
                <anchor moveWithCells="1" sizeWithCells="1">
                  <from>
                    <xdr:col>0</xdr:col>
                    <xdr:colOff>19050</xdr:colOff>
                    <xdr:row>62</xdr:row>
                    <xdr:rowOff>123825</xdr:rowOff>
                  </from>
                  <to>
                    <xdr:col>1</xdr:col>
                    <xdr:colOff>0</xdr:colOff>
                    <xdr:row>64</xdr:row>
                    <xdr:rowOff>38100</xdr:rowOff>
                  </to>
                </anchor>
              </controlPr>
            </control>
          </mc:Choice>
        </mc:AlternateContent>
        <mc:AlternateContent xmlns:mc="http://schemas.openxmlformats.org/markup-compatibility/2006">
          <mc:Choice Requires="x14">
            <control shapeId="80919" r:id="rId13" name="Check Box 23">
              <controlPr defaultSize="0" autoFill="0" autoLine="0" autoPict="0">
                <anchor moveWithCells="1" sizeWithCells="1">
                  <from>
                    <xdr:col>0</xdr:col>
                    <xdr:colOff>19050</xdr:colOff>
                    <xdr:row>63</xdr:row>
                    <xdr:rowOff>123825</xdr:rowOff>
                  </from>
                  <to>
                    <xdr:col>1</xdr:col>
                    <xdr:colOff>0</xdr:colOff>
                    <xdr:row>65</xdr:row>
                    <xdr:rowOff>38100</xdr:rowOff>
                  </to>
                </anchor>
              </controlPr>
            </control>
          </mc:Choice>
        </mc:AlternateContent>
        <mc:AlternateContent xmlns:mc="http://schemas.openxmlformats.org/markup-compatibility/2006">
          <mc:Choice Requires="x14">
            <control shapeId="80920" r:id="rId14" name="Check Box 24">
              <controlPr defaultSize="0" autoFill="0" autoLine="0" autoPict="0">
                <anchor moveWithCells="1" sizeWithCells="1">
                  <from>
                    <xdr:col>0</xdr:col>
                    <xdr:colOff>19050</xdr:colOff>
                    <xdr:row>64</xdr:row>
                    <xdr:rowOff>123825</xdr:rowOff>
                  </from>
                  <to>
                    <xdr:col>1</xdr:col>
                    <xdr:colOff>0</xdr:colOff>
                    <xdr:row>66</xdr:row>
                    <xdr:rowOff>38100</xdr:rowOff>
                  </to>
                </anchor>
              </controlPr>
            </control>
          </mc:Choice>
        </mc:AlternateContent>
        <mc:AlternateContent xmlns:mc="http://schemas.openxmlformats.org/markup-compatibility/2006">
          <mc:Choice Requires="x14">
            <control shapeId="80921" r:id="rId15" name="Check Box 25">
              <controlPr defaultSize="0" autoFill="0" autoLine="0" autoPict="0">
                <anchor moveWithCells="1" sizeWithCells="1">
                  <from>
                    <xdr:col>0</xdr:col>
                    <xdr:colOff>19050</xdr:colOff>
                    <xdr:row>65</xdr:row>
                    <xdr:rowOff>123825</xdr:rowOff>
                  </from>
                  <to>
                    <xdr:col>1</xdr:col>
                    <xdr:colOff>0</xdr:colOff>
                    <xdr:row>67</xdr:row>
                    <xdr:rowOff>38100</xdr:rowOff>
                  </to>
                </anchor>
              </controlPr>
            </control>
          </mc:Choice>
        </mc:AlternateContent>
        <mc:AlternateContent xmlns:mc="http://schemas.openxmlformats.org/markup-compatibility/2006">
          <mc:Choice Requires="x14">
            <control shapeId="80922" r:id="rId16" name="Check Box 26">
              <controlPr defaultSize="0" autoFill="0" autoLine="0" autoPict="0">
                <anchor moveWithCells="1" sizeWithCells="1">
                  <from>
                    <xdr:col>0</xdr:col>
                    <xdr:colOff>19050</xdr:colOff>
                    <xdr:row>66</xdr:row>
                    <xdr:rowOff>123825</xdr:rowOff>
                  </from>
                  <to>
                    <xdr:col>1</xdr:col>
                    <xdr:colOff>0</xdr:colOff>
                    <xdr:row>68</xdr:row>
                    <xdr:rowOff>38100</xdr:rowOff>
                  </to>
                </anchor>
              </controlPr>
            </control>
          </mc:Choice>
        </mc:AlternateContent>
        <mc:AlternateContent xmlns:mc="http://schemas.openxmlformats.org/markup-compatibility/2006">
          <mc:Choice Requires="x14">
            <control shapeId="80923" r:id="rId17" name="Check Box 27">
              <controlPr defaultSize="0" autoFill="0" autoLine="0" autoPict="0">
                <anchor moveWithCells="1" sizeWithCells="1">
                  <from>
                    <xdr:col>0</xdr:col>
                    <xdr:colOff>19050</xdr:colOff>
                    <xdr:row>67</xdr:row>
                    <xdr:rowOff>123825</xdr:rowOff>
                  </from>
                  <to>
                    <xdr:col>1</xdr:col>
                    <xdr:colOff>0</xdr:colOff>
                    <xdr:row>69</xdr:row>
                    <xdr:rowOff>38100</xdr:rowOff>
                  </to>
                </anchor>
              </controlPr>
            </control>
          </mc:Choice>
        </mc:AlternateContent>
        <mc:AlternateContent xmlns:mc="http://schemas.openxmlformats.org/markup-compatibility/2006">
          <mc:Choice Requires="x14">
            <control shapeId="80924" r:id="rId18" name="Check Box 28">
              <controlPr defaultSize="0" autoFill="0" autoLine="0" autoPict="0">
                <anchor moveWithCells="1" sizeWithCells="1">
                  <from>
                    <xdr:col>0</xdr:col>
                    <xdr:colOff>19050</xdr:colOff>
                    <xdr:row>68</xdr:row>
                    <xdr:rowOff>123825</xdr:rowOff>
                  </from>
                  <to>
                    <xdr:col>1</xdr:col>
                    <xdr:colOff>0</xdr:colOff>
                    <xdr:row>70</xdr:row>
                    <xdr:rowOff>38100</xdr:rowOff>
                  </to>
                </anchor>
              </controlPr>
            </control>
          </mc:Choice>
        </mc:AlternateContent>
        <mc:AlternateContent xmlns:mc="http://schemas.openxmlformats.org/markup-compatibility/2006">
          <mc:Choice Requires="x14">
            <control shapeId="80925" r:id="rId19" name="Check Box 29">
              <controlPr defaultSize="0" autoFill="0" autoLine="0" autoPict="0">
                <anchor moveWithCells="1" sizeWithCells="1">
                  <from>
                    <xdr:col>0</xdr:col>
                    <xdr:colOff>19050</xdr:colOff>
                    <xdr:row>69</xdr:row>
                    <xdr:rowOff>123825</xdr:rowOff>
                  </from>
                  <to>
                    <xdr:col>1</xdr:col>
                    <xdr:colOff>0</xdr:colOff>
                    <xdr:row>71</xdr:row>
                    <xdr:rowOff>38100</xdr:rowOff>
                  </to>
                </anchor>
              </controlPr>
            </control>
          </mc:Choice>
        </mc:AlternateContent>
        <mc:AlternateContent xmlns:mc="http://schemas.openxmlformats.org/markup-compatibility/2006">
          <mc:Choice Requires="x14">
            <control shapeId="80926" r:id="rId20" name="Check Box 30">
              <controlPr defaultSize="0" autoFill="0" autoLine="0" autoPict="0">
                <anchor moveWithCells="1" sizeWithCells="1">
                  <from>
                    <xdr:col>0</xdr:col>
                    <xdr:colOff>19050</xdr:colOff>
                    <xdr:row>70</xdr:row>
                    <xdr:rowOff>123825</xdr:rowOff>
                  </from>
                  <to>
                    <xdr:col>1</xdr:col>
                    <xdr:colOff>0</xdr:colOff>
                    <xdr:row>72</xdr:row>
                    <xdr:rowOff>38100</xdr:rowOff>
                  </to>
                </anchor>
              </controlPr>
            </control>
          </mc:Choice>
        </mc:AlternateContent>
        <mc:AlternateContent xmlns:mc="http://schemas.openxmlformats.org/markup-compatibility/2006">
          <mc:Choice Requires="x14">
            <control shapeId="80927" r:id="rId21" name="Check Box 31">
              <controlPr defaultSize="0" autoFill="0" autoLine="0" autoPict="0">
                <anchor moveWithCells="1" sizeWithCells="1">
                  <from>
                    <xdr:col>0</xdr:col>
                    <xdr:colOff>19050</xdr:colOff>
                    <xdr:row>71</xdr:row>
                    <xdr:rowOff>123825</xdr:rowOff>
                  </from>
                  <to>
                    <xdr:col>1</xdr:col>
                    <xdr:colOff>0</xdr:colOff>
                    <xdr:row>73</xdr:row>
                    <xdr:rowOff>38100</xdr:rowOff>
                  </to>
                </anchor>
              </controlPr>
            </control>
          </mc:Choice>
        </mc:AlternateContent>
        <mc:AlternateContent xmlns:mc="http://schemas.openxmlformats.org/markup-compatibility/2006">
          <mc:Choice Requires="x14">
            <control shapeId="80928" r:id="rId22" name="Check Box 32">
              <controlPr defaultSize="0" autoFill="0" autoLine="0" autoPict="0">
                <anchor moveWithCells="1" sizeWithCells="1">
                  <from>
                    <xdr:col>0</xdr:col>
                    <xdr:colOff>19050</xdr:colOff>
                    <xdr:row>72</xdr:row>
                    <xdr:rowOff>123825</xdr:rowOff>
                  </from>
                  <to>
                    <xdr:col>1</xdr:col>
                    <xdr:colOff>0</xdr:colOff>
                    <xdr:row>74</xdr:row>
                    <xdr:rowOff>38100</xdr:rowOff>
                  </to>
                </anchor>
              </controlPr>
            </control>
          </mc:Choice>
        </mc:AlternateContent>
        <mc:AlternateContent xmlns:mc="http://schemas.openxmlformats.org/markup-compatibility/2006">
          <mc:Choice Requires="x14">
            <control shapeId="80929" r:id="rId23" name="Check Box 33">
              <controlPr defaultSize="0" autoFill="0" autoLine="0" autoPict="0">
                <anchor moveWithCells="1" sizeWithCells="1">
                  <from>
                    <xdr:col>0</xdr:col>
                    <xdr:colOff>19050</xdr:colOff>
                    <xdr:row>73</xdr:row>
                    <xdr:rowOff>123825</xdr:rowOff>
                  </from>
                  <to>
                    <xdr:col>1</xdr:col>
                    <xdr:colOff>0</xdr:colOff>
                    <xdr:row>75</xdr:row>
                    <xdr:rowOff>38100</xdr:rowOff>
                  </to>
                </anchor>
              </controlPr>
            </control>
          </mc:Choice>
        </mc:AlternateContent>
        <mc:AlternateContent xmlns:mc="http://schemas.openxmlformats.org/markup-compatibility/2006">
          <mc:Choice Requires="x14">
            <control shapeId="80930" r:id="rId24" name="Check Box 34">
              <controlPr defaultSize="0" autoFill="0" autoLine="0" autoPict="0">
                <anchor moveWithCells="1" sizeWithCells="1">
                  <from>
                    <xdr:col>0</xdr:col>
                    <xdr:colOff>19050</xdr:colOff>
                    <xdr:row>74</xdr:row>
                    <xdr:rowOff>123825</xdr:rowOff>
                  </from>
                  <to>
                    <xdr:col>1</xdr:col>
                    <xdr:colOff>0</xdr:colOff>
                    <xdr:row>76</xdr:row>
                    <xdr:rowOff>38100</xdr:rowOff>
                  </to>
                </anchor>
              </controlPr>
            </control>
          </mc:Choice>
        </mc:AlternateContent>
        <mc:AlternateContent xmlns:mc="http://schemas.openxmlformats.org/markup-compatibility/2006">
          <mc:Choice Requires="x14">
            <control shapeId="80931" r:id="rId25" name="Check Box 35">
              <controlPr defaultSize="0" autoFill="0" autoLine="0" autoPict="0">
                <anchor moveWithCells="1" sizeWithCells="1">
                  <from>
                    <xdr:col>0</xdr:col>
                    <xdr:colOff>19050</xdr:colOff>
                    <xdr:row>75</xdr:row>
                    <xdr:rowOff>123825</xdr:rowOff>
                  </from>
                  <to>
                    <xdr:col>1</xdr:col>
                    <xdr:colOff>0</xdr:colOff>
                    <xdr:row>77</xdr:row>
                    <xdr:rowOff>38100</xdr:rowOff>
                  </to>
                </anchor>
              </controlPr>
            </control>
          </mc:Choice>
        </mc:AlternateContent>
        <mc:AlternateContent xmlns:mc="http://schemas.openxmlformats.org/markup-compatibility/2006">
          <mc:Choice Requires="x14">
            <control shapeId="80932" r:id="rId26" name="Check Box 36">
              <controlPr defaultSize="0" autoFill="0" autoLine="0" autoPict="0">
                <anchor moveWithCells="1" sizeWithCells="1">
                  <from>
                    <xdr:col>0</xdr:col>
                    <xdr:colOff>19050</xdr:colOff>
                    <xdr:row>76</xdr:row>
                    <xdr:rowOff>123825</xdr:rowOff>
                  </from>
                  <to>
                    <xdr:col>1</xdr:col>
                    <xdr:colOff>0</xdr:colOff>
                    <xdr:row>78</xdr:row>
                    <xdr:rowOff>38100</xdr:rowOff>
                  </to>
                </anchor>
              </controlPr>
            </control>
          </mc:Choice>
        </mc:AlternateContent>
        <mc:AlternateContent xmlns:mc="http://schemas.openxmlformats.org/markup-compatibility/2006">
          <mc:Choice Requires="x14">
            <control shapeId="80933" r:id="rId27" name="Check Box 37">
              <controlPr defaultSize="0" autoFill="0" autoLine="0" autoPict="0">
                <anchor moveWithCells="1" sizeWithCells="1">
                  <from>
                    <xdr:col>0</xdr:col>
                    <xdr:colOff>19050</xdr:colOff>
                    <xdr:row>77</xdr:row>
                    <xdr:rowOff>123825</xdr:rowOff>
                  </from>
                  <to>
                    <xdr:col>1</xdr:col>
                    <xdr:colOff>0</xdr:colOff>
                    <xdr:row>79</xdr:row>
                    <xdr:rowOff>38100</xdr:rowOff>
                  </to>
                </anchor>
              </controlPr>
            </control>
          </mc:Choice>
        </mc:AlternateContent>
        <mc:AlternateContent xmlns:mc="http://schemas.openxmlformats.org/markup-compatibility/2006">
          <mc:Choice Requires="x14">
            <control shapeId="80934" r:id="rId28" name="Check Box 38">
              <controlPr defaultSize="0" autoFill="0" autoLine="0" autoPict="0">
                <anchor moveWithCells="1" sizeWithCells="1">
                  <from>
                    <xdr:col>0</xdr:col>
                    <xdr:colOff>19050</xdr:colOff>
                    <xdr:row>78</xdr:row>
                    <xdr:rowOff>123825</xdr:rowOff>
                  </from>
                  <to>
                    <xdr:col>1</xdr:col>
                    <xdr:colOff>0</xdr:colOff>
                    <xdr:row>80</xdr:row>
                    <xdr:rowOff>38100</xdr:rowOff>
                  </to>
                </anchor>
              </controlPr>
            </control>
          </mc:Choice>
        </mc:AlternateContent>
        <mc:AlternateContent xmlns:mc="http://schemas.openxmlformats.org/markup-compatibility/2006">
          <mc:Choice Requires="x14">
            <control shapeId="80935" r:id="rId29" name="Check Box 39">
              <controlPr defaultSize="0" autoFill="0" autoLine="0" autoPict="0">
                <anchor moveWithCells="1" sizeWithCells="1">
                  <from>
                    <xdr:col>0</xdr:col>
                    <xdr:colOff>19050</xdr:colOff>
                    <xdr:row>79</xdr:row>
                    <xdr:rowOff>123825</xdr:rowOff>
                  </from>
                  <to>
                    <xdr:col>1</xdr:col>
                    <xdr:colOff>0</xdr:colOff>
                    <xdr:row>81</xdr:row>
                    <xdr:rowOff>38100</xdr:rowOff>
                  </to>
                </anchor>
              </controlPr>
            </control>
          </mc:Choice>
        </mc:AlternateContent>
        <mc:AlternateContent xmlns:mc="http://schemas.openxmlformats.org/markup-compatibility/2006">
          <mc:Choice Requires="x14">
            <control shapeId="80936" r:id="rId30" name="Check Box 40">
              <controlPr defaultSize="0" autoFill="0" autoLine="0" autoPict="0">
                <anchor moveWithCells="1" sizeWithCells="1">
                  <from>
                    <xdr:col>0</xdr:col>
                    <xdr:colOff>19050</xdr:colOff>
                    <xdr:row>80</xdr:row>
                    <xdr:rowOff>123825</xdr:rowOff>
                  </from>
                  <to>
                    <xdr:col>1</xdr:col>
                    <xdr:colOff>0</xdr:colOff>
                    <xdr:row>82</xdr:row>
                    <xdr:rowOff>38100</xdr:rowOff>
                  </to>
                </anchor>
              </controlPr>
            </control>
          </mc:Choice>
        </mc:AlternateContent>
        <mc:AlternateContent xmlns:mc="http://schemas.openxmlformats.org/markup-compatibility/2006">
          <mc:Choice Requires="x14">
            <control shapeId="80937" r:id="rId31" name="Check Box 41">
              <controlPr defaultSize="0" autoFill="0" autoLine="0" autoPict="0">
                <anchor moveWithCells="1" sizeWithCells="1">
                  <from>
                    <xdr:col>0</xdr:col>
                    <xdr:colOff>19050</xdr:colOff>
                    <xdr:row>81</xdr:row>
                    <xdr:rowOff>123825</xdr:rowOff>
                  </from>
                  <to>
                    <xdr:col>1</xdr:col>
                    <xdr:colOff>0</xdr:colOff>
                    <xdr:row>83</xdr:row>
                    <xdr:rowOff>38100</xdr:rowOff>
                  </to>
                </anchor>
              </controlPr>
            </control>
          </mc:Choice>
        </mc:AlternateContent>
        <mc:AlternateContent xmlns:mc="http://schemas.openxmlformats.org/markup-compatibility/2006">
          <mc:Choice Requires="x14">
            <control shapeId="80938" r:id="rId32" name="Check Box 42">
              <controlPr defaultSize="0" autoFill="0" autoLine="0" autoPict="0">
                <anchor moveWithCells="1" sizeWithCells="1">
                  <from>
                    <xdr:col>0</xdr:col>
                    <xdr:colOff>19050</xdr:colOff>
                    <xdr:row>82</xdr:row>
                    <xdr:rowOff>123825</xdr:rowOff>
                  </from>
                  <to>
                    <xdr:col>1</xdr:col>
                    <xdr:colOff>0</xdr:colOff>
                    <xdr:row>84</xdr:row>
                    <xdr:rowOff>38100</xdr:rowOff>
                  </to>
                </anchor>
              </controlPr>
            </control>
          </mc:Choice>
        </mc:AlternateContent>
        <mc:AlternateContent xmlns:mc="http://schemas.openxmlformats.org/markup-compatibility/2006">
          <mc:Choice Requires="x14">
            <control shapeId="80939" r:id="rId33" name="Check Box 43">
              <controlPr defaultSize="0" autoFill="0" autoLine="0" autoPict="0">
                <anchor moveWithCells="1" sizeWithCells="1">
                  <from>
                    <xdr:col>0</xdr:col>
                    <xdr:colOff>19050</xdr:colOff>
                    <xdr:row>83</xdr:row>
                    <xdr:rowOff>123825</xdr:rowOff>
                  </from>
                  <to>
                    <xdr:col>1</xdr:col>
                    <xdr:colOff>0</xdr:colOff>
                    <xdr:row>85</xdr:row>
                    <xdr:rowOff>38100</xdr:rowOff>
                  </to>
                </anchor>
              </controlPr>
            </control>
          </mc:Choice>
        </mc:AlternateContent>
        <mc:AlternateContent xmlns:mc="http://schemas.openxmlformats.org/markup-compatibility/2006">
          <mc:Choice Requires="x14">
            <control shapeId="80940" r:id="rId34" name="Check Box 44">
              <controlPr defaultSize="0" autoFill="0" autoLine="0" autoPict="0">
                <anchor moveWithCells="1" sizeWithCells="1">
                  <from>
                    <xdr:col>0</xdr:col>
                    <xdr:colOff>19050</xdr:colOff>
                    <xdr:row>84</xdr:row>
                    <xdr:rowOff>123825</xdr:rowOff>
                  </from>
                  <to>
                    <xdr:col>1</xdr:col>
                    <xdr:colOff>0</xdr:colOff>
                    <xdr:row>86</xdr:row>
                    <xdr:rowOff>38100</xdr:rowOff>
                  </to>
                </anchor>
              </controlPr>
            </control>
          </mc:Choice>
        </mc:AlternateContent>
        <mc:AlternateContent xmlns:mc="http://schemas.openxmlformats.org/markup-compatibility/2006">
          <mc:Choice Requires="x14">
            <control shapeId="80941" r:id="rId35" name="Check Box 45">
              <controlPr defaultSize="0" autoFill="0" autoLine="0" autoPict="0">
                <anchor moveWithCells="1" sizeWithCells="1">
                  <from>
                    <xdr:col>0</xdr:col>
                    <xdr:colOff>19050</xdr:colOff>
                    <xdr:row>85</xdr:row>
                    <xdr:rowOff>123825</xdr:rowOff>
                  </from>
                  <to>
                    <xdr:col>1</xdr:col>
                    <xdr:colOff>0</xdr:colOff>
                    <xdr:row>87</xdr:row>
                    <xdr:rowOff>38100</xdr:rowOff>
                  </to>
                </anchor>
              </controlPr>
            </control>
          </mc:Choice>
        </mc:AlternateContent>
        <mc:AlternateContent xmlns:mc="http://schemas.openxmlformats.org/markup-compatibility/2006">
          <mc:Choice Requires="x14">
            <control shapeId="80942" r:id="rId36" name="Check Box 46">
              <controlPr defaultSize="0" autoFill="0" autoLine="0" autoPict="0">
                <anchor moveWithCells="1" sizeWithCells="1">
                  <from>
                    <xdr:col>0</xdr:col>
                    <xdr:colOff>19050</xdr:colOff>
                    <xdr:row>86</xdr:row>
                    <xdr:rowOff>123825</xdr:rowOff>
                  </from>
                  <to>
                    <xdr:col>1</xdr:col>
                    <xdr:colOff>0</xdr:colOff>
                    <xdr:row>88</xdr:row>
                    <xdr:rowOff>38100</xdr:rowOff>
                  </to>
                </anchor>
              </controlPr>
            </control>
          </mc:Choice>
        </mc:AlternateContent>
        <mc:AlternateContent xmlns:mc="http://schemas.openxmlformats.org/markup-compatibility/2006">
          <mc:Choice Requires="x14">
            <control shapeId="80943" r:id="rId37" name="Check Box 47">
              <controlPr defaultSize="0" autoFill="0" autoLine="0" autoPict="0">
                <anchor moveWithCells="1" sizeWithCells="1">
                  <from>
                    <xdr:col>0</xdr:col>
                    <xdr:colOff>19050</xdr:colOff>
                    <xdr:row>87</xdr:row>
                    <xdr:rowOff>123825</xdr:rowOff>
                  </from>
                  <to>
                    <xdr:col>1</xdr:col>
                    <xdr:colOff>0</xdr:colOff>
                    <xdr:row>89</xdr:row>
                    <xdr:rowOff>38100</xdr:rowOff>
                  </to>
                </anchor>
              </controlPr>
            </control>
          </mc:Choice>
        </mc:AlternateContent>
        <mc:AlternateContent xmlns:mc="http://schemas.openxmlformats.org/markup-compatibility/2006">
          <mc:Choice Requires="x14">
            <control shapeId="80944" r:id="rId38" name="Check Box 48">
              <controlPr defaultSize="0" autoFill="0" autoLine="0" autoPict="0">
                <anchor moveWithCells="1" sizeWithCells="1">
                  <from>
                    <xdr:col>0</xdr:col>
                    <xdr:colOff>19050</xdr:colOff>
                    <xdr:row>88</xdr:row>
                    <xdr:rowOff>123825</xdr:rowOff>
                  </from>
                  <to>
                    <xdr:col>1</xdr:col>
                    <xdr:colOff>0</xdr:colOff>
                    <xdr:row>90</xdr:row>
                    <xdr:rowOff>38100</xdr:rowOff>
                  </to>
                </anchor>
              </controlPr>
            </control>
          </mc:Choice>
        </mc:AlternateContent>
        <mc:AlternateContent xmlns:mc="http://schemas.openxmlformats.org/markup-compatibility/2006">
          <mc:Choice Requires="x14">
            <control shapeId="80945" r:id="rId39" name="Check Box 49">
              <controlPr defaultSize="0" autoFill="0" autoLine="0" autoPict="0">
                <anchor moveWithCells="1" sizeWithCells="1">
                  <from>
                    <xdr:col>0</xdr:col>
                    <xdr:colOff>19050</xdr:colOff>
                    <xdr:row>89</xdr:row>
                    <xdr:rowOff>123825</xdr:rowOff>
                  </from>
                  <to>
                    <xdr:col>1</xdr:col>
                    <xdr:colOff>0</xdr:colOff>
                    <xdr:row>91</xdr:row>
                    <xdr:rowOff>38100</xdr:rowOff>
                  </to>
                </anchor>
              </controlPr>
            </control>
          </mc:Choice>
        </mc:AlternateContent>
        <mc:AlternateContent xmlns:mc="http://schemas.openxmlformats.org/markup-compatibility/2006">
          <mc:Choice Requires="x14">
            <control shapeId="80946" r:id="rId40" name="Check Box 50">
              <controlPr defaultSize="0" autoFill="0" autoLine="0" autoPict="0">
                <anchor moveWithCells="1" sizeWithCells="1">
                  <from>
                    <xdr:col>0</xdr:col>
                    <xdr:colOff>19050</xdr:colOff>
                    <xdr:row>90</xdr:row>
                    <xdr:rowOff>123825</xdr:rowOff>
                  </from>
                  <to>
                    <xdr:col>1</xdr:col>
                    <xdr:colOff>0</xdr:colOff>
                    <xdr:row>92</xdr:row>
                    <xdr:rowOff>38100</xdr:rowOff>
                  </to>
                </anchor>
              </controlPr>
            </control>
          </mc:Choice>
        </mc:AlternateContent>
        <mc:AlternateContent xmlns:mc="http://schemas.openxmlformats.org/markup-compatibility/2006">
          <mc:Choice Requires="x14">
            <control shapeId="80947" r:id="rId41" name="Check Box 51">
              <controlPr defaultSize="0" autoFill="0" autoLine="0" autoPict="0">
                <anchor moveWithCells="1" sizeWithCells="1">
                  <from>
                    <xdr:col>0</xdr:col>
                    <xdr:colOff>19050</xdr:colOff>
                    <xdr:row>91</xdr:row>
                    <xdr:rowOff>123825</xdr:rowOff>
                  </from>
                  <to>
                    <xdr:col>1</xdr:col>
                    <xdr:colOff>0</xdr:colOff>
                    <xdr:row>93</xdr:row>
                    <xdr:rowOff>38100</xdr:rowOff>
                  </to>
                </anchor>
              </controlPr>
            </control>
          </mc:Choice>
        </mc:AlternateContent>
        <mc:AlternateContent xmlns:mc="http://schemas.openxmlformats.org/markup-compatibility/2006">
          <mc:Choice Requires="x14">
            <control shapeId="80948" r:id="rId42" name="Check Box 52">
              <controlPr defaultSize="0" autoFill="0" autoLine="0" autoPict="0">
                <anchor moveWithCells="1" sizeWithCells="1">
                  <from>
                    <xdr:col>0</xdr:col>
                    <xdr:colOff>19050</xdr:colOff>
                    <xdr:row>92</xdr:row>
                    <xdr:rowOff>123825</xdr:rowOff>
                  </from>
                  <to>
                    <xdr:col>1</xdr:col>
                    <xdr:colOff>0</xdr:colOff>
                    <xdr:row>94</xdr:row>
                    <xdr:rowOff>38100</xdr:rowOff>
                  </to>
                </anchor>
              </controlPr>
            </control>
          </mc:Choice>
        </mc:AlternateContent>
        <mc:AlternateContent xmlns:mc="http://schemas.openxmlformats.org/markup-compatibility/2006">
          <mc:Choice Requires="x14">
            <control shapeId="80949" r:id="rId43" name="Check Box 53">
              <controlPr defaultSize="0" autoFill="0" autoLine="0" autoPict="0">
                <anchor moveWithCells="1" sizeWithCells="1">
                  <from>
                    <xdr:col>0</xdr:col>
                    <xdr:colOff>19050</xdr:colOff>
                    <xdr:row>93</xdr:row>
                    <xdr:rowOff>123825</xdr:rowOff>
                  </from>
                  <to>
                    <xdr:col>1</xdr:col>
                    <xdr:colOff>0</xdr:colOff>
                    <xdr:row>95</xdr:row>
                    <xdr:rowOff>38100</xdr:rowOff>
                  </to>
                </anchor>
              </controlPr>
            </control>
          </mc:Choice>
        </mc:AlternateContent>
        <mc:AlternateContent xmlns:mc="http://schemas.openxmlformats.org/markup-compatibility/2006">
          <mc:Choice Requires="x14">
            <control shapeId="80950" r:id="rId44" name="Check Box 54">
              <controlPr defaultSize="0" autoFill="0" autoLine="0" autoPict="0">
                <anchor moveWithCells="1" sizeWithCells="1">
                  <from>
                    <xdr:col>0</xdr:col>
                    <xdr:colOff>19050</xdr:colOff>
                    <xdr:row>94</xdr:row>
                    <xdr:rowOff>123825</xdr:rowOff>
                  </from>
                  <to>
                    <xdr:col>1</xdr:col>
                    <xdr:colOff>0</xdr:colOff>
                    <xdr:row>96</xdr:row>
                    <xdr:rowOff>38100</xdr:rowOff>
                  </to>
                </anchor>
              </controlPr>
            </control>
          </mc:Choice>
        </mc:AlternateContent>
        <mc:AlternateContent xmlns:mc="http://schemas.openxmlformats.org/markup-compatibility/2006">
          <mc:Choice Requires="x14">
            <control shapeId="80951" r:id="rId45" name="Check Box 55">
              <controlPr defaultSize="0" autoFill="0" autoLine="0" autoPict="0">
                <anchor moveWithCells="1" sizeWithCells="1">
                  <from>
                    <xdr:col>0</xdr:col>
                    <xdr:colOff>19050</xdr:colOff>
                    <xdr:row>95</xdr:row>
                    <xdr:rowOff>123825</xdr:rowOff>
                  </from>
                  <to>
                    <xdr:col>1</xdr:col>
                    <xdr:colOff>0</xdr:colOff>
                    <xdr:row>97</xdr:row>
                    <xdr:rowOff>38100</xdr:rowOff>
                  </to>
                </anchor>
              </controlPr>
            </control>
          </mc:Choice>
        </mc:AlternateContent>
        <mc:AlternateContent xmlns:mc="http://schemas.openxmlformats.org/markup-compatibility/2006">
          <mc:Choice Requires="x14">
            <control shapeId="80952" r:id="rId46" name="Check Box 56">
              <controlPr defaultSize="0" autoFill="0" autoLine="0" autoPict="0">
                <anchor moveWithCells="1" sizeWithCells="1">
                  <from>
                    <xdr:col>0</xdr:col>
                    <xdr:colOff>19050</xdr:colOff>
                    <xdr:row>96</xdr:row>
                    <xdr:rowOff>123825</xdr:rowOff>
                  </from>
                  <to>
                    <xdr:col>1</xdr:col>
                    <xdr:colOff>0</xdr:colOff>
                    <xdr:row>98</xdr:row>
                    <xdr:rowOff>38100</xdr:rowOff>
                  </to>
                </anchor>
              </controlPr>
            </control>
          </mc:Choice>
        </mc:AlternateContent>
        <mc:AlternateContent xmlns:mc="http://schemas.openxmlformats.org/markup-compatibility/2006">
          <mc:Choice Requires="x14">
            <control shapeId="80953" r:id="rId47" name="Check Box 57">
              <controlPr defaultSize="0" autoFill="0" autoLine="0" autoPict="0">
                <anchor moveWithCells="1" sizeWithCells="1">
                  <from>
                    <xdr:col>0</xdr:col>
                    <xdr:colOff>19050</xdr:colOff>
                    <xdr:row>97</xdr:row>
                    <xdr:rowOff>123825</xdr:rowOff>
                  </from>
                  <to>
                    <xdr:col>1</xdr:col>
                    <xdr:colOff>0</xdr:colOff>
                    <xdr:row>99</xdr:row>
                    <xdr:rowOff>38100</xdr:rowOff>
                  </to>
                </anchor>
              </controlPr>
            </control>
          </mc:Choice>
        </mc:AlternateContent>
        <mc:AlternateContent xmlns:mc="http://schemas.openxmlformats.org/markup-compatibility/2006">
          <mc:Choice Requires="x14">
            <control shapeId="80954" r:id="rId48" name="Check Box 58">
              <controlPr defaultSize="0" autoFill="0" autoLine="0" autoPict="0">
                <anchor moveWithCells="1" sizeWithCells="1">
                  <from>
                    <xdr:col>0</xdr:col>
                    <xdr:colOff>19050</xdr:colOff>
                    <xdr:row>99</xdr:row>
                    <xdr:rowOff>0</xdr:rowOff>
                  </from>
                  <to>
                    <xdr:col>1</xdr:col>
                    <xdr:colOff>66675</xdr:colOff>
                    <xdr:row>100</xdr:row>
                    <xdr:rowOff>0</xdr:rowOff>
                  </to>
                </anchor>
              </controlPr>
            </control>
          </mc:Choice>
        </mc:AlternateContent>
        <mc:AlternateContent xmlns:mc="http://schemas.openxmlformats.org/markup-compatibility/2006">
          <mc:Choice Requires="x14">
            <control shapeId="80956" r:id="rId49" name="Check Box 60">
              <controlPr defaultSize="0" autoFill="0" autoLine="0" autoPict="0">
                <anchor moveWithCells="1" sizeWithCells="1">
                  <from>
                    <xdr:col>0</xdr:col>
                    <xdr:colOff>19050</xdr:colOff>
                    <xdr:row>100</xdr:row>
                    <xdr:rowOff>123825</xdr:rowOff>
                  </from>
                  <to>
                    <xdr:col>1</xdr:col>
                    <xdr:colOff>0</xdr:colOff>
                    <xdr:row>102</xdr:row>
                    <xdr:rowOff>38100</xdr:rowOff>
                  </to>
                </anchor>
              </controlPr>
            </control>
          </mc:Choice>
        </mc:AlternateContent>
        <mc:AlternateContent xmlns:mc="http://schemas.openxmlformats.org/markup-compatibility/2006">
          <mc:Choice Requires="x14">
            <control shapeId="80957" r:id="rId50" name="Check Box 61">
              <controlPr defaultSize="0" autoFill="0" autoLine="0" autoPict="0">
                <anchor moveWithCells="1" sizeWithCells="1">
                  <from>
                    <xdr:col>0</xdr:col>
                    <xdr:colOff>19050</xdr:colOff>
                    <xdr:row>101</xdr:row>
                    <xdr:rowOff>123825</xdr:rowOff>
                  </from>
                  <to>
                    <xdr:col>1</xdr:col>
                    <xdr:colOff>0</xdr:colOff>
                    <xdr:row>103</xdr:row>
                    <xdr:rowOff>38100</xdr:rowOff>
                  </to>
                </anchor>
              </controlPr>
            </control>
          </mc:Choice>
        </mc:AlternateContent>
        <mc:AlternateContent xmlns:mc="http://schemas.openxmlformats.org/markup-compatibility/2006">
          <mc:Choice Requires="x14">
            <control shapeId="80958" r:id="rId51" name="Check Box 62">
              <controlPr defaultSize="0" autoFill="0" autoLine="0" autoPict="0">
                <anchor moveWithCells="1" sizeWithCells="1">
                  <from>
                    <xdr:col>0</xdr:col>
                    <xdr:colOff>19050</xdr:colOff>
                    <xdr:row>102</xdr:row>
                    <xdr:rowOff>123825</xdr:rowOff>
                  </from>
                  <to>
                    <xdr:col>1</xdr:col>
                    <xdr:colOff>0</xdr:colOff>
                    <xdr:row>104</xdr:row>
                    <xdr:rowOff>38100</xdr:rowOff>
                  </to>
                </anchor>
              </controlPr>
            </control>
          </mc:Choice>
        </mc:AlternateContent>
        <mc:AlternateContent xmlns:mc="http://schemas.openxmlformats.org/markup-compatibility/2006">
          <mc:Choice Requires="x14">
            <control shapeId="80959" r:id="rId52" name="Check Box 63">
              <controlPr defaultSize="0" autoFill="0" autoLine="0" autoPict="0">
                <anchor moveWithCells="1" sizeWithCells="1">
                  <from>
                    <xdr:col>0</xdr:col>
                    <xdr:colOff>19050</xdr:colOff>
                    <xdr:row>103</xdr:row>
                    <xdr:rowOff>123825</xdr:rowOff>
                  </from>
                  <to>
                    <xdr:col>1</xdr:col>
                    <xdr:colOff>0</xdr:colOff>
                    <xdr:row>105</xdr:row>
                    <xdr:rowOff>38100</xdr:rowOff>
                  </to>
                </anchor>
              </controlPr>
            </control>
          </mc:Choice>
        </mc:AlternateContent>
        <mc:AlternateContent xmlns:mc="http://schemas.openxmlformats.org/markup-compatibility/2006">
          <mc:Choice Requires="x14">
            <control shapeId="80960" r:id="rId53" name="Check Box 64">
              <controlPr defaultSize="0" autoFill="0" autoLine="0" autoPict="0">
                <anchor moveWithCells="1" sizeWithCells="1">
                  <from>
                    <xdr:col>0</xdr:col>
                    <xdr:colOff>19050</xdr:colOff>
                    <xdr:row>104</xdr:row>
                    <xdr:rowOff>123825</xdr:rowOff>
                  </from>
                  <to>
                    <xdr:col>1</xdr:col>
                    <xdr:colOff>0</xdr:colOff>
                    <xdr:row>106</xdr:row>
                    <xdr:rowOff>38100</xdr:rowOff>
                  </to>
                </anchor>
              </controlPr>
            </control>
          </mc:Choice>
        </mc:AlternateContent>
        <mc:AlternateContent xmlns:mc="http://schemas.openxmlformats.org/markup-compatibility/2006">
          <mc:Choice Requires="x14">
            <control shapeId="80961" r:id="rId54" name="Check Box 65">
              <controlPr defaultSize="0" autoFill="0" autoLine="0" autoPict="0">
                <anchor moveWithCells="1" sizeWithCells="1">
                  <from>
                    <xdr:col>0</xdr:col>
                    <xdr:colOff>19050</xdr:colOff>
                    <xdr:row>105</xdr:row>
                    <xdr:rowOff>123825</xdr:rowOff>
                  </from>
                  <to>
                    <xdr:col>1</xdr:col>
                    <xdr:colOff>0</xdr:colOff>
                    <xdr:row>107</xdr:row>
                    <xdr:rowOff>38100</xdr:rowOff>
                  </to>
                </anchor>
              </controlPr>
            </control>
          </mc:Choice>
        </mc:AlternateContent>
        <mc:AlternateContent xmlns:mc="http://schemas.openxmlformats.org/markup-compatibility/2006">
          <mc:Choice Requires="x14">
            <control shapeId="80962" r:id="rId55" name="Check Box 66">
              <controlPr defaultSize="0" autoFill="0" autoLine="0" autoPict="0">
                <anchor moveWithCells="1" sizeWithCells="1">
                  <from>
                    <xdr:col>0</xdr:col>
                    <xdr:colOff>19050</xdr:colOff>
                    <xdr:row>106</xdr:row>
                    <xdr:rowOff>123825</xdr:rowOff>
                  </from>
                  <to>
                    <xdr:col>1</xdr:col>
                    <xdr:colOff>0</xdr:colOff>
                    <xdr:row>108</xdr:row>
                    <xdr:rowOff>38100</xdr:rowOff>
                  </to>
                </anchor>
              </controlPr>
            </control>
          </mc:Choice>
        </mc:AlternateContent>
        <mc:AlternateContent xmlns:mc="http://schemas.openxmlformats.org/markup-compatibility/2006">
          <mc:Choice Requires="x14">
            <control shapeId="80963" r:id="rId56" name="Check Box 67">
              <controlPr defaultSize="0" autoFill="0" autoLine="0" autoPict="0">
                <anchor moveWithCells="1" sizeWithCells="1">
                  <from>
                    <xdr:col>0</xdr:col>
                    <xdr:colOff>19050</xdr:colOff>
                    <xdr:row>107</xdr:row>
                    <xdr:rowOff>123825</xdr:rowOff>
                  </from>
                  <to>
                    <xdr:col>1</xdr:col>
                    <xdr:colOff>0</xdr:colOff>
                    <xdr:row>109</xdr:row>
                    <xdr:rowOff>38100</xdr:rowOff>
                  </to>
                </anchor>
              </controlPr>
            </control>
          </mc:Choice>
        </mc:AlternateContent>
        <mc:AlternateContent xmlns:mc="http://schemas.openxmlformats.org/markup-compatibility/2006">
          <mc:Choice Requires="x14">
            <control shapeId="80964" r:id="rId57" name="Check Box 68">
              <controlPr defaultSize="0" autoFill="0" autoLine="0" autoPict="0">
                <anchor moveWithCells="1" sizeWithCells="1">
                  <from>
                    <xdr:col>0</xdr:col>
                    <xdr:colOff>19050</xdr:colOff>
                    <xdr:row>108</xdr:row>
                    <xdr:rowOff>123825</xdr:rowOff>
                  </from>
                  <to>
                    <xdr:col>1</xdr:col>
                    <xdr:colOff>0</xdr:colOff>
                    <xdr:row>110</xdr:row>
                    <xdr:rowOff>38100</xdr:rowOff>
                  </to>
                </anchor>
              </controlPr>
            </control>
          </mc:Choice>
        </mc:AlternateContent>
        <mc:AlternateContent xmlns:mc="http://schemas.openxmlformats.org/markup-compatibility/2006">
          <mc:Choice Requires="x14">
            <control shapeId="80965" r:id="rId58" name="Check Box 69">
              <controlPr defaultSize="0" autoFill="0" autoLine="0" autoPict="0">
                <anchor moveWithCells="1" sizeWithCells="1">
                  <from>
                    <xdr:col>0</xdr:col>
                    <xdr:colOff>19050</xdr:colOff>
                    <xdr:row>109</xdr:row>
                    <xdr:rowOff>123825</xdr:rowOff>
                  </from>
                  <to>
                    <xdr:col>1</xdr:col>
                    <xdr:colOff>0</xdr:colOff>
                    <xdr:row>111</xdr:row>
                    <xdr:rowOff>38100</xdr:rowOff>
                  </to>
                </anchor>
              </controlPr>
            </control>
          </mc:Choice>
        </mc:AlternateContent>
        <mc:AlternateContent xmlns:mc="http://schemas.openxmlformats.org/markup-compatibility/2006">
          <mc:Choice Requires="x14">
            <control shapeId="80966" r:id="rId59" name="Check Box 70">
              <controlPr defaultSize="0" autoFill="0" autoLine="0" autoPict="0">
                <anchor moveWithCells="1" sizeWithCells="1">
                  <from>
                    <xdr:col>0</xdr:col>
                    <xdr:colOff>19050</xdr:colOff>
                    <xdr:row>110</xdr:row>
                    <xdr:rowOff>123825</xdr:rowOff>
                  </from>
                  <to>
                    <xdr:col>1</xdr:col>
                    <xdr:colOff>0</xdr:colOff>
                    <xdr:row>112</xdr:row>
                    <xdr:rowOff>38100</xdr:rowOff>
                  </to>
                </anchor>
              </controlPr>
            </control>
          </mc:Choice>
        </mc:AlternateContent>
        <mc:AlternateContent xmlns:mc="http://schemas.openxmlformats.org/markup-compatibility/2006">
          <mc:Choice Requires="x14">
            <control shapeId="80967" r:id="rId60" name="Check Box 71">
              <controlPr defaultSize="0" autoFill="0" autoLine="0" autoPict="0">
                <anchor moveWithCells="1" sizeWithCells="1">
                  <from>
                    <xdr:col>0</xdr:col>
                    <xdr:colOff>19050</xdr:colOff>
                    <xdr:row>111</xdr:row>
                    <xdr:rowOff>123825</xdr:rowOff>
                  </from>
                  <to>
                    <xdr:col>1</xdr:col>
                    <xdr:colOff>0</xdr:colOff>
                    <xdr:row>113</xdr:row>
                    <xdr:rowOff>38100</xdr:rowOff>
                  </to>
                </anchor>
              </controlPr>
            </control>
          </mc:Choice>
        </mc:AlternateContent>
        <mc:AlternateContent xmlns:mc="http://schemas.openxmlformats.org/markup-compatibility/2006">
          <mc:Choice Requires="x14">
            <control shapeId="80968" r:id="rId61" name="Check Box 72">
              <controlPr defaultSize="0" autoFill="0" autoLine="0" autoPict="0">
                <anchor moveWithCells="1" sizeWithCells="1">
                  <from>
                    <xdr:col>0</xdr:col>
                    <xdr:colOff>19050</xdr:colOff>
                    <xdr:row>112</xdr:row>
                    <xdr:rowOff>123825</xdr:rowOff>
                  </from>
                  <to>
                    <xdr:col>1</xdr:col>
                    <xdr:colOff>0</xdr:colOff>
                    <xdr:row>114</xdr:row>
                    <xdr:rowOff>38100</xdr:rowOff>
                  </to>
                </anchor>
              </controlPr>
            </control>
          </mc:Choice>
        </mc:AlternateContent>
        <mc:AlternateContent xmlns:mc="http://schemas.openxmlformats.org/markup-compatibility/2006">
          <mc:Choice Requires="x14">
            <control shapeId="80969" r:id="rId62" name="Check Box 73">
              <controlPr defaultSize="0" autoFill="0" autoLine="0" autoPict="0">
                <anchor moveWithCells="1" sizeWithCells="1">
                  <from>
                    <xdr:col>0</xdr:col>
                    <xdr:colOff>19050</xdr:colOff>
                    <xdr:row>113</xdr:row>
                    <xdr:rowOff>123825</xdr:rowOff>
                  </from>
                  <to>
                    <xdr:col>1</xdr:col>
                    <xdr:colOff>0</xdr:colOff>
                    <xdr:row>115</xdr:row>
                    <xdr:rowOff>38100</xdr:rowOff>
                  </to>
                </anchor>
              </controlPr>
            </control>
          </mc:Choice>
        </mc:AlternateContent>
        <mc:AlternateContent xmlns:mc="http://schemas.openxmlformats.org/markup-compatibility/2006">
          <mc:Choice Requires="x14">
            <control shapeId="80970" r:id="rId63" name="Check Box 74">
              <controlPr defaultSize="0" autoFill="0" autoLine="0" autoPict="0">
                <anchor moveWithCells="1" sizeWithCells="1">
                  <from>
                    <xdr:col>0</xdr:col>
                    <xdr:colOff>19050</xdr:colOff>
                    <xdr:row>114</xdr:row>
                    <xdr:rowOff>123825</xdr:rowOff>
                  </from>
                  <to>
                    <xdr:col>1</xdr:col>
                    <xdr:colOff>0</xdr:colOff>
                    <xdr:row>116</xdr:row>
                    <xdr:rowOff>38100</xdr:rowOff>
                  </to>
                </anchor>
              </controlPr>
            </control>
          </mc:Choice>
        </mc:AlternateContent>
        <mc:AlternateContent xmlns:mc="http://schemas.openxmlformats.org/markup-compatibility/2006">
          <mc:Choice Requires="x14">
            <control shapeId="80971" r:id="rId64" name="Check Box 75">
              <controlPr defaultSize="0" autoFill="0" autoLine="0" autoPict="0">
                <anchor moveWithCells="1" sizeWithCells="1">
                  <from>
                    <xdr:col>0</xdr:col>
                    <xdr:colOff>19050</xdr:colOff>
                    <xdr:row>115</xdr:row>
                    <xdr:rowOff>123825</xdr:rowOff>
                  </from>
                  <to>
                    <xdr:col>1</xdr:col>
                    <xdr:colOff>0</xdr:colOff>
                    <xdr:row>117</xdr:row>
                    <xdr:rowOff>38100</xdr:rowOff>
                  </to>
                </anchor>
              </controlPr>
            </control>
          </mc:Choice>
        </mc:AlternateContent>
        <mc:AlternateContent xmlns:mc="http://schemas.openxmlformats.org/markup-compatibility/2006">
          <mc:Choice Requires="x14">
            <control shapeId="80972" r:id="rId65" name="Check Box 76">
              <controlPr defaultSize="0" autoFill="0" autoLine="0" autoPict="0">
                <anchor moveWithCells="1" sizeWithCells="1">
                  <from>
                    <xdr:col>0</xdr:col>
                    <xdr:colOff>19050</xdr:colOff>
                    <xdr:row>116</xdr:row>
                    <xdr:rowOff>123825</xdr:rowOff>
                  </from>
                  <to>
                    <xdr:col>1</xdr:col>
                    <xdr:colOff>0</xdr:colOff>
                    <xdr:row>118</xdr:row>
                    <xdr:rowOff>38100</xdr:rowOff>
                  </to>
                </anchor>
              </controlPr>
            </control>
          </mc:Choice>
        </mc:AlternateContent>
        <mc:AlternateContent xmlns:mc="http://schemas.openxmlformats.org/markup-compatibility/2006">
          <mc:Choice Requires="x14">
            <control shapeId="80973" r:id="rId66" name="Check Box 77">
              <controlPr defaultSize="0" autoFill="0" autoLine="0" autoPict="0">
                <anchor moveWithCells="1" sizeWithCells="1">
                  <from>
                    <xdr:col>0</xdr:col>
                    <xdr:colOff>19050</xdr:colOff>
                    <xdr:row>117</xdr:row>
                    <xdr:rowOff>123825</xdr:rowOff>
                  </from>
                  <to>
                    <xdr:col>1</xdr:col>
                    <xdr:colOff>0</xdr:colOff>
                    <xdr:row>119</xdr:row>
                    <xdr:rowOff>38100</xdr:rowOff>
                  </to>
                </anchor>
              </controlPr>
            </control>
          </mc:Choice>
        </mc:AlternateContent>
        <mc:AlternateContent xmlns:mc="http://schemas.openxmlformats.org/markup-compatibility/2006">
          <mc:Choice Requires="x14">
            <control shapeId="80974" r:id="rId67" name="Check Box 78">
              <controlPr defaultSize="0" autoFill="0" autoLine="0" autoPict="0">
                <anchor moveWithCells="1" sizeWithCells="1">
                  <from>
                    <xdr:col>0</xdr:col>
                    <xdr:colOff>19050</xdr:colOff>
                    <xdr:row>118</xdr:row>
                    <xdr:rowOff>123825</xdr:rowOff>
                  </from>
                  <to>
                    <xdr:col>1</xdr:col>
                    <xdr:colOff>0</xdr:colOff>
                    <xdr:row>120</xdr:row>
                    <xdr:rowOff>38100</xdr:rowOff>
                  </to>
                </anchor>
              </controlPr>
            </control>
          </mc:Choice>
        </mc:AlternateContent>
        <mc:AlternateContent xmlns:mc="http://schemas.openxmlformats.org/markup-compatibility/2006">
          <mc:Choice Requires="x14">
            <control shapeId="80975" r:id="rId68" name="Check Box 79">
              <controlPr defaultSize="0" autoFill="0" autoLine="0" autoPict="0">
                <anchor moveWithCells="1" sizeWithCells="1">
                  <from>
                    <xdr:col>0</xdr:col>
                    <xdr:colOff>19050</xdr:colOff>
                    <xdr:row>119</xdr:row>
                    <xdr:rowOff>123825</xdr:rowOff>
                  </from>
                  <to>
                    <xdr:col>1</xdr:col>
                    <xdr:colOff>0</xdr:colOff>
                    <xdr:row>121</xdr:row>
                    <xdr:rowOff>38100</xdr:rowOff>
                  </to>
                </anchor>
              </controlPr>
            </control>
          </mc:Choice>
        </mc:AlternateContent>
        <mc:AlternateContent xmlns:mc="http://schemas.openxmlformats.org/markup-compatibility/2006">
          <mc:Choice Requires="x14">
            <control shapeId="80976" r:id="rId69" name="Check Box 80">
              <controlPr defaultSize="0" autoFill="0" autoLine="0" autoPict="0">
                <anchor moveWithCells="1" sizeWithCells="1">
                  <from>
                    <xdr:col>0</xdr:col>
                    <xdr:colOff>19050</xdr:colOff>
                    <xdr:row>120</xdr:row>
                    <xdr:rowOff>123825</xdr:rowOff>
                  </from>
                  <to>
                    <xdr:col>1</xdr:col>
                    <xdr:colOff>0</xdr:colOff>
                    <xdr:row>122</xdr:row>
                    <xdr:rowOff>38100</xdr:rowOff>
                  </to>
                </anchor>
              </controlPr>
            </control>
          </mc:Choice>
        </mc:AlternateContent>
        <mc:AlternateContent xmlns:mc="http://schemas.openxmlformats.org/markup-compatibility/2006">
          <mc:Choice Requires="x14">
            <control shapeId="80977" r:id="rId70" name="Check Box 81">
              <controlPr defaultSize="0" autoFill="0" autoLine="0" autoPict="0">
                <anchor moveWithCells="1" sizeWithCells="1">
                  <from>
                    <xdr:col>0</xdr:col>
                    <xdr:colOff>19050</xdr:colOff>
                    <xdr:row>121</xdr:row>
                    <xdr:rowOff>123825</xdr:rowOff>
                  </from>
                  <to>
                    <xdr:col>1</xdr:col>
                    <xdr:colOff>0</xdr:colOff>
                    <xdr:row>123</xdr:row>
                    <xdr:rowOff>38100</xdr:rowOff>
                  </to>
                </anchor>
              </controlPr>
            </control>
          </mc:Choice>
        </mc:AlternateContent>
        <mc:AlternateContent xmlns:mc="http://schemas.openxmlformats.org/markup-compatibility/2006">
          <mc:Choice Requires="x14">
            <control shapeId="80978" r:id="rId71" name="Check Box 82">
              <controlPr defaultSize="0" autoFill="0" autoLine="0" autoPict="0">
                <anchor moveWithCells="1" sizeWithCells="1">
                  <from>
                    <xdr:col>0</xdr:col>
                    <xdr:colOff>19050</xdr:colOff>
                    <xdr:row>122</xdr:row>
                    <xdr:rowOff>123825</xdr:rowOff>
                  </from>
                  <to>
                    <xdr:col>1</xdr:col>
                    <xdr:colOff>0</xdr:colOff>
                    <xdr:row>124</xdr:row>
                    <xdr:rowOff>38100</xdr:rowOff>
                  </to>
                </anchor>
              </controlPr>
            </control>
          </mc:Choice>
        </mc:AlternateContent>
        <mc:AlternateContent xmlns:mc="http://schemas.openxmlformats.org/markup-compatibility/2006">
          <mc:Choice Requires="x14">
            <control shapeId="80979" r:id="rId72" name="Check Box 83">
              <controlPr defaultSize="0" autoFill="0" autoLine="0" autoPict="0">
                <anchor moveWithCells="1" sizeWithCells="1">
                  <from>
                    <xdr:col>0</xdr:col>
                    <xdr:colOff>19050</xdr:colOff>
                    <xdr:row>123</xdr:row>
                    <xdr:rowOff>123825</xdr:rowOff>
                  </from>
                  <to>
                    <xdr:col>1</xdr:col>
                    <xdr:colOff>0</xdr:colOff>
                    <xdr:row>125</xdr:row>
                    <xdr:rowOff>38100</xdr:rowOff>
                  </to>
                </anchor>
              </controlPr>
            </control>
          </mc:Choice>
        </mc:AlternateContent>
        <mc:AlternateContent xmlns:mc="http://schemas.openxmlformats.org/markup-compatibility/2006">
          <mc:Choice Requires="x14">
            <control shapeId="80980" r:id="rId73" name="Check Box 84">
              <controlPr defaultSize="0" autoFill="0" autoLine="0" autoPict="0">
                <anchor moveWithCells="1" sizeWithCells="1">
                  <from>
                    <xdr:col>0</xdr:col>
                    <xdr:colOff>19050</xdr:colOff>
                    <xdr:row>124</xdr:row>
                    <xdr:rowOff>123825</xdr:rowOff>
                  </from>
                  <to>
                    <xdr:col>1</xdr:col>
                    <xdr:colOff>0</xdr:colOff>
                    <xdr:row>126</xdr:row>
                    <xdr:rowOff>38100</xdr:rowOff>
                  </to>
                </anchor>
              </controlPr>
            </control>
          </mc:Choice>
        </mc:AlternateContent>
        <mc:AlternateContent xmlns:mc="http://schemas.openxmlformats.org/markup-compatibility/2006">
          <mc:Choice Requires="x14">
            <control shapeId="80981" r:id="rId74" name="Check Box 85">
              <controlPr defaultSize="0" autoFill="0" autoLine="0" autoPict="0">
                <anchor moveWithCells="1" sizeWithCells="1">
                  <from>
                    <xdr:col>0</xdr:col>
                    <xdr:colOff>19050</xdr:colOff>
                    <xdr:row>125</xdr:row>
                    <xdr:rowOff>123825</xdr:rowOff>
                  </from>
                  <to>
                    <xdr:col>1</xdr:col>
                    <xdr:colOff>0</xdr:colOff>
                    <xdr:row>127</xdr:row>
                    <xdr:rowOff>38100</xdr:rowOff>
                  </to>
                </anchor>
              </controlPr>
            </control>
          </mc:Choice>
        </mc:AlternateContent>
        <mc:AlternateContent xmlns:mc="http://schemas.openxmlformats.org/markup-compatibility/2006">
          <mc:Choice Requires="x14">
            <control shapeId="80982" r:id="rId75" name="Check Box 86">
              <controlPr defaultSize="0" autoFill="0" autoLine="0" autoPict="0">
                <anchor moveWithCells="1" sizeWithCells="1">
                  <from>
                    <xdr:col>0</xdr:col>
                    <xdr:colOff>19050</xdr:colOff>
                    <xdr:row>126</xdr:row>
                    <xdr:rowOff>123825</xdr:rowOff>
                  </from>
                  <to>
                    <xdr:col>1</xdr:col>
                    <xdr:colOff>0</xdr:colOff>
                    <xdr:row>128</xdr:row>
                    <xdr:rowOff>38100</xdr:rowOff>
                  </to>
                </anchor>
              </controlPr>
            </control>
          </mc:Choice>
        </mc:AlternateContent>
        <mc:AlternateContent xmlns:mc="http://schemas.openxmlformats.org/markup-compatibility/2006">
          <mc:Choice Requires="x14">
            <control shapeId="80983" r:id="rId76" name="Check Box 87">
              <controlPr defaultSize="0" autoFill="0" autoLine="0" autoPict="0">
                <anchor moveWithCells="1" sizeWithCells="1">
                  <from>
                    <xdr:col>0</xdr:col>
                    <xdr:colOff>19050</xdr:colOff>
                    <xdr:row>127</xdr:row>
                    <xdr:rowOff>123825</xdr:rowOff>
                  </from>
                  <to>
                    <xdr:col>1</xdr:col>
                    <xdr:colOff>0</xdr:colOff>
                    <xdr:row>129</xdr:row>
                    <xdr:rowOff>38100</xdr:rowOff>
                  </to>
                </anchor>
              </controlPr>
            </control>
          </mc:Choice>
        </mc:AlternateContent>
        <mc:AlternateContent xmlns:mc="http://schemas.openxmlformats.org/markup-compatibility/2006">
          <mc:Choice Requires="x14">
            <control shapeId="80984" r:id="rId77" name="Check Box 88">
              <controlPr defaultSize="0" autoFill="0" autoLine="0" autoPict="0">
                <anchor moveWithCells="1" sizeWithCells="1">
                  <from>
                    <xdr:col>0</xdr:col>
                    <xdr:colOff>19050</xdr:colOff>
                    <xdr:row>128</xdr:row>
                    <xdr:rowOff>123825</xdr:rowOff>
                  </from>
                  <to>
                    <xdr:col>1</xdr:col>
                    <xdr:colOff>0</xdr:colOff>
                    <xdr:row>130</xdr:row>
                    <xdr:rowOff>38100</xdr:rowOff>
                  </to>
                </anchor>
              </controlPr>
            </control>
          </mc:Choice>
        </mc:AlternateContent>
        <mc:AlternateContent xmlns:mc="http://schemas.openxmlformats.org/markup-compatibility/2006">
          <mc:Choice Requires="x14">
            <control shapeId="80985" r:id="rId78" name="Check Box 89">
              <controlPr defaultSize="0" autoFill="0" autoLine="0" autoPict="0">
                <anchor moveWithCells="1" sizeWithCells="1">
                  <from>
                    <xdr:col>0</xdr:col>
                    <xdr:colOff>19050</xdr:colOff>
                    <xdr:row>129</xdr:row>
                    <xdr:rowOff>123825</xdr:rowOff>
                  </from>
                  <to>
                    <xdr:col>1</xdr:col>
                    <xdr:colOff>0</xdr:colOff>
                    <xdr:row>131</xdr:row>
                    <xdr:rowOff>38100</xdr:rowOff>
                  </to>
                </anchor>
              </controlPr>
            </control>
          </mc:Choice>
        </mc:AlternateContent>
        <mc:AlternateContent xmlns:mc="http://schemas.openxmlformats.org/markup-compatibility/2006">
          <mc:Choice Requires="x14">
            <control shapeId="80986" r:id="rId79" name="Check Box 90">
              <controlPr defaultSize="0" autoFill="0" autoLine="0" autoPict="0">
                <anchor moveWithCells="1" sizeWithCells="1">
                  <from>
                    <xdr:col>0</xdr:col>
                    <xdr:colOff>19050</xdr:colOff>
                    <xdr:row>130</xdr:row>
                    <xdr:rowOff>123825</xdr:rowOff>
                  </from>
                  <to>
                    <xdr:col>1</xdr:col>
                    <xdr:colOff>0</xdr:colOff>
                    <xdr:row>132</xdr:row>
                    <xdr:rowOff>38100</xdr:rowOff>
                  </to>
                </anchor>
              </controlPr>
            </control>
          </mc:Choice>
        </mc:AlternateContent>
        <mc:AlternateContent xmlns:mc="http://schemas.openxmlformats.org/markup-compatibility/2006">
          <mc:Choice Requires="x14">
            <control shapeId="80987" r:id="rId80" name="Check Box 91">
              <controlPr defaultSize="0" autoFill="0" autoLine="0" autoPict="0">
                <anchor moveWithCells="1" sizeWithCells="1">
                  <from>
                    <xdr:col>0</xdr:col>
                    <xdr:colOff>19050</xdr:colOff>
                    <xdr:row>131</xdr:row>
                    <xdr:rowOff>123825</xdr:rowOff>
                  </from>
                  <to>
                    <xdr:col>1</xdr:col>
                    <xdr:colOff>0</xdr:colOff>
                    <xdr:row>133</xdr:row>
                    <xdr:rowOff>38100</xdr:rowOff>
                  </to>
                </anchor>
              </controlPr>
            </control>
          </mc:Choice>
        </mc:AlternateContent>
        <mc:AlternateContent xmlns:mc="http://schemas.openxmlformats.org/markup-compatibility/2006">
          <mc:Choice Requires="x14">
            <control shapeId="80988" r:id="rId81" name="Check Box 92">
              <controlPr defaultSize="0" autoFill="0" autoLine="0" autoPict="0">
                <anchor moveWithCells="1" sizeWithCells="1">
                  <from>
                    <xdr:col>0</xdr:col>
                    <xdr:colOff>19050</xdr:colOff>
                    <xdr:row>132</xdr:row>
                    <xdr:rowOff>123825</xdr:rowOff>
                  </from>
                  <to>
                    <xdr:col>1</xdr:col>
                    <xdr:colOff>0</xdr:colOff>
                    <xdr:row>134</xdr:row>
                    <xdr:rowOff>38100</xdr:rowOff>
                  </to>
                </anchor>
              </controlPr>
            </control>
          </mc:Choice>
        </mc:AlternateContent>
        <mc:AlternateContent xmlns:mc="http://schemas.openxmlformats.org/markup-compatibility/2006">
          <mc:Choice Requires="x14">
            <control shapeId="80989" r:id="rId82" name="Check Box 93">
              <controlPr defaultSize="0" autoFill="0" autoLine="0" autoPict="0">
                <anchor moveWithCells="1" sizeWithCells="1">
                  <from>
                    <xdr:col>0</xdr:col>
                    <xdr:colOff>19050</xdr:colOff>
                    <xdr:row>133</xdr:row>
                    <xdr:rowOff>123825</xdr:rowOff>
                  </from>
                  <to>
                    <xdr:col>1</xdr:col>
                    <xdr:colOff>0</xdr:colOff>
                    <xdr:row>135</xdr:row>
                    <xdr:rowOff>38100</xdr:rowOff>
                  </to>
                </anchor>
              </controlPr>
            </control>
          </mc:Choice>
        </mc:AlternateContent>
        <mc:AlternateContent xmlns:mc="http://schemas.openxmlformats.org/markup-compatibility/2006">
          <mc:Choice Requires="x14">
            <control shapeId="80990" r:id="rId83" name="Check Box 94">
              <controlPr defaultSize="0" autoFill="0" autoLine="0" autoPict="0">
                <anchor moveWithCells="1" sizeWithCells="1">
                  <from>
                    <xdr:col>0</xdr:col>
                    <xdr:colOff>19050</xdr:colOff>
                    <xdr:row>134</xdr:row>
                    <xdr:rowOff>123825</xdr:rowOff>
                  </from>
                  <to>
                    <xdr:col>1</xdr:col>
                    <xdr:colOff>0</xdr:colOff>
                    <xdr:row>136</xdr:row>
                    <xdr:rowOff>38100</xdr:rowOff>
                  </to>
                </anchor>
              </controlPr>
            </control>
          </mc:Choice>
        </mc:AlternateContent>
        <mc:AlternateContent xmlns:mc="http://schemas.openxmlformats.org/markup-compatibility/2006">
          <mc:Choice Requires="x14">
            <control shapeId="80991" r:id="rId84" name="Check Box 95">
              <controlPr defaultSize="0" autoFill="0" autoLine="0" autoPict="0">
                <anchor moveWithCells="1" sizeWithCells="1">
                  <from>
                    <xdr:col>0</xdr:col>
                    <xdr:colOff>19050</xdr:colOff>
                    <xdr:row>135</xdr:row>
                    <xdr:rowOff>123825</xdr:rowOff>
                  </from>
                  <to>
                    <xdr:col>1</xdr:col>
                    <xdr:colOff>0</xdr:colOff>
                    <xdr:row>137</xdr:row>
                    <xdr:rowOff>38100</xdr:rowOff>
                  </to>
                </anchor>
              </controlPr>
            </control>
          </mc:Choice>
        </mc:AlternateContent>
        <mc:AlternateContent xmlns:mc="http://schemas.openxmlformats.org/markup-compatibility/2006">
          <mc:Choice Requires="x14">
            <control shapeId="80992" r:id="rId85" name="Check Box 96">
              <controlPr defaultSize="0" autoFill="0" autoLine="0" autoPict="0">
                <anchor moveWithCells="1" sizeWithCells="1">
                  <from>
                    <xdr:col>0</xdr:col>
                    <xdr:colOff>19050</xdr:colOff>
                    <xdr:row>136</xdr:row>
                    <xdr:rowOff>123825</xdr:rowOff>
                  </from>
                  <to>
                    <xdr:col>1</xdr:col>
                    <xdr:colOff>0</xdr:colOff>
                    <xdr:row>138</xdr:row>
                    <xdr:rowOff>38100</xdr:rowOff>
                  </to>
                </anchor>
              </controlPr>
            </control>
          </mc:Choice>
        </mc:AlternateContent>
        <mc:AlternateContent xmlns:mc="http://schemas.openxmlformats.org/markup-compatibility/2006">
          <mc:Choice Requires="x14">
            <control shapeId="80993" r:id="rId86" name="Check Box 97">
              <controlPr defaultSize="0" autoFill="0" autoLine="0" autoPict="0">
                <anchor moveWithCells="1" sizeWithCells="1">
                  <from>
                    <xdr:col>0</xdr:col>
                    <xdr:colOff>19050</xdr:colOff>
                    <xdr:row>137</xdr:row>
                    <xdr:rowOff>123825</xdr:rowOff>
                  </from>
                  <to>
                    <xdr:col>1</xdr:col>
                    <xdr:colOff>0</xdr:colOff>
                    <xdr:row>139</xdr:row>
                    <xdr:rowOff>38100</xdr:rowOff>
                  </to>
                </anchor>
              </controlPr>
            </control>
          </mc:Choice>
        </mc:AlternateContent>
        <mc:AlternateContent xmlns:mc="http://schemas.openxmlformats.org/markup-compatibility/2006">
          <mc:Choice Requires="x14">
            <control shapeId="80994" r:id="rId87" name="Check Box 98">
              <controlPr defaultSize="0" autoFill="0" autoLine="0" autoPict="0">
                <anchor moveWithCells="1" sizeWithCells="1">
                  <from>
                    <xdr:col>0</xdr:col>
                    <xdr:colOff>19050</xdr:colOff>
                    <xdr:row>138</xdr:row>
                    <xdr:rowOff>123825</xdr:rowOff>
                  </from>
                  <to>
                    <xdr:col>1</xdr:col>
                    <xdr:colOff>0</xdr:colOff>
                    <xdr:row>140</xdr:row>
                    <xdr:rowOff>38100</xdr:rowOff>
                  </to>
                </anchor>
              </controlPr>
            </control>
          </mc:Choice>
        </mc:AlternateContent>
        <mc:AlternateContent xmlns:mc="http://schemas.openxmlformats.org/markup-compatibility/2006">
          <mc:Choice Requires="x14">
            <control shapeId="80995" r:id="rId88" name="Check Box 99">
              <controlPr defaultSize="0" autoFill="0" autoLine="0" autoPict="0">
                <anchor moveWithCells="1" sizeWithCells="1">
                  <from>
                    <xdr:col>0</xdr:col>
                    <xdr:colOff>19050</xdr:colOff>
                    <xdr:row>139</xdr:row>
                    <xdr:rowOff>123825</xdr:rowOff>
                  </from>
                  <to>
                    <xdr:col>1</xdr:col>
                    <xdr:colOff>0</xdr:colOff>
                    <xdr:row>141</xdr:row>
                    <xdr:rowOff>38100</xdr:rowOff>
                  </to>
                </anchor>
              </controlPr>
            </control>
          </mc:Choice>
        </mc:AlternateContent>
        <mc:AlternateContent xmlns:mc="http://schemas.openxmlformats.org/markup-compatibility/2006">
          <mc:Choice Requires="x14">
            <control shapeId="80996" r:id="rId89" name="Check Box 100">
              <controlPr defaultSize="0" autoFill="0" autoLine="0" autoPict="0">
                <anchor moveWithCells="1" sizeWithCells="1">
                  <from>
                    <xdr:col>0</xdr:col>
                    <xdr:colOff>19050</xdr:colOff>
                    <xdr:row>140</xdr:row>
                    <xdr:rowOff>123825</xdr:rowOff>
                  </from>
                  <to>
                    <xdr:col>1</xdr:col>
                    <xdr:colOff>0</xdr:colOff>
                    <xdr:row>142</xdr:row>
                    <xdr:rowOff>38100</xdr:rowOff>
                  </to>
                </anchor>
              </controlPr>
            </control>
          </mc:Choice>
        </mc:AlternateContent>
        <mc:AlternateContent xmlns:mc="http://schemas.openxmlformats.org/markup-compatibility/2006">
          <mc:Choice Requires="x14">
            <control shapeId="80997" r:id="rId90" name="Check Box 101">
              <controlPr defaultSize="0" autoFill="0" autoLine="0" autoPict="0">
                <anchor moveWithCells="1" sizeWithCells="1">
                  <from>
                    <xdr:col>0</xdr:col>
                    <xdr:colOff>19050</xdr:colOff>
                    <xdr:row>141</xdr:row>
                    <xdr:rowOff>123825</xdr:rowOff>
                  </from>
                  <to>
                    <xdr:col>1</xdr:col>
                    <xdr:colOff>0</xdr:colOff>
                    <xdr:row>143</xdr:row>
                    <xdr:rowOff>38100</xdr:rowOff>
                  </to>
                </anchor>
              </controlPr>
            </control>
          </mc:Choice>
        </mc:AlternateContent>
        <mc:AlternateContent xmlns:mc="http://schemas.openxmlformats.org/markup-compatibility/2006">
          <mc:Choice Requires="x14">
            <control shapeId="80998" r:id="rId91" name="Check Box 102">
              <controlPr defaultSize="0" autoFill="0" autoLine="0" autoPict="0">
                <anchor moveWithCells="1" sizeWithCells="1">
                  <from>
                    <xdr:col>0</xdr:col>
                    <xdr:colOff>19050</xdr:colOff>
                    <xdr:row>142</xdr:row>
                    <xdr:rowOff>123825</xdr:rowOff>
                  </from>
                  <to>
                    <xdr:col>1</xdr:col>
                    <xdr:colOff>0</xdr:colOff>
                    <xdr:row>144</xdr:row>
                    <xdr:rowOff>38100</xdr:rowOff>
                  </to>
                </anchor>
              </controlPr>
            </control>
          </mc:Choice>
        </mc:AlternateContent>
        <mc:AlternateContent xmlns:mc="http://schemas.openxmlformats.org/markup-compatibility/2006">
          <mc:Choice Requires="x14">
            <control shapeId="80999" r:id="rId92" name="Check Box 103">
              <controlPr defaultSize="0" autoFill="0" autoLine="0" autoPict="0">
                <anchor moveWithCells="1" sizeWithCells="1">
                  <from>
                    <xdr:col>0</xdr:col>
                    <xdr:colOff>19050</xdr:colOff>
                    <xdr:row>143</xdr:row>
                    <xdr:rowOff>123825</xdr:rowOff>
                  </from>
                  <to>
                    <xdr:col>1</xdr:col>
                    <xdr:colOff>0</xdr:colOff>
                    <xdr:row>145</xdr:row>
                    <xdr:rowOff>38100</xdr:rowOff>
                  </to>
                </anchor>
              </controlPr>
            </control>
          </mc:Choice>
        </mc:AlternateContent>
        <mc:AlternateContent xmlns:mc="http://schemas.openxmlformats.org/markup-compatibility/2006">
          <mc:Choice Requires="x14">
            <control shapeId="81000" r:id="rId93" name="Check Box 104">
              <controlPr defaultSize="0" autoFill="0" autoLine="0" autoPict="0">
                <anchor moveWithCells="1" sizeWithCells="1">
                  <from>
                    <xdr:col>0</xdr:col>
                    <xdr:colOff>19050</xdr:colOff>
                    <xdr:row>144</xdr:row>
                    <xdr:rowOff>123825</xdr:rowOff>
                  </from>
                  <to>
                    <xdr:col>1</xdr:col>
                    <xdr:colOff>0</xdr:colOff>
                    <xdr:row>146</xdr:row>
                    <xdr:rowOff>38100</xdr:rowOff>
                  </to>
                </anchor>
              </controlPr>
            </control>
          </mc:Choice>
        </mc:AlternateContent>
        <mc:AlternateContent xmlns:mc="http://schemas.openxmlformats.org/markup-compatibility/2006">
          <mc:Choice Requires="x14">
            <control shapeId="81001" r:id="rId94" name="Check Box 105">
              <controlPr defaultSize="0" autoFill="0" autoLine="0" autoPict="0">
                <anchor moveWithCells="1" sizeWithCells="1">
                  <from>
                    <xdr:col>0</xdr:col>
                    <xdr:colOff>19050</xdr:colOff>
                    <xdr:row>145</xdr:row>
                    <xdr:rowOff>123825</xdr:rowOff>
                  </from>
                  <to>
                    <xdr:col>1</xdr:col>
                    <xdr:colOff>0</xdr:colOff>
                    <xdr:row>147</xdr:row>
                    <xdr:rowOff>38100</xdr:rowOff>
                  </to>
                </anchor>
              </controlPr>
            </control>
          </mc:Choice>
        </mc:AlternateContent>
        <mc:AlternateContent xmlns:mc="http://schemas.openxmlformats.org/markup-compatibility/2006">
          <mc:Choice Requires="x14">
            <control shapeId="81002" r:id="rId95" name="Check Box 106">
              <controlPr defaultSize="0" autoFill="0" autoLine="0" autoPict="0">
                <anchor moveWithCells="1" sizeWithCells="1">
                  <from>
                    <xdr:col>0</xdr:col>
                    <xdr:colOff>19050</xdr:colOff>
                    <xdr:row>146</xdr:row>
                    <xdr:rowOff>123825</xdr:rowOff>
                  </from>
                  <to>
                    <xdr:col>1</xdr:col>
                    <xdr:colOff>0</xdr:colOff>
                    <xdr:row>148</xdr:row>
                    <xdr:rowOff>38100</xdr:rowOff>
                  </to>
                </anchor>
              </controlPr>
            </control>
          </mc:Choice>
        </mc:AlternateContent>
        <mc:AlternateContent xmlns:mc="http://schemas.openxmlformats.org/markup-compatibility/2006">
          <mc:Choice Requires="x14">
            <control shapeId="81003" r:id="rId96" name="Check Box 107">
              <controlPr defaultSize="0" autoFill="0" autoLine="0" autoPict="0">
                <anchor moveWithCells="1" sizeWithCells="1">
                  <from>
                    <xdr:col>0</xdr:col>
                    <xdr:colOff>19050</xdr:colOff>
                    <xdr:row>147</xdr:row>
                    <xdr:rowOff>123825</xdr:rowOff>
                  </from>
                  <to>
                    <xdr:col>1</xdr:col>
                    <xdr:colOff>0</xdr:colOff>
                    <xdr:row>149</xdr:row>
                    <xdr:rowOff>38100</xdr:rowOff>
                  </to>
                </anchor>
              </controlPr>
            </control>
          </mc:Choice>
        </mc:AlternateContent>
        <mc:AlternateContent xmlns:mc="http://schemas.openxmlformats.org/markup-compatibility/2006">
          <mc:Choice Requires="x14">
            <control shapeId="81004" r:id="rId97" name="Check Box 108">
              <controlPr defaultSize="0" autoFill="0" autoLine="0" autoPict="0">
                <anchor moveWithCells="1" sizeWithCells="1">
                  <from>
                    <xdr:col>0</xdr:col>
                    <xdr:colOff>19050</xdr:colOff>
                    <xdr:row>148</xdr:row>
                    <xdr:rowOff>123825</xdr:rowOff>
                  </from>
                  <to>
                    <xdr:col>1</xdr:col>
                    <xdr:colOff>0</xdr:colOff>
                    <xdr:row>150</xdr:row>
                    <xdr:rowOff>38100</xdr:rowOff>
                  </to>
                </anchor>
              </controlPr>
            </control>
          </mc:Choice>
        </mc:AlternateContent>
        <mc:AlternateContent xmlns:mc="http://schemas.openxmlformats.org/markup-compatibility/2006">
          <mc:Choice Requires="x14">
            <control shapeId="81005" r:id="rId98" name="Check Box 109">
              <controlPr defaultSize="0" autoFill="0" autoLine="0" autoPict="0">
                <anchor moveWithCells="1" sizeWithCells="1">
                  <from>
                    <xdr:col>0</xdr:col>
                    <xdr:colOff>19050</xdr:colOff>
                    <xdr:row>232</xdr:row>
                    <xdr:rowOff>123825</xdr:rowOff>
                  </from>
                  <to>
                    <xdr:col>1</xdr:col>
                    <xdr:colOff>0</xdr:colOff>
                    <xdr:row>234</xdr:row>
                    <xdr:rowOff>38100</xdr:rowOff>
                  </to>
                </anchor>
              </controlPr>
            </control>
          </mc:Choice>
        </mc:AlternateContent>
        <mc:AlternateContent xmlns:mc="http://schemas.openxmlformats.org/markup-compatibility/2006">
          <mc:Choice Requires="x14">
            <control shapeId="81006" r:id="rId99" name="Check Box 110">
              <controlPr defaultSize="0" autoFill="0" autoLine="0" autoPict="0">
                <anchor moveWithCells="1" sizeWithCells="1">
                  <from>
                    <xdr:col>0</xdr:col>
                    <xdr:colOff>19050</xdr:colOff>
                    <xdr:row>233</xdr:row>
                    <xdr:rowOff>123825</xdr:rowOff>
                  </from>
                  <to>
                    <xdr:col>1</xdr:col>
                    <xdr:colOff>0</xdr:colOff>
                    <xdr:row>235</xdr:row>
                    <xdr:rowOff>38100</xdr:rowOff>
                  </to>
                </anchor>
              </controlPr>
            </control>
          </mc:Choice>
        </mc:AlternateContent>
        <mc:AlternateContent xmlns:mc="http://schemas.openxmlformats.org/markup-compatibility/2006">
          <mc:Choice Requires="x14">
            <control shapeId="81007" r:id="rId100" name="Check Box 111">
              <controlPr defaultSize="0" autoFill="0" autoLine="0" autoPict="0">
                <anchor moveWithCells="1" sizeWithCells="1">
                  <from>
                    <xdr:col>0</xdr:col>
                    <xdr:colOff>19050</xdr:colOff>
                    <xdr:row>234</xdr:row>
                    <xdr:rowOff>123825</xdr:rowOff>
                  </from>
                  <to>
                    <xdr:col>1</xdr:col>
                    <xdr:colOff>0</xdr:colOff>
                    <xdr:row>236</xdr:row>
                    <xdr:rowOff>38100</xdr:rowOff>
                  </to>
                </anchor>
              </controlPr>
            </control>
          </mc:Choice>
        </mc:AlternateContent>
        <mc:AlternateContent xmlns:mc="http://schemas.openxmlformats.org/markup-compatibility/2006">
          <mc:Choice Requires="x14">
            <control shapeId="81008" r:id="rId101" name="Check Box 112">
              <controlPr defaultSize="0" autoFill="0" autoLine="0" autoPict="0">
                <anchor moveWithCells="1" sizeWithCells="1">
                  <from>
                    <xdr:col>0</xdr:col>
                    <xdr:colOff>19050</xdr:colOff>
                    <xdr:row>235</xdr:row>
                    <xdr:rowOff>123825</xdr:rowOff>
                  </from>
                  <to>
                    <xdr:col>1</xdr:col>
                    <xdr:colOff>0</xdr:colOff>
                    <xdr:row>237</xdr:row>
                    <xdr:rowOff>38100</xdr:rowOff>
                  </to>
                </anchor>
              </controlPr>
            </control>
          </mc:Choice>
        </mc:AlternateContent>
        <mc:AlternateContent xmlns:mc="http://schemas.openxmlformats.org/markup-compatibility/2006">
          <mc:Choice Requires="x14">
            <control shapeId="81009" r:id="rId102" name="Check Box 113">
              <controlPr defaultSize="0" autoFill="0" autoLine="0" autoPict="0">
                <anchor moveWithCells="1" sizeWithCells="1">
                  <from>
                    <xdr:col>0</xdr:col>
                    <xdr:colOff>19050</xdr:colOff>
                    <xdr:row>236</xdr:row>
                    <xdr:rowOff>123825</xdr:rowOff>
                  </from>
                  <to>
                    <xdr:col>1</xdr:col>
                    <xdr:colOff>0</xdr:colOff>
                    <xdr:row>238</xdr:row>
                    <xdr:rowOff>38100</xdr:rowOff>
                  </to>
                </anchor>
              </controlPr>
            </control>
          </mc:Choice>
        </mc:AlternateContent>
        <mc:AlternateContent xmlns:mc="http://schemas.openxmlformats.org/markup-compatibility/2006">
          <mc:Choice Requires="x14">
            <control shapeId="81010" r:id="rId103" name="Check Box 114">
              <controlPr defaultSize="0" autoFill="0" autoLine="0" autoPict="0">
                <anchor moveWithCells="1" sizeWithCells="1">
                  <from>
                    <xdr:col>0</xdr:col>
                    <xdr:colOff>19050</xdr:colOff>
                    <xdr:row>237</xdr:row>
                    <xdr:rowOff>123825</xdr:rowOff>
                  </from>
                  <to>
                    <xdr:col>1</xdr:col>
                    <xdr:colOff>0</xdr:colOff>
                    <xdr:row>239</xdr:row>
                    <xdr:rowOff>38100</xdr:rowOff>
                  </to>
                </anchor>
              </controlPr>
            </control>
          </mc:Choice>
        </mc:AlternateContent>
        <mc:AlternateContent xmlns:mc="http://schemas.openxmlformats.org/markup-compatibility/2006">
          <mc:Choice Requires="x14">
            <control shapeId="81011" r:id="rId104" name="Check Box 115">
              <controlPr defaultSize="0" autoFill="0" autoLine="0" autoPict="0">
                <anchor moveWithCells="1" sizeWithCells="1">
                  <from>
                    <xdr:col>0</xdr:col>
                    <xdr:colOff>19050</xdr:colOff>
                    <xdr:row>238</xdr:row>
                    <xdr:rowOff>123825</xdr:rowOff>
                  </from>
                  <to>
                    <xdr:col>1</xdr:col>
                    <xdr:colOff>0</xdr:colOff>
                    <xdr:row>240</xdr:row>
                    <xdr:rowOff>38100</xdr:rowOff>
                  </to>
                </anchor>
              </controlPr>
            </control>
          </mc:Choice>
        </mc:AlternateContent>
        <mc:AlternateContent xmlns:mc="http://schemas.openxmlformats.org/markup-compatibility/2006">
          <mc:Choice Requires="x14">
            <control shapeId="81012" r:id="rId105" name="Check Box 116">
              <controlPr defaultSize="0" autoFill="0" autoLine="0" autoPict="0">
                <anchor moveWithCells="1" sizeWithCells="1">
                  <from>
                    <xdr:col>0</xdr:col>
                    <xdr:colOff>19050</xdr:colOff>
                    <xdr:row>239</xdr:row>
                    <xdr:rowOff>123825</xdr:rowOff>
                  </from>
                  <to>
                    <xdr:col>1</xdr:col>
                    <xdr:colOff>0</xdr:colOff>
                    <xdr:row>241</xdr:row>
                    <xdr:rowOff>38100</xdr:rowOff>
                  </to>
                </anchor>
              </controlPr>
            </control>
          </mc:Choice>
        </mc:AlternateContent>
        <mc:AlternateContent xmlns:mc="http://schemas.openxmlformats.org/markup-compatibility/2006">
          <mc:Choice Requires="x14">
            <control shapeId="81013" r:id="rId106" name="Check Box 117">
              <controlPr defaultSize="0" autoFill="0" autoLine="0" autoPict="0">
                <anchor moveWithCells="1" sizeWithCells="1">
                  <from>
                    <xdr:col>0</xdr:col>
                    <xdr:colOff>19050</xdr:colOff>
                    <xdr:row>240</xdr:row>
                    <xdr:rowOff>123825</xdr:rowOff>
                  </from>
                  <to>
                    <xdr:col>1</xdr:col>
                    <xdr:colOff>0</xdr:colOff>
                    <xdr:row>242</xdr:row>
                    <xdr:rowOff>38100</xdr:rowOff>
                  </to>
                </anchor>
              </controlPr>
            </control>
          </mc:Choice>
        </mc:AlternateContent>
        <mc:AlternateContent xmlns:mc="http://schemas.openxmlformats.org/markup-compatibility/2006">
          <mc:Choice Requires="x14">
            <control shapeId="81014" r:id="rId107" name="Check Box 118">
              <controlPr defaultSize="0" autoFill="0" autoLine="0" autoPict="0">
                <anchor moveWithCells="1" sizeWithCells="1">
                  <from>
                    <xdr:col>0</xdr:col>
                    <xdr:colOff>19050</xdr:colOff>
                    <xdr:row>241</xdr:row>
                    <xdr:rowOff>123825</xdr:rowOff>
                  </from>
                  <to>
                    <xdr:col>1</xdr:col>
                    <xdr:colOff>0</xdr:colOff>
                    <xdr:row>243</xdr:row>
                    <xdr:rowOff>38100</xdr:rowOff>
                  </to>
                </anchor>
              </controlPr>
            </control>
          </mc:Choice>
        </mc:AlternateContent>
        <mc:AlternateContent xmlns:mc="http://schemas.openxmlformats.org/markup-compatibility/2006">
          <mc:Choice Requires="x14">
            <control shapeId="81015" r:id="rId108" name="Check Box 119">
              <controlPr defaultSize="0" autoFill="0" autoLine="0" autoPict="0">
                <anchor moveWithCells="1" sizeWithCells="1">
                  <from>
                    <xdr:col>0</xdr:col>
                    <xdr:colOff>19050</xdr:colOff>
                    <xdr:row>242</xdr:row>
                    <xdr:rowOff>123825</xdr:rowOff>
                  </from>
                  <to>
                    <xdr:col>1</xdr:col>
                    <xdr:colOff>0</xdr:colOff>
                    <xdr:row>244</xdr:row>
                    <xdr:rowOff>38100</xdr:rowOff>
                  </to>
                </anchor>
              </controlPr>
            </control>
          </mc:Choice>
        </mc:AlternateContent>
        <mc:AlternateContent xmlns:mc="http://schemas.openxmlformats.org/markup-compatibility/2006">
          <mc:Choice Requires="x14">
            <control shapeId="81016" r:id="rId109" name="Check Box 120">
              <controlPr defaultSize="0" autoFill="0" autoLine="0" autoPict="0">
                <anchor moveWithCells="1" sizeWithCells="1">
                  <from>
                    <xdr:col>0</xdr:col>
                    <xdr:colOff>19050</xdr:colOff>
                    <xdr:row>243</xdr:row>
                    <xdr:rowOff>123825</xdr:rowOff>
                  </from>
                  <to>
                    <xdr:col>1</xdr:col>
                    <xdr:colOff>0</xdr:colOff>
                    <xdr:row>245</xdr:row>
                    <xdr:rowOff>38100</xdr:rowOff>
                  </to>
                </anchor>
              </controlPr>
            </control>
          </mc:Choice>
        </mc:AlternateContent>
        <mc:AlternateContent xmlns:mc="http://schemas.openxmlformats.org/markup-compatibility/2006">
          <mc:Choice Requires="x14">
            <control shapeId="81017" r:id="rId110" name="Check Box 121">
              <controlPr defaultSize="0" autoFill="0" autoLine="0" autoPict="0">
                <anchor moveWithCells="1" sizeWithCells="1">
                  <from>
                    <xdr:col>0</xdr:col>
                    <xdr:colOff>19050</xdr:colOff>
                    <xdr:row>244</xdr:row>
                    <xdr:rowOff>123825</xdr:rowOff>
                  </from>
                  <to>
                    <xdr:col>1</xdr:col>
                    <xdr:colOff>0</xdr:colOff>
                    <xdr:row>246</xdr:row>
                    <xdr:rowOff>38100</xdr:rowOff>
                  </to>
                </anchor>
              </controlPr>
            </control>
          </mc:Choice>
        </mc:AlternateContent>
        <mc:AlternateContent xmlns:mc="http://schemas.openxmlformats.org/markup-compatibility/2006">
          <mc:Choice Requires="x14">
            <control shapeId="81018" r:id="rId111" name="Check Box 122">
              <controlPr defaultSize="0" autoFill="0" autoLine="0" autoPict="0">
                <anchor moveWithCells="1" sizeWithCells="1">
                  <from>
                    <xdr:col>0</xdr:col>
                    <xdr:colOff>19050</xdr:colOff>
                    <xdr:row>245</xdr:row>
                    <xdr:rowOff>123825</xdr:rowOff>
                  </from>
                  <to>
                    <xdr:col>1</xdr:col>
                    <xdr:colOff>0</xdr:colOff>
                    <xdr:row>247</xdr:row>
                    <xdr:rowOff>38100</xdr:rowOff>
                  </to>
                </anchor>
              </controlPr>
            </control>
          </mc:Choice>
        </mc:AlternateContent>
        <mc:AlternateContent xmlns:mc="http://schemas.openxmlformats.org/markup-compatibility/2006">
          <mc:Choice Requires="x14">
            <control shapeId="81019" r:id="rId112" name="Check Box 123">
              <controlPr defaultSize="0" autoFill="0" autoLine="0" autoPict="0">
                <anchor moveWithCells="1" sizeWithCells="1">
                  <from>
                    <xdr:col>0</xdr:col>
                    <xdr:colOff>19050</xdr:colOff>
                    <xdr:row>246</xdr:row>
                    <xdr:rowOff>123825</xdr:rowOff>
                  </from>
                  <to>
                    <xdr:col>1</xdr:col>
                    <xdr:colOff>0</xdr:colOff>
                    <xdr:row>248</xdr:row>
                    <xdr:rowOff>38100</xdr:rowOff>
                  </to>
                </anchor>
              </controlPr>
            </control>
          </mc:Choice>
        </mc:AlternateContent>
        <mc:AlternateContent xmlns:mc="http://schemas.openxmlformats.org/markup-compatibility/2006">
          <mc:Choice Requires="x14">
            <control shapeId="81020" r:id="rId113" name="Check Box 124">
              <controlPr defaultSize="0" autoFill="0" autoLine="0" autoPict="0">
                <anchor moveWithCells="1" sizeWithCells="1">
                  <from>
                    <xdr:col>0</xdr:col>
                    <xdr:colOff>19050</xdr:colOff>
                    <xdr:row>247</xdr:row>
                    <xdr:rowOff>123825</xdr:rowOff>
                  </from>
                  <to>
                    <xdr:col>1</xdr:col>
                    <xdr:colOff>0</xdr:colOff>
                    <xdr:row>249</xdr:row>
                    <xdr:rowOff>38100</xdr:rowOff>
                  </to>
                </anchor>
              </controlPr>
            </control>
          </mc:Choice>
        </mc:AlternateContent>
        <mc:AlternateContent xmlns:mc="http://schemas.openxmlformats.org/markup-compatibility/2006">
          <mc:Choice Requires="x14">
            <control shapeId="81021" r:id="rId114" name="Check Box 125">
              <controlPr defaultSize="0" autoFill="0" autoLine="0" autoPict="0">
                <anchor moveWithCells="1" sizeWithCells="1">
                  <from>
                    <xdr:col>0</xdr:col>
                    <xdr:colOff>19050</xdr:colOff>
                    <xdr:row>248</xdr:row>
                    <xdr:rowOff>123825</xdr:rowOff>
                  </from>
                  <to>
                    <xdr:col>1</xdr:col>
                    <xdr:colOff>0</xdr:colOff>
                    <xdr:row>250</xdr:row>
                    <xdr:rowOff>38100</xdr:rowOff>
                  </to>
                </anchor>
              </controlPr>
            </control>
          </mc:Choice>
        </mc:AlternateContent>
        <mc:AlternateContent xmlns:mc="http://schemas.openxmlformats.org/markup-compatibility/2006">
          <mc:Choice Requires="x14">
            <control shapeId="81022" r:id="rId115" name="Check Box 126">
              <controlPr defaultSize="0" autoFill="0" autoLine="0" autoPict="0">
                <anchor moveWithCells="1" sizeWithCells="1">
                  <from>
                    <xdr:col>0</xdr:col>
                    <xdr:colOff>19050</xdr:colOff>
                    <xdr:row>249</xdr:row>
                    <xdr:rowOff>123825</xdr:rowOff>
                  </from>
                  <to>
                    <xdr:col>1</xdr:col>
                    <xdr:colOff>0</xdr:colOff>
                    <xdr:row>251</xdr:row>
                    <xdr:rowOff>38100</xdr:rowOff>
                  </to>
                </anchor>
              </controlPr>
            </control>
          </mc:Choice>
        </mc:AlternateContent>
        <mc:AlternateContent xmlns:mc="http://schemas.openxmlformats.org/markup-compatibility/2006">
          <mc:Choice Requires="x14">
            <control shapeId="81023" r:id="rId116" name="Check Box 127">
              <controlPr defaultSize="0" autoFill="0" autoLine="0" autoPict="0">
                <anchor moveWithCells="1" sizeWithCells="1">
                  <from>
                    <xdr:col>0</xdr:col>
                    <xdr:colOff>19050</xdr:colOff>
                    <xdr:row>250</xdr:row>
                    <xdr:rowOff>123825</xdr:rowOff>
                  </from>
                  <to>
                    <xdr:col>1</xdr:col>
                    <xdr:colOff>0</xdr:colOff>
                    <xdr:row>252</xdr:row>
                    <xdr:rowOff>38100</xdr:rowOff>
                  </to>
                </anchor>
              </controlPr>
            </control>
          </mc:Choice>
        </mc:AlternateContent>
        <mc:AlternateContent xmlns:mc="http://schemas.openxmlformats.org/markup-compatibility/2006">
          <mc:Choice Requires="x14">
            <control shapeId="81024" r:id="rId117" name="Check Box 128">
              <controlPr defaultSize="0" autoFill="0" autoLine="0" autoPict="0">
                <anchor moveWithCells="1" sizeWithCells="1">
                  <from>
                    <xdr:col>0</xdr:col>
                    <xdr:colOff>19050</xdr:colOff>
                    <xdr:row>251</xdr:row>
                    <xdr:rowOff>123825</xdr:rowOff>
                  </from>
                  <to>
                    <xdr:col>1</xdr:col>
                    <xdr:colOff>0</xdr:colOff>
                    <xdr:row>253</xdr:row>
                    <xdr:rowOff>38100</xdr:rowOff>
                  </to>
                </anchor>
              </controlPr>
            </control>
          </mc:Choice>
        </mc:AlternateContent>
        <mc:AlternateContent xmlns:mc="http://schemas.openxmlformats.org/markup-compatibility/2006">
          <mc:Choice Requires="x14">
            <control shapeId="81025" r:id="rId118" name="Check Box 129">
              <controlPr defaultSize="0" autoFill="0" autoLine="0" autoPict="0">
                <anchor moveWithCells="1" sizeWithCells="1">
                  <from>
                    <xdr:col>0</xdr:col>
                    <xdr:colOff>19050</xdr:colOff>
                    <xdr:row>252</xdr:row>
                    <xdr:rowOff>123825</xdr:rowOff>
                  </from>
                  <to>
                    <xdr:col>1</xdr:col>
                    <xdr:colOff>0</xdr:colOff>
                    <xdr:row>254</xdr:row>
                    <xdr:rowOff>38100</xdr:rowOff>
                  </to>
                </anchor>
              </controlPr>
            </control>
          </mc:Choice>
        </mc:AlternateContent>
        <mc:AlternateContent xmlns:mc="http://schemas.openxmlformats.org/markup-compatibility/2006">
          <mc:Choice Requires="x14">
            <control shapeId="81026" r:id="rId119" name="Check Box 130">
              <controlPr defaultSize="0" autoFill="0" autoLine="0" autoPict="0">
                <anchor moveWithCells="1" sizeWithCells="1">
                  <from>
                    <xdr:col>0</xdr:col>
                    <xdr:colOff>19050</xdr:colOff>
                    <xdr:row>253</xdr:row>
                    <xdr:rowOff>123825</xdr:rowOff>
                  </from>
                  <to>
                    <xdr:col>1</xdr:col>
                    <xdr:colOff>0</xdr:colOff>
                    <xdr:row>255</xdr:row>
                    <xdr:rowOff>38100</xdr:rowOff>
                  </to>
                </anchor>
              </controlPr>
            </control>
          </mc:Choice>
        </mc:AlternateContent>
        <mc:AlternateContent xmlns:mc="http://schemas.openxmlformats.org/markup-compatibility/2006">
          <mc:Choice Requires="x14">
            <control shapeId="81027" r:id="rId120" name="Check Box 131">
              <controlPr defaultSize="0" autoFill="0" autoLine="0" autoPict="0">
                <anchor moveWithCells="1" sizeWithCells="1">
                  <from>
                    <xdr:col>0</xdr:col>
                    <xdr:colOff>19050</xdr:colOff>
                    <xdr:row>254</xdr:row>
                    <xdr:rowOff>123825</xdr:rowOff>
                  </from>
                  <to>
                    <xdr:col>1</xdr:col>
                    <xdr:colOff>0</xdr:colOff>
                    <xdr:row>256</xdr:row>
                    <xdr:rowOff>38100</xdr:rowOff>
                  </to>
                </anchor>
              </controlPr>
            </control>
          </mc:Choice>
        </mc:AlternateContent>
        <mc:AlternateContent xmlns:mc="http://schemas.openxmlformats.org/markup-compatibility/2006">
          <mc:Choice Requires="x14">
            <control shapeId="81028" r:id="rId121" name="Check Box 132">
              <controlPr defaultSize="0" autoFill="0" autoLine="0" autoPict="0">
                <anchor moveWithCells="1" sizeWithCells="1">
                  <from>
                    <xdr:col>0</xdr:col>
                    <xdr:colOff>19050</xdr:colOff>
                    <xdr:row>255</xdr:row>
                    <xdr:rowOff>123825</xdr:rowOff>
                  </from>
                  <to>
                    <xdr:col>1</xdr:col>
                    <xdr:colOff>0</xdr:colOff>
                    <xdr:row>257</xdr:row>
                    <xdr:rowOff>38100</xdr:rowOff>
                  </to>
                </anchor>
              </controlPr>
            </control>
          </mc:Choice>
        </mc:AlternateContent>
        <mc:AlternateContent xmlns:mc="http://schemas.openxmlformats.org/markup-compatibility/2006">
          <mc:Choice Requires="x14">
            <control shapeId="81029" r:id="rId122" name="Check Box 133">
              <controlPr defaultSize="0" autoFill="0" autoLine="0" autoPict="0">
                <anchor moveWithCells="1" sizeWithCells="1">
                  <from>
                    <xdr:col>0</xdr:col>
                    <xdr:colOff>19050</xdr:colOff>
                    <xdr:row>256</xdr:row>
                    <xdr:rowOff>123825</xdr:rowOff>
                  </from>
                  <to>
                    <xdr:col>1</xdr:col>
                    <xdr:colOff>0</xdr:colOff>
                    <xdr:row>258</xdr:row>
                    <xdr:rowOff>38100</xdr:rowOff>
                  </to>
                </anchor>
              </controlPr>
            </control>
          </mc:Choice>
        </mc:AlternateContent>
        <mc:AlternateContent xmlns:mc="http://schemas.openxmlformats.org/markup-compatibility/2006">
          <mc:Choice Requires="x14">
            <control shapeId="81030" r:id="rId123" name="Check Box 134">
              <controlPr defaultSize="0" autoFill="0" autoLine="0" autoPict="0">
                <anchor moveWithCells="1" sizeWithCells="1">
                  <from>
                    <xdr:col>0</xdr:col>
                    <xdr:colOff>19050</xdr:colOff>
                    <xdr:row>257</xdr:row>
                    <xdr:rowOff>123825</xdr:rowOff>
                  </from>
                  <to>
                    <xdr:col>1</xdr:col>
                    <xdr:colOff>0</xdr:colOff>
                    <xdr:row>259</xdr:row>
                    <xdr:rowOff>38100</xdr:rowOff>
                  </to>
                </anchor>
              </controlPr>
            </control>
          </mc:Choice>
        </mc:AlternateContent>
        <mc:AlternateContent xmlns:mc="http://schemas.openxmlformats.org/markup-compatibility/2006">
          <mc:Choice Requires="x14">
            <control shapeId="81031" r:id="rId124" name="Check Box 135">
              <controlPr defaultSize="0" autoFill="0" autoLine="0" autoPict="0">
                <anchor moveWithCells="1" sizeWithCells="1">
                  <from>
                    <xdr:col>0</xdr:col>
                    <xdr:colOff>19050</xdr:colOff>
                    <xdr:row>258</xdr:row>
                    <xdr:rowOff>123825</xdr:rowOff>
                  </from>
                  <to>
                    <xdr:col>1</xdr:col>
                    <xdr:colOff>0</xdr:colOff>
                    <xdr:row>260</xdr:row>
                    <xdr:rowOff>38100</xdr:rowOff>
                  </to>
                </anchor>
              </controlPr>
            </control>
          </mc:Choice>
        </mc:AlternateContent>
        <mc:AlternateContent xmlns:mc="http://schemas.openxmlformats.org/markup-compatibility/2006">
          <mc:Choice Requires="x14">
            <control shapeId="81032" r:id="rId125" name="Check Box 136">
              <controlPr defaultSize="0" autoFill="0" autoLine="0" autoPict="0">
                <anchor moveWithCells="1" sizeWithCells="1">
                  <from>
                    <xdr:col>0</xdr:col>
                    <xdr:colOff>19050</xdr:colOff>
                    <xdr:row>259</xdr:row>
                    <xdr:rowOff>123825</xdr:rowOff>
                  </from>
                  <to>
                    <xdr:col>1</xdr:col>
                    <xdr:colOff>0</xdr:colOff>
                    <xdr:row>261</xdr:row>
                    <xdr:rowOff>38100</xdr:rowOff>
                  </to>
                </anchor>
              </controlPr>
            </control>
          </mc:Choice>
        </mc:AlternateContent>
        <mc:AlternateContent xmlns:mc="http://schemas.openxmlformats.org/markup-compatibility/2006">
          <mc:Choice Requires="x14">
            <control shapeId="81033" r:id="rId126" name="Check Box 137">
              <controlPr defaultSize="0" autoFill="0" autoLine="0" autoPict="0">
                <anchor moveWithCells="1" sizeWithCells="1">
                  <from>
                    <xdr:col>0</xdr:col>
                    <xdr:colOff>19050</xdr:colOff>
                    <xdr:row>260</xdr:row>
                    <xdr:rowOff>123825</xdr:rowOff>
                  </from>
                  <to>
                    <xdr:col>1</xdr:col>
                    <xdr:colOff>0</xdr:colOff>
                    <xdr:row>262</xdr:row>
                    <xdr:rowOff>38100</xdr:rowOff>
                  </to>
                </anchor>
              </controlPr>
            </control>
          </mc:Choice>
        </mc:AlternateContent>
        <mc:AlternateContent xmlns:mc="http://schemas.openxmlformats.org/markup-compatibility/2006">
          <mc:Choice Requires="x14">
            <control shapeId="81034" r:id="rId127" name="Check Box 138">
              <controlPr defaultSize="0" autoFill="0" autoLine="0" autoPict="0">
                <anchor moveWithCells="1" sizeWithCells="1">
                  <from>
                    <xdr:col>0</xdr:col>
                    <xdr:colOff>19050</xdr:colOff>
                    <xdr:row>261</xdr:row>
                    <xdr:rowOff>123825</xdr:rowOff>
                  </from>
                  <to>
                    <xdr:col>1</xdr:col>
                    <xdr:colOff>0</xdr:colOff>
                    <xdr:row>263</xdr:row>
                    <xdr:rowOff>38100</xdr:rowOff>
                  </to>
                </anchor>
              </controlPr>
            </control>
          </mc:Choice>
        </mc:AlternateContent>
        <mc:AlternateContent xmlns:mc="http://schemas.openxmlformats.org/markup-compatibility/2006">
          <mc:Choice Requires="x14">
            <control shapeId="81035" r:id="rId128" name="Check Box 139">
              <controlPr defaultSize="0" autoFill="0" autoLine="0" autoPict="0">
                <anchor moveWithCells="1" sizeWithCells="1">
                  <from>
                    <xdr:col>0</xdr:col>
                    <xdr:colOff>19050</xdr:colOff>
                    <xdr:row>262</xdr:row>
                    <xdr:rowOff>123825</xdr:rowOff>
                  </from>
                  <to>
                    <xdr:col>1</xdr:col>
                    <xdr:colOff>0</xdr:colOff>
                    <xdr:row>264</xdr:row>
                    <xdr:rowOff>38100</xdr:rowOff>
                  </to>
                </anchor>
              </controlPr>
            </control>
          </mc:Choice>
        </mc:AlternateContent>
        <mc:AlternateContent xmlns:mc="http://schemas.openxmlformats.org/markup-compatibility/2006">
          <mc:Choice Requires="x14">
            <control shapeId="81036" r:id="rId129" name="Check Box 140">
              <controlPr defaultSize="0" autoFill="0" autoLine="0" autoPict="0">
                <anchor moveWithCells="1" sizeWithCells="1">
                  <from>
                    <xdr:col>0</xdr:col>
                    <xdr:colOff>19050</xdr:colOff>
                    <xdr:row>263</xdr:row>
                    <xdr:rowOff>123825</xdr:rowOff>
                  </from>
                  <to>
                    <xdr:col>1</xdr:col>
                    <xdr:colOff>0</xdr:colOff>
                    <xdr:row>265</xdr:row>
                    <xdr:rowOff>38100</xdr:rowOff>
                  </to>
                </anchor>
              </controlPr>
            </control>
          </mc:Choice>
        </mc:AlternateContent>
        <mc:AlternateContent xmlns:mc="http://schemas.openxmlformats.org/markup-compatibility/2006">
          <mc:Choice Requires="x14">
            <control shapeId="81037" r:id="rId130" name="Check Box 141">
              <controlPr defaultSize="0" autoFill="0" autoLine="0" autoPict="0">
                <anchor moveWithCells="1" sizeWithCells="1">
                  <from>
                    <xdr:col>0</xdr:col>
                    <xdr:colOff>19050</xdr:colOff>
                    <xdr:row>264</xdr:row>
                    <xdr:rowOff>123825</xdr:rowOff>
                  </from>
                  <to>
                    <xdr:col>1</xdr:col>
                    <xdr:colOff>0</xdr:colOff>
                    <xdr:row>266</xdr:row>
                    <xdr:rowOff>38100</xdr:rowOff>
                  </to>
                </anchor>
              </controlPr>
            </control>
          </mc:Choice>
        </mc:AlternateContent>
        <mc:AlternateContent xmlns:mc="http://schemas.openxmlformats.org/markup-compatibility/2006">
          <mc:Choice Requires="x14">
            <control shapeId="81038" r:id="rId131" name="Check Box 142">
              <controlPr defaultSize="0" autoFill="0" autoLine="0" autoPict="0">
                <anchor moveWithCells="1" sizeWithCells="1">
                  <from>
                    <xdr:col>0</xdr:col>
                    <xdr:colOff>19050</xdr:colOff>
                    <xdr:row>265</xdr:row>
                    <xdr:rowOff>123825</xdr:rowOff>
                  </from>
                  <to>
                    <xdr:col>1</xdr:col>
                    <xdr:colOff>0</xdr:colOff>
                    <xdr:row>267</xdr:row>
                    <xdr:rowOff>38100</xdr:rowOff>
                  </to>
                </anchor>
              </controlPr>
            </control>
          </mc:Choice>
        </mc:AlternateContent>
        <mc:AlternateContent xmlns:mc="http://schemas.openxmlformats.org/markup-compatibility/2006">
          <mc:Choice Requires="x14">
            <control shapeId="81039" r:id="rId132" name="Check Box 143">
              <controlPr defaultSize="0" autoFill="0" autoLine="0" autoPict="0">
                <anchor moveWithCells="1" sizeWithCells="1">
                  <from>
                    <xdr:col>0</xdr:col>
                    <xdr:colOff>19050</xdr:colOff>
                    <xdr:row>266</xdr:row>
                    <xdr:rowOff>123825</xdr:rowOff>
                  </from>
                  <to>
                    <xdr:col>1</xdr:col>
                    <xdr:colOff>0</xdr:colOff>
                    <xdr:row>268</xdr:row>
                    <xdr:rowOff>38100</xdr:rowOff>
                  </to>
                </anchor>
              </controlPr>
            </control>
          </mc:Choice>
        </mc:AlternateContent>
        <mc:AlternateContent xmlns:mc="http://schemas.openxmlformats.org/markup-compatibility/2006">
          <mc:Choice Requires="x14">
            <control shapeId="81040" r:id="rId133" name="Check Box 144">
              <controlPr defaultSize="0" autoFill="0" autoLine="0" autoPict="0">
                <anchor moveWithCells="1" sizeWithCells="1">
                  <from>
                    <xdr:col>0</xdr:col>
                    <xdr:colOff>19050</xdr:colOff>
                    <xdr:row>267</xdr:row>
                    <xdr:rowOff>123825</xdr:rowOff>
                  </from>
                  <to>
                    <xdr:col>1</xdr:col>
                    <xdr:colOff>0</xdr:colOff>
                    <xdr:row>269</xdr:row>
                    <xdr:rowOff>38100</xdr:rowOff>
                  </to>
                </anchor>
              </controlPr>
            </control>
          </mc:Choice>
        </mc:AlternateContent>
        <mc:AlternateContent xmlns:mc="http://schemas.openxmlformats.org/markup-compatibility/2006">
          <mc:Choice Requires="x14">
            <control shapeId="81041" r:id="rId134" name="Check Box 145">
              <controlPr defaultSize="0" autoFill="0" autoLine="0" autoPict="0">
                <anchor moveWithCells="1" sizeWithCells="1">
                  <from>
                    <xdr:col>0</xdr:col>
                    <xdr:colOff>19050</xdr:colOff>
                    <xdr:row>268</xdr:row>
                    <xdr:rowOff>123825</xdr:rowOff>
                  </from>
                  <to>
                    <xdr:col>1</xdr:col>
                    <xdr:colOff>0</xdr:colOff>
                    <xdr:row>270</xdr:row>
                    <xdr:rowOff>38100</xdr:rowOff>
                  </to>
                </anchor>
              </controlPr>
            </control>
          </mc:Choice>
        </mc:AlternateContent>
        <mc:AlternateContent xmlns:mc="http://schemas.openxmlformats.org/markup-compatibility/2006">
          <mc:Choice Requires="x14">
            <control shapeId="81042" r:id="rId135" name="Check Box 146">
              <controlPr defaultSize="0" autoFill="0" autoLine="0" autoPict="0">
                <anchor moveWithCells="1" sizeWithCells="1">
                  <from>
                    <xdr:col>0</xdr:col>
                    <xdr:colOff>19050</xdr:colOff>
                    <xdr:row>269</xdr:row>
                    <xdr:rowOff>123825</xdr:rowOff>
                  </from>
                  <to>
                    <xdr:col>1</xdr:col>
                    <xdr:colOff>0</xdr:colOff>
                    <xdr:row>271</xdr:row>
                    <xdr:rowOff>38100</xdr:rowOff>
                  </to>
                </anchor>
              </controlPr>
            </control>
          </mc:Choice>
        </mc:AlternateContent>
        <mc:AlternateContent xmlns:mc="http://schemas.openxmlformats.org/markup-compatibility/2006">
          <mc:Choice Requires="x14">
            <control shapeId="81043" r:id="rId136" name="Check Box 147">
              <controlPr defaultSize="0" autoFill="0" autoLine="0" autoPict="0">
                <anchor moveWithCells="1" sizeWithCells="1">
                  <from>
                    <xdr:col>0</xdr:col>
                    <xdr:colOff>19050</xdr:colOff>
                    <xdr:row>270</xdr:row>
                    <xdr:rowOff>123825</xdr:rowOff>
                  </from>
                  <to>
                    <xdr:col>1</xdr:col>
                    <xdr:colOff>0</xdr:colOff>
                    <xdr:row>272</xdr:row>
                    <xdr:rowOff>38100</xdr:rowOff>
                  </to>
                </anchor>
              </controlPr>
            </control>
          </mc:Choice>
        </mc:AlternateContent>
        <mc:AlternateContent xmlns:mc="http://schemas.openxmlformats.org/markup-compatibility/2006">
          <mc:Choice Requires="x14">
            <control shapeId="81044" r:id="rId137" name="Check Box 148">
              <controlPr defaultSize="0" autoFill="0" autoLine="0" autoPict="0">
                <anchor moveWithCells="1" sizeWithCells="1">
                  <from>
                    <xdr:col>0</xdr:col>
                    <xdr:colOff>19050</xdr:colOff>
                    <xdr:row>271</xdr:row>
                    <xdr:rowOff>123825</xdr:rowOff>
                  </from>
                  <to>
                    <xdr:col>1</xdr:col>
                    <xdr:colOff>0</xdr:colOff>
                    <xdr:row>273</xdr:row>
                    <xdr:rowOff>38100</xdr:rowOff>
                  </to>
                </anchor>
              </controlPr>
            </control>
          </mc:Choice>
        </mc:AlternateContent>
        <mc:AlternateContent xmlns:mc="http://schemas.openxmlformats.org/markup-compatibility/2006">
          <mc:Choice Requires="x14">
            <control shapeId="81045" r:id="rId138" name="Check Box 149">
              <controlPr defaultSize="0" autoFill="0" autoLine="0" autoPict="0">
                <anchor moveWithCells="1" sizeWithCells="1">
                  <from>
                    <xdr:col>0</xdr:col>
                    <xdr:colOff>19050</xdr:colOff>
                    <xdr:row>272</xdr:row>
                    <xdr:rowOff>123825</xdr:rowOff>
                  </from>
                  <to>
                    <xdr:col>1</xdr:col>
                    <xdr:colOff>0</xdr:colOff>
                    <xdr:row>274</xdr:row>
                    <xdr:rowOff>38100</xdr:rowOff>
                  </to>
                </anchor>
              </controlPr>
            </control>
          </mc:Choice>
        </mc:AlternateContent>
        <mc:AlternateContent xmlns:mc="http://schemas.openxmlformats.org/markup-compatibility/2006">
          <mc:Choice Requires="x14">
            <control shapeId="81046" r:id="rId139" name="Check Box 150">
              <controlPr defaultSize="0" autoFill="0" autoLine="0" autoPict="0">
                <anchor moveWithCells="1" sizeWithCells="1">
                  <from>
                    <xdr:col>0</xdr:col>
                    <xdr:colOff>19050</xdr:colOff>
                    <xdr:row>273</xdr:row>
                    <xdr:rowOff>123825</xdr:rowOff>
                  </from>
                  <to>
                    <xdr:col>1</xdr:col>
                    <xdr:colOff>0</xdr:colOff>
                    <xdr:row>275</xdr:row>
                    <xdr:rowOff>38100</xdr:rowOff>
                  </to>
                </anchor>
              </controlPr>
            </control>
          </mc:Choice>
        </mc:AlternateContent>
        <mc:AlternateContent xmlns:mc="http://schemas.openxmlformats.org/markup-compatibility/2006">
          <mc:Choice Requires="x14">
            <control shapeId="81047" r:id="rId140" name="Check Box 151">
              <controlPr defaultSize="0" autoFill="0" autoLine="0" autoPict="0">
                <anchor moveWithCells="1" sizeWithCells="1">
                  <from>
                    <xdr:col>0</xdr:col>
                    <xdr:colOff>19050</xdr:colOff>
                    <xdr:row>274</xdr:row>
                    <xdr:rowOff>123825</xdr:rowOff>
                  </from>
                  <to>
                    <xdr:col>1</xdr:col>
                    <xdr:colOff>0</xdr:colOff>
                    <xdr:row>276</xdr:row>
                    <xdr:rowOff>38100</xdr:rowOff>
                  </to>
                </anchor>
              </controlPr>
            </control>
          </mc:Choice>
        </mc:AlternateContent>
        <mc:AlternateContent xmlns:mc="http://schemas.openxmlformats.org/markup-compatibility/2006">
          <mc:Choice Requires="x14">
            <control shapeId="81048" r:id="rId141" name="Check Box 152">
              <controlPr defaultSize="0" autoFill="0" autoLine="0" autoPict="0">
                <anchor moveWithCells="1" sizeWithCells="1">
                  <from>
                    <xdr:col>0</xdr:col>
                    <xdr:colOff>19050</xdr:colOff>
                    <xdr:row>275</xdr:row>
                    <xdr:rowOff>123825</xdr:rowOff>
                  </from>
                  <to>
                    <xdr:col>1</xdr:col>
                    <xdr:colOff>0</xdr:colOff>
                    <xdr:row>277</xdr:row>
                    <xdr:rowOff>38100</xdr:rowOff>
                  </to>
                </anchor>
              </controlPr>
            </control>
          </mc:Choice>
        </mc:AlternateContent>
        <mc:AlternateContent xmlns:mc="http://schemas.openxmlformats.org/markup-compatibility/2006">
          <mc:Choice Requires="x14">
            <control shapeId="81049" r:id="rId142" name="Check Box 153">
              <controlPr defaultSize="0" autoFill="0" autoLine="0" autoPict="0">
                <anchor moveWithCells="1" sizeWithCells="1">
                  <from>
                    <xdr:col>0</xdr:col>
                    <xdr:colOff>19050</xdr:colOff>
                    <xdr:row>276</xdr:row>
                    <xdr:rowOff>123825</xdr:rowOff>
                  </from>
                  <to>
                    <xdr:col>1</xdr:col>
                    <xdr:colOff>0</xdr:colOff>
                    <xdr:row>278</xdr:row>
                    <xdr:rowOff>38100</xdr:rowOff>
                  </to>
                </anchor>
              </controlPr>
            </control>
          </mc:Choice>
        </mc:AlternateContent>
        <mc:AlternateContent xmlns:mc="http://schemas.openxmlformats.org/markup-compatibility/2006">
          <mc:Choice Requires="x14">
            <control shapeId="81050" r:id="rId143" name="Check Box 154">
              <controlPr defaultSize="0" autoFill="0" autoLine="0" autoPict="0">
                <anchor moveWithCells="1" sizeWithCells="1">
                  <from>
                    <xdr:col>0</xdr:col>
                    <xdr:colOff>19050</xdr:colOff>
                    <xdr:row>277</xdr:row>
                    <xdr:rowOff>123825</xdr:rowOff>
                  </from>
                  <to>
                    <xdr:col>1</xdr:col>
                    <xdr:colOff>0</xdr:colOff>
                    <xdr:row>279</xdr:row>
                    <xdr:rowOff>38100</xdr:rowOff>
                  </to>
                </anchor>
              </controlPr>
            </control>
          </mc:Choice>
        </mc:AlternateContent>
        <mc:AlternateContent xmlns:mc="http://schemas.openxmlformats.org/markup-compatibility/2006">
          <mc:Choice Requires="x14">
            <control shapeId="81051" r:id="rId144" name="Check Box 155">
              <controlPr defaultSize="0" autoFill="0" autoLine="0" autoPict="0">
                <anchor moveWithCells="1" sizeWithCells="1">
                  <from>
                    <xdr:col>0</xdr:col>
                    <xdr:colOff>19050</xdr:colOff>
                    <xdr:row>278</xdr:row>
                    <xdr:rowOff>123825</xdr:rowOff>
                  </from>
                  <to>
                    <xdr:col>1</xdr:col>
                    <xdr:colOff>0</xdr:colOff>
                    <xdr:row>280</xdr:row>
                    <xdr:rowOff>38100</xdr:rowOff>
                  </to>
                </anchor>
              </controlPr>
            </control>
          </mc:Choice>
        </mc:AlternateContent>
        <mc:AlternateContent xmlns:mc="http://schemas.openxmlformats.org/markup-compatibility/2006">
          <mc:Choice Requires="x14">
            <control shapeId="81052" r:id="rId145" name="Check Box 156">
              <controlPr defaultSize="0" autoFill="0" autoLine="0" autoPict="0">
                <anchor moveWithCells="1" sizeWithCells="1">
                  <from>
                    <xdr:col>0</xdr:col>
                    <xdr:colOff>19050</xdr:colOff>
                    <xdr:row>279</xdr:row>
                    <xdr:rowOff>123825</xdr:rowOff>
                  </from>
                  <to>
                    <xdr:col>1</xdr:col>
                    <xdr:colOff>0</xdr:colOff>
                    <xdr:row>281</xdr:row>
                    <xdr:rowOff>38100</xdr:rowOff>
                  </to>
                </anchor>
              </controlPr>
            </control>
          </mc:Choice>
        </mc:AlternateContent>
        <mc:AlternateContent xmlns:mc="http://schemas.openxmlformats.org/markup-compatibility/2006">
          <mc:Choice Requires="x14">
            <control shapeId="81053" r:id="rId146" name="Check Box 157">
              <controlPr defaultSize="0" autoFill="0" autoLine="0" autoPict="0">
                <anchor moveWithCells="1" sizeWithCells="1">
                  <from>
                    <xdr:col>0</xdr:col>
                    <xdr:colOff>19050</xdr:colOff>
                    <xdr:row>280</xdr:row>
                    <xdr:rowOff>123825</xdr:rowOff>
                  </from>
                  <to>
                    <xdr:col>1</xdr:col>
                    <xdr:colOff>0</xdr:colOff>
                    <xdr:row>282</xdr:row>
                    <xdr:rowOff>38100</xdr:rowOff>
                  </to>
                </anchor>
              </controlPr>
            </control>
          </mc:Choice>
        </mc:AlternateContent>
        <mc:AlternateContent xmlns:mc="http://schemas.openxmlformats.org/markup-compatibility/2006">
          <mc:Choice Requires="x14">
            <control shapeId="81054" r:id="rId147" name="Check Box 158">
              <controlPr defaultSize="0" autoFill="0" autoLine="0" autoPict="0">
                <anchor moveWithCells="1" sizeWithCells="1">
                  <from>
                    <xdr:col>0</xdr:col>
                    <xdr:colOff>19050</xdr:colOff>
                    <xdr:row>281</xdr:row>
                    <xdr:rowOff>123825</xdr:rowOff>
                  </from>
                  <to>
                    <xdr:col>1</xdr:col>
                    <xdr:colOff>0</xdr:colOff>
                    <xdr:row>283</xdr:row>
                    <xdr:rowOff>38100</xdr:rowOff>
                  </to>
                </anchor>
              </controlPr>
            </control>
          </mc:Choice>
        </mc:AlternateContent>
        <mc:AlternateContent xmlns:mc="http://schemas.openxmlformats.org/markup-compatibility/2006">
          <mc:Choice Requires="x14">
            <control shapeId="81055" r:id="rId148" name="Check Box 159">
              <controlPr defaultSize="0" autoFill="0" autoLine="0" autoPict="0">
                <anchor moveWithCells="1" sizeWithCells="1">
                  <from>
                    <xdr:col>0</xdr:col>
                    <xdr:colOff>19050</xdr:colOff>
                    <xdr:row>282</xdr:row>
                    <xdr:rowOff>123825</xdr:rowOff>
                  </from>
                  <to>
                    <xdr:col>1</xdr:col>
                    <xdr:colOff>0</xdr:colOff>
                    <xdr:row>284</xdr:row>
                    <xdr:rowOff>38100</xdr:rowOff>
                  </to>
                </anchor>
              </controlPr>
            </control>
          </mc:Choice>
        </mc:AlternateContent>
        <mc:AlternateContent xmlns:mc="http://schemas.openxmlformats.org/markup-compatibility/2006">
          <mc:Choice Requires="x14">
            <control shapeId="81061" r:id="rId149" name="CommandButton">
              <controlPr defaultSize="0" print="0" autoFill="0" autoLine="0" autoPict="0" macro="[0]!enablecycles">
                <anchor moveWithCells="1" sizeWithCells="1">
                  <from>
                    <xdr:col>4</xdr:col>
                    <xdr:colOff>57150</xdr:colOff>
                    <xdr:row>51</xdr:row>
                    <xdr:rowOff>9525</xdr:rowOff>
                  </from>
                  <to>
                    <xdr:col>5</xdr:col>
                    <xdr:colOff>619125</xdr:colOff>
                    <xdr:row>51</xdr:row>
                    <xdr:rowOff>361950</xdr:rowOff>
                  </to>
                </anchor>
              </controlPr>
            </control>
          </mc:Choice>
        </mc:AlternateContent>
        <mc:AlternateContent xmlns:mc="http://schemas.openxmlformats.org/markup-compatibility/2006">
          <mc:Choice Requires="x14">
            <control shapeId="81062" r:id="rId150" name="Button 166">
              <controlPr defaultSize="0" print="0" autoFill="0" autoLine="0" autoPict="0" macro="[0]!disablecycles">
                <anchor moveWithCells="1" sizeWithCells="1">
                  <from>
                    <xdr:col>5</xdr:col>
                    <xdr:colOff>657225</xdr:colOff>
                    <xdr:row>51</xdr:row>
                    <xdr:rowOff>9525</xdr:rowOff>
                  </from>
                  <to>
                    <xdr:col>7</xdr:col>
                    <xdr:colOff>457200</xdr:colOff>
                    <xdr:row>51</xdr:row>
                    <xdr:rowOff>361950</xdr:rowOff>
                  </to>
                </anchor>
              </controlPr>
            </control>
          </mc:Choice>
        </mc:AlternateContent>
        <mc:AlternateContent xmlns:mc="http://schemas.openxmlformats.org/markup-compatibility/2006">
          <mc:Choice Requires="x14">
            <control shapeId="81072" r:id="rId151" name="Button 176">
              <controlPr defaultSize="0" print="0" autoFill="0" autoLine="0" autoPict="0" macro="[0]!save_dps">
                <anchor moveWithCells="1" sizeWithCells="1">
                  <from>
                    <xdr:col>10</xdr:col>
                    <xdr:colOff>38100</xdr:colOff>
                    <xdr:row>51</xdr:row>
                    <xdr:rowOff>19050</xdr:rowOff>
                  </from>
                  <to>
                    <xdr:col>10</xdr:col>
                    <xdr:colOff>1019175</xdr:colOff>
                    <xdr:row>51</xdr:row>
                    <xdr:rowOff>361950</xdr:rowOff>
                  </to>
                </anchor>
              </controlPr>
            </control>
          </mc:Choice>
        </mc:AlternateContent>
        <mc:AlternateContent xmlns:mc="http://schemas.openxmlformats.org/markup-compatibility/2006">
          <mc:Choice Requires="x14">
            <control shapeId="81073" r:id="rId152" name="Check Box 177">
              <controlPr defaultSize="0" autoFill="0" autoLine="0" autoPict="0">
                <anchor moveWithCells="1" sizeWithCells="1">
                  <from>
                    <xdr:col>0</xdr:col>
                    <xdr:colOff>19050</xdr:colOff>
                    <xdr:row>100</xdr:row>
                    <xdr:rowOff>0</xdr:rowOff>
                  </from>
                  <to>
                    <xdr:col>1</xdr:col>
                    <xdr:colOff>66675</xdr:colOff>
                    <xdr:row>101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dimension ref="A1:D500"/>
  <sheetViews>
    <sheetView workbookViewId="0">
      <pane ySplit="1" topLeftCell="A2" activePane="bottomLeft" state="frozen"/>
      <selection pane="bottomLeft" activeCell="C1" sqref="C1"/>
    </sheetView>
  </sheetViews>
  <sheetFormatPr defaultColWidth="11.42578125" defaultRowHeight="12.75"/>
  <cols>
    <col min="1" max="1" width="27.85546875" customWidth="1"/>
    <col min="2" max="2" width="10.7109375" bestFit="1" customWidth="1"/>
    <col min="3" max="3" width="15.140625" style="25" customWidth="1"/>
    <col min="4" max="4" width="11.28515625" style="25" customWidth="1"/>
    <col min="5" max="5" width="11.42578125" customWidth="1"/>
    <col min="6" max="6" width="10.5703125" customWidth="1"/>
  </cols>
  <sheetData>
    <row r="1" spans="1:4" ht="13.5" thickBot="1">
      <c r="A1" s="1153" t="s">
        <v>1666</v>
      </c>
      <c r="B1" s="1153" t="s">
        <v>1660</v>
      </c>
      <c r="C1" s="1153" t="s">
        <v>3037</v>
      </c>
      <c r="D1" s="1153" t="s">
        <v>666</v>
      </c>
    </row>
    <row r="2" spans="1:4">
      <c r="C2"/>
      <c r="D2"/>
    </row>
    <row r="3" spans="1:4">
      <c r="C3"/>
      <c r="D3"/>
    </row>
    <row r="4" spans="1:4">
      <c r="C4"/>
      <c r="D4"/>
    </row>
    <row r="5" spans="1:4">
      <c r="C5"/>
      <c r="D5"/>
    </row>
    <row r="6" spans="1:4">
      <c r="C6"/>
      <c r="D6"/>
    </row>
    <row r="7" spans="1:4">
      <c r="C7"/>
      <c r="D7"/>
    </row>
    <row r="8" spans="1:4">
      <c r="C8"/>
      <c r="D8"/>
    </row>
    <row r="9" spans="1:4">
      <c r="C9"/>
      <c r="D9"/>
    </row>
    <row r="10" spans="1:4">
      <c r="C10"/>
      <c r="D10"/>
    </row>
    <row r="11" spans="1:4">
      <c r="C11"/>
      <c r="D11"/>
    </row>
    <row r="12" spans="1:4">
      <c r="C12"/>
      <c r="D12"/>
    </row>
    <row r="13" spans="1:4">
      <c r="C13"/>
      <c r="D13"/>
    </row>
    <row r="14" spans="1:4">
      <c r="C14"/>
      <c r="D14"/>
    </row>
    <row r="15" spans="1:4">
      <c r="C15"/>
      <c r="D15"/>
    </row>
    <row r="16" spans="1:4">
      <c r="C16"/>
      <c r="D16"/>
    </row>
    <row r="17" spans="3:4">
      <c r="C17"/>
      <c r="D17"/>
    </row>
    <row r="18" spans="3:4">
      <c r="C18"/>
      <c r="D18"/>
    </row>
    <row r="19" spans="3:4">
      <c r="C19"/>
      <c r="D19"/>
    </row>
    <row r="20" spans="3:4">
      <c r="C20"/>
      <c r="D20"/>
    </row>
    <row r="21" spans="3:4">
      <c r="C21"/>
      <c r="D21"/>
    </row>
    <row r="22" spans="3:4">
      <c r="C22"/>
      <c r="D22"/>
    </row>
    <row r="23" spans="3:4">
      <c r="C23"/>
      <c r="D23"/>
    </row>
    <row r="24" spans="3:4">
      <c r="C24"/>
      <c r="D24"/>
    </row>
    <row r="25" spans="3:4">
      <c r="C25"/>
      <c r="D25"/>
    </row>
    <row r="26" spans="3:4">
      <c r="C26"/>
      <c r="D26"/>
    </row>
    <row r="27" spans="3:4">
      <c r="C27"/>
      <c r="D27"/>
    </row>
    <row r="28" spans="3:4">
      <c r="C28"/>
      <c r="D28"/>
    </row>
    <row r="29" spans="3:4">
      <c r="C29"/>
      <c r="D29"/>
    </row>
    <row r="30" spans="3:4">
      <c r="C30"/>
      <c r="D30"/>
    </row>
    <row r="31" spans="3:4">
      <c r="C31"/>
      <c r="D31"/>
    </row>
    <row r="32" spans="3:4">
      <c r="C32"/>
      <c r="D32"/>
    </row>
    <row r="33" spans="3:4">
      <c r="C33"/>
      <c r="D33"/>
    </row>
    <row r="34" spans="3:4">
      <c r="C34"/>
      <c r="D34"/>
    </row>
    <row r="35" spans="3:4">
      <c r="C35"/>
      <c r="D35"/>
    </row>
    <row r="36" spans="3:4">
      <c r="C36"/>
      <c r="D36"/>
    </row>
    <row r="37" spans="3:4">
      <c r="C37"/>
      <c r="D37"/>
    </row>
    <row r="38" spans="3:4">
      <c r="C38"/>
      <c r="D38"/>
    </row>
    <row r="39" spans="3:4">
      <c r="C39"/>
      <c r="D39"/>
    </row>
    <row r="40" spans="3:4">
      <c r="C40"/>
      <c r="D40"/>
    </row>
    <row r="41" spans="3:4">
      <c r="C41"/>
      <c r="D41"/>
    </row>
    <row r="42" spans="3:4">
      <c r="C42"/>
      <c r="D42"/>
    </row>
    <row r="43" spans="3:4">
      <c r="C43"/>
      <c r="D43"/>
    </row>
    <row r="44" spans="3:4">
      <c r="C44"/>
      <c r="D44"/>
    </row>
    <row r="45" spans="3:4">
      <c r="C45"/>
      <c r="D45"/>
    </row>
    <row r="46" spans="3:4">
      <c r="C46"/>
      <c r="D46"/>
    </row>
    <row r="47" spans="3:4">
      <c r="C47"/>
      <c r="D47"/>
    </row>
    <row r="48" spans="3:4">
      <c r="C48"/>
      <c r="D48"/>
    </row>
    <row r="49" spans="3:4">
      <c r="C49"/>
      <c r="D49"/>
    </row>
    <row r="50" spans="3:4">
      <c r="C50"/>
      <c r="D50"/>
    </row>
    <row r="51" spans="3:4">
      <c r="C51"/>
      <c r="D51"/>
    </row>
    <row r="52" spans="3:4">
      <c r="C52"/>
      <c r="D52"/>
    </row>
    <row r="53" spans="3:4">
      <c r="C53"/>
      <c r="D53"/>
    </row>
    <row r="54" spans="3:4">
      <c r="C54"/>
      <c r="D54"/>
    </row>
    <row r="55" spans="3:4">
      <c r="C55"/>
      <c r="D55"/>
    </row>
    <row r="56" spans="3:4">
      <c r="C56"/>
      <c r="D56"/>
    </row>
    <row r="57" spans="3:4">
      <c r="C57"/>
      <c r="D57"/>
    </row>
    <row r="58" spans="3:4">
      <c r="C58"/>
      <c r="D58"/>
    </row>
    <row r="59" spans="3:4">
      <c r="C59"/>
      <c r="D59"/>
    </row>
    <row r="60" spans="3:4">
      <c r="C60"/>
      <c r="D60"/>
    </row>
    <row r="61" spans="3:4">
      <c r="C61"/>
      <c r="D61"/>
    </row>
    <row r="62" spans="3:4">
      <c r="C62"/>
      <c r="D62"/>
    </row>
    <row r="63" spans="3:4">
      <c r="C63"/>
      <c r="D63"/>
    </row>
    <row r="64" spans="3:4">
      <c r="C64"/>
      <c r="D64"/>
    </row>
    <row r="65" spans="3:4">
      <c r="C65"/>
      <c r="D65"/>
    </row>
    <row r="66" spans="3:4">
      <c r="C66"/>
      <c r="D66"/>
    </row>
    <row r="67" spans="3:4">
      <c r="C67"/>
      <c r="D67"/>
    </row>
    <row r="68" spans="3:4">
      <c r="C68"/>
      <c r="D68"/>
    </row>
    <row r="69" spans="3:4">
      <c r="C69"/>
      <c r="D69"/>
    </row>
    <row r="70" spans="3:4">
      <c r="C70"/>
      <c r="D70"/>
    </row>
    <row r="71" spans="3:4">
      <c r="C71"/>
      <c r="D71"/>
    </row>
    <row r="72" spans="3:4">
      <c r="C72"/>
      <c r="D72"/>
    </row>
    <row r="73" spans="3:4">
      <c r="C73"/>
      <c r="D73"/>
    </row>
    <row r="74" spans="3:4">
      <c r="C74"/>
      <c r="D74"/>
    </row>
    <row r="75" spans="3:4">
      <c r="C75"/>
      <c r="D75"/>
    </row>
    <row r="76" spans="3:4">
      <c r="C76"/>
      <c r="D76"/>
    </row>
    <row r="77" spans="3:4">
      <c r="C77"/>
      <c r="D77"/>
    </row>
    <row r="78" spans="3:4">
      <c r="C78"/>
      <c r="D78"/>
    </row>
    <row r="79" spans="3:4">
      <c r="C79"/>
      <c r="D79"/>
    </row>
    <row r="80" spans="3:4">
      <c r="C80"/>
      <c r="D80"/>
    </row>
    <row r="81" spans="3:4">
      <c r="C81"/>
      <c r="D81"/>
    </row>
    <row r="82" spans="3:4">
      <c r="C82"/>
      <c r="D82"/>
    </row>
    <row r="83" spans="3:4">
      <c r="C83"/>
      <c r="D83"/>
    </row>
    <row r="84" spans="3:4">
      <c r="C84"/>
      <c r="D84"/>
    </row>
    <row r="85" spans="3:4">
      <c r="C85"/>
      <c r="D85"/>
    </row>
    <row r="86" spans="3:4">
      <c r="C86"/>
      <c r="D86"/>
    </row>
    <row r="87" spans="3:4">
      <c r="C87"/>
      <c r="D87"/>
    </row>
    <row r="88" spans="3:4">
      <c r="C88"/>
      <c r="D88"/>
    </row>
    <row r="89" spans="3:4">
      <c r="C89"/>
      <c r="D89"/>
    </row>
    <row r="90" spans="3:4">
      <c r="C90"/>
      <c r="D90"/>
    </row>
    <row r="91" spans="3:4">
      <c r="C91"/>
      <c r="D91"/>
    </row>
    <row r="92" spans="3:4">
      <c r="C92"/>
      <c r="D92"/>
    </row>
    <row r="93" spans="3:4">
      <c r="C93"/>
      <c r="D93"/>
    </row>
    <row r="94" spans="3:4">
      <c r="C94"/>
      <c r="D94"/>
    </row>
    <row r="95" spans="3:4">
      <c r="C95"/>
      <c r="D95"/>
    </row>
    <row r="96" spans="3:4">
      <c r="C96"/>
      <c r="D96"/>
    </row>
    <row r="97" spans="3:4">
      <c r="C97"/>
      <c r="D97"/>
    </row>
    <row r="98" spans="3:4">
      <c r="C98"/>
      <c r="D98"/>
    </row>
    <row r="99" spans="3:4">
      <c r="C99"/>
      <c r="D99"/>
    </row>
    <row r="100" spans="3:4">
      <c r="C100"/>
      <c r="D100"/>
    </row>
    <row r="101" spans="3:4">
      <c r="C101"/>
      <c r="D101"/>
    </row>
    <row r="102" spans="3:4">
      <c r="C102"/>
      <c r="D102"/>
    </row>
    <row r="103" spans="3:4">
      <c r="C103"/>
      <c r="D103"/>
    </row>
    <row r="104" spans="3:4">
      <c r="C104"/>
      <c r="D104"/>
    </row>
    <row r="105" spans="3:4">
      <c r="C105"/>
      <c r="D105"/>
    </row>
    <row r="106" spans="3:4">
      <c r="C106"/>
      <c r="D106"/>
    </row>
    <row r="107" spans="3:4">
      <c r="C107"/>
      <c r="D107"/>
    </row>
    <row r="108" spans="3:4">
      <c r="C108"/>
      <c r="D108"/>
    </row>
    <row r="109" spans="3:4">
      <c r="C109"/>
      <c r="D109"/>
    </row>
    <row r="110" spans="3:4">
      <c r="C110"/>
      <c r="D110"/>
    </row>
    <row r="111" spans="3:4">
      <c r="C111"/>
      <c r="D111"/>
    </row>
    <row r="112" spans="3:4">
      <c r="C112"/>
      <c r="D112"/>
    </row>
    <row r="113" spans="3:4">
      <c r="C113"/>
      <c r="D113"/>
    </row>
    <row r="114" spans="3:4">
      <c r="C114"/>
      <c r="D114"/>
    </row>
    <row r="115" spans="3:4">
      <c r="C115"/>
      <c r="D115"/>
    </row>
    <row r="116" spans="3:4">
      <c r="C116"/>
      <c r="D116"/>
    </row>
    <row r="117" spans="3:4">
      <c r="C117"/>
      <c r="D117"/>
    </row>
    <row r="118" spans="3:4">
      <c r="C118"/>
      <c r="D118"/>
    </row>
    <row r="119" spans="3:4">
      <c r="C119"/>
      <c r="D119"/>
    </row>
    <row r="120" spans="3:4">
      <c r="C120"/>
      <c r="D120"/>
    </row>
    <row r="121" spans="3:4">
      <c r="C121"/>
      <c r="D121"/>
    </row>
    <row r="122" spans="3:4">
      <c r="C122"/>
      <c r="D122"/>
    </row>
    <row r="123" spans="3:4">
      <c r="C123"/>
      <c r="D123"/>
    </row>
    <row r="124" spans="3:4">
      <c r="C124"/>
      <c r="D124"/>
    </row>
    <row r="125" spans="3:4">
      <c r="C125"/>
      <c r="D125"/>
    </row>
    <row r="126" spans="3:4">
      <c r="C126"/>
      <c r="D126"/>
    </row>
    <row r="127" spans="3:4">
      <c r="C127"/>
      <c r="D127"/>
    </row>
    <row r="128" spans="3:4">
      <c r="C128"/>
      <c r="D128"/>
    </row>
    <row r="129" spans="3:4">
      <c r="C129"/>
      <c r="D129"/>
    </row>
    <row r="130" spans="3:4">
      <c r="C130"/>
      <c r="D130"/>
    </row>
    <row r="131" spans="3:4">
      <c r="C131"/>
      <c r="D131"/>
    </row>
    <row r="132" spans="3:4">
      <c r="C132"/>
      <c r="D132"/>
    </row>
    <row r="133" spans="3:4">
      <c r="C133"/>
      <c r="D133"/>
    </row>
    <row r="134" spans="3:4">
      <c r="C134"/>
      <c r="D134"/>
    </row>
    <row r="135" spans="3:4">
      <c r="C135"/>
      <c r="D135"/>
    </row>
    <row r="136" spans="3:4">
      <c r="C136"/>
      <c r="D136"/>
    </row>
    <row r="137" spans="3:4">
      <c r="C137"/>
      <c r="D137"/>
    </row>
    <row r="138" spans="3:4">
      <c r="C138"/>
      <c r="D138"/>
    </row>
    <row r="139" spans="3:4">
      <c r="C139"/>
      <c r="D139"/>
    </row>
    <row r="140" spans="3:4">
      <c r="C140"/>
      <c r="D140"/>
    </row>
    <row r="141" spans="3:4">
      <c r="C141"/>
      <c r="D141"/>
    </row>
    <row r="142" spans="3:4">
      <c r="C142"/>
      <c r="D142"/>
    </row>
    <row r="143" spans="3:4">
      <c r="C143"/>
      <c r="D143"/>
    </row>
    <row r="144" spans="3:4">
      <c r="C144"/>
      <c r="D144"/>
    </row>
    <row r="145" spans="3:4">
      <c r="C145"/>
      <c r="D145"/>
    </row>
    <row r="146" spans="3:4">
      <c r="C146"/>
      <c r="D146"/>
    </row>
    <row r="147" spans="3:4">
      <c r="C147"/>
      <c r="D147"/>
    </row>
    <row r="148" spans="3:4">
      <c r="C148"/>
      <c r="D148"/>
    </row>
    <row r="149" spans="3:4">
      <c r="C149"/>
      <c r="D149"/>
    </row>
    <row r="150" spans="3:4">
      <c r="C150"/>
      <c r="D150"/>
    </row>
    <row r="151" spans="3:4">
      <c r="C151"/>
      <c r="D151"/>
    </row>
    <row r="152" spans="3:4">
      <c r="C152"/>
      <c r="D152"/>
    </row>
    <row r="153" spans="3:4">
      <c r="C153"/>
      <c r="D153"/>
    </row>
    <row r="154" spans="3:4">
      <c r="C154"/>
      <c r="D154"/>
    </row>
    <row r="155" spans="3:4">
      <c r="C155"/>
      <c r="D155"/>
    </row>
    <row r="156" spans="3:4">
      <c r="C156"/>
      <c r="D156"/>
    </row>
    <row r="157" spans="3:4">
      <c r="C157"/>
      <c r="D157"/>
    </row>
    <row r="158" spans="3:4">
      <c r="C158"/>
      <c r="D158"/>
    </row>
    <row r="159" spans="3:4">
      <c r="C159"/>
      <c r="D159"/>
    </row>
    <row r="160" spans="3:4">
      <c r="C160"/>
      <c r="D160"/>
    </row>
    <row r="161" spans="3:4">
      <c r="C161"/>
      <c r="D161"/>
    </row>
    <row r="162" spans="3:4">
      <c r="C162"/>
      <c r="D162"/>
    </row>
    <row r="163" spans="3:4">
      <c r="C163"/>
      <c r="D163"/>
    </row>
    <row r="164" spans="3:4">
      <c r="C164"/>
      <c r="D164"/>
    </row>
    <row r="165" spans="3:4">
      <c r="C165"/>
      <c r="D165"/>
    </row>
    <row r="166" spans="3:4">
      <c r="C166"/>
      <c r="D166"/>
    </row>
    <row r="167" spans="3:4">
      <c r="C167"/>
      <c r="D167"/>
    </row>
    <row r="168" spans="3:4">
      <c r="C168"/>
      <c r="D168"/>
    </row>
    <row r="169" spans="3:4">
      <c r="C169"/>
      <c r="D169"/>
    </row>
    <row r="170" spans="3:4">
      <c r="C170"/>
      <c r="D170"/>
    </row>
    <row r="171" spans="3:4">
      <c r="C171"/>
      <c r="D171"/>
    </row>
    <row r="172" spans="3:4">
      <c r="C172"/>
      <c r="D172"/>
    </row>
    <row r="173" spans="3:4">
      <c r="C173"/>
      <c r="D173"/>
    </row>
    <row r="174" spans="3:4">
      <c r="C174"/>
      <c r="D174"/>
    </row>
    <row r="175" spans="3:4">
      <c r="C175"/>
      <c r="D175"/>
    </row>
    <row r="176" spans="3:4">
      <c r="C176"/>
      <c r="D176"/>
    </row>
    <row r="177" spans="3:4">
      <c r="C177"/>
      <c r="D177"/>
    </row>
    <row r="178" spans="3:4">
      <c r="C178"/>
      <c r="D178"/>
    </row>
    <row r="179" spans="3:4">
      <c r="C179"/>
      <c r="D179"/>
    </row>
    <row r="180" spans="3:4">
      <c r="C180"/>
      <c r="D180"/>
    </row>
    <row r="181" spans="3:4">
      <c r="C181"/>
      <c r="D181"/>
    </row>
    <row r="182" spans="3:4">
      <c r="C182"/>
      <c r="D182"/>
    </row>
    <row r="183" spans="3:4">
      <c r="C183"/>
      <c r="D183"/>
    </row>
    <row r="184" spans="3:4">
      <c r="C184"/>
      <c r="D184"/>
    </row>
    <row r="185" spans="3:4">
      <c r="C185"/>
      <c r="D185"/>
    </row>
    <row r="186" spans="3:4">
      <c r="C186"/>
      <c r="D186"/>
    </row>
    <row r="187" spans="3:4">
      <c r="C187"/>
      <c r="D187"/>
    </row>
    <row r="188" spans="3:4">
      <c r="C188"/>
      <c r="D188"/>
    </row>
    <row r="189" spans="3:4">
      <c r="C189"/>
      <c r="D189"/>
    </row>
    <row r="190" spans="3:4">
      <c r="C190"/>
      <c r="D190"/>
    </row>
    <row r="191" spans="3:4">
      <c r="C191"/>
      <c r="D191"/>
    </row>
    <row r="192" spans="3:4">
      <c r="C192"/>
      <c r="D192"/>
    </row>
    <row r="193" spans="3:4">
      <c r="C193"/>
      <c r="D193"/>
    </row>
    <row r="194" spans="3:4">
      <c r="C194"/>
      <c r="D194"/>
    </row>
    <row r="195" spans="3:4">
      <c r="C195"/>
      <c r="D195"/>
    </row>
    <row r="196" spans="3:4">
      <c r="C196"/>
      <c r="D196"/>
    </row>
    <row r="197" spans="3:4">
      <c r="C197"/>
      <c r="D197"/>
    </row>
    <row r="198" spans="3:4">
      <c r="C198"/>
      <c r="D198"/>
    </row>
    <row r="199" spans="3:4">
      <c r="C199"/>
      <c r="D199"/>
    </row>
    <row r="200" spans="3:4">
      <c r="C200"/>
      <c r="D200"/>
    </row>
    <row r="201" spans="3:4">
      <c r="C201"/>
      <c r="D201"/>
    </row>
    <row r="202" spans="3:4">
      <c r="C202"/>
      <c r="D202"/>
    </row>
    <row r="203" spans="3:4">
      <c r="C203"/>
      <c r="D203"/>
    </row>
    <row r="204" spans="3:4">
      <c r="C204"/>
      <c r="D204"/>
    </row>
    <row r="205" spans="3:4">
      <c r="C205"/>
      <c r="D205"/>
    </row>
    <row r="206" spans="3:4">
      <c r="C206"/>
      <c r="D206"/>
    </row>
    <row r="207" spans="3:4">
      <c r="C207"/>
      <c r="D207"/>
    </row>
    <row r="208" spans="3:4">
      <c r="C208"/>
      <c r="D208"/>
    </row>
    <row r="209" spans="3:4">
      <c r="C209"/>
      <c r="D209"/>
    </row>
    <row r="210" spans="3:4">
      <c r="C210"/>
      <c r="D210"/>
    </row>
    <row r="211" spans="3:4">
      <c r="C211"/>
      <c r="D211"/>
    </row>
    <row r="212" spans="3:4">
      <c r="C212"/>
      <c r="D212"/>
    </row>
    <row r="213" spans="3:4">
      <c r="C213"/>
      <c r="D213"/>
    </row>
    <row r="214" spans="3:4">
      <c r="C214"/>
      <c r="D214"/>
    </row>
    <row r="215" spans="3:4">
      <c r="C215"/>
      <c r="D215"/>
    </row>
    <row r="216" spans="3:4">
      <c r="C216"/>
      <c r="D216"/>
    </row>
    <row r="217" spans="3:4">
      <c r="C217"/>
      <c r="D217"/>
    </row>
    <row r="218" spans="3:4">
      <c r="C218"/>
      <c r="D218"/>
    </row>
    <row r="219" spans="3:4">
      <c r="C219"/>
      <c r="D219"/>
    </row>
    <row r="220" spans="3:4">
      <c r="C220"/>
      <c r="D220"/>
    </row>
    <row r="221" spans="3:4">
      <c r="C221"/>
      <c r="D221"/>
    </row>
    <row r="222" spans="3:4">
      <c r="C222"/>
      <c r="D222"/>
    </row>
    <row r="223" spans="3:4">
      <c r="C223"/>
      <c r="D223"/>
    </row>
    <row r="224" spans="3:4">
      <c r="C224"/>
      <c r="D224"/>
    </row>
    <row r="225" spans="3:4">
      <c r="C225"/>
      <c r="D225"/>
    </row>
    <row r="226" spans="3:4">
      <c r="C226"/>
      <c r="D226"/>
    </row>
    <row r="227" spans="3:4">
      <c r="C227"/>
      <c r="D227"/>
    </row>
    <row r="228" spans="3:4">
      <c r="C228"/>
      <c r="D228"/>
    </row>
    <row r="229" spans="3:4">
      <c r="C229"/>
      <c r="D229"/>
    </row>
    <row r="230" spans="3:4">
      <c r="C230"/>
      <c r="D230"/>
    </row>
    <row r="231" spans="3:4">
      <c r="C231"/>
      <c r="D231"/>
    </row>
    <row r="232" spans="3:4">
      <c r="C232"/>
      <c r="D232"/>
    </row>
    <row r="233" spans="3:4">
      <c r="C233"/>
      <c r="D233"/>
    </row>
    <row r="234" spans="3:4">
      <c r="C234"/>
      <c r="D234"/>
    </row>
    <row r="235" spans="3:4">
      <c r="C235"/>
      <c r="D235"/>
    </row>
    <row r="236" spans="3:4">
      <c r="C236"/>
      <c r="D236"/>
    </row>
    <row r="237" spans="3:4">
      <c r="C237"/>
      <c r="D237"/>
    </row>
    <row r="238" spans="3:4">
      <c r="C238"/>
      <c r="D238"/>
    </row>
    <row r="239" spans="3:4">
      <c r="C239"/>
      <c r="D239"/>
    </row>
    <row r="240" spans="3:4">
      <c r="C240"/>
      <c r="D240"/>
    </row>
    <row r="241" spans="3:4">
      <c r="C241"/>
      <c r="D241"/>
    </row>
    <row r="242" spans="3:4">
      <c r="C242"/>
      <c r="D242"/>
    </row>
    <row r="243" spans="3:4">
      <c r="C243"/>
      <c r="D243"/>
    </row>
    <row r="244" spans="3:4">
      <c r="C244"/>
      <c r="D244"/>
    </row>
    <row r="245" spans="3:4">
      <c r="C245"/>
      <c r="D245"/>
    </row>
    <row r="246" spans="3:4">
      <c r="C246"/>
      <c r="D246"/>
    </row>
    <row r="247" spans="3:4">
      <c r="C247"/>
      <c r="D247"/>
    </row>
    <row r="248" spans="3:4">
      <c r="C248"/>
      <c r="D248"/>
    </row>
    <row r="249" spans="3:4">
      <c r="C249"/>
      <c r="D249"/>
    </row>
    <row r="250" spans="3:4">
      <c r="C250"/>
      <c r="D250"/>
    </row>
    <row r="251" spans="3:4">
      <c r="C251"/>
      <c r="D251"/>
    </row>
    <row r="252" spans="3:4">
      <c r="C252"/>
      <c r="D252"/>
    </row>
    <row r="253" spans="3:4">
      <c r="C253"/>
      <c r="D253"/>
    </row>
    <row r="254" spans="3:4">
      <c r="C254"/>
      <c r="D254"/>
    </row>
    <row r="255" spans="3:4">
      <c r="C255"/>
      <c r="D255"/>
    </row>
    <row r="256" spans="3:4">
      <c r="C256"/>
      <c r="D256"/>
    </row>
    <row r="257" spans="3:4">
      <c r="C257"/>
      <c r="D257"/>
    </row>
    <row r="258" spans="3:4">
      <c r="C258"/>
      <c r="D258"/>
    </row>
    <row r="259" spans="3:4">
      <c r="C259"/>
      <c r="D259"/>
    </row>
    <row r="260" spans="3:4">
      <c r="C260"/>
      <c r="D260"/>
    </row>
    <row r="261" spans="3:4">
      <c r="C261"/>
      <c r="D261"/>
    </row>
    <row r="262" spans="3:4">
      <c r="C262"/>
      <c r="D262"/>
    </row>
    <row r="263" spans="3:4">
      <c r="C263"/>
      <c r="D263"/>
    </row>
    <row r="264" spans="3:4">
      <c r="C264"/>
      <c r="D264"/>
    </row>
    <row r="265" spans="3:4">
      <c r="C265"/>
      <c r="D265"/>
    </row>
    <row r="266" spans="3:4">
      <c r="C266"/>
      <c r="D266"/>
    </row>
    <row r="267" spans="3:4">
      <c r="C267"/>
      <c r="D267"/>
    </row>
    <row r="268" spans="3:4">
      <c r="C268"/>
      <c r="D268"/>
    </row>
    <row r="269" spans="3:4">
      <c r="C269"/>
      <c r="D269"/>
    </row>
    <row r="270" spans="3:4">
      <c r="C270"/>
      <c r="D270"/>
    </row>
    <row r="271" spans="3:4">
      <c r="C271"/>
      <c r="D271"/>
    </row>
    <row r="272" spans="3:4">
      <c r="C272"/>
      <c r="D272"/>
    </row>
    <row r="273" spans="3:4">
      <c r="C273"/>
      <c r="D273"/>
    </row>
    <row r="274" spans="3:4">
      <c r="C274"/>
      <c r="D274"/>
    </row>
    <row r="275" spans="3:4">
      <c r="C275"/>
      <c r="D275"/>
    </row>
    <row r="276" spans="3:4">
      <c r="C276"/>
      <c r="D276"/>
    </row>
    <row r="277" spans="3:4">
      <c r="C277"/>
      <c r="D277"/>
    </row>
    <row r="278" spans="3:4">
      <c r="C278"/>
      <c r="D278"/>
    </row>
    <row r="279" spans="3:4">
      <c r="C279"/>
      <c r="D279"/>
    </row>
    <row r="280" spans="3:4">
      <c r="C280"/>
      <c r="D280"/>
    </row>
    <row r="281" spans="3:4">
      <c r="C281"/>
      <c r="D281"/>
    </row>
    <row r="282" spans="3:4">
      <c r="C282"/>
      <c r="D282"/>
    </row>
    <row r="283" spans="3:4">
      <c r="C283"/>
      <c r="D283"/>
    </row>
    <row r="284" spans="3:4">
      <c r="C284"/>
      <c r="D284"/>
    </row>
    <row r="285" spans="3:4">
      <c r="C285"/>
      <c r="D285"/>
    </row>
    <row r="286" spans="3:4">
      <c r="C286"/>
      <c r="D286"/>
    </row>
    <row r="287" spans="3:4">
      <c r="C287"/>
      <c r="D287"/>
    </row>
    <row r="288" spans="3:4">
      <c r="C288"/>
      <c r="D288"/>
    </row>
    <row r="289" spans="3:4">
      <c r="C289"/>
      <c r="D289"/>
    </row>
    <row r="290" spans="3:4">
      <c r="C290"/>
      <c r="D290"/>
    </row>
    <row r="291" spans="3:4">
      <c r="C291"/>
      <c r="D291"/>
    </row>
    <row r="292" spans="3:4">
      <c r="C292"/>
      <c r="D292"/>
    </row>
    <row r="293" spans="3:4">
      <c r="C293"/>
      <c r="D293"/>
    </row>
    <row r="294" spans="3:4">
      <c r="C294"/>
      <c r="D294"/>
    </row>
    <row r="295" spans="3:4">
      <c r="C295"/>
      <c r="D295"/>
    </row>
    <row r="296" spans="3:4">
      <c r="C296"/>
      <c r="D296"/>
    </row>
    <row r="297" spans="3:4">
      <c r="C297"/>
      <c r="D297"/>
    </row>
    <row r="298" spans="3:4">
      <c r="C298"/>
      <c r="D298"/>
    </row>
    <row r="299" spans="3:4">
      <c r="C299"/>
      <c r="D299"/>
    </row>
    <row r="300" spans="3:4">
      <c r="C300"/>
      <c r="D300"/>
    </row>
    <row r="301" spans="3:4">
      <c r="C301"/>
      <c r="D301"/>
    </row>
    <row r="302" spans="3:4">
      <c r="C302"/>
      <c r="D302"/>
    </row>
    <row r="303" spans="3:4">
      <c r="C303"/>
      <c r="D303"/>
    </row>
    <row r="304" spans="3:4">
      <c r="C304"/>
      <c r="D304"/>
    </row>
    <row r="305" spans="3:4">
      <c r="C305"/>
      <c r="D305"/>
    </row>
    <row r="306" spans="3:4">
      <c r="C306"/>
      <c r="D306"/>
    </row>
    <row r="307" spans="3:4">
      <c r="C307"/>
      <c r="D307"/>
    </row>
    <row r="308" spans="3:4">
      <c r="C308"/>
      <c r="D308"/>
    </row>
    <row r="309" spans="3:4">
      <c r="C309"/>
      <c r="D309"/>
    </row>
    <row r="310" spans="3:4">
      <c r="C310"/>
      <c r="D310"/>
    </row>
    <row r="311" spans="3:4">
      <c r="C311"/>
      <c r="D311"/>
    </row>
    <row r="312" spans="3:4">
      <c r="C312"/>
      <c r="D312"/>
    </row>
    <row r="313" spans="3:4">
      <c r="C313"/>
      <c r="D313"/>
    </row>
    <row r="314" spans="3:4">
      <c r="C314"/>
      <c r="D314"/>
    </row>
    <row r="315" spans="3:4">
      <c r="C315"/>
      <c r="D315"/>
    </row>
    <row r="316" spans="3:4">
      <c r="C316"/>
      <c r="D316"/>
    </row>
    <row r="317" spans="3:4">
      <c r="C317"/>
      <c r="D317"/>
    </row>
    <row r="318" spans="3:4">
      <c r="C318"/>
      <c r="D318"/>
    </row>
    <row r="319" spans="3:4">
      <c r="C319"/>
      <c r="D319"/>
    </row>
    <row r="320" spans="3:4">
      <c r="C320"/>
      <c r="D320"/>
    </row>
    <row r="321" spans="3:4">
      <c r="C321"/>
      <c r="D321"/>
    </row>
    <row r="322" spans="3:4">
      <c r="C322"/>
      <c r="D322"/>
    </row>
    <row r="323" spans="3:4">
      <c r="C323"/>
      <c r="D323"/>
    </row>
    <row r="324" spans="3:4">
      <c r="C324"/>
      <c r="D324"/>
    </row>
    <row r="325" spans="3:4">
      <c r="C325"/>
      <c r="D325"/>
    </row>
    <row r="326" spans="3:4">
      <c r="C326"/>
      <c r="D326"/>
    </row>
    <row r="327" spans="3:4">
      <c r="C327"/>
      <c r="D327"/>
    </row>
    <row r="328" spans="3:4">
      <c r="C328"/>
      <c r="D328"/>
    </row>
    <row r="329" spans="3:4">
      <c r="C329"/>
      <c r="D329"/>
    </row>
    <row r="330" spans="3:4">
      <c r="C330"/>
      <c r="D330"/>
    </row>
    <row r="331" spans="3:4">
      <c r="C331"/>
      <c r="D331"/>
    </row>
    <row r="332" spans="3:4">
      <c r="C332"/>
      <c r="D332"/>
    </row>
    <row r="333" spans="3:4">
      <c r="C333"/>
      <c r="D333"/>
    </row>
    <row r="334" spans="3:4">
      <c r="C334"/>
      <c r="D334"/>
    </row>
    <row r="335" spans="3:4">
      <c r="C335"/>
      <c r="D335"/>
    </row>
    <row r="336" spans="3:4">
      <c r="C336"/>
      <c r="D336"/>
    </row>
    <row r="337" spans="3:4">
      <c r="C337"/>
      <c r="D337"/>
    </row>
    <row r="338" spans="3:4">
      <c r="C338"/>
      <c r="D338"/>
    </row>
    <row r="339" spans="3:4">
      <c r="C339"/>
      <c r="D339"/>
    </row>
    <row r="340" spans="3:4">
      <c r="C340"/>
      <c r="D340"/>
    </row>
    <row r="341" spans="3:4">
      <c r="C341"/>
      <c r="D341"/>
    </row>
    <row r="342" spans="3:4">
      <c r="C342"/>
      <c r="D342"/>
    </row>
    <row r="343" spans="3:4">
      <c r="C343"/>
      <c r="D343"/>
    </row>
    <row r="344" spans="3:4">
      <c r="C344"/>
      <c r="D344"/>
    </row>
    <row r="345" spans="3:4">
      <c r="C345"/>
      <c r="D345"/>
    </row>
    <row r="346" spans="3:4">
      <c r="C346"/>
      <c r="D346"/>
    </row>
    <row r="347" spans="3:4">
      <c r="C347"/>
      <c r="D347"/>
    </row>
    <row r="348" spans="3:4">
      <c r="C348"/>
      <c r="D348"/>
    </row>
    <row r="349" spans="3:4">
      <c r="C349"/>
      <c r="D349"/>
    </row>
    <row r="350" spans="3:4">
      <c r="C350"/>
      <c r="D350"/>
    </row>
    <row r="351" spans="3:4">
      <c r="C351"/>
      <c r="D351"/>
    </row>
    <row r="352" spans="3:4">
      <c r="C352"/>
      <c r="D352"/>
    </row>
    <row r="353" spans="3:4">
      <c r="C353"/>
      <c r="D353"/>
    </row>
    <row r="354" spans="3:4">
      <c r="C354"/>
      <c r="D354"/>
    </row>
    <row r="355" spans="3:4">
      <c r="C355"/>
      <c r="D355"/>
    </row>
    <row r="356" spans="3:4">
      <c r="C356"/>
      <c r="D356"/>
    </row>
    <row r="357" spans="3:4">
      <c r="C357"/>
      <c r="D357"/>
    </row>
    <row r="358" spans="3:4">
      <c r="C358"/>
      <c r="D358"/>
    </row>
    <row r="359" spans="3:4">
      <c r="C359"/>
      <c r="D359"/>
    </row>
    <row r="360" spans="3:4">
      <c r="C360"/>
      <c r="D360"/>
    </row>
    <row r="361" spans="3:4">
      <c r="C361"/>
      <c r="D361"/>
    </row>
    <row r="362" spans="3:4">
      <c r="C362"/>
      <c r="D362"/>
    </row>
    <row r="363" spans="3:4">
      <c r="C363"/>
      <c r="D363"/>
    </row>
    <row r="364" spans="3:4">
      <c r="C364"/>
      <c r="D364"/>
    </row>
    <row r="365" spans="3:4">
      <c r="C365"/>
      <c r="D365"/>
    </row>
    <row r="366" spans="3:4">
      <c r="C366"/>
      <c r="D366"/>
    </row>
    <row r="367" spans="3:4">
      <c r="C367"/>
      <c r="D367"/>
    </row>
    <row r="368" spans="3:4">
      <c r="C368"/>
      <c r="D368"/>
    </row>
    <row r="369" spans="3:4">
      <c r="C369"/>
      <c r="D369"/>
    </row>
    <row r="370" spans="3:4">
      <c r="C370"/>
      <c r="D370"/>
    </row>
    <row r="371" spans="3:4">
      <c r="C371"/>
      <c r="D371"/>
    </row>
    <row r="372" spans="3:4">
      <c r="C372"/>
      <c r="D372"/>
    </row>
    <row r="373" spans="3:4">
      <c r="C373"/>
      <c r="D373"/>
    </row>
    <row r="374" spans="3:4">
      <c r="C374"/>
      <c r="D374"/>
    </row>
    <row r="375" spans="3:4">
      <c r="C375"/>
      <c r="D375"/>
    </row>
    <row r="376" spans="3:4">
      <c r="C376"/>
      <c r="D376"/>
    </row>
    <row r="377" spans="3:4">
      <c r="C377"/>
      <c r="D377"/>
    </row>
    <row r="378" spans="3:4">
      <c r="C378"/>
      <c r="D378"/>
    </row>
    <row r="379" spans="3:4">
      <c r="C379"/>
      <c r="D379"/>
    </row>
    <row r="380" spans="3:4">
      <c r="C380"/>
      <c r="D380"/>
    </row>
    <row r="381" spans="3:4">
      <c r="C381"/>
      <c r="D381"/>
    </row>
    <row r="382" spans="3:4">
      <c r="C382"/>
      <c r="D382"/>
    </row>
    <row r="383" spans="3:4">
      <c r="C383"/>
      <c r="D383"/>
    </row>
    <row r="384" spans="3:4">
      <c r="C384"/>
      <c r="D384"/>
    </row>
    <row r="385" spans="3:4">
      <c r="C385"/>
      <c r="D385"/>
    </row>
    <row r="386" spans="3:4">
      <c r="C386"/>
      <c r="D386"/>
    </row>
    <row r="387" spans="3:4">
      <c r="C387"/>
      <c r="D387"/>
    </row>
    <row r="388" spans="3:4">
      <c r="C388"/>
      <c r="D388"/>
    </row>
    <row r="389" spans="3:4">
      <c r="C389"/>
      <c r="D389"/>
    </row>
    <row r="390" spans="3:4">
      <c r="C390"/>
      <c r="D390"/>
    </row>
    <row r="391" spans="3:4">
      <c r="C391"/>
      <c r="D391"/>
    </row>
    <row r="392" spans="3:4">
      <c r="C392"/>
      <c r="D392"/>
    </row>
    <row r="393" spans="3:4">
      <c r="C393"/>
      <c r="D393"/>
    </row>
    <row r="394" spans="3:4">
      <c r="C394"/>
      <c r="D394"/>
    </row>
    <row r="395" spans="3:4">
      <c r="C395"/>
      <c r="D395"/>
    </row>
    <row r="396" spans="3:4">
      <c r="C396"/>
      <c r="D396"/>
    </row>
    <row r="397" spans="3:4">
      <c r="C397"/>
      <c r="D397"/>
    </row>
    <row r="398" spans="3:4">
      <c r="C398"/>
      <c r="D398"/>
    </row>
    <row r="399" spans="3:4">
      <c r="C399"/>
      <c r="D399"/>
    </row>
    <row r="400" spans="3:4">
      <c r="C400"/>
      <c r="D400"/>
    </row>
    <row r="401" spans="3:4">
      <c r="C401"/>
      <c r="D401"/>
    </row>
    <row r="402" spans="3:4">
      <c r="C402"/>
      <c r="D402"/>
    </row>
    <row r="403" spans="3:4">
      <c r="C403"/>
      <c r="D403"/>
    </row>
    <row r="404" spans="3:4">
      <c r="C404"/>
      <c r="D404"/>
    </row>
    <row r="405" spans="3:4">
      <c r="C405"/>
      <c r="D405"/>
    </row>
    <row r="406" spans="3:4">
      <c r="C406"/>
      <c r="D406"/>
    </row>
    <row r="407" spans="3:4">
      <c r="C407"/>
      <c r="D407"/>
    </row>
    <row r="408" spans="3:4">
      <c r="C408"/>
      <c r="D408"/>
    </row>
    <row r="409" spans="3:4">
      <c r="C409"/>
      <c r="D409"/>
    </row>
    <row r="410" spans="3:4">
      <c r="C410"/>
      <c r="D410"/>
    </row>
    <row r="411" spans="3:4">
      <c r="C411"/>
      <c r="D411"/>
    </row>
    <row r="412" spans="3:4">
      <c r="C412"/>
      <c r="D412"/>
    </row>
    <row r="413" spans="3:4">
      <c r="C413"/>
      <c r="D413"/>
    </row>
    <row r="414" spans="3:4">
      <c r="C414"/>
      <c r="D414"/>
    </row>
    <row r="415" spans="3:4">
      <c r="C415"/>
      <c r="D415"/>
    </row>
    <row r="416" spans="3:4">
      <c r="C416"/>
      <c r="D416"/>
    </row>
    <row r="417" spans="3:4">
      <c r="C417"/>
      <c r="D417"/>
    </row>
    <row r="418" spans="3:4">
      <c r="C418"/>
      <c r="D418"/>
    </row>
    <row r="419" spans="3:4">
      <c r="C419"/>
      <c r="D419"/>
    </row>
    <row r="420" spans="3:4">
      <c r="C420"/>
      <c r="D420"/>
    </row>
    <row r="421" spans="3:4">
      <c r="C421"/>
      <c r="D421"/>
    </row>
    <row r="422" spans="3:4">
      <c r="C422"/>
      <c r="D422"/>
    </row>
    <row r="423" spans="3:4">
      <c r="C423"/>
      <c r="D423"/>
    </row>
    <row r="424" spans="3:4">
      <c r="C424"/>
      <c r="D424"/>
    </row>
    <row r="425" spans="3:4">
      <c r="C425"/>
      <c r="D425"/>
    </row>
    <row r="426" spans="3:4">
      <c r="C426"/>
      <c r="D426"/>
    </row>
    <row r="427" spans="3:4">
      <c r="C427"/>
      <c r="D427"/>
    </row>
    <row r="428" spans="3:4">
      <c r="C428"/>
      <c r="D428"/>
    </row>
    <row r="429" spans="3:4">
      <c r="C429"/>
      <c r="D429"/>
    </row>
    <row r="430" spans="3:4">
      <c r="C430"/>
      <c r="D430"/>
    </row>
    <row r="431" spans="3:4">
      <c r="C431"/>
      <c r="D431"/>
    </row>
    <row r="432" spans="3:4">
      <c r="C432"/>
      <c r="D432"/>
    </row>
    <row r="433" spans="3:4">
      <c r="C433"/>
      <c r="D433"/>
    </row>
    <row r="434" spans="3:4">
      <c r="C434"/>
      <c r="D434"/>
    </row>
    <row r="435" spans="3:4">
      <c r="C435"/>
      <c r="D435"/>
    </row>
    <row r="436" spans="3:4">
      <c r="C436"/>
      <c r="D436"/>
    </row>
    <row r="437" spans="3:4">
      <c r="C437"/>
      <c r="D437"/>
    </row>
    <row r="438" spans="3:4">
      <c r="C438"/>
      <c r="D438"/>
    </row>
    <row r="439" spans="3:4">
      <c r="C439"/>
      <c r="D439"/>
    </row>
    <row r="440" spans="3:4">
      <c r="C440"/>
      <c r="D440"/>
    </row>
    <row r="441" spans="3:4">
      <c r="C441"/>
      <c r="D441"/>
    </row>
    <row r="442" spans="3:4">
      <c r="C442"/>
      <c r="D442"/>
    </row>
    <row r="443" spans="3:4">
      <c r="C443"/>
      <c r="D443"/>
    </row>
    <row r="444" spans="3:4">
      <c r="C444"/>
      <c r="D444"/>
    </row>
    <row r="445" spans="3:4">
      <c r="C445"/>
      <c r="D445"/>
    </row>
    <row r="446" spans="3:4">
      <c r="C446"/>
      <c r="D446"/>
    </row>
    <row r="447" spans="3:4">
      <c r="C447"/>
      <c r="D447"/>
    </row>
    <row r="448" spans="3:4">
      <c r="C448"/>
      <c r="D448"/>
    </row>
    <row r="449" spans="3:4">
      <c r="C449"/>
      <c r="D449"/>
    </row>
    <row r="450" spans="3:4">
      <c r="C450"/>
      <c r="D450"/>
    </row>
    <row r="451" spans="3:4">
      <c r="C451"/>
      <c r="D451"/>
    </row>
    <row r="452" spans="3:4">
      <c r="C452"/>
      <c r="D452"/>
    </row>
    <row r="453" spans="3:4">
      <c r="C453"/>
      <c r="D453"/>
    </row>
    <row r="454" spans="3:4">
      <c r="C454"/>
      <c r="D454"/>
    </row>
    <row r="455" spans="3:4">
      <c r="C455"/>
      <c r="D455"/>
    </row>
    <row r="456" spans="3:4">
      <c r="C456"/>
      <c r="D456"/>
    </row>
    <row r="457" spans="3:4">
      <c r="C457"/>
      <c r="D457"/>
    </row>
    <row r="458" spans="3:4">
      <c r="C458"/>
      <c r="D458"/>
    </row>
    <row r="459" spans="3:4">
      <c r="C459"/>
      <c r="D459"/>
    </row>
    <row r="460" spans="3:4">
      <c r="C460"/>
      <c r="D460"/>
    </row>
    <row r="461" spans="3:4">
      <c r="C461"/>
      <c r="D461"/>
    </row>
    <row r="462" spans="3:4">
      <c r="C462"/>
      <c r="D462"/>
    </row>
    <row r="463" spans="3:4">
      <c r="C463"/>
      <c r="D463"/>
    </row>
    <row r="464" spans="3:4">
      <c r="C464"/>
      <c r="D464"/>
    </row>
    <row r="465" spans="3:4">
      <c r="C465"/>
      <c r="D465"/>
    </row>
    <row r="466" spans="3:4">
      <c r="C466"/>
      <c r="D466"/>
    </row>
    <row r="467" spans="3:4">
      <c r="C467"/>
      <c r="D467"/>
    </row>
    <row r="468" spans="3:4">
      <c r="C468"/>
      <c r="D468"/>
    </row>
    <row r="469" spans="3:4">
      <c r="C469"/>
      <c r="D469"/>
    </row>
    <row r="470" spans="3:4">
      <c r="C470"/>
      <c r="D470"/>
    </row>
    <row r="471" spans="3:4">
      <c r="C471"/>
      <c r="D471"/>
    </row>
    <row r="472" spans="3:4">
      <c r="C472"/>
      <c r="D472"/>
    </row>
    <row r="473" spans="3:4">
      <c r="C473"/>
      <c r="D473"/>
    </row>
    <row r="474" spans="3:4">
      <c r="C474"/>
      <c r="D474"/>
    </row>
    <row r="475" spans="3:4">
      <c r="C475"/>
      <c r="D475"/>
    </row>
    <row r="476" spans="3:4">
      <c r="C476"/>
      <c r="D476"/>
    </row>
    <row r="477" spans="3:4">
      <c r="C477"/>
      <c r="D477"/>
    </row>
    <row r="478" spans="3:4">
      <c r="C478"/>
      <c r="D478"/>
    </row>
    <row r="479" spans="3:4">
      <c r="C479"/>
      <c r="D479"/>
    </row>
    <row r="480" spans="3:4">
      <c r="C480"/>
      <c r="D480"/>
    </row>
    <row r="481" spans="3:4">
      <c r="C481"/>
      <c r="D481"/>
    </row>
    <row r="482" spans="3:4">
      <c r="C482"/>
      <c r="D482"/>
    </row>
    <row r="483" spans="3:4">
      <c r="C483"/>
      <c r="D483"/>
    </row>
    <row r="484" spans="3:4">
      <c r="C484"/>
      <c r="D484"/>
    </row>
    <row r="485" spans="3:4">
      <c r="C485"/>
      <c r="D485"/>
    </row>
    <row r="486" spans="3:4">
      <c r="C486"/>
      <c r="D486"/>
    </row>
    <row r="487" spans="3:4">
      <c r="C487"/>
      <c r="D487"/>
    </row>
    <row r="488" spans="3:4">
      <c r="C488"/>
      <c r="D488"/>
    </row>
    <row r="489" spans="3:4">
      <c r="C489"/>
      <c r="D489"/>
    </row>
    <row r="490" spans="3:4">
      <c r="C490"/>
      <c r="D490"/>
    </row>
    <row r="491" spans="3:4">
      <c r="C491"/>
      <c r="D491"/>
    </row>
    <row r="492" spans="3:4">
      <c r="C492"/>
      <c r="D492"/>
    </row>
    <row r="493" spans="3:4">
      <c r="C493"/>
      <c r="D493"/>
    </row>
    <row r="494" spans="3:4">
      <c r="C494"/>
      <c r="D494"/>
    </row>
    <row r="495" spans="3:4">
      <c r="C495"/>
      <c r="D495"/>
    </row>
    <row r="496" spans="3:4">
      <c r="C496"/>
      <c r="D496"/>
    </row>
    <row r="497" spans="3:4">
      <c r="C497"/>
      <c r="D497"/>
    </row>
    <row r="498" spans="3:4">
      <c r="C498"/>
      <c r="D498"/>
    </row>
    <row r="499" spans="3:4">
      <c r="C499"/>
      <c r="D499"/>
    </row>
    <row r="500" spans="3:4">
      <c r="C500"/>
      <c r="D500"/>
    </row>
  </sheetData>
  <autoFilter ref="A1:D26" xr:uid="{BFB31434-6DDE-46B4-AADC-DD40CD4E36B6}">
    <sortState xmlns:xlrd2="http://schemas.microsoft.com/office/spreadsheetml/2017/richdata2" ref="A2:D152">
      <sortCondition ref="B1:B26"/>
    </sortState>
  </autoFilter>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6"/>
  <dimension ref="A1:G103"/>
  <sheetViews>
    <sheetView workbookViewId="0">
      <selection activeCell="G1" sqref="G1"/>
    </sheetView>
  </sheetViews>
  <sheetFormatPr defaultRowHeight="11.25"/>
  <cols>
    <col min="1" max="1" width="28" style="6" bestFit="1" customWidth="1"/>
    <col min="2" max="3" width="9.140625" style="6"/>
    <col min="4" max="4" width="9.140625" style="6" bestFit="1" customWidth="1"/>
    <col min="5" max="5" width="9.140625" style="6"/>
    <col min="6" max="6" width="26.85546875" style="6" customWidth="1"/>
    <col min="7" max="7" width="39.5703125" style="6" customWidth="1"/>
    <col min="8" max="16384" width="9.140625" style="6"/>
  </cols>
  <sheetData>
    <row r="1" spans="1:7" ht="12" thickBot="1">
      <c r="A1" s="587" t="s">
        <v>1661</v>
      </c>
      <c r="B1" s="588" t="s">
        <v>878</v>
      </c>
      <c r="C1" s="588" t="s">
        <v>532</v>
      </c>
      <c r="D1" s="588" t="s">
        <v>533</v>
      </c>
      <c r="E1" s="588" t="s">
        <v>534</v>
      </c>
      <c r="F1" s="589" t="s">
        <v>2328</v>
      </c>
      <c r="G1" s="1372" t="s">
        <v>3150</v>
      </c>
    </row>
    <row r="2" spans="1:7">
      <c r="A2" s="6" t="s">
        <v>1938</v>
      </c>
      <c r="B2" s="372">
        <v>0.29170504818160159</v>
      </c>
      <c r="C2" s="372">
        <v>0.30745805848710167</v>
      </c>
      <c r="D2" s="372">
        <f>10/(20+1/('Damage Calc'!I80*'Damage Calc'!L80))</f>
        <v>0.30745805848710167</v>
      </c>
      <c r="E2" s="120">
        <f>IF(OR(trinket1="Dragonspine Trophy",trinket2="Dragonspine Trophy"),325*(D2-itDSTup)*dpsHaste,0)</f>
        <v>0</v>
      </c>
      <c r="F2" s="6" t="s">
        <v>2307</v>
      </c>
      <c r="G2" s="505" t="s">
        <v>3151</v>
      </c>
    </row>
    <row r="3" spans="1:7">
      <c r="A3" s="6" t="s">
        <v>133</v>
      </c>
      <c r="B3" s="372">
        <v>0.51822366498619798</v>
      </c>
      <c r="C3" s="372">
        <v>0.55805079604046193</v>
      </c>
      <c r="D3" s="372">
        <f>1-(1-'Damage Calc'!L47)^(10*'Damage Calc'!I47)-IF(time=0,0,(1-'Damage Calc'!L47)^(10*'Damage Calc'!I47)*0.5*10/time)</f>
        <v>0.55805079604046193</v>
      </c>
      <c r="E3" s="120">
        <f>IF(OR(trinket1="Madness of the Betrayer",trinket2="Madness of the Betrayer"),300*(D3-itMotBup)*dpsArmor,0)</f>
        <v>0</v>
      </c>
      <c r="F3" s="6" t="s">
        <v>2308</v>
      </c>
      <c r="G3" s="505" t="s">
        <v>3149</v>
      </c>
    </row>
    <row r="4" spans="1:7">
      <c r="A4" s="6" t="s">
        <v>991</v>
      </c>
      <c r="B4" s="372">
        <v>0.40234326580194024</v>
      </c>
      <c r="C4" s="372">
        <v>0.40461321853618898</v>
      </c>
      <c r="D4" s="372">
        <f>20/(45+1/('Damage Calc'!K47*10%))</f>
        <v>0.40461321853618898</v>
      </c>
      <c r="E4" s="120">
        <f>IF(OR(trinket1="Shard of Contempt",trinket2="Shard of Contempt"),230*(D4-itSoCup)*dpsAP,0)</f>
        <v>0</v>
      </c>
      <c r="F4" s="6" t="s">
        <v>2309</v>
      </c>
      <c r="G4" s="505"/>
    </row>
    <row r="5" spans="1:7">
      <c r="A5" s="6" t="s">
        <v>142</v>
      </c>
      <c r="B5" s="372">
        <v>0.16552127638323519</v>
      </c>
      <c r="C5" s="372">
        <v>0.15754232759811618</v>
      </c>
      <c r="D5" s="372">
        <f>10/(45+1/('Damage Calc'!K58*10%))</f>
        <v>0.15754232759811618</v>
      </c>
      <c r="E5" s="120">
        <f>IF(OR(trinket1="Tsunami Talisman",trinket2="Tsunami Talisman"),340*(D5-itTTup)*dpsAP,0)</f>
        <v>0</v>
      </c>
      <c r="F5" s="6" t="s">
        <v>2311</v>
      </c>
      <c r="G5" s="505" t="s">
        <v>76</v>
      </c>
    </row>
    <row r="6" spans="1:7">
      <c r="A6" s="6" t="s">
        <v>249</v>
      </c>
      <c r="B6" s="372">
        <v>0.36728593906401125</v>
      </c>
      <c r="C6" s="372">
        <v>0.36836514501652162</v>
      </c>
      <c r="D6" s="372">
        <f>15/(30+1/(('Damage Calc'!Q17+'Damage Calc'!Q18)*25%))</f>
        <v>0.36836514501652162</v>
      </c>
      <c r="E6" s="120">
        <f>IF(OR(trinket1="Warp-Spring Coil",trinket2="Warp-Spring Coil"),1000*(D6-itWSCup)*dpsArmor,0)</f>
        <v>0</v>
      </c>
      <c r="F6" s="6" t="s">
        <v>2312</v>
      </c>
      <c r="G6" s="505" t="s">
        <v>3154</v>
      </c>
    </row>
    <row r="7" spans="1:7">
      <c r="A7" s="6" t="s">
        <v>250</v>
      </c>
      <c r="B7" s="372">
        <v>0.52329256506102406</v>
      </c>
      <c r="C7" s="372">
        <v>0.56461622930697231</v>
      </c>
      <c r="D7" s="372">
        <f>1-(1-'Damage Calc'!L48)^(15*'Damage Calc'!I48)-IF(time=0,0,(1-'Damage Calc'!L48)^(15*'Damage Calc'!I48)*0.5*15/time)</f>
        <v>0.56461622930697231</v>
      </c>
      <c r="E7" s="120">
        <f>IF('Gear &amp; Buffs'!B11="Mongoose",120*(D7-enMnMHup)*dpsAgi+2*hasterate*(D7-enMnMHup)*dpsHaste,0)</f>
        <v>0</v>
      </c>
      <c r="F7" s="6" t="s">
        <v>2308</v>
      </c>
      <c r="G7" s="505" t="s">
        <v>3152</v>
      </c>
    </row>
    <row r="8" spans="1:7">
      <c r="A8" s="6" t="s">
        <v>251</v>
      </c>
      <c r="B8" s="372">
        <v>0.29969713673447618</v>
      </c>
      <c r="C8" s="372">
        <v>0.30968688863786553</v>
      </c>
      <c r="D8" s="372">
        <f>1-(1-'Damage Calc'!L49)^(15*'Damage Calc'!I49)-IF(time=0,0,(1-'Damage Calc'!L49)^(15*'Damage Calc'!I49)*0.5*15/time)</f>
        <v>0.30968688863786553</v>
      </c>
      <c r="E8" s="120">
        <f>IF('Gear &amp; Buffs'!B17="Mongoose",120*(D8-enMnOHup)*dpsAgi+2*hasterate*(D8-enMnOHup)*dpsHaste,0)</f>
        <v>0</v>
      </c>
      <c r="F8" s="6" t="s">
        <v>2308</v>
      </c>
      <c r="G8" s="505" t="s">
        <v>3153</v>
      </c>
    </row>
    <row r="9" spans="1:7">
      <c r="A9" s="6" t="s">
        <v>1928</v>
      </c>
      <c r="B9" s="372">
        <v>0.52329256506102406</v>
      </c>
      <c r="C9" s="372">
        <v>0.56461622930697231</v>
      </c>
      <c r="D9" s="372">
        <f>1-(1-'Damage Calc'!L48)^(15*'Damage Calc'!I48)-IF(time=0,0,(1-'Damage Calc'!L48)^(15*'Damage Calc'!I48)*0.5*15/time)</f>
        <v>0.56461622930697231</v>
      </c>
      <c r="E9" s="120">
        <f>IF(AND('Gear &amp; Buffs'!B11="Executioner",NOT('Gear &amp; Buffs'!B17="Executioner")),840*(D9-enExMHup)*dpsArmor,0)</f>
        <v>0</v>
      </c>
      <c r="F9" s="6" t="s">
        <v>2308</v>
      </c>
      <c r="G9" s="505"/>
    </row>
    <row r="10" spans="1:7">
      <c r="A10" s="6" t="s">
        <v>1929</v>
      </c>
      <c r="B10" s="372">
        <v>0.29969713673447618</v>
      </c>
      <c r="C10" s="372">
        <v>0.30968688863786553</v>
      </c>
      <c r="D10" s="372">
        <f>1-(1-'Damage Calc'!L49)^(15*'Damage Calc'!I49)-IF(time=0,0,(1-'Damage Calc'!L49)^(15*'Damage Calc'!I49)*0.5*15/time)</f>
        <v>0.30968688863786553</v>
      </c>
      <c r="E10" s="120">
        <f>IF(AND(NOT('Gear &amp; Buffs'!B11="Executioner"),'Gear &amp; Buffs'!B17="Executioner"),840*(D10-enExOHup)*dpsArmor,0)</f>
        <v>0</v>
      </c>
      <c r="F10" s="6" t="s">
        <v>2308</v>
      </c>
      <c r="G10" s="505" t="s">
        <v>3148</v>
      </c>
    </row>
    <row r="11" spans="1:7" ht="12" thickBot="1">
      <c r="A11" s="6" t="s">
        <v>1930</v>
      </c>
      <c r="B11" s="372">
        <v>0.66559851660962344</v>
      </c>
      <c r="C11" s="372">
        <v>0.70622521139745531</v>
      </c>
      <c r="D11" s="372">
        <f>1-(1-'Damage Calc'!L47)^(15*'Damage Calc'!I47)-IF(time=0,0,(1-'Damage Calc'!L47)^(15*'Damage Calc'!I47)*0.5*15/time)</f>
        <v>0.70622521139745531</v>
      </c>
      <c r="E11" s="120">
        <f>IF(AND('Gear &amp; Buffs'!B11="Executioner",'Gear &amp; Buffs'!B17="Executioner"),840*(D11-enExBHup)*dpsArmor,0)</f>
        <v>0</v>
      </c>
      <c r="F11" s="6" t="s">
        <v>2308</v>
      </c>
      <c r="G11" s="506"/>
    </row>
    <row r="12" spans="1:7">
      <c r="A12" s="6" t="s">
        <v>1720</v>
      </c>
      <c r="B12" s="372">
        <v>0.15286968379242344</v>
      </c>
      <c r="C12" s="372">
        <v>0.14603869002514555</v>
      </c>
      <c r="D12" s="372">
        <f>10/(50+1/('Damage Calc'!K58*10%))</f>
        <v>0.14603869002514555</v>
      </c>
      <c r="E12" s="120">
        <f>IF(OR(trinket1="Hourglass of the Unraveller",trinket2="Hourglass of the Unraveller"),300*(D12-itHGup)*dpsAP,0)</f>
        <v>0</v>
      </c>
      <c r="F12" s="6" t="s">
        <v>2878</v>
      </c>
    </row>
    <row r="13" spans="1:7">
      <c r="A13" s="6" t="s">
        <v>524</v>
      </c>
      <c r="B13" s="372">
        <v>0.20773092034110976</v>
      </c>
      <c r="C13" s="372">
        <v>0.20853630167465081</v>
      </c>
      <c r="D13" s="372">
        <f>10/(45+1/('Damage Calc'!K47*15%))</f>
        <v>0.20853630167465081</v>
      </c>
      <c r="E13" s="120">
        <f>IF(Neck="Shattered Sun Pendant of Might (Aldor)",200*(D13-itSSPMAup)*dpsAP,0)</f>
        <v>0</v>
      </c>
      <c r="F13" s="6" t="s">
        <v>2874</v>
      </c>
    </row>
    <row r="14" spans="1:7">
      <c r="A14" s="6" t="s">
        <v>2313</v>
      </c>
      <c r="B14" s="218">
        <v>48.139198457212096</v>
      </c>
      <c r="C14" s="218">
        <v>47.953281609460788</v>
      </c>
      <c r="D14" s="218">
        <f>(45+1/('Damage Calc'!K47*15%))</f>
        <v>47.953281609460788</v>
      </c>
      <c r="E14" s="120">
        <v>0</v>
      </c>
      <c r="F14" s="6" t="s">
        <v>2874</v>
      </c>
    </row>
    <row r="15" spans="1:7">
      <c r="A15" s="6" t="s">
        <v>526</v>
      </c>
      <c r="B15" s="372">
        <v>0.20773092034110976</v>
      </c>
      <c r="C15" s="372">
        <v>0.20853630167465081</v>
      </c>
      <c r="D15" s="372">
        <f>10/(45+1/('Damage Calc'!K47*15%))</f>
        <v>0.20853630167465081</v>
      </c>
      <c r="E15" s="120">
        <v>0</v>
      </c>
      <c r="F15" s="6" t="s">
        <v>2874</v>
      </c>
    </row>
    <row r="16" spans="1:7">
      <c r="A16" s="6" t="s">
        <v>525</v>
      </c>
      <c r="B16" s="372">
        <v>0.20773092034110976</v>
      </c>
      <c r="C16" s="372">
        <v>0.20853630167465081</v>
      </c>
      <c r="D16" s="372">
        <f>10/(45+1/('Damage Calc'!K47*15%))</f>
        <v>0.20853630167465081</v>
      </c>
      <c r="E16" s="120">
        <f>IF(Neck="Shattered Sun Pendant of Resolve (Scryer)",100*(D16-itSSPRSup)*dpsExp,0)</f>
        <v>0</v>
      </c>
      <c r="F16" s="6" t="s">
        <v>2874</v>
      </c>
    </row>
    <row r="17" spans="1:6">
      <c r="A17" s="6" t="s">
        <v>1134</v>
      </c>
      <c r="B17" s="372">
        <v>0.52329256506102406</v>
      </c>
      <c r="C17" s="372">
        <v>0.56461622930697231</v>
      </c>
      <c r="D17" s="372">
        <f>1-(1-'Damage Calc'!L48)^(15*'Damage Calc'!I48)-IF(time=0,0,(1-'Damage Calc'!L48)^(15*'Damage Calc'!I48)*0.5*15/time)</f>
        <v>0.56461622930697231</v>
      </c>
      <c r="E17" s="120">
        <f>IF('Gear &amp; Buffs'!B11="Crusader",60*(D17-enCrMHup)*dpsStr,0)</f>
        <v>0</v>
      </c>
      <c r="F17" s="6" t="s">
        <v>2308</v>
      </c>
    </row>
    <row r="18" spans="1:6">
      <c r="A18" s="6" t="s">
        <v>1135</v>
      </c>
      <c r="B18" s="372">
        <v>0.29969713673447618</v>
      </c>
      <c r="C18" s="372">
        <v>0.30968688863786553</v>
      </c>
      <c r="D18" s="372">
        <f>1-(1-'Damage Calc'!L49)^(15*'Damage Calc'!I49)-IF(time=0,0,(1-'Damage Calc'!L49)^(15*'Damage Calc'!I49)*0.5*15/time)</f>
        <v>0.30968688863786553</v>
      </c>
      <c r="E18" s="120">
        <f>IF('Gear &amp; Buffs'!B17="Crusader",60*(D18-enCrOHup)*dpsStr,0)</f>
        <v>0</v>
      </c>
      <c r="F18" s="6" t="s">
        <v>2308</v>
      </c>
    </row>
    <row r="19" spans="1:6">
      <c r="A19" s="6" t="s">
        <v>100</v>
      </c>
      <c r="B19" s="372">
        <v>0.19619316642458101</v>
      </c>
      <c r="C19" s="372">
        <v>0.19931560431888201</v>
      </c>
      <c r="D19" s="372">
        <f>10/(45+1/('Damage Calc'!K48*15%))</f>
        <v>0.19931560431888201</v>
      </c>
      <c r="E19" s="120">
        <f>IF('Gear &amp; Buffs'!B12="Righteous Weapon Coating",300*(D19-enRWCmhUP)*dpsAP,0)</f>
        <v>0</v>
      </c>
      <c r="F19" s="6" t="s">
        <v>36</v>
      </c>
    </row>
    <row r="20" spans="1:6">
      <c r="A20" s="6" t="s">
        <v>101</v>
      </c>
      <c r="B20" s="372">
        <v>0.19372270034175654</v>
      </c>
      <c r="C20" s="372">
        <v>0.19618939954449016</v>
      </c>
      <c r="D20" s="372">
        <f>10/(45+1/('Damage Calc'!K49*15%))</f>
        <v>0.19618939954449016</v>
      </c>
      <c r="E20" s="120">
        <f>IF('Gear &amp; Buffs'!B18="Righteous Weapon Coating",300*(D20-enRWCohUP)*dpsAP,0)</f>
        <v>0</v>
      </c>
      <c r="F20" s="6" t="s">
        <v>36</v>
      </c>
    </row>
    <row r="21" spans="1:6">
      <c r="A21" s="6" t="s">
        <v>102</v>
      </c>
      <c r="B21" s="372">
        <v>0.20773092034110976</v>
      </c>
      <c r="C21" s="372">
        <v>0.20853630167465081</v>
      </c>
      <c r="D21" s="372">
        <f>10/(45+1/('Damage Calc'!K47*15%))</f>
        <v>0.20853630167465081</v>
      </c>
      <c r="E21" s="120">
        <f>IF(AND('Gear &amp; Buffs'!B12="Righteous Weapon Coating",'Gear &amp; Buffs'!B18="Righteous Weapon Coating"),300*(D21-enRWCbhUP)*dpsAP,0)</f>
        <v>0</v>
      </c>
      <c r="F21" s="6" t="s">
        <v>36</v>
      </c>
    </row>
    <row r="22" spans="1:6">
      <c r="A22" s="6" t="s">
        <v>2060</v>
      </c>
      <c r="B22" s="372">
        <v>0.25646610678141257</v>
      </c>
      <c r="C22" s="372">
        <v>0.28289834939915232</v>
      </c>
      <c r="D22" s="372">
        <f>1-(1-'Damage Calc'!L48)^(6*'Damage Calc'!I48)-IF(time=0,0,(1-'Damage Calc'!L48)^(6*'Damage Calc'!I48)*0.5*6/time)</f>
        <v>0.28289834939915232</v>
      </c>
      <c r="E22" s="120">
        <v>0</v>
      </c>
      <c r="F22" s="6" t="s">
        <v>2308</v>
      </c>
    </row>
    <row r="23" spans="1:6">
      <c r="A23" s="6" t="s">
        <v>2061</v>
      </c>
      <c r="B23" s="372">
        <v>0.13280980102516837</v>
      </c>
      <c r="C23" s="372">
        <v>0.13915354962187584</v>
      </c>
      <c r="D23" s="372">
        <f>1-(1-'Damage Calc'!L49)^(6*'Damage Calc'!I49)-IF(time=0,0,(1-'Damage Calc'!L48)^(6*'Damage Calc'!I48)*0.5*6/time)</f>
        <v>0.13915354962187584</v>
      </c>
      <c r="E23" s="120">
        <v>0</v>
      </c>
      <c r="F23" s="6" t="s">
        <v>2308</v>
      </c>
    </row>
    <row r="24" spans="1:6">
      <c r="A24" s="6" t="s">
        <v>2062</v>
      </c>
      <c r="B24" s="372">
        <v>0.35478080629916287</v>
      </c>
      <c r="C24" s="372">
        <v>0.38628062883500175</v>
      </c>
      <c r="D24" s="372">
        <f>1-(1-'Damage Calc'!L47)^(6*'Damage Calc'!I47)-IF(time=0,0,(1-'Damage Calc'!L48)^(6*'Damage Calc'!I48)*0.5*6/time)</f>
        <v>0.38628062883500175</v>
      </c>
      <c r="E24" s="120">
        <v>0</v>
      </c>
      <c r="F24" s="6" t="s">
        <v>2308</v>
      </c>
    </row>
    <row r="25" spans="1:6">
      <c r="A25" s="6" t="s">
        <v>2064</v>
      </c>
      <c r="B25" s="372">
        <v>4.8388681306019823E-2</v>
      </c>
      <c r="C25" s="372">
        <v>5.5859707067937678E-2</v>
      </c>
      <c r="D25" s="372">
        <f>'Damage Calc'!L48*'Damage Calc'!I48</f>
        <v>5.5859707067937678E-2</v>
      </c>
      <c r="E25" s="120">
        <v>0</v>
      </c>
      <c r="F25" s="6" t="s">
        <v>2308</v>
      </c>
    </row>
    <row r="26" spans="1:6">
      <c r="A26" s="6" t="s">
        <v>2065</v>
      </c>
      <c r="B26" s="372">
        <v>2.349719128761122E-2</v>
      </c>
      <c r="C26" s="372">
        <v>2.6051173438538348E-2</v>
      </c>
      <c r="D26" s="372">
        <f>'Damage Calc'!L49*'Damage Calc'!I49</f>
        <v>2.6051173438538348E-2</v>
      </c>
      <c r="E26" s="120">
        <v>0</v>
      </c>
      <c r="F26" s="6" t="s">
        <v>2308</v>
      </c>
    </row>
    <row r="27" spans="1:6">
      <c r="A27" s="6" t="s">
        <v>1674</v>
      </c>
      <c r="B27" s="372">
        <v>0.16890115759854415</v>
      </c>
      <c r="C27" s="372">
        <v>0.17404929717432444</v>
      </c>
      <c r="D27" s="372">
        <f>10/(45+1/('Damage Calc'!I89*'Damage Calc'!L89))</f>
        <v>0.17404929717432444</v>
      </c>
      <c r="E27" s="120">
        <f>IF(SetTB2p, 450*(D27-stTwinUP)*dpsHaste, 0)</f>
        <v>0</v>
      </c>
      <c r="F27" s="6" t="s">
        <v>1675</v>
      </c>
    </row>
    <row r="28" spans="1:6">
      <c r="A28" s="6" t="s">
        <v>2005</v>
      </c>
      <c r="B28" s="372">
        <v>0.40234326580194024</v>
      </c>
      <c r="C28" s="372">
        <v>0.40461321853618898</v>
      </c>
      <c r="D28" s="372">
        <f>20/(45+1/('Damage Calc'!K47*10%))</f>
        <v>0.40461321853618898</v>
      </c>
      <c r="E28" s="120">
        <f>IF(OR(trinket1="Blackened Naaru Sliver",trinket2="Blackened Naaru Sliver"),(D29*D28-C29*C28)*dpsAP,0)</f>
        <v>0</v>
      </c>
      <c r="F28" s="6" t="s">
        <v>2309</v>
      </c>
    </row>
    <row r="29" spans="1:6">
      <c r="A29" s="6" t="s">
        <v>2006</v>
      </c>
      <c r="B29" s="218">
        <v>393.38290291040045</v>
      </c>
      <c r="C29" s="218">
        <v>398.84515385839478</v>
      </c>
      <c r="D29" s="218">
        <f>Trinket!AF43</f>
        <v>398.84515385839478</v>
      </c>
      <c r="E29" s="120"/>
    </row>
    <row r="30" spans="1:6">
      <c r="A30" s="6" t="s">
        <v>1089</v>
      </c>
      <c r="B30" s="372">
        <v>2.1214511306480888E-2</v>
      </c>
      <c r="C30" s="372">
        <v>2.3419834716974508E-2</v>
      </c>
      <c r="D30" s="372">
        <f>1-(1-'Damage Calc'!L47)^(MIN((Cycles!J15*Cycles!O2+25-5*relent-25*dm4p1)/Cycles!C7,20)/'Damage Calc'!J47)</f>
        <v>2.3419834716974508E-2</v>
      </c>
      <c r="E30" s="120"/>
    </row>
    <row r="31" spans="1:6">
      <c r="A31" s="6" t="s">
        <v>1080</v>
      </c>
      <c r="B31" s="372">
        <v>4.1778695251399434E-2</v>
      </c>
      <c r="C31" s="372">
        <v>4.6089513457263864E-2</v>
      </c>
      <c r="D31" s="372">
        <f>1-(1-'Damage Calc'!L47)^(MIN((Cycles!K15*Cycles!O2+25-10*relent-25*dm4p1)/Cycles!C7,20)/'Damage Calc'!J47)</f>
        <v>4.6089513457263864E-2</v>
      </c>
      <c r="E31" s="120"/>
    </row>
    <row r="32" spans="1:6">
      <c r="A32" s="6" t="s">
        <v>1081</v>
      </c>
      <c r="B32" s="372">
        <v>6.1910827775240151E-2</v>
      </c>
      <c r="C32" s="372">
        <v>6.8232953438609245E-2</v>
      </c>
      <c r="D32" s="372">
        <f>1-(1-'Damage Calc'!L47)^(MIN((Cycles!L15*Cycles!O2+25-15*relent-25*dm4p1)/Cycles!C7,20)/'Damage Calc'!J47)</f>
        <v>6.8232953438609245E-2</v>
      </c>
      <c r="E32" s="120"/>
    </row>
    <row r="33" spans="1:6">
      <c r="A33" s="6" t="s">
        <v>1082</v>
      </c>
      <c r="B33" s="372">
        <v>8.1619986234583441E-2</v>
      </c>
      <c r="C33" s="372">
        <v>8.9862370415569104E-2</v>
      </c>
      <c r="D33" s="372">
        <f>1-(1-'Damage Calc'!L47)^(MIN((Cycles!M15*Cycles!O2+25-20*relent-25*dm4p1)/Cycles!C7,20)/'Damage Calc'!J47)</f>
        <v>8.9862370415569104E-2</v>
      </c>
      <c r="E33" s="120"/>
    </row>
    <row r="34" spans="1:6">
      <c r="A34" s="6" t="s">
        <v>1083</v>
      </c>
      <c r="B34" s="372">
        <v>0.10091505727166783</v>
      </c>
      <c r="C34" s="372">
        <v>0.11098969657434687</v>
      </c>
      <c r="D34" s="372">
        <f>1-(1-'Damage Calc'!L47)^(MIN((Cycles!N15*Cycles!O2+25-25*relent-25*dm4p1)/Cycles!C7,20)/'Damage Calc'!J47)</f>
        <v>0.11098969657434687</v>
      </c>
      <c r="E34" s="120"/>
    </row>
    <row r="35" spans="1:6">
      <c r="A35" s="6" t="s">
        <v>1084</v>
      </c>
      <c r="B35" s="372">
        <v>2.1214511306480888E-2</v>
      </c>
      <c r="C35" s="372">
        <v>2.3419834716974508E-2</v>
      </c>
      <c r="D35" s="372">
        <f>1-(1-'Damage Calc'!L47)^(MIN((Cycles!J15*Cycles!O2+Cycles!O3-5*relent-25*dm4p1)/Cycles!C7,20)/'Damage Calc'!J47)</f>
        <v>2.3419834716974508E-2</v>
      </c>
      <c r="E35" s="120"/>
    </row>
    <row r="36" spans="1:6">
      <c r="A36" s="6" t="s">
        <v>1085</v>
      </c>
      <c r="B36" s="372">
        <v>4.1778695251399434E-2</v>
      </c>
      <c r="C36" s="372">
        <v>4.6089513457263864E-2</v>
      </c>
      <c r="D36" s="372">
        <f>1-(1-'Damage Calc'!L47)^(MIN((Cycles!K15*Cycles!O2+Cycles!O3-10*relent-25*dm4p1)/Cycles!C7,20)/'Damage Calc'!J47)</f>
        <v>4.6089513457263864E-2</v>
      </c>
      <c r="E36" s="120"/>
    </row>
    <row r="37" spans="1:6">
      <c r="A37" s="6" t="s">
        <v>1086</v>
      </c>
      <c r="B37" s="372">
        <v>6.1910827775240151E-2</v>
      </c>
      <c r="C37" s="372">
        <v>6.8232953438609245E-2</v>
      </c>
      <c r="D37" s="372">
        <f>1-(1-'Damage Calc'!L47)^(MIN((Cycles!L15*Cycles!O2+Cycles!O3-15*relent-25*dm4p1)/Cycles!C7,20)/'Damage Calc'!J47)</f>
        <v>6.8232953438609245E-2</v>
      </c>
      <c r="E37" s="120"/>
    </row>
    <row r="38" spans="1:6">
      <c r="A38" s="6" t="s">
        <v>1087</v>
      </c>
      <c r="B38" s="372">
        <v>8.1619986234583441E-2</v>
      </c>
      <c r="C38" s="372">
        <v>8.9862370415569104E-2</v>
      </c>
      <c r="D38" s="372">
        <f>1-(1-'Damage Calc'!L47)^(MIN((Cycles!M15*Cycles!O2+Cycles!O3-20*relent-25*dm4p1)/Cycles!C7,20)/'Damage Calc'!J47)</f>
        <v>8.9862370415569104E-2</v>
      </c>
      <c r="E38" s="120"/>
    </row>
    <row r="39" spans="1:6">
      <c r="A39" s="6" t="s">
        <v>1088</v>
      </c>
      <c r="B39" s="372">
        <v>0.10091505727166783</v>
      </c>
      <c r="C39" s="372">
        <v>0.11098969657434687</v>
      </c>
      <c r="D39" s="372">
        <f>1-(1-'Damage Calc'!L47)^(MIN((Cycles!N15*Cycles!O2+Cycles!O3-25*relent-25*dm4p1)/Cycles!C7,20)/'Damage Calc'!J47)</f>
        <v>0.11098969657434687</v>
      </c>
      <c r="E39" s="120"/>
    </row>
    <row r="40" spans="1:6">
      <c r="A40" s="6" t="s">
        <v>1094</v>
      </c>
      <c r="B40" s="372">
        <v>2.7100225771663156E-2</v>
      </c>
      <c r="C40" s="372">
        <v>2.9921082443867153E-2</v>
      </c>
      <c r="D40" s="372">
        <f>1-(1-'Damage Calc'!L47)^(MIN((Cycles!J15*Cycles!O2+Cycles!O4-5*relent-25*dm4p1)/Cycles!C7,20)/'Damage Calc'!J47)</f>
        <v>2.9921082443867153E-2</v>
      </c>
      <c r="E40" s="120"/>
    </row>
    <row r="41" spans="1:6">
      <c r="A41" s="6" t="s">
        <v>1090</v>
      </c>
      <c r="B41" s="372">
        <v>4.7540751452020746E-2</v>
      </c>
      <c r="C41" s="372">
        <v>5.2439845567989973E-2</v>
      </c>
      <c r="D41" s="372">
        <f>1-(1-'Damage Calc'!L47)^(MIN((Cycles!K15*Cycles!O2+Cycles!O4-10*relent-25*dm4p1)/Cycles!C7,20)/'Damage Calc'!J47)</f>
        <v>5.2439845567989973E-2</v>
      </c>
      <c r="E41" s="120"/>
    </row>
    <row r="42" spans="1:6">
      <c r="A42" s="6" t="s">
        <v>1091</v>
      </c>
      <c r="B42" s="372">
        <v>6.7551823758909557E-2</v>
      </c>
      <c r="C42" s="372">
        <v>7.4435873187337798E-2</v>
      </c>
      <c r="D42" s="372">
        <f>1-(1-'Damage Calc'!L47)^(MIN((Cycles!L15*Cycles!O2+Cycles!O4-15*relent-25*dm4p1)/Cycles!C7,20)/'Damage Calc'!J47)</f>
        <v>7.4435873187337798E-2</v>
      </c>
      <c r="E42" s="120"/>
    </row>
    <row r="43" spans="1:6">
      <c r="A43" s="6" t="s">
        <v>1092</v>
      </c>
      <c r="B43" s="372">
        <v>8.7142465464193131E-2</v>
      </c>
      <c r="C43" s="372">
        <v>9.5921299734270105E-2</v>
      </c>
      <c r="D43" s="372">
        <f>1-(1-'Damage Calc'!L47)^(MIN((Cycles!M15*Cycles!O2+Cycles!O4-20*relent-25*dm4p1)/Cycles!C7,20)/'Damage Calc'!J47)</f>
        <v>9.5921299734270105E-2</v>
      </c>
      <c r="E43" s="120"/>
    </row>
    <row r="44" spans="1:6">
      <c r="A44" s="6" t="s">
        <v>1093</v>
      </c>
      <c r="B44" s="372">
        <v>0.10632150977221233</v>
      </c>
      <c r="C44" s="372">
        <v>0.11690797796055041</v>
      </c>
      <c r="D44" s="372">
        <f>1-(1-'Damage Calc'!L47)^(MIN((Cycles!N15*Cycles!O2+Cycles!O4-25*relent-25*dm4p1)/Cycles!C7,20)/'Damage Calc'!J47)</f>
        <v>0.11690797796055041</v>
      </c>
      <c r="E44" s="120"/>
    </row>
    <row r="45" spans="1:6">
      <c r="A45" s="6" t="s">
        <v>2235</v>
      </c>
      <c r="B45" s="372">
        <v>0.72388328349892461</v>
      </c>
      <c r="C45" s="372">
        <v>0.60000000000000009</v>
      </c>
      <c r="D45" s="372">
        <f>CP*0.2*MIN(1,10*finish/cyclet)</f>
        <v>0.60000000000000009</v>
      </c>
      <c r="E45" s="120">
        <f>IF(OR(trinket1="Ashtongue Talisman of Lethality",trinket2="Ashtongue Talisman of Lethality"),145*(D45-itAToLup)*dpsCrit,0)</f>
        <v>0</v>
      </c>
    </row>
    <row r="46" spans="1:6">
      <c r="A46" s="6" t="s">
        <v>3012</v>
      </c>
      <c r="B46" s="218">
        <v>11.16661876292765</v>
      </c>
      <c r="C46" s="218">
        <v>12.890701631062541</v>
      </c>
      <c r="D46" s="218">
        <f>10*'Damage Calc'!K48</f>
        <v>12.890701631062541</v>
      </c>
      <c r="E46" s="120"/>
      <c r="F46" s="6" t="s">
        <v>3010</v>
      </c>
    </row>
    <row r="47" spans="1:6">
      <c r="A47" s="6" t="s">
        <v>3011</v>
      </c>
      <c r="B47" s="218">
        <v>10.070224837547666</v>
      </c>
      <c r="C47" s="218">
        <v>11.164788616516436</v>
      </c>
      <c r="D47" s="218">
        <f>10*'Damage Calc'!K49</f>
        <v>11.164788616516436</v>
      </c>
      <c r="E47" s="120"/>
      <c r="F47" s="6" t="s">
        <v>3010</v>
      </c>
    </row>
    <row r="48" spans="1:6">
      <c r="A48" s="6" t="s">
        <v>3014</v>
      </c>
      <c r="B48" s="372">
        <v>0.15209062457841166</v>
      </c>
      <c r="C48" s="372">
        <v>0.15880381578445329</v>
      </c>
      <c r="D48" s="372">
        <f>10/(45+1/('Damage Calc'!I107*'Damage Calc'!L107))</f>
        <v>0.15880381578445329</v>
      </c>
      <c r="E48" s="120">
        <f>IF(mh="The Bladefist", 180*(D48-itTBFup)*dpsHaste, 0)</f>
        <v>0</v>
      </c>
      <c r="F48" s="6" t="s">
        <v>1675</v>
      </c>
    </row>
    <row r="49" spans="1:6">
      <c r="A49" s="6" t="s">
        <v>2238</v>
      </c>
      <c r="B49" s="372">
        <v>0.38975913970519804</v>
      </c>
      <c r="C49" s="372">
        <v>0.42551658077912685</v>
      </c>
      <c r="D49" s="372">
        <f>1-(1-'Damage Calc'!$L$48)^(10*'Damage Calc'!$I$48)-IF(time=0,0,(1-'Damage Calc'!$L$48)^(10*'Damage Calc'!$I$48)*0.5*10/time)</f>
        <v>0.42551658077912685</v>
      </c>
      <c r="E49" s="120">
        <f>IF(mh="Heartrazor",270*(D49-itHRmhUP)*dpsAP,0)</f>
        <v>0</v>
      </c>
      <c r="F49" s="6" t="s">
        <v>2308</v>
      </c>
    </row>
    <row r="50" spans="1:6">
      <c r="A50" s="6" t="s">
        <v>2239</v>
      </c>
      <c r="B50" s="372">
        <v>0.2113991006769228</v>
      </c>
      <c r="C50" s="372">
        <v>0.21886381592910398</v>
      </c>
      <c r="D50" s="372">
        <f>1-(1-'Damage Calc'!$L$49)^(10*'Damage Calc'!$I$49)-IF(time=0,0,(1-'Damage Calc'!$L$49)^(10*'Damage Calc'!$I$49)*0.5*10/time)</f>
        <v>0.21886381592910398</v>
      </c>
      <c r="E50" s="120">
        <f>IF(mh="Heartrazor",270*(D50-itHRohUP)*dpsAP,0)</f>
        <v>0</v>
      </c>
      <c r="F50" s="6" t="s">
        <v>2308</v>
      </c>
    </row>
    <row r="51" spans="1:6">
      <c r="A51" s="6" t="s">
        <v>3017</v>
      </c>
      <c r="B51" s="372">
        <v>0.38975913970519804</v>
      </c>
      <c r="C51" s="372">
        <v>0.42551658077912685</v>
      </c>
      <c r="D51" s="372">
        <f>1-(1-'Damage Calc'!$L$48)^(10*'Damage Calc'!$I$48)-IF(time=0,0,(1-'Damage Calc'!$L$48)^(10*'Damage Calc'!$I$48)*0.5*10/time)</f>
        <v>0.42551658077912685</v>
      </c>
      <c r="E51" s="120"/>
      <c r="F51" s="6" t="s">
        <v>2308</v>
      </c>
    </row>
    <row r="52" spans="1:6">
      <c r="A52" s="6" t="s">
        <v>3016</v>
      </c>
      <c r="B52" s="372">
        <v>0.2113991006769228</v>
      </c>
      <c r="C52" s="372">
        <v>0.21886381592910398</v>
      </c>
      <c r="D52" s="372">
        <f>1-(1-'Damage Calc'!$L$49)^(10*'Damage Calc'!$I$49)-IF(time=0,0,(1-'Damage Calc'!$L$49)^(10*'Damage Calc'!$I$49)*0.5*10/time)</f>
        <v>0.21886381592910398</v>
      </c>
      <c r="E52" s="120"/>
      <c r="F52" s="6" t="s">
        <v>2308</v>
      </c>
    </row>
    <row r="53" spans="1:6">
      <c r="A53" s="6" t="s">
        <v>2412</v>
      </c>
      <c r="B53" s="218">
        <v>0.44805233509221709</v>
      </c>
      <c r="C53" s="218">
        <v>0.33464313459900341</v>
      </c>
      <c r="D53" s="218">
        <f>5*instsec*instcrit</f>
        <v>0.33464313459900341</v>
      </c>
      <c r="E53" s="120"/>
    </row>
    <row r="54" spans="1:6">
      <c r="A54" s="6" t="s">
        <v>2877</v>
      </c>
      <c r="B54" s="372">
        <v>0.31102727206362035</v>
      </c>
      <c r="C54" s="372">
        <v>0.33374978855287174</v>
      </c>
      <c r="D54" s="372">
        <f>'Damage Calc'!L47*(15-IF(CharLevel&gt;60,(CharLevel-60)*0.5,0))</f>
        <v>0.33374978855287174</v>
      </c>
      <c r="E54" s="120"/>
      <c r="F54" s="6" t="s">
        <v>2979</v>
      </c>
    </row>
    <row r="55" spans="1:6">
      <c r="A55" s="6" t="s">
        <v>2860</v>
      </c>
      <c r="B55" s="218">
        <v>63.710530801425953</v>
      </c>
      <c r="C55" s="218">
        <v>67.721276345372416</v>
      </c>
      <c r="D55" s="218">
        <f>30*'Damage Calc'!K47</f>
        <v>67.721276345372416</v>
      </c>
      <c r="E55" s="120"/>
      <c r="F55" s="6" t="s">
        <v>2979</v>
      </c>
    </row>
    <row r="56" spans="1:6">
      <c r="A56" s="6" t="s">
        <v>2873</v>
      </c>
      <c r="B56" s="372">
        <v>0.11108414712726833</v>
      </c>
      <c r="C56" s="372">
        <v>0.11473598614129397</v>
      </c>
      <c r="D56" s="372">
        <f>6/(40+1/('Damage Calc'!I98*'Damage Calc'!L98))</f>
        <v>0.11473598614129397</v>
      </c>
      <c r="E56" s="120"/>
      <c r="F56" s="6" t="s">
        <v>2875</v>
      </c>
    </row>
    <row r="57" spans="1:6">
      <c r="A57" s="6" t="s">
        <v>2880</v>
      </c>
      <c r="B57" s="372">
        <v>0.13529796960861193</v>
      </c>
      <c r="C57" s="372">
        <v>0.13848806152346038</v>
      </c>
      <c r="D57" s="372">
        <f>10/(60+1/('Damage Calc'!I47*'Damage Calc'!L47))</f>
        <v>0.13848806152346038</v>
      </c>
      <c r="E57" s="120">
        <f>IF(OR('Gear &amp; Buffs'!B66="Band of the Eternal Champion", 'Gear &amp; Buffs'!B68="Band of the Eternal Champion"), 160*(D57-C57)*dpsAP, 0)</f>
        <v>0</v>
      </c>
      <c r="F57" s="6" t="s">
        <v>2881</v>
      </c>
    </row>
    <row r="58" spans="1:6">
      <c r="A58" s="6" t="s">
        <v>3042</v>
      </c>
      <c r="B58" s="372">
        <v>0.47458276748102635</v>
      </c>
      <c r="C58" s="372">
        <v>0.48283016114481747</v>
      </c>
      <c r="D58" s="372">
        <f>1-(1-0.02)^(15*'Damage Calc'!K47)-IF(time=0,0,(1-0.02)^(15*'Damage Calc'!K47)*0.5*15/time)</f>
        <v>0.48283016114481747</v>
      </c>
      <c r="E58" s="120">
        <f>IF(ww4p, 160*(D58-C58)*dpsAP, 0)</f>
        <v>0</v>
      </c>
      <c r="F58" s="6" t="s">
        <v>3040</v>
      </c>
    </row>
    <row r="59" spans="1:6">
      <c r="A59" s="6" t="s">
        <v>3127</v>
      </c>
      <c r="B59" s="218">
        <v>120</v>
      </c>
      <c r="C59" s="218">
        <v>118.4203190369889</v>
      </c>
      <c r="D59" s="218">
        <f>Trinket!AZ48</f>
        <v>118.4203190369889</v>
      </c>
      <c r="E59" s="120"/>
    </row>
    <row r="60" spans="1:6">
      <c r="A60" s="6" t="s">
        <v>3129</v>
      </c>
      <c r="B60" s="372">
        <v>1.2500000000000001E-2</v>
      </c>
      <c r="C60" s="372">
        <v>1.217101076170575E-2</v>
      </c>
      <c r="D60" s="372">
        <f>2%*IF(CharLevel&gt;60,(CharLevel-60)*2/30,0)*(1-2%)^(2*'Damage Calc'!K47)</f>
        <v>1.217101076170575E-2</v>
      </c>
      <c r="E60" s="120"/>
    </row>
    <row r="61" spans="1:6">
      <c r="A61" s="6" t="s">
        <v>3031</v>
      </c>
      <c r="B61" s="372">
        <v>1</v>
      </c>
      <c r="C61" s="372">
        <v>0.9966666666666667</v>
      </c>
      <c r="D61" s="372">
        <f>IF(VLOOKUP(Cycles!$X$2,CHOOSE({1,2},Cycles!$AG$56:$AG$284,Cycles!R56:R284),2,FALSE)&gt;sndup, sndup, 1)</f>
        <v>0.9966666666666667</v>
      </c>
      <c r="E61" s="120"/>
    </row>
    <row r="62" spans="1:6">
      <c r="B62" s="120"/>
      <c r="C62" s="120"/>
      <c r="D62" s="120"/>
      <c r="E62" s="120">
        <f>SUM(E2:E61)</f>
        <v>0</v>
      </c>
    </row>
    <row r="63" spans="1:6">
      <c r="B63" s="120"/>
      <c r="C63" s="120"/>
      <c r="D63" s="120"/>
      <c r="E63" s="120"/>
    </row>
    <row r="64" spans="1:6">
      <c r="B64" s="120"/>
      <c r="C64" s="120"/>
      <c r="D64" s="120"/>
      <c r="E64" s="120"/>
    </row>
    <row r="65" spans="2:5">
      <c r="B65" s="120"/>
      <c r="C65" s="120"/>
      <c r="D65" s="120"/>
      <c r="E65" s="120"/>
    </row>
    <row r="66" spans="2:5">
      <c r="B66" s="120"/>
      <c r="C66" s="120"/>
      <c r="D66" s="120"/>
      <c r="E66" s="120"/>
    </row>
    <row r="67" spans="2:5">
      <c r="B67" s="120"/>
      <c r="C67" s="120"/>
      <c r="D67" s="120"/>
      <c r="E67" s="120"/>
    </row>
    <row r="68" spans="2:5">
      <c r="B68" s="120"/>
      <c r="C68" s="120"/>
      <c r="D68" s="120"/>
      <c r="E68" s="120"/>
    </row>
    <row r="69" spans="2:5">
      <c r="B69" s="120"/>
      <c r="C69" s="120"/>
      <c r="D69" s="120"/>
      <c r="E69" s="120"/>
    </row>
    <row r="70" spans="2:5">
      <c r="B70" s="120"/>
      <c r="C70" s="120"/>
      <c r="D70" s="120"/>
      <c r="E70" s="120"/>
    </row>
    <row r="71" spans="2:5">
      <c r="B71" s="120"/>
      <c r="C71" s="120"/>
      <c r="D71" s="120"/>
      <c r="E71" s="120"/>
    </row>
    <row r="72" spans="2:5">
      <c r="B72" s="120"/>
      <c r="C72" s="120"/>
      <c r="D72" s="120"/>
      <c r="E72" s="120"/>
    </row>
    <row r="73" spans="2:5">
      <c r="B73" s="120"/>
      <c r="C73" s="120"/>
      <c r="D73" s="120"/>
      <c r="E73" s="120"/>
    </row>
    <row r="74" spans="2:5">
      <c r="B74" s="120"/>
      <c r="C74" s="120"/>
      <c r="D74" s="120"/>
      <c r="E74" s="120"/>
    </row>
    <row r="75" spans="2:5">
      <c r="B75" s="120"/>
      <c r="C75" s="120"/>
      <c r="D75" s="120"/>
      <c r="E75" s="120"/>
    </row>
    <row r="76" spans="2:5">
      <c r="B76" s="120"/>
      <c r="C76" s="120"/>
      <c r="D76" s="120"/>
      <c r="E76" s="120"/>
    </row>
    <row r="77" spans="2:5">
      <c r="B77" s="120"/>
      <c r="C77" s="120"/>
      <c r="D77" s="120"/>
      <c r="E77" s="120"/>
    </row>
    <row r="78" spans="2:5">
      <c r="B78" s="120"/>
      <c r="C78" s="120"/>
      <c r="D78" s="120"/>
      <c r="E78" s="120"/>
    </row>
    <row r="79" spans="2:5">
      <c r="B79" s="120"/>
      <c r="C79" s="120"/>
      <c r="D79" s="120"/>
      <c r="E79" s="120"/>
    </row>
    <row r="80" spans="2:5">
      <c r="B80" s="120"/>
      <c r="C80" s="120"/>
      <c r="D80" s="120"/>
      <c r="E80" s="120"/>
    </row>
    <row r="81" spans="2:5">
      <c r="B81" s="120"/>
      <c r="C81" s="120"/>
      <c r="D81" s="120"/>
      <c r="E81" s="120"/>
    </row>
    <row r="82" spans="2:5">
      <c r="B82" s="120"/>
      <c r="C82" s="120"/>
      <c r="D82" s="120"/>
      <c r="E82" s="120"/>
    </row>
    <row r="83" spans="2:5">
      <c r="B83" s="120"/>
      <c r="C83" s="120"/>
      <c r="D83" s="120"/>
      <c r="E83" s="120"/>
    </row>
    <row r="84" spans="2:5">
      <c r="B84" s="120"/>
      <c r="C84" s="120"/>
      <c r="D84" s="120"/>
      <c r="E84" s="120"/>
    </row>
    <row r="85" spans="2:5">
      <c r="B85" s="120"/>
      <c r="C85" s="120"/>
      <c r="D85" s="120"/>
      <c r="E85" s="120"/>
    </row>
    <row r="86" spans="2:5">
      <c r="B86" s="120"/>
      <c r="C86" s="120"/>
      <c r="D86" s="120"/>
      <c r="E86" s="120"/>
    </row>
    <row r="87" spans="2:5">
      <c r="B87" s="120"/>
      <c r="C87" s="120"/>
      <c r="D87" s="120"/>
      <c r="E87" s="120"/>
    </row>
    <row r="88" spans="2:5">
      <c r="B88" s="120"/>
      <c r="C88" s="120"/>
      <c r="D88" s="120"/>
      <c r="E88" s="120"/>
    </row>
    <row r="89" spans="2:5">
      <c r="B89" s="120"/>
      <c r="C89" s="120"/>
      <c r="D89" s="120"/>
      <c r="E89" s="120"/>
    </row>
    <row r="90" spans="2:5">
      <c r="B90" s="120"/>
      <c r="C90" s="120"/>
      <c r="D90" s="120"/>
      <c r="E90" s="120"/>
    </row>
    <row r="91" spans="2:5">
      <c r="B91" s="120"/>
      <c r="C91" s="120"/>
      <c r="D91" s="120"/>
      <c r="E91" s="120"/>
    </row>
    <row r="92" spans="2:5">
      <c r="B92" s="120"/>
      <c r="C92" s="120"/>
      <c r="D92" s="120"/>
      <c r="E92" s="120"/>
    </row>
    <row r="93" spans="2:5">
      <c r="B93" s="120"/>
      <c r="C93" s="120"/>
      <c r="D93" s="120"/>
      <c r="E93" s="120"/>
    </row>
    <row r="94" spans="2:5">
      <c r="B94" s="120"/>
      <c r="C94" s="120"/>
      <c r="D94" s="120"/>
      <c r="E94" s="120"/>
    </row>
    <row r="95" spans="2:5">
      <c r="B95" s="120"/>
      <c r="C95" s="120"/>
      <c r="D95" s="120"/>
      <c r="E95" s="120"/>
    </row>
    <row r="96" spans="2:5">
      <c r="B96" s="120"/>
      <c r="C96" s="120"/>
      <c r="D96" s="120"/>
      <c r="E96" s="120"/>
    </row>
    <row r="97" spans="2:5">
      <c r="B97" s="120"/>
      <c r="C97" s="120"/>
      <c r="D97" s="120"/>
      <c r="E97" s="120"/>
    </row>
    <row r="98" spans="2:5">
      <c r="B98" s="120"/>
      <c r="C98" s="120"/>
      <c r="D98" s="120"/>
      <c r="E98" s="120"/>
    </row>
    <row r="99" spans="2:5">
      <c r="B99" s="120"/>
      <c r="C99" s="120"/>
      <c r="D99" s="120"/>
      <c r="E99" s="120"/>
    </row>
    <row r="100" spans="2:5">
      <c r="B100" s="120"/>
      <c r="C100" s="120"/>
      <c r="D100" s="120"/>
      <c r="E100" s="120"/>
    </row>
    <row r="101" spans="2:5">
      <c r="B101" s="120"/>
      <c r="C101" s="120"/>
      <c r="D101" s="120"/>
      <c r="E101" s="120"/>
    </row>
    <row r="102" spans="2:5">
      <c r="B102" s="120"/>
      <c r="C102" s="120"/>
      <c r="D102" s="120"/>
      <c r="E102" s="120"/>
    </row>
    <row r="103" spans="2:5">
      <c r="B103" s="120"/>
      <c r="C103" s="120"/>
      <c r="D103" s="120"/>
      <c r="E103" s="120"/>
    </row>
  </sheetData>
  <phoneticPr fontId="2"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ommandButton">
              <controlPr defaultSize="0" print="0" autoFill="0" autoLine="0" autoPict="0" macro="[0]!optimize_once">
                <anchor moveWithCells="1" sizeWithCells="1">
                  <from>
                    <xdr:col>6</xdr:col>
                    <xdr:colOff>47625</xdr:colOff>
                    <xdr:row>11</xdr:row>
                    <xdr:rowOff>28575</xdr:rowOff>
                  </from>
                  <to>
                    <xdr:col>6</xdr:col>
                    <xdr:colOff>2571750</xdr:colOff>
                    <xdr:row>13</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U107"/>
  <sheetViews>
    <sheetView zoomScale="85" zoomScaleNormal="85" workbookViewId="0">
      <selection activeCell="B20" sqref="B20"/>
    </sheetView>
  </sheetViews>
  <sheetFormatPr defaultRowHeight="12.75"/>
  <cols>
    <col min="1" max="1" width="17" style="65" customWidth="1"/>
    <col min="2" max="2" width="11" style="66" customWidth="1"/>
    <col min="3" max="3" width="9.85546875" style="66" bestFit="1" customWidth="1"/>
    <col min="4" max="4" width="10" style="66" customWidth="1"/>
    <col min="5" max="5" width="12" style="66" customWidth="1"/>
    <col min="6" max="6" width="9.85546875" style="66" bestFit="1" customWidth="1"/>
    <col min="7" max="7" width="10.140625" style="66" customWidth="1"/>
    <col min="8" max="8" width="10.85546875" style="66" customWidth="1"/>
    <col min="9" max="9" width="10.28515625" style="66" bestFit="1" customWidth="1"/>
    <col min="10" max="10" width="10.7109375" style="66" bestFit="1" customWidth="1"/>
    <col min="11" max="11" width="9.28515625" style="66" customWidth="1"/>
    <col min="12" max="12" width="15" style="66" bestFit="1" customWidth="1"/>
    <col min="13" max="13" width="8.42578125" style="66" bestFit="1" customWidth="1"/>
    <col min="14" max="14" width="8.5703125" style="66" customWidth="1"/>
    <col min="15" max="15" width="27.5703125" style="66" customWidth="1"/>
    <col min="16" max="16" width="0.85546875" style="66" customWidth="1"/>
    <col min="17" max="17" width="12.28515625" style="66" bestFit="1" customWidth="1"/>
    <col min="18" max="18" width="13.7109375" style="66" customWidth="1"/>
    <col min="19" max="19" width="4.5703125" style="66" customWidth="1"/>
    <col min="20" max="20" width="20.140625" style="66" bestFit="1" customWidth="1"/>
    <col min="21" max="16384" width="9.140625" style="66"/>
  </cols>
  <sheetData>
    <row r="1" spans="1:21" ht="28.5" customHeight="1" thickBot="1">
      <c r="A1" s="520"/>
      <c r="B1" s="521" t="s">
        <v>1272</v>
      </c>
      <c r="C1" s="522" t="s">
        <v>742</v>
      </c>
      <c r="D1" s="523" t="s">
        <v>1573</v>
      </c>
      <c r="E1" s="523" t="s">
        <v>1574</v>
      </c>
      <c r="F1" s="521" t="s">
        <v>269</v>
      </c>
      <c r="G1" s="522" t="s">
        <v>267</v>
      </c>
      <c r="H1" s="523" t="s">
        <v>268</v>
      </c>
      <c r="I1" s="521" t="s">
        <v>1575</v>
      </c>
      <c r="J1" s="523" t="s">
        <v>1576</v>
      </c>
      <c r="L1" s="67"/>
      <c r="O1" s="67" t="s">
        <v>1577</v>
      </c>
    </row>
    <row r="2" spans="1:21">
      <c r="A2" s="524" t="s">
        <v>1578</v>
      </c>
      <c r="B2" s="525">
        <f>bMHavg+bAP/APtoDPS*bMHspd</f>
        <v>798.8839456904077</v>
      </c>
      <c r="C2" s="526">
        <f>bMHdam*bMHgfact</f>
        <v>599.16295926780572</v>
      </c>
      <c r="D2" s="527">
        <f>bMHdam*bMHcfact</f>
        <v>1645.7009281222399</v>
      </c>
      <c r="E2" s="527">
        <f>bMHdam*bMHhit+bMHgdam*bMHglan+bMHcdam*bMHcrit</f>
        <v>921.86363651132888</v>
      </c>
      <c r="F2" s="528">
        <f>1/bMHspd*bHaste</f>
        <v>0.47245947878938588</v>
      </c>
      <c r="G2" s="529">
        <f>bMHasec*bMHthit</f>
        <v>0.46280286797900771</v>
      </c>
      <c r="H2" s="530">
        <f>bMHasec*bMHcrit</f>
        <v>0.10446631487564784</v>
      </c>
      <c r="I2" s="531">
        <f>bMHadam*bMHasec*bGlobDam</f>
        <v>462.02424058486895</v>
      </c>
      <c r="J2" s="532">
        <f t="shared" ref="J2:J7" si="0">I2*armoradj</f>
        <v>342.72411171437074</v>
      </c>
      <c r="K2" s="109"/>
      <c r="O2" s="66" t="s">
        <v>1579</v>
      </c>
      <c r="Q2" s="68">
        <f>BaseMissPerc</f>
        <v>0.27</v>
      </c>
      <c r="R2" s="203"/>
      <c r="T2" s="27" t="s">
        <v>3098</v>
      </c>
      <c r="U2" s="107">
        <f>IF(CharLevel&lt;=60,(CharLevel-8)/52,IF(CharLevel&lt;=70,82/(262-3*CharLevel),82/52))</f>
        <v>1.5769230769230769</v>
      </c>
    </row>
    <row r="3" spans="1:21">
      <c r="A3" s="508" t="s">
        <v>109</v>
      </c>
      <c r="B3" s="330">
        <f>bMHdam</f>
        <v>798.8839456904077</v>
      </c>
      <c r="C3" s="341">
        <f>bMHgdam</f>
        <v>599.16295926780572</v>
      </c>
      <c r="D3" s="345">
        <f>bMHcdam</f>
        <v>1645.7009281222399</v>
      </c>
      <c r="E3" s="345">
        <f>bMHadam</f>
        <v>921.86363651132888</v>
      </c>
      <c r="F3" s="344">
        <f>(sndfact-1)*sndup*bMHasec</f>
        <v>0.14126538415802639</v>
      </c>
      <c r="G3" s="336">
        <f>(sndfact-1)*sndup*bMHhsec</f>
        <v>0.13837805752572332</v>
      </c>
      <c r="H3" s="351">
        <f>(sndfact-1)*sndup*bMHcsec</f>
        <v>3.1235428147818708E-2</v>
      </c>
      <c r="I3" s="348">
        <f>mhdps*(sndfact-1)*sndup</f>
        <v>138.14524793487584</v>
      </c>
      <c r="J3" s="509">
        <f t="shared" si="0"/>
        <v>102.47450940259687</v>
      </c>
      <c r="K3" s="109"/>
      <c r="L3" s="66" t="s">
        <v>1440</v>
      </c>
      <c r="M3" s="68">
        <f>IF(time=0, 1-(Q43/(467.5*CharLevel+Q43-22167.5)), 'Cooldowns Calc'!AB1)</f>
        <v>0.7417881608993474</v>
      </c>
      <c r="O3" s="66" t="s">
        <v>1180</v>
      </c>
      <c r="Q3" s="68">
        <f>BaseDodPerc</f>
        <v>6.5000000000000002E-2</v>
      </c>
      <c r="T3" s="27" t="s">
        <v>3091</v>
      </c>
      <c r="U3" s="107">
        <f>10*conv</f>
        <v>15.769230769230768</v>
      </c>
    </row>
    <row r="4" spans="1:21" ht="13.5" thickBot="1">
      <c r="A4" s="533" t="s">
        <v>1197</v>
      </c>
      <c r="B4" s="534">
        <f>bMHdam</f>
        <v>798.8839456904077</v>
      </c>
      <c r="C4" s="535">
        <f>bMHgdam</f>
        <v>599.16295926780572</v>
      </c>
      <c r="D4" s="536">
        <f>bMHcdam</f>
        <v>1645.7009281222399</v>
      </c>
      <c r="E4" s="536">
        <f>(B2*B22*Q10+B2*B23*cfact+B2*B24)</f>
        <v>921.86363651132888</v>
      </c>
      <c r="F4" s="537">
        <f>bExAtt</f>
        <v>0.32133894904104937</v>
      </c>
      <c r="G4" s="538">
        <f>F4*bMHhit</f>
        <v>0.16659794784524692</v>
      </c>
      <c r="H4" s="539">
        <f>F4*bMHcrit</f>
        <v>7.1051798808965227E-2</v>
      </c>
      <c r="I4" s="540">
        <f>E4*F4*bGlobDam</f>
        <v>314.24151819634557</v>
      </c>
      <c r="J4" s="541">
        <f t="shared" si="0"/>
        <v>233.10063786108816</v>
      </c>
      <c r="K4" s="109"/>
      <c r="L4" s="66" t="s">
        <v>3007</v>
      </c>
      <c r="M4" s="68">
        <f>IF(time=0, 1-(Q43/(467.5*CharLevel+Q43-22167.5)), 'Cooldowns Calc'!AA1)</f>
        <v>0.74178816089935429</v>
      </c>
      <c r="O4" s="490" t="s">
        <v>397</v>
      </c>
      <c r="P4" s="68"/>
      <c r="Q4" s="68">
        <f>BaseParPerc</f>
        <v>0.14000000000000001</v>
      </c>
      <c r="T4" s="27" t="s">
        <v>3092</v>
      </c>
      <c r="U4" s="107">
        <f>14*conv</f>
        <v>22.076923076923077</v>
      </c>
    </row>
    <row r="5" spans="1:21">
      <c r="A5" s="524" t="s">
        <v>1439</v>
      </c>
      <c r="B5" s="525">
        <f>(bOHavg+bAP/APtoDPS*bOHspd)*bOHdamfac</f>
        <v>312.78967037497233</v>
      </c>
      <c r="C5" s="526">
        <f>bOHdam*bOHgfact</f>
        <v>234.59225278122926</v>
      </c>
      <c r="D5" s="527">
        <f>bOHdam*bOHcfact</f>
        <v>644.34672097244299</v>
      </c>
      <c r="E5" s="527">
        <f>bOHdam*bOHhit+bOHgdam*bOHglan+bOHcdam*bOHcrit</f>
        <v>360.94031498637253</v>
      </c>
      <c r="F5" s="528">
        <f>1/bOHspd*bHaste</f>
        <v>0.87742474632314538</v>
      </c>
      <c r="G5" s="529">
        <f>bOHasec*bOHthit</f>
        <v>0.85949104053244307</v>
      </c>
      <c r="H5" s="530">
        <f>bOHasec*bOHcrit</f>
        <v>0.19400887048334603</v>
      </c>
      <c r="I5" s="531">
        <f>bOHadam*bOHasec*bGlobDam</f>
        <v>335.95320054504873</v>
      </c>
      <c r="J5" s="532">
        <f t="shared" si="0"/>
        <v>249.20610678056366</v>
      </c>
      <c r="K5" s="109"/>
      <c r="O5" s="66" t="s">
        <v>1181</v>
      </c>
      <c r="Q5" s="68">
        <f>BaseGlanPerc</f>
        <v>0.24</v>
      </c>
      <c r="T5" s="27" t="s">
        <v>3093</v>
      </c>
      <c r="U5" s="107">
        <f>10*conv</f>
        <v>15.769230769230768</v>
      </c>
    </row>
    <row r="6" spans="1:21">
      <c r="A6" s="508" t="s">
        <v>110</v>
      </c>
      <c r="B6" s="342">
        <f>bOHdam</f>
        <v>312.78967037497233</v>
      </c>
      <c r="C6" s="341">
        <f>bOHgdam</f>
        <v>234.59225278122926</v>
      </c>
      <c r="D6" s="346">
        <f>bOHcdam</f>
        <v>644.34672097244299</v>
      </c>
      <c r="E6" s="346">
        <f>bOHadam</f>
        <v>360.94031498637253</v>
      </c>
      <c r="F6" s="344">
        <f>(sndfact-1)*sndup*bOHasec</f>
        <v>0.26234999915062052</v>
      </c>
      <c r="G6" s="336">
        <f>(sndfact-1)*sndup*bOHhsec</f>
        <v>0.25698782111920054</v>
      </c>
      <c r="H6" s="351">
        <f>(sndfact-1)*sndup*bOHcsec</f>
        <v>5.800865227452047E-2</v>
      </c>
      <c r="I6" s="349">
        <f>(sndfact-1)*sndup*ohdps</f>
        <v>100.45000696296958</v>
      </c>
      <c r="J6" s="511">
        <f t="shared" si="0"/>
        <v>74.512625927388541</v>
      </c>
      <c r="K6" s="109"/>
      <c r="L6" s="67" t="s">
        <v>1183</v>
      </c>
      <c r="O6" s="66" t="s">
        <v>1182</v>
      </c>
      <c r="Q6" s="69">
        <f>OHDamFact</f>
        <v>0.75</v>
      </c>
      <c r="T6" s="27" t="s">
        <v>3094</v>
      </c>
      <c r="U6" s="105">
        <f>12*conv</f>
        <v>18.923076923076923</v>
      </c>
    </row>
    <row r="7" spans="1:21" ht="13.5" thickBot="1">
      <c r="A7" s="542" t="s">
        <v>1200</v>
      </c>
      <c r="B7" s="534">
        <f>bOHdam</f>
        <v>312.78967037497233</v>
      </c>
      <c r="C7" s="543">
        <f>bOHgdam</f>
        <v>234.59225278122926</v>
      </c>
      <c r="D7" s="544">
        <f>bOHcdam</f>
        <v>644.34672097244299</v>
      </c>
      <c r="E7" s="544">
        <f>bOHadam</f>
        <v>360.94031498637253</v>
      </c>
      <c r="F7" s="545">
        <f>IF(itBsOH,(bOHhsec+G6)*itBsEa,0)</f>
        <v>0</v>
      </c>
      <c r="G7" s="546">
        <f>F7*bOHthit</f>
        <v>0</v>
      </c>
      <c r="H7" s="547">
        <f>F7*bOHcrit</f>
        <v>0</v>
      </c>
      <c r="I7" s="540">
        <f>E7*F7*bGlobDam</f>
        <v>0</v>
      </c>
      <c r="J7" s="541">
        <f t="shared" si="0"/>
        <v>0</v>
      </c>
      <c r="K7" s="109"/>
      <c r="L7" s="66" t="s">
        <v>1186</v>
      </c>
      <c r="M7" s="72">
        <f>IF(BossLevel*5-CharLevel*5&gt;10, 'Gear &amp; Buffs'!H143/HitRate/100-1%, 'Gear &amp; Buffs'!H143/HitRate/100)</f>
        <v>0.26956097560975611</v>
      </c>
      <c r="O7" s="66" t="s">
        <v>1184</v>
      </c>
      <c r="Q7" s="70">
        <f>350+(BossLevel-CharLevel)*5</f>
        <v>365</v>
      </c>
      <c r="R7" s="71"/>
      <c r="T7" s="27" t="s">
        <v>3096</v>
      </c>
      <c r="U7" s="107">
        <f>2.5*conv</f>
        <v>3.9423076923076921</v>
      </c>
    </row>
    <row r="8" spans="1:21">
      <c r="A8" s="569" t="str">
        <f>instatklng</f>
        <v>Sinister Strike</v>
      </c>
      <c r="B8" s="570">
        <f>IF(instatk="bs",(1.5+talSCallInstBon)*(MHavg+ap/APtoDPS*MHnorm+170)*(1+sa*0.1+0.04*opp+0.02*agg+Slayer4value-1),IF(instatk="hemo",Slayer4value*(MHavg+ap/APtoDPS*MHnorm)*(1.1+talSCallInstBon),IF(instatk="ss",(MHavg+ap/APtoDPS*MHnorm+98)*(1+sa*0.1+0.02*agg+Slayer4value-1),IF(instatk="v",(ohavg+ap/APtoDPS*OHnorm)*(1+sa*0.1)*(0.5+0.05*dws)+avipdam,Slayer4value*(1+0.04*opp)*(MHavg+101+ap/APtoDPS*MHnorm+(0.5+0.05*dws)*(ohavg+ap/APtoDPS*OHnorm)+101*(1+0.1*dws))*(1+0.5*IF(Talents!$O$18="Yes",1,0)))))*(IF(IF(Talents!$O$27="Instants",1,0),1+Talents!I37*20%/(30*instsec),1))*fwfactor)</f>
        <v>987.92804030849811</v>
      </c>
      <c r="C8" s="571"/>
      <c r="D8" s="572">
        <f>B8*(1+((leth*0.06+2)-1)*(cfact-1))</f>
        <v>2349.2928798536086</v>
      </c>
      <c r="E8" s="572">
        <f>avginst*fwfactor</f>
        <v>1288.9417237527728</v>
      </c>
      <c r="F8" s="573"/>
      <c r="G8" s="574"/>
      <c r="H8" s="575"/>
      <c r="I8" s="576">
        <f>Q17*E8*bGlobDam*(1+DDmult)*IF(Talents!$O$27="Instants",1+Talents!I37*20%/(30*instsec),1)</f>
        <v>422.31929549312446</v>
      </c>
      <c r="J8" s="577">
        <f>IF(time=0,I8*armor,'Cooldowns Calc'!AG1)</f>
        <v>327.58159382962725</v>
      </c>
      <c r="K8" s="109"/>
      <c r="L8" s="66" t="s">
        <v>1188</v>
      </c>
      <c r="M8" s="72">
        <f>'Gear &amp; Buffs'!E6</f>
        <v>0.22111169225206101</v>
      </c>
      <c r="O8" s="66" t="s">
        <v>850</v>
      </c>
      <c r="Q8" s="73">
        <f>FLOOR(dskill/skillrate,1)+IF(AND('Gear &amp; Buffs'!B74="Human",OR(mhtype="Sword",mhtype="Mace")),5,0)</f>
        <v>18</v>
      </c>
      <c r="T8" s="27" t="s">
        <v>3095</v>
      </c>
      <c r="U8" s="107">
        <f>1.5*conv</f>
        <v>2.3653846153846154</v>
      </c>
    </row>
    <row r="9" spans="1:21">
      <c r="A9" s="548" t="s">
        <v>1185</v>
      </c>
      <c r="B9" s="549"/>
      <c r="C9" s="550"/>
      <c r="D9" s="551"/>
      <c r="E9" s="552"/>
      <c r="F9" s="553"/>
      <c r="G9" s="554"/>
      <c r="H9" s="555"/>
      <c r="I9" s="556">
        <f>Cycles!$Y$10*bGlobDam*(1+DDmult)</f>
        <v>0</v>
      </c>
      <c r="J9" s="557">
        <f t="shared" ref="J9:J10" si="1">I9*armor</f>
        <v>0</v>
      </c>
      <c r="K9" s="109"/>
      <c r="L9" s="66" t="s">
        <v>1190</v>
      </c>
      <c r="M9" s="74">
        <f>ap</f>
        <v>3165.5289383329646</v>
      </c>
      <c r="O9" s="66" t="s">
        <v>851</v>
      </c>
      <c r="Q9" s="73">
        <f>FLOOR(dskill/skillrate,1)+IF(AND('Gear &amp; Buffs'!B74="Human",OR(ohtype="Sword",ohtype="Mace")),5,0)</f>
        <v>18</v>
      </c>
      <c r="T9" s="66" t="s">
        <v>3099</v>
      </c>
      <c r="U9" s="107">
        <f>127/13570*CharLevel^2-1583/13570*CharLevel+3131/1357</f>
        <v>40</v>
      </c>
    </row>
    <row r="10" spans="1:21">
      <c r="A10" s="548" t="s">
        <v>1187</v>
      </c>
      <c r="B10" s="558"/>
      <c r="C10" s="559"/>
      <c r="D10" s="560"/>
      <c r="E10" s="560">
        <f>IF(evisec=0,0,evidmg)</f>
        <v>1459.2710844590233</v>
      </c>
      <c r="F10" s="561"/>
      <c r="G10" s="562"/>
      <c r="H10" s="563"/>
      <c r="I10" s="556">
        <f>E10*evisec/armor*bGlobDam*(1+DDmult)*(IF(AND(NOT(IF(Talents!$O$27="Instants",1,0)),Q18&gt;0),1+Talents!I37*20%/(30*Q18),1))</f>
        <v>4.928344503418173</v>
      </c>
      <c r="J10" s="557">
        <f t="shared" si="1"/>
        <v>3.6557876054689742</v>
      </c>
      <c r="K10" s="109"/>
      <c r="M10" s="74"/>
      <c r="O10" s="66" t="s">
        <v>1191</v>
      </c>
      <c r="Q10" s="66">
        <f>BaseGlanFact</f>
        <v>0.75</v>
      </c>
      <c r="T10" s="160" t="s">
        <v>3097</v>
      </c>
      <c r="U10" s="1337">
        <f>IF(CharLevel*5-BossLevel*5&lt;0, 0.2%, 0.04%)</f>
        <v>2E-3</v>
      </c>
    </row>
    <row r="11" spans="1:21">
      <c r="A11" s="548" t="s">
        <v>1189</v>
      </c>
      <c r="B11" s="558"/>
      <c r="C11" s="559"/>
      <c r="D11" s="560"/>
      <c r="E11" s="560">
        <f>rupdmg</f>
        <v>1759.7269451999114</v>
      </c>
      <c r="F11" s="561"/>
      <c r="G11" s="562"/>
      <c r="H11" s="563"/>
      <c r="I11" s="556">
        <f>E11*rupsec*bGlobDam*(1+DDmult)*(IF(AND(NOT(IF(Talents!$O$27="Instants",1,0)),Q18&gt;0),1+Talents!I37*20%/(30*Q18),1))</f>
        <v>115.52681337841148</v>
      </c>
      <c r="J11" s="557">
        <f>I11</f>
        <v>115.52681337841148</v>
      </c>
      <c r="K11" s="109"/>
      <c r="L11" s="66" t="s">
        <v>1193</v>
      </c>
      <c r="M11" s="75">
        <f>MHavg</f>
        <v>211</v>
      </c>
      <c r="O11" s="66" t="s">
        <v>1194</v>
      </c>
      <c r="Q11" s="66">
        <f>BaseGlanFact</f>
        <v>0.75</v>
      </c>
    </row>
    <row r="12" spans="1:21" ht="12.75" customHeight="1" thickBot="1">
      <c r="A12" s="578" t="s">
        <v>1192</v>
      </c>
      <c r="B12" s="579"/>
      <c r="C12" s="580"/>
      <c r="D12" s="581"/>
      <c r="E12" s="581">
        <f>envdmg</f>
        <v>0</v>
      </c>
      <c r="F12" s="582"/>
      <c r="G12" s="583"/>
      <c r="H12" s="584"/>
      <c r="I12" s="585">
        <f>E12*envsec*bGlobDam*(1+DDmult)*(IF(AND(NOT(IF(Talents!$O$27="Instants",1,0)),Q18&gt;0),1+Talents!I37*20%/(30*Q18),1))</f>
        <v>0</v>
      </c>
      <c r="J12" s="586">
        <f>I12</f>
        <v>0</v>
      </c>
      <c r="K12" s="109"/>
      <c r="L12" s="66" t="s">
        <v>1196</v>
      </c>
      <c r="M12" s="66">
        <f>MHspd</f>
        <v>2.6</v>
      </c>
      <c r="O12" s="66" t="s">
        <v>1197</v>
      </c>
      <c r="Q12" s="68">
        <f>(IF(mhtype="Sword",talSwSpcFac,0)+IF(mh="blinkstrike",0.02,0))</f>
        <v>7.0000000000000007E-2</v>
      </c>
      <c r="R12" s="900">
        <f>(1-B19-B20)*Q12</f>
        <v>6.8569268292682936E-2</v>
      </c>
      <c r="T12" s="66" t="s">
        <v>3100</v>
      </c>
      <c r="U12" s="1338">
        <f>1-MAX(4%+(BossLevel-CharLevel)*1%+MAX((BossLevel-CharLevel-2)*10%,0%),1%)</f>
        <v>0.83</v>
      </c>
    </row>
    <row r="13" spans="1:21">
      <c r="A13" s="507" t="s">
        <v>1195</v>
      </c>
      <c r="B13" s="564"/>
      <c r="C13" s="565"/>
      <c r="D13" s="566"/>
      <c r="E13" s="566"/>
      <c r="F13" s="343"/>
      <c r="G13" s="335"/>
      <c r="H13" s="350"/>
      <c r="I13" s="567">
        <f>('Weap Enchants'!X3+Q33)</f>
        <v>27.290231355562383</v>
      </c>
      <c r="J13" s="568">
        <f>I13</f>
        <v>27.290231355562383</v>
      </c>
      <c r="K13" s="109"/>
      <c r="L13" s="66" t="s">
        <v>1199</v>
      </c>
      <c r="M13" s="75">
        <f>ohavg</f>
        <v>100.5</v>
      </c>
      <c r="O13" s="66" t="s">
        <v>1200</v>
      </c>
      <c r="Q13" s="68">
        <f>(IF(ohtype="Sword",talSwSpcFac,0))+IF(oh="blinkstrike",0.02,0)</f>
        <v>0.05</v>
      </c>
      <c r="R13" s="900">
        <f>(1-D19-D20)*Q13</f>
        <v>4.897804878048781E-2</v>
      </c>
    </row>
    <row r="14" spans="1:21" ht="12.75" customHeight="1">
      <c r="A14" s="508" t="s">
        <v>1198</v>
      </c>
      <c r="B14" s="331"/>
      <c r="C14" s="332"/>
      <c r="D14" s="347"/>
      <c r="E14" s="347"/>
      <c r="F14" s="344"/>
      <c r="G14" s="336"/>
      <c r="H14" s="351"/>
      <c r="I14" s="348">
        <f>'Weap Enchants'!X5*tlMURfac*IF(Talents!O36="No",(1+'Gear &amp; Buffs'!B106*0.01*'Gear &amp; Buffs'!C106),1)</f>
        <v>79.110112401040908</v>
      </c>
      <c r="J14" s="509">
        <f>I14</f>
        <v>79.110112401040908</v>
      </c>
      <c r="L14" s="66" t="s">
        <v>1202</v>
      </c>
      <c r="M14" s="66">
        <f>ohspd</f>
        <v>1.4</v>
      </c>
      <c r="O14" s="76" t="s">
        <v>1203</v>
      </c>
      <c r="Q14" s="77">
        <f>bMHhsec+G3</f>
        <v>0.60118092550473101</v>
      </c>
      <c r="T14" s="66" t="s">
        <v>3101</v>
      </c>
      <c r="U14" s="1339">
        <v>0.25</v>
      </c>
    </row>
    <row r="15" spans="1:21" ht="13.5" thickBot="1">
      <c r="A15" s="512" t="s">
        <v>1201</v>
      </c>
      <c r="B15" s="333"/>
      <c r="C15" s="334"/>
      <c r="D15" s="352"/>
      <c r="E15" s="352"/>
      <c r="F15" s="353"/>
      <c r="G15" s="339"/>
      <c r="H15" s="354"/>
      <c r="I15" s="355">
        <f>(Weapons!AT45+Weapons!AV45+'Weap Enchants'!X6+Q34+Q45+Q46+Q49+Q52)*(1+'Gear &amp; Buffs'!B106*0.01*'Gear &amp; Buffs'!C106)+IF(AND(mh="Claw of Molten Fury",oh="Fist of Molten Fury"),Q20*125*fullresist*0.1,0)+IF(Neck=Neck!A25,350*(1+bMHcrit)*IF(CoE,1.25,1)*(1+(0.01*miseryimp)*misery)/Optimize!D14,0)+OptDPSadj+IF(OR(mh="Shard of Azzinoth",oh="Shard of Azzinoth"),45,0)+eadps</f>
        <v>0</v>
      </c>
      <c r="J15" s="510">
        <f>I15</f>
        <v>0</v>
      </c>
      <c r="Q15" s="78"/>
    </row>
    <row r="16" spans="1:21" ht="13.5" thickBot="1">
      <c r="A16" s="513" t="s">
        <v>1204</v>
      </c>
      <c r="B16" s="514"/>
      <c r="C16" s="515"/>
      <c r="D16" s="516"/>
      <c r="E16" s="516"/>
      <c r="F16" s="517"/>
      <c r="G16" s="518"/>
      <c r="H16" s="519"/>
      <c r="I16" s="1316">
        <f>SUM(I2:I15)</f>
        <v>1999.989011355666</v>
      </c>
      <c r="J16" s="1317">
        <f>SUM(J2:J15)</f>
        <v>1555.182530256119</v>
      </c>
      <c r="O16" s="76" t="s">
        <v>1205</v>
      </c>
      <c r="Q16" s="77">
        <f>bOHhsec+G6+G7</f>
        <v>1.1164788616516437</v>
      </c>
      <c r="T16" s="15" t="s">
        <v>3113</v>
      </c>
      <c r="U16" s="652">
        <f>IF(numPhysDps=0,0,10/35*10/(2*numPhysDps))</f>
        <v>0.14285714285714285</v>
      </c>
    </row>
    <row r="17" spans="1:21">
      <c r="O17" s="76" t="s">
        <v>2251</v>
      </c>
      <c r="Q17" s="80">
        <f>instsec</f>
        <v>0.30886886428081306</v>
      </c>
      <c r="R17" s="652">
        <f>1/Q17</f>
        <v>3.2376199599414268</v>
      </c>
    </row>
    <row r="18" spans="1:21">
      <c r="A18" s="79" t="s">
        <v>1206</v>
      </c>
      <c r="B18" s="79"/>
      <c r="C18" s="79" t="s">
        <v>419</v>
      </c>
      <c r="D18" s="79"/>
      <c r="E18" s="79" t="str">
        <f>"Hit Table - "&amp;instatklng</f>
        <v>Hit Table - Sinister Strike</v>
      </c>
      <c r="F18" s="79"/>
      <c r="G18" s="67"/>
      <c r="J18" s="340" t="s">
        <v>108</v>
      </c>
      <c r="O18" s="66" t="s">
        <v>2252</v>
      </c>
      <c r="Q18" s="78">
        <f>evisec+rupsec+envsec</f>
        <v>6.4249278896646056E-2</v>
      </c>
      <c r="R18" s="652">
        <f>Q17+Q18</f>
        <v>0.37311814317745912</v>
      </c>
      <c r="T18" s="66" t="s">
        <v>3197</v>
      </c>
      <c r="U18" s="68">
        <f>1-((basearmor-SUM('Gear &amp; Buffs'!Q81:Q92)-IF(Talents!O36="No",'Gear &amp; Buffs'!B80*520,0)*(1-U20))/(467.5*CharLevel+(basearmor-SUM('Gear &amp; Buffs'!Q81:Q92)-IF(Talents!O36="No",'Gear &amp; Buffs'!B80*520))-22167.5))</f>
        <v>0.73569881140582005</v>
      </c>
    </row>
    <row r="19" spans="1:21">
      <c r="A19" s="66" t="s">
        <v>1745</v>
      </c>
      <c r="B19" s="68">
        <f>MAX(Q2-M7,0)</f>
        <v>4.3902439024390283E-4</v>
      </c>
      <c r="C19" s="66" t="s">
        <v>1745</v>
      </c>
      <c r="D19" s="68">
        <f>MAX(Q2-M7,0)</f>
        <v>4.3902439024390283E-4</v>
      </c>
      <c r="E19" s="66" t="s">
        <v>1745</v>
      </c>
      <c r="F19" s="72">
        <f>MAX(Q2-19%-M7,0)</f>
        <v>0</v>
      </c>
      <c r="H19" s="68"/>
      <c r="J19" s="66" t="s">
        <v>1745</v>
      </c>
      <c r="K19" s="72">
        <f>MAX(Q2-19%-M7,0)</f>
        <v>0</v>
      </c>
      <c r="O19" s="66" t="s">
        <v>1747</v>
      </c>
      <c r="Q19" s="78">
        <f>G4</f>
        <v>0.16659794784524692</v>
      </c>
      <c r="T19" s="66" t="s">
        <v>3198</v>
      </c>
      <c r="U19" s="68">
        <f>1-((basearmor-SUM('Gear &amp; Buffs'!Q81:Q92)-410*(1+25%*impea)*5)/(467.5*CharLevel+(basearmor-SUM('Gear &amp; Buffs'!Q81:Q92)-410*(1+25%*impea)*5)-22167.5))</f>
        <v>0.71418907491966854</v>
      </c>
    </row>
    <row r="20" spans="1:21">
      <c r="A20" s="66" t="s">
        <v>1746</v>
      </c>
      <c r="B20" s="68">
        <f>MAX(0,Q3-(Q8*0.25%))</f>
        <v>2.0000000000000004E-2</v>
      </c>
      <c r="C20" s="66" t="s">
        <v>1746</v>
      </c>
      <c r="D20" s="68">
        <f>MAX(0,Q3-(Q9*0.25%))</f>
        <v>2.0000000000000004E-2</v>
      </c>
      <c r="E20" s="66" t="s">
        <v>1746</v>
      </c>
      <c r="F20" s="72">
        <f>MAX(0,IF(instatk="v",0,(Q3-(Q8*0.25%))))</f>
        <v>2.0000000000000004E-2</v>
      </c>
      <c r="H20" s="68"/>
      <c r="J20" s="66" t="s">
        <v>1746</v>
      </c>
      <c r="K20" s="68">
        <f>MAX(0,IF(sa,0,(Q3-(Q8*0.25%))))</f>
        <v>0</v>
      </c>
      <c r="L20" s="73"/>
      <c r="O20" s="76" t="s">
        <v>1748</v>
      </c>
      <c r="Q20" s="80">
        <f>Q14+SUM(Q16:Q19)+IF(instatk="mut",Q17,0)</f>
        <v>2.2573758781790807</v>
      </c>
      <c r="T20" s="66" t="s">
        <v>3200</v>
      </c>
      <c r="U20" s="68">
        <f>IF(time=0, 0, 10/time)</f>
        <v>3.3333333333333333E-2</v>
      </c>
    </row>
    <row r="21" spans="1:21">
      <c r="A21" s="66" t="s">
        <v>395</v>
      </c>
      <c r="B21" s="68">
        <f>IF(Talents!O21="Front",MAX(0,Q4-(Q8*0.25%)),0)</f>
        <v>0</v>
      </c>
      <c r="C21" s="66" t="s">
        <v>396</v>
      </c>
      <c r="D21" s="68">
        <f>IF(Talents!O21="Front",MAX(0,Q4-(Q9*0.25%)),0)</f>
        <v>0</v>
      </c>
      <c r="E21" s="66" t="s">
        <v>396</v>
      </c>
      <c r="F21" s="72">
        <f>IF(Talents!O21="Front",MAX(0,IF(instatk="v",0,(Q4-(Q8*0.25%)))),0)</f>
        <v>0</v>
      </c>
      <c r="H21" s="68"/>
      <c r="J21" s="66" t="s">
        <v>396</v>
      </c>
      <c r="K21" s="68">
        <f>IF(Talents!O21="Front",MAX(0,Q4-(Q8*0.25%)),0)</f>
        <v>0</v>
      </c>
      <c r="L21" s="73"/>
      <c r="O21" s="66" t="s">
        <v>1749</v>
      </c>
      <c r="Q21" s="78">
        <f>1/Q17</f>
        <v>3.2376199599414268</v>
      </c>
      <c r="R21" s="71"/>
    </row>
    <row r="22" spans="1:21">
      <c r="A22" s="66" t="s">
        <v>1181</v>
      </c>
      <c r="B22" s="68">
        <f>Q5</f>
        <v>0.24</v>
      </c>
      <c r="C22" s="66" t="s">
        <v>1181</v>
      </c>
      <c r="D22" s="68">
        <f>Q5</f>
        <v>0.24</v>
      </c>
      <c r="F22" s="72"/>
      <c r="H22" s="68"/>
      <c r="K22" s="68"/>
      <c r="O22" s="81" t="s">
        <v>1750</v>
      </c>
      <c r="Q22" s="82">
        <f>Q47+Q48+Q51</f>
        <v>0.13333333333333333</v>
      </c>
      <c r="R22" s="71"/>
    </row>
    <row r="23" spans="1:21">
      <c r="A23" s="66" t="s">
        <v>1188</v>
      </c>
      <c r="B23" s="68">
        <f>MIN((1-B19-B20-B21-B22),(M8))</f>
        <v>0.22111169225206101</v>
      </c>
      <c r="C23" s="66" t="s">
        <v>1188</v>
      </c>
      <c r="D23" s="68">
        <f>MIN((1-D19-D20-D21-D22),(M8)-IF(mhtype="dagger",Talents!$F$24/100,0)-IF(mhtype="fist",Talents!$F$29/100,0)+IF(ohtype="dagger",Talents!$F$24/100,0)+IF(ohtype="fist",Talents!$F$29/100,0))</f>
        <v>0.22111169225206101</v>
      </c>
      <c r="E23" s="66" t="s">
        <v>1188</v>
      </c>
      <c r="F23" s="72">
        <f>MIN(1,(M8+IF(instatk="bs",impBS,0)+IF(instatk="mut",impBS/2,0)))*(1-F19-F20-F21)+Q30</f>
        <v>0.21668945840701978</v>
      </c>
      <c r="H23" s="68"/>
      <c r="J23" s="66" t="s">
        <v>1188</v>
      </c>
      <c r="K23" s="68">
        <f>MIN(1,(M8))*(1-K19-K20-K21)+Q29</f>
        <v>0.22111169225206101</v>
      </c>
      <c r="L23" s="73"/>
      <c r="O23" s="66" t="s">
        <v>1751</v>
      </c>
      <c r="P23" s="70"/>
      <c r="Q23" s="70">
        <f>2*IF(AND('Gear &amp; Buffs'!B28="Relentless Earthstorm Diamond (12agi/3%crit dam)",MID('Gear &amp; Buffs'!R26,7,1)="1",Socket!S110),1.03,1)*IF(mhtype="mace",Talents!F26/100+1,1)</f>
        <v>2.06</v>
      </c>
      <c r="R23" s="71"/>
    </row>
    <row r="24" spans="1:21">
      <c r="A24" s="66" t="s">
        <v>1186</v>
      </c>
      <c r="B24" s="68">
        <f>(1-B19-B20-B21-B22-B23)</f>
        <v>0.51844928335769502</v>
      </c>
      <c r="C24" s="66" t="s">
        <v>1186</v>
      </c>
      <c r="D24" s="68">
        <f>(1-D19-D20-D21-D22-D23)</f>
        <v>0.51844928335769502</v>
      </c>
      <c r="E24" s="66" t="s">
        <v>1186</v>
      </c>
      <c r="F24" s="72">
        <f>(1-F19-F20-F21-F23)</f>
        <v>0.76331054159298017</v>
      </c>
      <c r="H24" s="68"/>
      <c r="J24" s="66" t="s">
        <v>1186</v>
      </c>
      <c r="K24" s="72">
        <f>(1-K19-K20-K21-K23)</f>
        <v>0.77888830774793893</v>
      </c>
      <c r="O24" s="66" t="s">
        <v>589</v>
      </c>
      <c r="Q24" s="66">
        <f>2*IF(AND('Gear &amp; Buffs'!B28="Relentless Earthstorm Diamond (12agi/3%crit dam)",MID('Gear &amp; Buffs'!R26,7,1)="1",Socket!S110),1.03,1)*IF(ohtype="mace",Talents!F26/100+1,1)</f>
        <v>2.06</v>
      </c>
      <c r="R24" s="83"/>
    </row>
    <row r="25" spans="1:21">
      <c r="A25" s="65" t="s">
        <v>1243</v>
      </c>
      <c r="B25" s="68">
        <f>1-bMHmiss-bMHdod-bMHpar</f>
        <v>0.97956097560975608</v>
      </c>
      <c r="C25" s="65" t="s">
        <v>1243</v>
      </c>
      <c r="D25" s="68">
        <f>SUM(D22:D24)</f>
        <v>0.97956097560975608</v>
      </c>
      <c r="E25" s="65" t="s">
        <v>1243</v>
      </c>
      <c r="F25" s="68">
        <f>SUM(F23:F24)</f>
        <v>0.98</v>
      </c>
      <c r="H25" s="68"/>
      <c r="J25" s="65" t="s">
        <v>1243</v>
      </c>
      <c r="K25" s="68">
        <f>SUM(K23:K24)</f>
        <v>1</v>
      </c>
      <c r="M25" s="68"/>
    </row>
    <row r="26" spans="1:21">
      <c r="I26" s="68"/>
      <c r="O26" s="70" t="s">
        <v>1752</v>
      </c>
      <c r="P26" s="70"/>
      <c r="Q26" s="70">
        <f>MHnorm</f>
        <v>2.4</v>
      </c>
    </row>
    <row r="27" spans="1:21">
      <c r="C27" s="202"/>
      <c r="D27" s="73"/>
      <c r="O27" s="70" t="s">
        <v>1755</v>
      </c>
      <c r="P27" s="70"/>
      <c r="Q27" s="70">
        <f>OHnorm</f>
        <v>2.4</v>
      </c>
    </row>
    <row r="28" spans="1:21">
      <c r="A28" s="67" t="s">
        <v>1894</v>
      </c>
      <c r="C28" s="202"/>
      <c r="K28"/>
      <c r="P28" s="70"/>
      <c r="Q28" s="73"/>
    </row>
    <row r="29" spans="1:21">
      <c r="A29" s="204" t="s">
        <v>411</v>
      </c>
      <c r="B29" s="69">
        <f>tlMURfac</f>
        <v>1.02</v>
      </c>
      <c r="J29"/>
      <c r="K29"/>
      <c r="O29" s="66" t="s">
        <v>932</v>
      </c>
      <c r="P29" s="70"/>
      <c r="Q29" s="84">
        <f>IF(Talents!$O$30="Instants",0,IF(cb,(1-bfindodge-bfinmiss-MIN(1,(M8))*(1-K19-K20))*(1/IF(instatk="bs",0.039,IF(instatk="mut",0.044,IF(instatk="SS",0.057,IF(instatk="Hemo",0.063,0.058)))))/IF(time=0,180,MIN(time,180)),0))</f>
        <v>0</v>
      </c>
    </row>
    <row r="30" spans="1:21">
      <c r="A30" s="328" t="s">
        <v>1895</v>
      </c>
      <c r="B30" s="69">
        <f>tlMURfac*(1+Ferocious*0.01*Ferociousimp*0.94*disablebuffs)*(1+bloodfrenzy*0.02*bloodfrenzyimp*disablebuffs)*(1+'Gear &amp; Buffs'!B106*0.01*'Gear &amp; Buffs'!C106*disablebuffs)</f>
        <v>1.0608</v>
      </c>
      <c r="J30"/>
      <c r="K30" s="898"/>
      <c r="O30" s="70" t="s">
        <v>933</v>
      </c>
      <c r="P30" s="70"/>
      <c r="Q30" s="70">
        <f>IF(Talents!$O$30="Instants",IF(cb,(1-bcpmiss-bcpdodge-MIN(1,(M8))*(1-bcpmiss-bcpdodge))*(1/IF(instatk="bs",((Cycles!$I$4*10+Weapons!AR25)/60+0.02),IF(instatk="mut",0.1544,IF(instatk="SS",((Cycles!$I$4*10+Weapons!AR25)/(45-impSS)+0.02),IF(instatk="Hemo",0.3,((Cycles!$I$4*10+Weapons!AR25)/35+0.04))))))/IF(time=0,180,MIN(time,180)),0),0)</f>
        <v>0</v>
      </c>
    </row>
    <row r="31" spans="1:21">
      <c r="D31" s="202"/>
      <c r="J31"/>
      <c r="K31" s="898"/>
      <c r="O31" s="66" t="s">
        <v>1360</v>
      </c>
      <c r="Q31" s="73">
        <f>(Q14+Q19)*B23/(1-B19-B20)+Q16*D23/(1-D19-D20)+Q17*F23/(1-F20)*(IF(instatk="mut",2,1)+Q18*K23/(1-K19))</f>
        <v>0.49458936445297341</v>
      </c>
    </row>
    <row r="32" spans="1:21">
      <c r="J32"/>
      <c r="K32" s="898"/>
      <c r="Q32" s="68"/>
      <c r="R32" s="85"/>
    </row>
    <row r="33" spans="1:18">
      <c r="A33" s="356" t="s">
        <v>432</v>
      </c>
      <c r="B33" s="356"/>
      <c r="J33"/>
      <c r="K33" s="898"/>
      <c r="O33" s="66" t="s">
        <v>2253</v>
      </c>
      <c r="Q33" s="73">
        <f>'Weap Enchants'!W22</f>
        <v>27.290231355562383</v>
      </c>
    </row>
    <row r="34" spans="1:18">
      <c r="A34" s="65" t="s">
        <v>57</v>
      </c>
      <c r="B34" s="1350">
        <f>MAX(BaseDodPerc-IF(AND('Gear &amp; Buffs'!B74="Human",OR(mhtype="Sword",mhtype="Mace")),1.25%,0)-'Gear &amp; Buffs'!L75/skillrate*0.25%,0)</f>
        <v>2.7500000000000004E-2</v>
      </c>
      <c r="C34" s="1349">
        <f>CEILING(B34/0.25%*skillrate,1)</f>
        <v>44</v>
      </c>
      <c r="D34" s="1349">
        <f>C34-'Gear &amp; Buffs'!L143+'Gear &amp; Buffs'!L75</f>
        <v>30</v>
      </c>
      <c r="J34"/>
      <c r="K34" s="898"/>
      <c r="O34" s="66" t="s">
        <v>1364</v>
      </c>
      <c r="Q34" s="66">
        <f>IF(OR(trinket1="Romulo's Poison Vial",trinket2="Romulo's Poison Vial"),L47*K47*277*fullresist*(1+(0.01*miseryimp)*misery)*(1+(thunderfury*thunderfurydps)),0)</f>
        <v>0</v>
      </c>
    </row>
    <row r="35" spans="1:18">
      <c r="A35" s="356" t="s">
        <v>58</v>
      </c>
      <c r="B35" s="68">
        <f>MAX(BaseDodPerc-IF(AND('Gear &amp; Buffs'!B74="Human",OR(ohtype="Sword",ohtype="Mace")),1.25%,0)-'Gear &amp; Buffs'!L75/skillrate*0.25%,0)</f>
        <v>2.7500000000000004E-2</v>
      </c>
      <c r="C35" s="70">
        <f>CEILING(B34/0.25%*skillrate,1)</f>
        <v>44</v>
      </c>
      <c r="D35" s="70">
        <f>C35-'Gear &amp; Buffs'!L143+'Gear &amp; Buffs'!L75</f>
        <v>30</v>
      </c>
      <c r="J35"/>
      <c r="K35" s="898"/>
    </row>
    <row r="36" spans="1:18">
      <c r="J36"/>
      <c r="K36" s="898"/>
      <c r="O36" s="66" t="s">
        <v>1365</v>
      </c>
    </row>
    <row r="37" spans="1:18">
      <c r="O37" s="66" t="s">
        <v>1366</v>
      </c>
      <c r="Q37" s="68">
        <f>Slayer2val</f>
        <v>1.3</v>
      </c>
    </row>
    <row r="38" spans="1:18">
      <c r="O38" s="66" t="s">
        <v>746</v>
      </c>
      <c r="Q38" s="68">
        <f>Q37</f>
        <v>1.3</v>
      </c>
    </row>
    <row r="39" spans="1:18" ht="13.5" thickBot="1">
      <c r="O39" s="66" t="s">
        <v>1367</v>
      </c>
      <c r="Q39" s="68">
        <f>IF(time=0, (1+'Gear &amp; Buffs'!$P$143/(hasterate*100))*(1+blfl*20%*15/120), 'Cooldowns Calc'!AD1)</f>
        <v>1.2283946448524035</v>
      </c>
    </row>
    <row r="40" spans="1:18">
      <c r="A40" s="376" t="s">
        <v>2986</v>
      </c>
      <c r="B40" s="361"/>
      <c r="C40" s="361"/>
      <c r="D40" s="362"/>
      <c r="G40" s="360" t="s">
        <v>1132</v>
      </c>
      <c r="H40" s="361"/>
      <c r="I40" s="361"/>
      <c r="J40" s="361"/>
      <c r="K40" s="361"/>
      <c r="L40" s="361" t="s">
        <v>2304</v>
      </c>
      <c r="M40" s="362"/>
      <c r="Q40" s="68"/>
    </row>
    <row r="41" spans="1:18">
      <c r="A41" s="377"/>
      <c r="B41" s="378" t="s">
        <v>2175</v>
      </c>
      <c r="C41" s="378"/>
      <c r="D41" s="379"/>
      <c r="G41" s="363"/>
      <c r="H41" s="160" t="s">
        <v>1186</v>
      </c>
      <c r="I41" s="160" t="s">
        <v>2297</v>
      </c>
      <c r="J41" s="160" t="s">
        <v>2298</v>
      </c>
      <c r="K41" s="160" t="s">
        <v>505</v>
      </c>
      <c r="L41" s="160" t="s">
        <v>2305</v>
      </c>
      <c r="M41" s="364" t="s">
        <v>2306</v>
      </c>
      <c r="O41" s="66" t="s">
        <v>1368</v>
      </c>
      <c r="Q41" s="68">
        <f>(I2+I5+I3+I6)*Q39/(I2+I5)-1</f>
        <v>0.59568464366327234</v>
      </c>
    </row>
    <row r="42" spans="1:18">
      <c r="A42" s="377" t="s">
        <v>2033</v>
      </c>
      <c r="B42" s="380">
        <f>IF(tlSwSMH,tlSwSea,0)</f>
        <v>0.05</v>
      </c>
      <c r="C42" s="381">
        <f>B42*bMHthit*(bMHasec+F3+instsec+Q18+D46)</f>
        <v>4.8333644892667185E-2</v>
      </c>
      <c r="D42" s="382">
        <f>$A$61</f>
        <v>5.8774234634357554E-2</v>
      </c>
      <c r="G42" s="363" t="s">
        <v>57</v>
      </c>
      <c r="H42" s="162">
        <f>bMHthit</f>
        <v>0.97956097560975608</v>
      </c>
      <c r="I42" s="161">
        <f>SUM($F$2:$F$4)</f>
        <v>0.93506381198846156</v>
      </c>
      <c r="J42" s="161">
        <f t="shared" ref="J42:J49" si="2">1/I42</f>
        <v>1.0694457289213752</v>
      </c>
      <c r="K42" s="161">
        <f>SUM($G$2:$G$4)</f>
        <v>0.76777887334997796</v>
      </c>
      <c r="L42" s="162">
        <f>MHspd/60*H42</f>
        <v>4.2447642276422767E-2</v>
      </c>
      <c r="M42" s="365">
        <f>1/L42/I42</f>
        <v>25.194467149837223</v>
      </c>
      <c r="O42" s="66" t="s">
        <v>1440</v>
      </c>
      <c r="Q42" s="26">
        <f>serrb*8*70/3+435*Weapons!$H$330+'Gear &amp; Buffs'!Q143</f>
        <v>4010</v>
      </c>
    </row>
    <row r="43" spans="1:18">
      <c r="A43" s="377" t="s">
        <v>2032</v>
      </c>
      <c r="B43" s="380">
        <f>IF(tlSwSOH,tlSwSea,0)</f>
        <v>0.05</v>
      </c>
      <c r="C43" s="381"/>
      <c r="D43" s="382">
        <f>$B$43*(bOHhsec+$G$6+$G$7)</f>
        <v>5.5823943082582185E-2</v>
      </c>
      <c r="G43" s="363" t="s">
        <v>58</v>
      </c>
      <c r="H43" s="162">
        <f>bOHthit</f>
        <v>0.97956097560975608</v>
      </c>
      <c r="I43" s="161">
        <f>SUM($F$5:$F$7)</f>
        <v>1.1397747454737659</v>
      </c>
      <c r="J43" s="161">
        <f t="shared" si="2"/>
        <v>0.87736634275427272</v>
      </c>
      <c r="K43" s="161">
        <f>SUM($G$5:$G$7)</f>
        <v>1.1164788616516437</v>
      </c>
      <c r="L43" s="162">
        <f>ohspd/60*H43</f>
        <v>2.2856422764227641E-2</v>
      </c>
      <c r="M43" s="365">
        <f>1/L43/I43</f>
        <v>38.38598681012455</v>
      </c>
      <c r="O43" s="66" t="s">
        <v>527</v>
      </c>
      <c r="Q43" s="26">
        <f>MAX(basearmor-Q42,0)</f>
        <v>3675</v>
      </c>
    </row>
    <row r="44" spans="1:18">
      <c r="A44" s="377" t="s">
        <v>2034</v>
      </c>
      <c r="B44" s="894">
        <f>IF(itBsMH,itBsEa,0)</f>
        <v>4.3333333333333335E-2</v>
      </c>
      <c r="C44" s="381">
        <f>B44*bMHthit*(bMHasec+F3+instsec+Q18+D43+D46)</f>
        <v>4.4258753673407057E-2</v>
      </c>
      <c r="D44" s="382">
        <f>$B$61</f>
        <v>5.3602667810854189E-2</v>
      </c>
      <c r="G44" s="363" t="s">
        <v>2232</v>
      </c>
      <c r="H44" s="162">
        <f>$F$25</f>
        <v>0.98</v>
      </c>
      <c r="I44" s="161">
        <f>K44/$F$25</f>
        <v>0.31517231049062555</v>
      </c>
      <c r="J44" s="161">
        <f>IF(I44=0,0,1/I44)</f>
        <v>3.1728675607425987</v>
      </c>
      <c r="K44" s="161">
        <f>IF(instatk="v",0,instsec)</f>
        <v>0.30886886428081306</v>
      </c>
      <c r="L44" s="162">
        <f>MHspd/60*H44</f>
        <v>4.2466666666666666E-2</v>
      </c>
      <c r="M44" s="365">
        <f>IF(I44=0,0,1/L44/I44)</f>
        <v>74.714306767879094</v>
      </c>
    </row>
    <row r="45" spans="1:18">
      <c r="A45" s="377" t="s">
        <v>2982</v>
      </c>
      <c r="B45" s="894">
        <f>itHoJ</f>
        <v>0</v>
      </c>
      <c r="C45" s="381">
        <f>B45*bMHthit*(bMHasec+F3+instsec+Q18+D43)</f>
        <v>0</v>
      </c>
      <c r="D45" s="382">
        <f>$D$61</f>
        <v>0</v>
      </c>
      <c r="G45" s="363" t="s">
        <v>2233</v>
      </c>
      <c r="H45" s="162">
        <f>$F$25</f>
        <v>0.98</v>
      </c>
      <c r="I45" s="161">
        <f>K45/$F$25</f>
        <v>0</v>
      </c>
      <c r="J45" s="161">
        <f>IF(I45=0,0,1/I45)</f>
        <v>0</v>
      </c>
      <c r="K45" s="161">
        <f>IF(OR(instatk="v",instatk="mut"),instsec,0)</f>
        <v>0</v>
      </c>
      <c r="L45" s="162">
        <f>ohspd/60*H45</f>
        <v>2.2866666666666664E-2</v>
      </c>
      <c r="M45" s="365">
        <f>IF(I45=0,0,1/L45/I45)</f>
        <v>0</v>
      </c>
      <c r="O45" s="66" t="s">
        <v>528</v>
      </c>
      <c r="Q45" s="66">
        <f>IF(OR(trinket1="Darkmoon Card: Vengeance",trinket2="Darkmoon Card: Vengeance"),0.1*Q20*105*fullresist,0)</f>
        <v>0</v>
      </c>
      <c r="R45" s="66" t="s">
        <v>1753</v>
      </c>
    </row>
    <row r="46" spans="1:18">
      <c r="A46" s="377" t="s">
        <v>2983</v>
      </c>
      <c r="B46" s="894">
        <f>itHoJ</f>
        <v>0</v>
      </c>
      <c r="C46" s="381"/>
      <c r="D46" s="382">
        <f>$B$46*(bOHhsec+$G$6+$G$7)</f>
        <v>0</v>
      </c>
      <c r="F46" s="357"/>
      <c r="G46" s="363" t="s">
        <v>2300</v>
      </c>
      <c r="H46" s="162">
        <f>$K$25</f>
        <v>1</v>
      </c>
      <c r="I46" s="161">
        <f>K46/$K$25</f>
        <v>6.4249278896646056E-2</v>
      </c>
      <c r="J46" s="161">
        <f>IF(I46=0,0,1/I46)</f>
        <v>15.564377019836126</v>
      </c>
      <c r="K46" s="161">
        <f>$Q$18</f>
        <v>6.4249278896646056E-2</v>
      </c>
      <c r="L46" s="162">
        <f>MHspd/60*H46</f>
        <v>4.3333333333333335E-2</v>
      </c>
      <c r="M46" s="365">
        <f>IF(I46=0,0,1/L46/I46)</f>
        <v>359.17793122698748</v>
      </c>
      <c r="O46" s="66" t="s">
        <v>529</v>
      </c>
      <c r="Q46" s="73">
        <f>IF(mh="Syphon of the Nathrezim",IF(oh="Syphon of the Nathrezim",itSypBHup,itSypMHup),IF(oh="Syphon of the Nathrezim",itSypOHup,0))*(Q20*20)*fullresist*(1+(0.01*miseryimp)*misery)</f>
        <v>0</v>
      </c>
      <c r="R46" s="66" t="s">
        <v>1753</v>
      </c>
    </row>
    <row r="47" spans="1:18">
      <c r="A47" s="377" t="s">
        <v>521</v>
      </c>
      <c r="B47" s="380">
        <f>IF(Talents!O36="No",IF(mhtemp="Windfury",20%,0),0)</f>
        <v>0.2</v>
      </c>
      <c r="C47" s="381">
        <f>B47*bMHthit*(bMHasec+F3+D43+D46)</f>
        <v>0.13117277633061775</v>
      </c>
      <c r="D47" s="382">
        <f>$C$61</f>
        <v>0.15313810351325544</v>
      </c>
      <c r="G47" s="366" t="s">
        <v>2301</v>
      </c>
      <c r="H47" s="359">
        <f>(H42*I42+H43*I43+H44*I44+H45*I45+H46*I46)/I47</f>
        <v>0.98015242102426225</v>
      </c>
      <c r="I47" s="161">
        <f>SUM(I42:I46)</f>
        <v>2.4542601468494989</v>
      </c>
      <c r="J47" s="161">
        <f t="shared" si="2"/>
        <v>0.40745476851086332</v>
      </c>
      <c r="K47" s="161">
        <f>SUM(K42:K46)</f>
        <v>2.2573758781790807</v>
      </c>
      <c r="L47" s="162">
        <f>(I42*L42+I43*L43+I44*L44+I45*L45+I46*L46)/I47</f>
        <v>3.3374978855287174E-2</v>
      </c>
      <c r="M47" s="364">
        <f>1/(1/M42+1/M43+IF(M44=0,0,1/M44)+IF(M45=0,0,1/M45)+IF(M46=0,0,1/M46))</f>
        <v>12.208390311723463</v>
      </c>
      <c r="O47" s="66" t="s">
        <v>1335</v>
      </c>
      <c r="Q47" s="652">
        <f>IF(Talents!O36="No",IF('Gear &amp; Buffs'!$B138=1,(60-IF(CharLevel&gt;60,(CharLevel-60)*2,0))*IF(time=0,1/300,totalTeaIter/time), 0),0)</f>
        <v>0.13333333333333333</v>
      </c>
      <c r="R47" s="66" t="s">
        <v>814</v>
      </c>
    </row>
    <row r="48" spans="1:18">
      <c r="A48" s="383" t="s">
        <v>1895</v>
      </c>
      <c r="B48" s="378"/>
      <c r="C48" s="378"/>
      <c r="D48" s="384">
        <f>SUM($D$42:$D$47)</f>
        <v>0.32133894904104937</v>
      </c>
      <c r="G48" s="366" t="s">
        <v>2302</v>
      </c>
      <c r="H48" s="359">
        <f>(H42*I42+H44*I44+H46*I46)/I48</f>
        <v>0.98066525634831736</v>
      </c>
      <c r="I48" s="161">
        <f>I42+I44+I46</f>
        <v>1.314485401375733</v>
      </c>
      <c r="J48" s="161">
        <f t="shared" si="2"/>
        <v>0.76075397943058598</v>
      </c>
      <c r="K48" s="161">
        <f>I48*H48</f>
        <v>1.289070163106254</v>
      </c>
      <c r="L48" s="162">
        <f>(L42*I42+L44*I44+L46*I46)/I48</f>
        <v>4.2495494441760422E-2</v>
      </c>
      <c r="M48" s="364">
        <f>1/(1/M42+IF(M44=0,0,1/M44)+IF(M46=0,0,1/M46))</f>
        <v>17.901991479901252</v>
      </c>
      <c r="O48" s="66" t="s">
        <v>813</v>
      </c>
      <c r="Q48" s="73">
        <f>IF(mh="Rod of the Sun King",(Optimize!C25*10),IF(oh="Rod of the Sun King",(Optimize!C26*10),0))</f>
        <v>0</v>
      </c>
      <c r="R48" s="66" t="s">
        <v>814</v>
      </c>
    </row>
    <row r="49" spans="1:21">
      <c r="A49" s="377"/>
      <c r="B49" s="160"/>
      <c r="C49" s="160"/>
      <c r="D49" s="364"/>
      <c r="G49" s="366" t="s">
        <v>2303</v>
      </c>
      <c r="H49" s="359">
        <f>(H43*I43+H45*I45)/I49</f>
        <v>0.97956097560975597</v>
      </c>
      <c r="I49" s="161">
        <f>I43+I45</f>
        <v>1.1397747454737659</v>
      </c>
      <c r="J49" s="161">
        <f t="shared" si="2"/>
        <v>0.87736634275427272</v>
      </c>
      <c r="K49" s="161">
        <f>K43+K45</f>
        <v>1.1164788616516437</v>
      </c>
      <c r="L49" s="162">
        <f>(L43*I43+L45*I45)/I49</f>
        <v>2.2856422764227641E-2</v>
      </c>
      <c r="M49" s="364">
        <f>1/(1/M43+IF(M45=0,0,1/M45))</f>
        <v>38.38598681012455</v>
      </c>
      <c r="O49" s="66" t="s">
        <v>1336</v>
      </c>
      <c r="Q49" s="66">
        <f>IF(Talents!O36="No",IF('Gear &amp; Buffs'!$B139=1,(Q20*0.004*40),0)*IF(CoE,1.25,1)*(1+(0.01*miseryimp)*misery),0)</f>
        <v>0</v>
      </c>
      <c r="R49" s="66" t="s">
        <v>1753</v>
      </c>
    </row>
    <row r="50" spans="1:21">
      <c r="A50" s="385" t="s">
        <v>1100</v>
      </c>
      <c r="B50" s="378" t="s">
        <v>1101</v>
      </c>
      <c r="C50" s="378" t="s">
        <v>1102</v>
      </c>
      <c r="D50" s="379" t="s">
        <v>2984</v>
      </c>
      <c r="G50" s="363"/>
      <c r="H50" s="160"/>
      <c r="I50" s="160"/>
      <c r="J50" s="160"/>
      <c r="K50" s="160"/>
      <c r="L50" s="160"/>
      <c r="M50" s="364"/>
    </row>
    <row r="51" spans="1:21">
      <c r="A51" s="386">
        <f>$C$42</f>
        <v>4.8333644892667185E-2</v>
      </c>
      <c r="B51" s="387">
        <f>$C$44</f>
        <v>4.4258753673407057E-2</v>
      </c>
      <c r="C51" s="387">
        <f>$C$47</f>
        <v>0.13117277633061775</v>
      </c>
      <c r="D51" s="895">
        <f>$C$45</f>
        <v>0</v>
      </c>
      <c r="G51" s="366" t="s">
        <v>1133</v>
      </c>
      <c r="H51" s="160"/>
      <c r="I51" s="160"/>
      <c r="J51" s="160"/>
      <c r="K51" s="160"/>
      <c r="L51" s="160" t="s">
        <v>2304</v>
      </c>
      <c r="M51" s="364"/>
      <c r="O51" s="66" t="s">
        <v>2410</v>
      </c>
      <c r="Q51" s="652">
        <f>IF(bs4p, Optimize!C53, 0)</f>
        <v>0</v>
      </c>
      <c r="R51" s="66" t="s">
        <v>814</v>
      </c>
    </row>
    <row r="52" spans="1:21">
      <c r="A52" s="386">
        <f>$B$42*bMHthit*$C$44/(1-$C$44*$C$47*$C$45*bMHthit^3)</f>
        <v>2.1677073963797247E-3</v>
      </c>
      <c r="B52" s="387">
        <f>$B$44*bMHthit*$C$42/(1-$C$42*$C$47*$C$45*bMHthit^3)</f>
        <v>2.0516492683195849E-3</v>
      </c>
      <c r="C52" s="387">
        <f>$B$47*bMHthit*$C$42/(1-$C$42*$C$44*$C$45*bMHthit^3)</f>
        <v>9.4691504691673152E-3</v>
      </c>
      <c r="D52" s="895">
        <f>$B$45*bMHthit*$C$42/(1-$C$42*$C$44*$C$47*bMHthit^3)</f>
        <v>0</v>
      </c>
      <c r="G52" s="363"/>
      <c r="H52" s="160" t="s">
        <v>1188</v>
      </c>
      <c r="I52" s="160" t="s">
        <v>2297</v>
      </c>
      <c r="J52" s="160" t="s">
        <v>2298</v>
      </c>
      <c r="K52" s="160" t="s">
        <v>2310</v>
      </c>
      <c r="L52" s="160" t="s">
        <v>2305</v>
      </c>
      <c r="M52" s="364" t="s">
        <v>2306</v>
      </c>
      <c r="O52" s="66" t="s">
        <v>2411</v>
      </c>
      <c r="Q52" s="652">
        <f>IF(bs8p, 0.05*(D8-E8)*(5*evisec), 0)</f>
        <v>0</v>
      </c>
      <c r="R52" s="66" t="s">
        <v>1753</v>
      </c>
    </row>
    <row r="53" spans="1:21">
      <c r="A53" s="386">
        <f>$B$42*bMHthit*$C$45/(1-$C$44*$C$47*$C$45*bMHthit^3)</f>
        <v>0</v>
      </c>
      <c r="B53" s="387">
        <f>$B$44*bMHthit*$C$45/(1-$C$42*$C$47*$C$45*bMHthit^3)</f>
        <v>0</v>
      </c>
      <c r="C53" s="387">
        <f>$B$47*bMHthit*$C$45/(1-$C$42*$C$44*$C$45*bMHthit^3)</f>
        <v>0</v>
      </c>
      <c r="D53" s="895">
        <f>$B$45*bMHthit*$C$44/(1-$C$42*$C$44*$C$47*bMHthit^3)</f>
        <v>0</v>
      </c>
      <c r="G53" s="363" t="s">
        <v>57</v>
      </c>
      <c r="H53" s="162">
        <f>bMHcrit</f>
        <v>0.22111169225206101</v>
      </c>
      <c r="I53" s="161">
        <f>I42</f>
        <v>0.93506381198846156</v>
      </c>
      <c r="J53" s="161">
        <f>1/I53</f>
        <v>1.0694457289213752</v>
      </c>
      <c r="K53" s="161">
        <f>I53*H53</f>
        <v>0.20675354183243175</v>
      </c>
      <c r="L53" s="162">
        <f>MHspd/60*H53</f>
        <v>9.5815066642559767E-3</v>
      </c>
      <c r="M53" s="365">
        <f>1/L53/I53</f>
        <v>111.61561186519509</v>
      </c>
      <c r="Q53" s="652"/>
    </row>
    <row r="54" spans="1:21">
      <c r="A54" s="386">
        <f>$B$42*bMHthit*$C$47/(1-$C$44*$C$47*$C$45*bMHthit^3)</f>
        <v>6.4245866377930123E-3</v>
      </c>
      <c r="B54" s="387">
        <f>$B$44*bMHthit*$C$47/(1-$C$42*$C$47*$C$45*bMHthit^3)</f>
        <v>5.5679750860872772E-3</v>
      </c>
      <c r="C54" s="387">
        <f>$B$47*bMHthit*$C$44/(1-$C$42*$C$44*$C$45*bMHthit^3)</f>
        <v>8.6708295855188987E-3</v>
      </c>
      <c r="D54" s="895">
        <f>$B$45*bMHthit*$C$47/(1-$C$42*$C$44*$C$47*bMHthit^3)</f>
        <v>0</v>
      </c>
      <c r="G54" s="363" t="s">
        <v>58</v>
      </c>
      <c r="H54" s="162">
        <f>bOHcrit</f>
        <v>0.22111169225206101</v>
      </c>
      <c r="I54" s="161">
        <f>I43</f>
        <v>1.1397747454737659</v>
      </c>
      <c r="J54" s="161">
        <f>1/I54</f>
        <v>0.87736634275427272</v>
      </c>
      <c r="K54" s="161">
        <f>I54*H54</f>
        <v>0.25201752275786649</v>
      </c>
      <c r="L54" s="162">
        <f>ohspd/60*H54</f>
        <v>5.1592728192147563E-3</v>
      </c>
      <c r="M54" s="365">
        <f>1/L54/I54</f>
        <v>170.05620239478017</v>
      </c>
    </row>
    <row r="55" spans="1:21">
      <c r="A55" s="386">
        <f>$B$42*bMHthit*$B$44*bMHthit*$C$45/(1-$C$44*$C$47*$C$45*bMHthit^3)</f>
        <v>0</v>
      </c>
      <c r="B55" s="387">
        <f>$B$44*bMHthit*$B$42*bMHthit*$C$45/(1-$C$42*$C$47*$C$45*bMHthit^3)</f>
        <v>0</v>
      </c>
      <c r="C55" s="387">
        <f>$B$47*bMHthit*$B$42*bMHthit*$C$44/(1-$C$42*$C$44*$C$45*bMHthit^3)</f>
        <v>4.2468031440684158E-4</v>
      </c>
      <c r="D55" s="895">
        <f>$B$45*bMHthit*$B$42*bMHthit*$C$44/(1-$C$42*$C$44*$C$47*bMHthit^3)</f>
        <v>0</v>
      </c>
      <c r="G55" s="363" t="s">
        <v>2232</v>
      </c>
      <c r="H55" s="162">
        <f>instcrit</f>
        <v>0.21668945840701978</v>
      </c>
      <c r="I55" s="161">
        <f>I44</f>
        <v>0.31517231049062555</v>
      </c>
      <c r="J55" s="161">
        <f>IF(I55=0,0,1/I55)</f>
        <v>3.1728675607425987</v>
      </c>
      <c r="K55" s="161">
        <f>I55*H55</f>
        <v>6.829451726510273E-2</v>
      </c>
      <c r="L55" s="162">
        <f>MHspd/60*H55</f>
        <v>9.3898765309708577E-3</v>
      </c>
      <c r="M55" s="365">
        <f>IF(I55=0,0,1/L55/I55)</f>
        <v>337.90301185297295</v>
      </c>
      <c r="Q55" s="78"/>
    </row>
    <row r="56" spans="1:21">
      <c r="A56" s="386">
        <f>$B$42*bMHthit*$B$44*bMHthit*$C$47/(1-$C$44*$C$47*$C$45*bMHthit^3)</f>
        <v>2.7270855537492349E-4</v>
      </c>
      <c r="B56" s="387">
        <f>$B$44*bMHthit*$B$42*bMHthit*$C$47/(1-$C$42*$C$47*$C$45*bMHthit^3)</f>
        <v>2.7270855537492349E-4</v>
      </c>
      <c r="C56" s="387">
        <f>$B$47*bMHthit*$B$42*bMHthit*$C$45/(1-$C$42*$C$44*$C$45*bMHthit^3)</f>
        <v>0</v>
      </c>
      <c r="D56" s="895">
        <f>$B$45*bMHthit*$B$42*bMHthit*$C$47/(1-$C$42*$C$44*$C$47*bMHthit^3)</f>
        <v>0</v>
      </c>
      <c r="G56" s="363" t="s">
        <v>2233</v>
      </c>
      <c r="H56" s="162">
        <f>instcrit</f>
        <v>0.21668945840701978</v>
      </c>
      <c r="I56" s="161">
        <f>I45</f>
        <v>0</v>
      </c>
      <c r="J56" s="161">
        <f>IF(I56=0,0,1/I56)</f>
        <v>0</v>
      </c>
      <c r="K56" s="161">
        <f>I56*H56</f>
        <v>0</v>
      </c>
      <c r="L56" s="162">
        <f>ohspd/60*H56</f>
        <v>5.0560873628304609E-3</v>
      </c>
      <c r="M56" s="365">
        <f>IF(I56=0,0,1/L56/I56)</f>
        <v>0</v>
      </c>
      <c r="R56" s="73"/>
    </row>
    <row r="57" spans="1:21">
      <c r="A57" s="386">
        <f>$B$42*bMHthit*$B$45*bMHthit*$C$44/(1-$C$44*$C$47*$C$45*bMHthit^3)</f>
        <v>0</v>
      </c>
      <c r="B57" s="387">
        <f>$B$44*bMHthit*$B$45*bMHthit*$C$42/(1-$C$42*$C$47*$C$45*bMHthit^3)</f>
        <v>0</v>
      </c>
      <c r="C57" s="387">
        <f>$B$47*bMHthit*$B$44*bMHthit*$C$42/(1-$C$42*$C$44*$C$45*bMHthit^3)</f>
        <v>4.0194311177683506E-4</v>
      </c>
      <c r="D57" s="895">
        <f>$B$45*bMHthit*$B$44*bMHthit*$C$42/(1-$C$42*$C$44*$C$47*bMHthit^3)</f>
        <v>0</v>
      </c>
      <c r="G57" s="363" t="s">
        <v>2300</v>
      </c>
      <c r="H57" s="162">
        <f>fincrit</f>
        <v>0.22111169225206101</v>
      </c>
      <c r="I57" s="161">
        <f>I46</f>
        <v>6.4249278896646056E-2</v>
      </c>
      <c r="J57" s="161">
        <f>IF(I57=0,0,1/I57)</f>
        <v>15.564377019836126</v>
      </c>
      <c r="K57" s="161">
        <f>I57*H57</f>
        <v>1.4206266782812041E-2</v>
      </c>
      <c r="L57" s="162">
        <f>MHspd/60*H57</f>
        <v>9.5815066642559767E-3</v>
      </c>
      <c r="M57" s="365">
        <f>IF(I57=0,0,1/L57/I57)</f>
        <v>1624.4185351244789</v>
      </c>
    </row>
    <row r="58" spans="1:21">
      <c r="A58" s="386">
        <f>$B$42*bMHthit*$B$45*bMHthit*$C$47/(1-$C$44*$C$47*$C$45*bMHthit^3)</f>
        <v>0</v>
      </c>
      <c r="B58" s="387">
        <f>$B$44*bMHthit*$B$45*bMHthit*$C$47/(1-$C$42*$C$47*$C$45*bMHthit^3)</f>
        <v>0</v>
      </c>
      <c r="C58" s="387">
        <f>$B$47*bMHthit*$B$44*bMHthit*$C$45/(1-$C$42*$C$44*$C$45*bMHthit^3)</f>
        <v>0</v>
      </c>
      <c r="D58" s="895">
        <f>$B$45*bMHthit*$B$44*bMHthit*$C$47/(1-$C$42*$C$44*$C$47*bMHthit^3)</f>
        <v>0</v>
      </c>
      <c r="G58" s="366" t="s">
        <v>2301</v>
      </c>
      <c r="H58" s="359">
        <f>(H53*I53+H54*I54+H55*I55+H56*I56+H57*I57)/I58</f>
        <v>0.22054379578833011</v>
      </c>
      <c r="I58" s="161">
        <f>SUM(I53:I57)</f>
        <v>2.4542601468494989</v>
      </c>
      <c r="J58" s="161">
        <f>1/I58</f>
        <v>0.40745476851086332</v>
      </c>
      <c r="K58" s="161">
        <f>SUM(K53:K57)</f>
        <v>0.54127184863821298</v>
      </c>
      <c r="L58" s="162">
        <f>(I53*L53+I54*L54+I55*L55+I56*L56+I57*L57)/I58</f>
        <v>7.5031829895745514E-3</v>
      </c>
      <c r="M58" s="364">
        <f>1/(1/M53+1/M54+IF(M55=0,0,1/M55)+IF(M56=0,0,1/M56)+IF(M57=0,0,1/M57))</f>
        <v>54.304255817432356</v>
      </c>
    </row>
    <row r="59" spans="1:21">
      <c r="A59" s="386">
        <f>$B$42*bMHthit*$B$47*bMHthit*$C$44/(1-$C$44*$C$47*$C$45*bMHthit^3)</f>
        <v>4.2468031440684158E-4</v>
      </c>
      <c r="B59" s="387">
        <f>$B$44*bMHthit*$B$47*bMHthit*$C$42/(1-$C$42*$C$47*$C$45*bMHthit^3)</f>
        <v>4.0194311177683506E-4</v>
      </c>
      <c r="C59" s="387">
        <f>$B$47*bMHthit*$B$45*bMHthit*$C$42/(1-$C$42*$C$44*$C$45*bMHthit^3)</f>
        <v>0</v>
      </c>
      <c r="D59" s="895">
        <f>$B$45*bMHthit*$B$47*bMHthit*$C$42/(1-$C$42*$C$44*$C$47*bMHthit^3)</f>
        <v>0</v>
      </c>
      <c r="G59" s="366" t="s">
        <v>2302</v>
      </c>
      <c r="H59" s="359">
        <f>(H53*I53+H55*I55+H57*I57)/I59</f>
        <v>0.22005137948098519</v>
      </c>
      <c r="I59" s="161">
        <f>I53+I55+I57</f>
        <v>1.314485401375733</v>
      </c>
      <c r="J59" s="161">
        <f>1/I59</f>
        <v>0.76075397943058598</v>
      </c>
      <c r="K59" s="161">
        <f>I59*H59</f>
        <v>0.28925432588034655</v>
      </c>
      <c r="L59" s="162">
        <f>(L53*I53+L55*I55+L57*I57)/I59</f>
        <v>9.5355597775093563E-3</v>
      </c>
      <c r="M59" s="364">
        <f>1/(1/M53+IF(M55=0,0,1/M55)+IF(M57=0,0,1/M57))</f>
        <v>79.780736231647992</v>
      </c>
      <c r="Q59" s="68"/>
      <c r="R59" s="78"/>
    </row>
    <row r="60" spans="1:21" ht="13.5" thickBot="1">
      <c r="A60" s="386">
        <f>$B$42*bMHthit*$B$47*bMHthit*$C$45/(1-$C$44*$C$47*$C$45*bMHthit^3)</f>
        <v>0</v>
      </c>
      <c r="B60" s="387">
        <f>$B$44*bMHthit*$B$47*bMHthit*$C$45/(1-$C$42*$C$47*$C$45*bMHthit^3)</f>
        <v>0</v>
      </c>
      <c r="C60" s="387">
        <f>$B$47*bMHthit*$B$45*bMHthit*$C$44/(1-$C$42*$C$44*$C$45*bMHthit^3)</f>
        <v>0</v>
      </c>
      <c r="D60" s="895">
        <f>$B$45*bMHthit*$B$47*bMHthit*$C$44/(1-$C$42*$C$44*$C$47*bMHthit^3)</f>
        <v>0</v>
      </c>
      <c r="G60" s="367" t="s">
        <v>2303</v>
      </c>
      <c r="H60" s="368">
        <f>(H54*I54+H56*I56)/I60</f>
        <v>0.22111169225206101</v>
      </c>
      <c r="I60" s="369">
        <f>I54+I56</f>
        <v>1.1397747454737659</v>
      </c>
      <c r="J60" s="369">
        <f>1/I60</f>
        <v>0.87736634275427272</v>
      </c>
      <c r="K60" s="369">
        <f>K54+K56</f>
        <v>0.25201752275786649</v>
      </c>
      <c r="L60" s="370">
        <f>(L54*I54+L56*I56)/I60</f>
        <v>5.1592728192147563E-3</v>
      </c>
      <c r="M60" s="371">
        <f>1/(1/M54+IF(M56=0,0,1/M56))</f>
        <v>170.05620239478017</v>
      </c>
      <c r="Q60" s="68"/>
    </row>
    <row r="61" spans="1:21" ht="13.5" thickBot="1">
      <c r="A61" s="388">
        <f>SUM($A$51:$A$60)*(1-bMHthit^3*$B$44*$B$47*$B$45)/(1-(bMHthit^3*($B$42*$B$44+$B$44*$B$47+$B$42*$B$45+$B$44*$B$45+$B$45*$B$47+$B$42*$B$47+3*bMHthit^3*$B$42*$B$44*$B$45*$B$47)))</f>
        <v>5.8774234634357554E-2</v>
      </c>
      <c r="B61" s="389">
        <f>SUM($B$51:$B$60)*(1-bMHthit^3*$B$42*$B$47*$B$45)/(1-(bMHthit^3*($B$42*$B$44+$B$44*$B$47+$B$42*$B$45+$B$44*$B$45+$B$45*$B$47+$B$42*$B$47+3*bMHthit^3*$B$42*$B$44*$B$45*$B$47)))</f>
        <v>5.3602667810854189E-2</v>
      </c>
      <c r="C61" s="389">
        <f>SUM($C$51:$C$60)*(1-bMHthit^3*$B$44*$B$42*$B$45)/(1-(bMHthit^3*($B$42*$B$44+$B$44*$B$47+$B$42*$B$45+$B$44*$B$45+$B$45*$B$47+$B$42*$B$47+3*bMHthit^3*$B$42*$B$44*$B$45*$B$47)))</f>
        <v>0.15313810351325544</v>
      </c>
      <c r="D61" s="896">
        <f>SUM($D$51:$D$60)*(1-bMHthit^3*$B$44*$B$47*$B$42)/(1-(bMHthit^3*($B$42*$B$44+$B$44*$B$47+$B$42*$B$45+$B$44*$B$45+$B$45*$B$47+$B$42*$B$47+3*bMHthit^3*$B$42*$B$44*$B$45*$B$47)))</f>
        <v>0</v>
      </c>
      <c r="Q61" s="68"/>
      <c r="U61" s="206"/>
    </row>
    <row r="62" spans="1:21">
      <c r="C62" s="356"/>
      <c r="G62" s="360" t="s">
        <v>2985</v>
      </c>
      <c r="H62" s="361"/>
      <c r="I62" s="361"/>
      <c r="J62" s="361"/>
      <c r="K62" s="361"/>
      <c r="L62" s="361" t="s">
        <v>2304</v>
      </c>
      <c r="M62" s="362"/>
      <c r="Q62" s="68"/>
    </row>
    <row r="63" spans="1:21">
      <c r="C63" s="356"/>
      <c r="G63" s="363"/>
      <c r="H63" s="160" t="s">
        <v>1186</v>
      </c>
      <c r="I63" s="160" t="s">
        <v>2297</v>
      </c>
      <c r="J63" s="160" t="s">
        <v>2298</v>
      </c>
      <c r="K63" s="160" t="s">
        <v>505</v>
      </c>
      <c r="L63" s="160" t="s">
        <v>2305</v>
      </c>
      <c r="M63" s="364" t="s">
        <v>2306</v>
      </c>
      <c r="Q63" s="68"/>
    </row>
    <row r="64" spans="1:21">
      <c r="C64" s="78"/>
      <c r="G64" s="363" t="s">
        <v>57</v>
      </c>
      <c r="H64" s="162">
        <f>bMHthit</f>
        <v>0.97956097560975608</v>
      </c>
      <c r="I64" s="161">
        <f>SUM($F$2:$F$4)</f>
        <v>0.93506381198846156</v>
      </c>
      <c r="J64" s="161">
        <f t="shared" ref="J64:J71" si="3">1/I64</f>
        <v>1.0694457289213752</v>
      </c>
      <c r="K64" s="161">
        <f>SUM($G$2:$G$4)</f>
        <v>0.76777887334997796</v>
      </c>
      <c r="L64" s="162">
        <f>MHspd/60/(1+$Q$41)*H64</f>
        <v>2.6601523330433349E-2</v>
      </c>
      <c r="M64" s="365">
        <f>1/L64/I64</f>
        <v>40.202424336274028</v>
      </c>
    </row>
    <row r="65" spans="1:14">
      <c r="C65" s="78"/>
      <c r="G65" s="363" t="s">
        <v>58</v>
      </c>
      <c r="H65" s="162">
        <f>bOHthit</f>
        <v>0.97956097560975608</v>
      </c>
      <c r="I65" s="161">
        <f>SUM($F$5:$F$7)</f>
        <v>1.1397747454737659</v>
      </c>
      <c r="J65" s="161">
        <f t="shared" si="3"/>
        <v>0.87736634275427272</v>
      </c>
      <c r="K65" s="161">
        <f>SUM($G$5:$G$7)</f>
        <v>1.1164788616516437</v>
      </c>
      <c r="L65" s="162">
        <f>ohspd/60/(1+$Q$41)*H65</f>
        <v>1.4323897177925649E-2</v>
      </c>
      <c r="M65" s="365">
        <f>1/L65/I65</f>
        <v>61.251929684776663</v>
      </c>
    </row>
    <row r="66" spans="1:14">
      <c r="C66" s="78"/>
      <c r="G66" s="363" t="s">
        <v>2232</v>
      </c>
      <c r="H66" s="162">
        <f>$F$25</f>
        <v>0.98</v>
      </c>
      <c r="I66" s="161">
        <f>K66/$F$25</f>
        <v>0.31517231049062555</v>
      </c>
      <c r="J66" s="161">
        <f>IF(I66=0,0,1/I66)</f>
        <v>3.1728675607425987</v>
      </c>
      <c r="K66" s="161">
        <f>IF(instatk="v",0,instsec)</f>
        <v>0.30886886428081306</v>
      </c>
      <c r="L66" s="162">
        <f>MHspd/60*H66</f>
        <v>4.2466666666666666E-2</v>
      </c>
      <c r="M66" s="365">
        <f>IF(I66=0,0,1/L66/I66)</f>
        <v>74.714306767879094</v>
      </c>
    </row>
    <row r="67" spans="1:14">
      <c r="A67" s="356"/>
      <c r="B67" s="78"/>
      <c r="C67" s="78"/>
      <c r="G67" s="363" t="s">
        <v>2233</v>
      </c>
      <c r="H67" s="162">
        <f>$F$25</f>
        <v>0.98</v>
      </c>
      <c r="I67" s="161">
        <f>K67/$F$25</f>
        <v>0</v>
      </c>
      <c r="J67" s="161">
        <f>IF(I67=0,0,1/I67)</f>
        <v>0</v>
      </c>
      <c r="K67" s="161">
        <f>IF(OR(instatk="v",instatk="mut"),instsec,0)</f>
        <v>0</v>
      </c>
      <c r="L67" s="162">
        <f>ohspd/60*H67</f>
        <v>2.2866666666666664E-2</v>
      </c>
      <c r="M67" s="365">
        <f>IF(I67=0,0,1/L67/I67)</f>
        <v>0</v>
      </c>
    </row>
    <row r="68" spans="1:14">
      <c r="A68" s="356"/>
      <c r="B68" s="78"/>
      <c r="C68" s="78"/>
      <c r="G68" s="363" t="s">
        <v>2300</v>
      </c>
      <c r="H68" s="162">
        <f>$K$25</f>
        <v>1</v>
      </c>
      <c r="I68" s="161">
        <f>K68/$K$25</f>
        <v>6.4249278896646056E-2</v>
      </c>
      <c r="J68" s="161">
        <f>IF(I68=0,0,1/I68)</f>
        <v>15.564377019836126</v>
      </c>
      <c r="K68" s="161">
        <f>$Q$18</f>
        <v>6.4249278896646056E-2</v>
      </c>
      <c r="L68" s="162">
        <f>MHspd/60*H68</f>
        <v>4.3333333333333335E-2</v>
      </c>
      <c r="M68" s="365">
        <f>IF(I68=0,0,1/L68/I68)</f>
        <v>359.17793122698748</v>
      </c>
    </row>
    <row r="69" spans="1:14">
      <c r="A69" s="356"/>
      <c r="B69" s="78"/>
      <c r="C69" s="78"/>
      <c r="G69" s="366" t="s">
        <v>2301</v>
      </c>
      <c r="H69" s="359">
        <f>(H64*I64+H65*I65+H66*I66+H67*I67+H68*I68)/I69</f>
        <v>0.98015242102426225</v>
      </c>
      <c r="I69" s="161">
        <f>SUM(I64:I68)</f>
        <v>2.4542601468494989</v>
      </c>
      <c r="J69" s="161">
        <f t="shared" si="3"/>
        <v>0.40745476851086332</v>
      </c>
      <c r="K69" s="161">
        <f>SUM(K64:K68)</f>
        <v>2.2573758781790807</v>
      </c>
      <c r="L69" s="162">
        <f>(I64*L64+I65*L65+I66*L66+I67*L67+I68*L68)/I69</f>
        <v>2.3375105941757693E-2</v>
      </c>
      <c r="M69" s="364">
        <f>1/(1/M64+1/M65+IF(M66=0,0,1/M66)+IF(M67=0,0,1/M67)+IF(M68=0,0,1/M68))</f>
        <v>17.431141040647823</v>
      </c>
    </row>
    <row r="70" spans="1:14">
      <c r="A70" s="356"/>
      <c r="B70" s="78"/>
      <c r="C70" s="78"/>
      <c r="G70" s="366" t="s">
        <v>2302</v>
      </c>
      <c r="H70" s="359">
        <f>(H64*I64+H66*I66+H68*I68)/I70</f>
        <v>0.98066525634831736</v>
      </c>
      <c r="I70" s="161">
        <f>I64+I66+I68</f>
        <v>1.314485401375733</v>
      </c>
      <c r="J70" s="161">
        <f t="shared" si="3"/>
        <v>0.76075397943058598</v>
      </c>
      <c r="K70" s="161">
        <f>I70*H70</f>
        <v>1.289070163106254</v>
      </c>
      <c r="L70" s="162">
        <f>(L64*I64+L66*I66+L68*I68)/I70</f>
        <v>3.1223302014707275E-2</v>
      </c>
      <c r="M70" s="364">
        <f>1/(1/M64+IF(M66=0,0,1/M66)+IF(M68=0,0,1/M68))</f>
        <v>24.364943178407074</v>
      </c>
    </row>
    <row r="71" spans="1:14" ht="13.5" thickBot="1">
      <c r="A71" s="356"/>
      <c r="B71" s="78"/>
      <c r="C71" s="78"/>
      <c r="G71" s="367" t="s">
        <v>2303</v>
      </c>
      <c r="H71" s="368">
        <f>(H65*I65+H67*I67)/I71</f>
        <v>0.97956097560975597</v>
      </c>
      <c r="I71" s="369">
        <f>I65+I67</f>
        <v>1.1397747454737659</v>
      </c>
      <c r="J71" s="369">
        <f t="shared" si="3"/>
        <v>0.87736634275427272</v>
      </c>
      <c r="K71" s="369">
        <f>K65+K67</f>
        <v>1.1164788616516437</v>
      </c>
      <c r="L71" s="370">
        <f>(L65*I65+L67*I67)/I71</f>
        <v>1.4323897177925647E-2</v>
      </c>
      <c r="M71" s="371">
        <f>1/(1/M65+IF(M67=0,0,1/M67))</f>
        <v>61.251929684776663</v>
      </c>
    </row>
    <row r="72" spans="1:14" ht="13.5" thickBot="1">
      <c r="A72" s="356"/>
      <c r="B72" s="78"/>
      <c r="C72" s="78"/>
    </row>
    <row r="73" spans="1:14">
      <c r="A73" s="356"/>
      <c r="B73" s="78"/>
      <c r="C73" s="78"/>
      <c r="G73" s="360" t="s">
        <v>867</v>
      </c>
      <c r="H73" s="361"/>
      <c r="I73" s="361"/>
      <c r="J73" s="361"/>
      <c r="K73" s="361"/>
      <c r="L73" s="361" t="s">
        <v>2304</v>
      </c>
      <c r="M73" s="362"/>
    </row>
    <row r="74" spans="1:14">
      <c r="A74" s="356"/>
      <c r="B74" s="78"/>
      <c r="C74" s="78"/>
      <c r="G74" s="363"/>
      <c r="H74" s="160" t="s">
        <v>1186</v>
      </c>
      <c r="I74" s="160" t="s">
        <v>2297</v>
      </c>
      <c r="J74" s="160" t="s">
        <v>2298</v>
      </c>
      <c r="K74" s="160" t="s">
        <v>505</v>
      </c>
      <c r="L74" s="160" t="s">
        <v>2305</v>
      </c>
      <c r="M74" s="364" t="s">
        <v>2306</v>
      </c>
      <c r="N74" s="68">
        <f>IF(time=0, (1+('Gear &amp; Buffs'!$P$143-325*itDSTup)/(hasterate*100))*(1+blfl*20%*15/120), 'Cooldowns Calc'!AD1-(325*itDSTup)/(hasterate*100))</f>
        <v>1.1650282888959154</v>
      </c>
    </row>
    <row r="75" spans="1:14">
      <c r="A75" s="356"/>
      <c r="B75" s="78"/>
      <c r="C75" s="78"/>
      <c r="G75" s="363" t="s">
        <v>57</v>
      </c>
      <c r="H75" s="162">
        <f>bMHthit</f>
        <v>0.97956097560975608</v>
      </c>
      <c r="I75" s="161">
        <f>SUM($F$3:$F$4)+1/bMHspd*N$74</f>
        <v>0.91069213662058168</v>
      </c>
      <c r="J75" s="161">
        <f t="shared" ref="J75:J80" si="4">1/I75</f>
        <v>1.0980659212791977</v>
      </c>
      <c r="K75" s="161">
        <f>SUM($G$2:$G$4)</f>
        <v>0.76777887334997796</v>
      </c>
      <c r="L75" s="162">
        <f>MHspd/60*H75</f>
        <v>4.2447642276422767E-2</v>
      </c>
      <c r="M75" s="365">
        <f>1/L75/I75</f>
        <v>25.868714076708812</v>
      </c>
      <c r="N75" s="68"/>
    </row>
    <row r="76" spans="1:14">
      <c r="A76" s="356"/>
      <c r="B76" s="78"/>
      <c r="C76" s="78"/>
      <c r="G76" s="363" t="s">
        <v>58</v>
      </c>
      <c r="H76" s="162">
        <f>bOHthit</f>
        <v>0.97956097560975608</v>
      </c>
      <c r="I76" s="161">
        <f>SUM($F$6:$F$7)+1/bOHspd*N$74</f>
        <v>1.0945130626477031</v>
      </c>
      <c r="J76" s="161">
        <f t="shared" si="4"/>
        <v>0.91364830089915106</v>
      </c>
      <c r="K76" s="161">
        <f>SUM($G$5:$G$7)</f>
        <v>1.1164788616516437</v>
      </c>
      <c r="L76" s="162">
        <f>ohspd/60*H76</f>
        <v>2.2856422764227641E-2</v>
      </c>
      <c r="M76" s="365">
        <f>1/L76/I76</f>
        <v>39.973372488064619</v>
      </c>
    </row>
    <row r="77" spans="1:14">
      <c r="A77" s="356"/>
      <c r="B77" s="78"/>
      <c r="C77" s="78"/>
      <c r="G77" s="363" t="s">
        <v>2232</v>
      </c>
      <c r="H77" s="162">
        <f>$F$25</f>
        <v>0.98</v>
      </c>
      <c r="I77" s="161">
        <f>K77/$F$25</f>
        <v>0.31517231049062555</v>
      </c>
      <c r="J77" s="161">
        <f>IF(I77=0,0,1/I77)</f>
        <v>3.1728675607425987</v>
      </c>
      <c r="K77" s="161">
        <f>IF(instatk="v",0,instsec)</f>
        <v>0.30886886428081306</v>
      </c>
      <c r="L77" s="162">
        <f>MHspd/60*H77</f>
        <v>4.2466666666666666E-2</v>
      </c>
      <c r="M77" s="365">
        <f>IF(I77=0,0,1/L77/I77)</f>
        <v>74.714306767879094</v>
      </c>
    </row>
    <row r="78" spans="1:14">
      <c r="A78" s="356"/>
      <c r="B78" s="78"/>
      <c r="C78" s="78"/>
      <c r="G78" s="363" t="s">
        <v>2233</v>
      </c>
      <c r="H78" s="162">
        <f>$F$25</f>
        <v>0.98</v>
      </c>
      <c r="I78" s="161">
        <f>K78/$F$25</f>
        <v>0</v>
      </c>
      <c r="J78" s="161">
        <f>IF(I78=0,0,1/I78)</f>
        <v>0</v>
      </c>
      <c r="K78" s="161">
        <f>IF(OR(instatk="v",instatk="mut"),instsec,0)</f>
        <v>0</v>
      </c>
      <c r="L78" s="162">
        <f>ohspd/60*H78</f>
        <v>2.2866666666666664E-2</v>
      </c>
      <c r="M78" s="365">
        <f>IF(I78=0,0,1/L78/I78)</f>
        <v>0</v>
      </c>
    </row>
    <row r="79" spans="1:14">
      <c r="A79" s="356"/>
      <c r="B79" s="78"/>
      <c r="C79" s="78"/>
      <c r="G79" s="363" t="s">
        <v>2300</v>
      </c>
      <c r="H79" s="162">
        <f>$K$25</f>
        <v>1</v>
      </c>
      <c r="I79" s="161">
        <f>K79/$K$25</f>
        <v>6.4249278896646056E-2</v>
      </c>
      <c r="J79" s="161">
        <f>IF(I79=0,0,1/I79)</f>
        <v>15.564377019836126</v>
      </c>
      <c r="K79" s="161">
        <f>$Q$18</f>
        <v>6.4249278896646056E-2</v>
      </c>
      <c r="L79" s="162">
        <f>MHspd/60*H79</f>
        <v>4.3333333333333335E-2</v>
      </c>
      <c r="M79" s="365">
        <f>IF(I79=0,0,1/L79/I79)</f>
        <v>359.17793122698748</v>
      </c>
    </row>
    <row r="80" spans="1:14" ht="13.5" thickBot="1">
      <c r="A80" s="356"/>
      <c r="B80" s="78"/>
      <c r="C80" s="78"/>
      <c r="G80" s="367" t="s">
        <v>2301</v>
      </c>
      <c r="H80" s="368">
        <f>(H75*I75+H76*I76+H77*I77+H78*I78+H79*I79)/I80</f>
        <v>0.98016969178989988</v>
      </c>
      <c r="I80" s="369">
        <f>SUM(I75:I79)</f>
        <v>2.3846267886555563</v>
      </c>
      <c r="J80" s="369">
        <f t="shared" si="4"/>
        <v>0.41935283322208933</v>
      </c>
      <c r="K80" s="369">
        <f>SUM(K75:K79)</f>
        <v>2.2573758781790807</v>
      </c>
      <c r="L80" s="370">
        <f>(I75*L75+I76*L76+I77*L77+I78*L78+I79*L79)/I80</f>
        <v>3.3481901893798995E-2</v>
      </c>
      <c r="M80" s="371">
        <f>1/(1/M75+1/M76+IF(M77=0,0,1/M77)+IF(M78=0,0,1/M78)+IF(M79=0,0,1/M79))</f>
        <v>12.524761423417093</v>
      </c>
    </row>
    <row r="81" spans="1:14" ht="13.5" thickBot="1">
      <c r="A81" s="356"/>
      <c r="B81" s="78"/>
      <c r="C81" s="78"/>
    </row>
    <row r="82" spans="1:14">
      <c r="A82" s="356"/>
      <c r="B82" s="78"/>
      <c r="C82" s="78"/>
      <c r="G82" s="360" t="s">
        <v>1676</v>
      </c>
      <c r="H82" s="361"/>
      <c r="I82" s="361"/>
      <c r="J82" s="361"/>
      <c r="K82" s="361"/>
      <c r="L82" s="361" t="s">
        <v>2304</v>
      </c>
      <c r="M82" s="362"/>
    </row>
    <row r="83" spans="1:14">
      <c r="A83" s="356"/>
      <c r="B83" s="78"/>
      <c r="C83" s="78"/>
      <c r="G83" s="363"/>
      <c r="H83" s="160" t="s">
        <v>1186</v>
      </c>
      <c r="I83" s="160" t="s">
        <v>2297</v>
      </c>
      <c r="J83" s="160" t="s">
        <v>2298</v>
      </c>
      <c r="K83" s="160" t="s">
        <v>505</v>
      </c>
      <c r="L83" s="160" t="s">
        <v>2305</v>
      </c>
      <c r="M83" s="364" t="s">
        <v>2306</v>
      </c>
      <c r="N83" s="68">
        <f>IF(time=0, (1+('Gear &amp; Buffs'!$P$143-450*stTwinUP)/(hasterate*100))*(1+blfl*20%*15/120), 'Cooldowns Calc'!AD1-(450*stTwinUP)/(hasterate*100))</f>
        <v>1.178726918585584</v>
      </c>
    </row>
    <row r="84" spans="1:14">
      <c r="A84" s="356"/>
      <c r="B84" s="78"/>
      <c r="C84" s="78"/>
      <c r="G84" s="363" t="s">
        <v>57</v>
      </c>
      <c r="H84" s="162">
        <f>bMHthit</f>
        <v>0.97956097560975608</v>
      </c>
      <c r="I84" s="161">
        <f>SUM($F$3:$F$4)+1/bMHspd*N$83</f>
        <v>0.91596084034737735</v>
      </c>
      <c r="J84" s="161">
        <f t="shared" ref="J84:J89" si="5">1/I84</f>
        <v>1.0917497298473491</v>
      </c>
      <c r="K84" s="161">
        <f>SUM($G$2:$G$4)</f>
        <v>0.76777887334997796</v>
      </c>
      <c r="L84" s="162">
        <f>MHspd/60*H84</f>
        <v>4.2447642276422767E-2</v>
      </c>
      <c r="M84" s="365">
        <f>1/L84/I84</f>
        <v>25.719914494609124</v>
      </c>
      <c r="N84" s="68"/>
    </row>
    <row r="85" spans="1:14">
      <c r="A85" s="356"/>
      <c r="B85" s="78"/>
      <c r="C85" s="78"/>
      <c r="G85" s="363" t="s">
        <v>58</v>
      </c>
      <c r="H85" s="162">
        <f>bOHthit</f>
        <v>0.97956097560975608</v>
      </c>
      <c r="I85" s="161">
        <f>SUM($F$6:$F$7)+1/bOHspd*N$83</f>
        <v>1.1042977981403235</v>
      </c>
      <c r="J85" s="161">
        <f t="shared" si="5"/>
        <v>0.90555283337885428</v>
      </c>
      <c r="K85" s="161">
        <f>SUM($G$5:$G$7)</f>
        <v>1.1164788616516437</v>
      </c>
      <c r="L85" s="162">
        <f>ohspd/60*H85</f>
        <v>2.2856422764227641E-2</v>
      </c>
      <c r="M85" s="365">
        <f>1/L85/I85</f>
        <v>39.619184625694182</v>
      </c>
    </row>
    <row r="86" spans="1:14">
      <c r="A86" s="356"/>
      <c r="B86" s="78"/>
      <c r="C86" s="78"/>
      <c r="G86" s="363" t="s">
        <v>2232</v>
      </c>
      <c r="H86" s="162">
        <f>$F$25</f>
        <v>0.98</v>
      </c>
      <c r="I86" s="161">
        <f>K86/$F$25</f>
        <v>0.31517231049062555</v>
      </c>
      <c r="J86" s="161">
        <f>IF(I86=0,0,1/I86)</f>
        <v>3.1728675607425987</v>
      </c>
      <c r="K86" s="161">
        <f>IF(instatk="v",0,instsec)</f>
        <v>0.30886886428081306</v>
      </c>
      <c r="L86" s="162">
        <f>MHspd/60*H86</f>
        <v>4.2466666666666666E-2</v>
      </c>
      <c r="M86" s="365">
        <f>IF(I86=0,0,1/L86/I86)</f>
        <v>74.714306767879094</v>
      </c>
    </row>
    <row r="87" spans="1:14">
      <c r="A87" s="356"/>
      <c r="B87" s="78"/>
      <c r="C87" s="78"/>
      <c r="G87" s="363" t="s">
        <v>2233</v>
      </c>
      <c r="H87" s="162">
        <f>$F$25</f>
        <v>0.98</v>
      </c>
      <c r="I87" s="161">
        <f>K87/$F$25</f>
        <v>0</v>
      </c>
      <c r="J87" s="161">
        <f>IF(I87=0,0,1/I87)</f>
        <v>0</v>
      </c>
      <c r="K87" s="161">
        <f>IF(OR(instatk="v",instatk="mut"),instsec,0)</f>
        <v>0</v>
      </c>
      <c r="L87" s="162">
        <f>ohspd/60*H87</f>
        <v>2.2866666666666664E-2</v>
      </c>
      <c r="M87" s="365">
        <f>IF(I87=0,0,1/L87/I87)</f>
        <v>0</v>
      </c>
    </row>
    <row r="88" spans="1:14">
      <c r="A88" s="356"/>
      <c r="B88" s="78"/>
      <c r="C88" s="78"/>
      <c r="G88" s="363" t="s">
        <v>2300</v>
      </c>
      <c r="H88" s="162">
        <f>$K$25</f>
        <v>1</v>
      </c>
      <c r="I88" s="161">
        <f>K88/$K$25</f>
        <v>6.4249278896646056E-2</v>
      </c>
      <c r="J88" s="161">
        <f>IF(I88=0,0,1/I88)</f>
        <v>15.564377019836126</v>
      </c>
      <c r="K88" s="161">
        <f>$Q$18</f>
        <v>6.4249278896646056E-2</v>
      </c>
      <c r="L88" s="162">
        <f>MHspd/60*H88</f>
        <v>4.3333333333333335E-2</v>
      </c>
      <c r="M88" s="365">
        <f>IF(I88=0,0,1/L88/I88)</f>
        <v>359.17793122698748</v>
      </c>
    </row>
    <row r="89" spans="1:14" ht="13.5" thickBot="1">
      <c r="A89" s="356"/>
      <c r="B89" s="78"/>
      <c r="C89" s="78"/>
      <c r="G89" s="367" t="s">
        <v>2301</v>
      </c>
      <c r="H89" s="368">
        <f>(H84*I84+H85*I85+H86*I86+H87*I87+H88*I88)/I89</f>
        <v>0.9801658732511157</v>
      </c>
      <c r="I89" s="369">
        <f>SUM(I84:I88)</f>
        <v>2.3996802278749727</v>
      </c>
      <c r="J89" s="369">
        <f t="shared" si="5"/>
        <v>0.41672219005844208</v>
      </c>
      <c r="K89" s="369">
        <f>SUM(K84:K88)</f>
        <v>2.2573758781790807</v>
      </c>
      <c r="L89" s="370">
        <f>(I84*L84+I85*L85+I86*L86+I87*L87+I88*L88)/I89</f>
        <v>3.3458261380226041E-2</v>
      </c>
      <c r="M89" s="371">
        <f>1/(1/M84+1/M85+IF(M86=0,0,1/M86)+IF(M87=0,0,1/M87)+IF(M88=0,0,1/M88))</f>
        <v>12.45498638804724</v>
      </c>
    </row>
    <row r="90" spans="1:14" ht="13.5" thickBot="1">
      <c r="A90" s="356"/>
      <c r="B90" s="78"/>
      <c r="C90" s="78"/>
    </row>
    <row r="91" spans="1:14">
      <c r="A91" s="356"/>
      <c r="B91" s="78"/>
      <c r="C91" s="78"/>
      <c r="G91" s="360" t="s">
        <v>2876</v>
      </c>
      <c r="H91" s="361"/>
      <c r="I91" s="361"/>
      <c r="J91" s="361"/>
      <c r="K91" s="361"/>
      <c r="L91" s="361" t="s">
        <v>2304</v>
      </c>
      <c r="M91" s="362"/>
    </row>
    <row r="92" spans="1:14">
      <c r="A92" s="356"/>
      <c r="B92" s="78"/>
      <c r="C92" s="78"/>
      <c r="G92" s="363"/>
      <c r="H92" s="160" t="s">
        <v>1186</v>
      </c>
      <c r="I92" s="160" t="s">
        <v>2297</v>
      </c>
      <c r="J92" s="160" t="s">
        <v>2298</v>
      </c>
      <c r="K92" s="160" t="s">
        <v>505</v>
      </c>
      <c r="L92" s="160" t="s">
        <v>2305</v>
      </c>
      <c r="M92" s="364" t="s">
        <v>2306</v>
      </c>
      <c r="N92" s="68">
        <f>IF(time=0, (1+('Gear &amp; Buffs'!$P$143-240*itTSDup)/(hasterate*100))*(1+blfl*20%*15/120), 'Cooldowns Calc'!$AD$1-(240*itTSDup)/(hasterate*100))</f>
        <v>1.2109323874494358</v>
      </c>
    </row>
    <row r="93" spans="1:14">
      <c r="A93" s="356"/>
      <c r="B93" s="78"/>
      <c r="C93" s="78"/>
      <c r="G93" s="363" t="s">
        <v>57</v>
      </c>
      <c r="H93" s="162">
        <f>bMHthit</f>
        <v>0.97956097560975608</v>
      </c>
      <c r="I93" s="161">
        <f>SUM($F$3:$F$4)+1/bMHspd*N$92</f>
        <v>0.9283475591411664</v>
      </c>
      <c r="J93" s="161">
        <f t="shared" ref="J93:J94" si="6">1/I93</f>
        <v>1.0771827750860041</v>
      </c>
      <c r="K93" s="161">
        <f>SUM($G$2:$G$4)</f>
        <v>0.76777887334997796</v>
      </c>
      <c r="L93" s="162">
        <f>MHspd/60*H93</f>
        <v>4.2447642276422767E-2</v>
      </c>
      <c r="M93" s="365">
        <f>1/L93/I93</f>
        <v>25.37673984508481</v>
      </c>
      <c r="N93" s="68"/>
    </row>
    <row r="94" spans="1:14">
      <c r="A94" s="356"/>
      <c r="B94" s="78"/>
      <c r="C94" s="78"/>
      <c r="G94" s="363" t="s">
        <v>58</v>
      </c>
      <c r="H94" s="162">
        <f>bOHthit</f>
        <v>0.97956097560975608</v>
      </c>
      <c r="I94" s="161">
        <f>SUM($F$6:$F$7)+1/bOHspd*N$92</f>
        <v>1.127301704471646</v>
      </c>
      <c r="J94" s="161">
        <f t="shared" si="6"/>
        <v>0.88707397144288813</v>
      </c>
      <c r="K94" s="161">
        <f>SUM($G$5:$G$7)</f>
        <v>1.1164788616516437</v>
      </c>
      <c r="L94" s="162">
        <f>ohspd/60*H94</f>
        <v>2.2856422764227641E-2</v>
      </c>
      <c r="M94" s="365">
        <f>1/L94/I94</f>
        <v>38.81070894572526</v>
      </c>
    </row>
    <row r="95" spans="1:14">
      <c r="A95" s="356"/>
      <c r="B95" s="78"/>
      <c r="C95" s="78"/>
      <c r="G95" s="363" t="s">
        <v>2232</v>
      </c>
      <c r="H95" s="162">
        <f>$F$25</f>
        <v>0.98</v>
      </c>
      <c r="I95" s="161">
        <f>K95/$F$25</f>
        <v>0.31517231049062555</v>
      </c>
      <c r="J95" s="161">
        <f>IF(I95=0,0,1/I95)</f>
        <v>3.1728675607425987</v>
      </c>
      <c r="K95" s="161">
        <f>IF(instatk="v",0,instsec)</f>
        <v>0.30886886428081306</v>
      </c>
      <c r="L95" s="162">
        <f>MHspd/60*H95</f>
        <v>4.2466666666666666E-2</v>
      </c>
      <c r="M95" s="365">
        <f>IF(I95=0,0,1/L95/I95)</f>
        <v>74.714306767879094</v>
      </c>
    </row>
    <row r="96" spans="1:14">
      <c r="A96" s="356"/>
      <c r="B96" s="78"/>
      <c r="C96" s="78"/>
      <c r="G96" s="363" t="s">
        <v>2233</v>
      </c>
      <c r="H96" s="162">
        <f>$F$25</f>
        <v>0.98</v>
      </c>
      <c r="I96" s="161">
        <f>K96/$F$25</f>
        <v>0</v>
      </c>
      <c r="J96" s="161">
        <f>IF(I96=0,0,1/I96)</f>
        <v>0</v>
      </c>
      <c r="K96" s="161">
        <f>IF(OR(instatk="v",instatk="mut"),instsec,0)</f>
        <v>0</v>
      </c>
      <c r="L96" s="162">
        <f>ohspd/60*H96</f>
        <v>2.2866666666666664E-2</v>
      </c>
      <c r="M96" s="365">
        <f>IF(I96=0,0,1/L96/I96)</f>
        <v>0</v>
      </c>
    </row>
    <row r="97" spans="1:14">
      <c r="A97" s="356"/>
      <c r="B97" s="78"/>
      <c r="C97" s="78"/>
      <c r="G97" s="363" t="s">
        <v>2300</v>
      </c>
      <c r="H97" s="162">
        <f>$K$25</f>
        <v>1</v>
      </c>
      <c r="I97" s="161">
        <f>K97/$K$25</f>
        <v>6.4249278896646056E-2</v>
      </c>
      <c r="J97" s="161">
        <f>IF(I97=0,0,1/I97)</f>
        <v>15.564377019836126</v>
      </c>
      <c r="K97" s="161">
        <f>$Q$18</f>
        <v>6.4249278896646056E-2</v>
      </c>
      <c r="L97" s="162">
        <f>MHspd/60*H97</f>
        <v>4.3333333333333335E-2</v>
      </c>
      <c r="M97" s="365">
        <f>IF(I97=0,0,1/L97/I97)</f>
        <v>359.17793122698748</v>
      </c>
    </row>
    <row r="98" spans="1:14" ht="13.5" thickBot="1">
      <c r="A98" s="356"/>
      <c r="B98" s="78"/>
      <c r="C98" s="78"/>
      <c r="G98" s="367" t="s">
        <v>2301</v>
      </c>
      <c r="H98" s="368">
        <f>(H93*I93+H94*I94+H95*I95+H96*I96+H97*I97)/I98</f>
        <v>0.9801570818413553</v>
      </c>
      <c r="I98" s="369">
        <f>SUM(I93:I97)</f>
        <v>2.435070853000084</v>
      </c>
      <c r="J98" s="369">
        <f t="shared" ref="J98" si="7">1/I98</f>
        <v>0.41066566862642562</v>
      </c>
      <c r="K98" s="369">
        <f>SUM(K93:K97)</f>
        <v>2.2573758781790807</v>
      </c>
      <c r="L98" s="370">
        <f>(I93*L93+I94*L94+I95*L95+I96*L96+I97*L97)/I98</f>
        <v>3.3403833900628281E-2</v>
      </c>
      <c r="M98" s="371">
        <f>1/(1/M93+1/M94+IF(M95=0,0,1/M95)+IF(M96=0,0,1/M96)+IF(M97=0,0,1/M97))</f>
        <v>12.293968107017244</v>
      </c>
    </row>
    <row r="99" spans="1:14" ht="13.5" thickBot="1">
      <c r="A99" s="356"/>
      <c r="B99" s="78"/>
      <c r="C99" s="78"/>
    </row>
    <row r="100" spans="1:14">
      <c r="A100" s="356"/>
      <c r="B100" s="78"/>
      <c r="C100" s="78"/>
      <c r="G100" s="360" t="s">
        <v>3015</v>
      </c>
      <c r="H100" s="361"/>
      <c r="I100" s="361"/>
      <c r="J100" s="361"/>
      <c r="K100" s="361"/>
      <c r="L100" s="361" t="s">
        <v>2304</v>
      </c>
      <c r="M100" s="362"/>
    </row>
    <row r="101" spans="1:14">
      <c r="A101" s="356"/>
      <c r="B101" s="78"/>
      <c r="C101" s="78"/>
      <c r="G101" s="363"/>
      <c r="H101" s="160" t="s">
        <v>1186</v>
      </c>
      <c r="I101" s="160" t="s">
        <v>2297</v>
      </c>
      <c r="J101" s="160" t="s">
        <v>2298</v>
      </c>
      <c r="K101" s="160" t="s">
        <v>505</v>
      </c>
      <c r="L101" s="160" t="s">
        <v>2305</v>
      </c>
      <c r="M101" s="364" t="s">
        <v>2306</v>
      </c>
      <c r="N101" s="68">
        <f>IF(time=0, (1+('Gear &amp; Buffs'!$P$143-180*itTSDup)/(hasterate*100))*(1+blfl*20%*15/120), 'Cooldowns Calc'!$AD$1-(180*itTSDup)/(hasterate*100))</f>
        <v>1.2152979518001776</v>
      </c>
    </row>
    <row r="102" spans="1:14">
      <c r="A102" s="356"/>
      <c r="B102" s="78"/>
      <c r="C102" s="78"/>
      <c r="G102" s="363" t="s">
        <v>57</v>
      </c>
      <c r="H102" s="162">
        <f>bMHthit</f>
        <v>0.97956097560975608</v>
      </c>
      <c r="I102" s="161">
        <f>SUM($F$3:$F$4)+1/bMHspd*N$101</f>
        <v>0.93002662235299027</v>
      </c>
      <c r="J102" s="161">
        <f t="shared" ref="J102:J103" si="8">1/I102</f>
        <v>1.0752380372402408</v>
      </c>
      <c r="K102" s="161">
        <f>SUM($G$2:$G$4)</f>
        <v>0.76777887334997796</v>
      </c>
      <c r="L102" s="162">
        <f>MHspd/60*H102</f>
        <v>4.2447642276422767E-2</v>
      </c>
      <c r="M102" s="365">
        <f>1/L102/I102</f>
        <v>25.330924865937114</v>
      </c>
      <c r="N102" s="68"/>
    </row>
    <row r="103" spans="1:14">
      <c r="A103" s="356"/>
      <c r="B103" s="78"/>
      <c r="C103" s="78"/>
      <c r="G103" s="363" t="s">
        <v>58</v>
      </c>
      <c r="H103" s="162">
        <f>bOHthit</f>
        <v>0.97956097560975608</v>
      </c>
      <c r="I103" s="161">
        <f>SUM($F$6:$F$7)+1/bOHspd*N$101</f>
        <v>1.130419964722176</v>
      </c>
      <c r="J103" s="161">
        <f t="shared" si="8"/>
        <v>0.88462698042118415</v>
      </c>
      <c r="K103" s="161">
        <f>SUM($G$5:$G$7)</f>
        <v>1.1164788616516437</v>
      </c>
      <c r="L103" s="162">
        <f>ohspd/60*H103</f>
        <v>2.2856422764227641E-2</v>
      </c>
      <c r="M103" s="365">
        <f>1/L103/I103</f>
        <v>38.703649715724765</v>
      </c>
    </row>
    <row r="104" spans="1:14">
      <c r="A104" s="356"/>
      <c r="B104" s="78"/>
      <c r="C104" s="78"/>
      <c r="G104" s="363" t="s">
        <v>2232</v>
      </c>
      <c r="H104" s="162">
        <f>$F$25</f>
        <v>0.98</v>
      </c>
      <c r="I104" s="161">
        <f>K104/$F$25</f>
        <v>0.31517231049062555</v>
      </c>
      <c r="J104" s="161">
        <f>IF(I104=0,0,1/I104)</f>
        <v>3.1728675607425987</v>
      </c>
      <c r="K104" s="161">
        <f>IF(instatk="v",0,instsec)</f>
        <v>0.30886886428081306</v>
      </c>
      <c r="L104" s="162">
        <f>MHspd/60*H104</f>
        <v>4.2466666666666666E-2</v>
      </c>
      <c r="M104" s="365">
        <f>IF(I104=0,0,1/L104/I104)</f>
        <v>74.714306767879094</v>
      </c>
    </row>
    <row r="105" spans="1:14">
      <c r="A105" s="356"/>
      <c r="B105" s="78"/>
      <c r="C105" s="78"/>
      <c r="G105" s="363" t="s">
        <v>2233</v>
      </c>
      <c r="H105" s="162">
        <f>$F$25</f>
        <v>0.98</v>
      </c>
      <c r="I105" s="161">
        <f>K105/$F$25</f>
        <v>0</v>
      </c>
      <c r="J105" s="161">
        <f>IF(I105=0,0,1/I105)</f>
        <v>0</v>
      </c>
      <c r="K105" s="161">
        <f>IF(OR(instatk="v",instatk="mut"),instsec,0)</f>
        <v>0</v>
      </c>
      <c r="L105" s="162">
        <f>ohspd/60*H105</f>
        <v>2.2866666666666664E-2</v>
      </c>
      <c r="M105" s="365">
        <f>IF(I105=0,0,1/L105/I105)</f>
        <v>0</v>
      </c>
    </row>
    <row r="106" spans="1:14">
      <c r="A106" s="356"/>
      <c r="B106" s="78"/>
      <c r="C106" s="78"/>
      <c r="G106" s="363" t="s">
        <v>2300</v>
      </c>
      <c r="H106" s="162">
        <f>$K$25</f>
        <v>1</v>
      </c>
      <c r="I106" s="161">
        <f>K106/$K$25</f>
        <v>6.4249278896646056E-2</v>
      </c>
      <c r="J106" s="161">
        <f>IF(I106=0,0,1/I106)</f>
        <v>15.564377019836126</v>
      </c>
      <c r="K106" s="161">
        <f>$Q$18</f>
        <v>6.4249278896646056E-2</v>
      </c>
      <c r="L106" s="162">
        <f>MHspd/60*H106</f>
        <v>4.3333333333333335E-2</v>
      </c>
      <c r="M106" s="365">
        <f>IF(I106=0,0,1/L106/I106)</f>
        <v>359.17793122698748</v>
      </c>
    </row>
    <row r="107" spans="1:14" ht="13.5" thickBot="1">
      <c r="G107" s="367" t="s">
        <v>2302</v>
      </c>
      <c r="H107" s="368">
        <f>(H102*I102+H104*I104+H106*I106)/I107</f>
        <v>0.9806695042990502</v>
      </c>
      <c r="I107" s="369">
        <f>I102+I104+I106</f>
        <v>1.3094482117402619</v>
      </c>
      <c r="J107" s="369">
        <f t="shared" ref="J107" si="9">1/I107</f>
        <v>0.76368045031043719</v>
      </c>
      <c r="K107" s="369">
        <f>K102+K104+K106</f>
        <v>1.140897016527437</v>
      </c>
      <c r="L107" s="370">
        <f>(I102*L102+I104*L104+I106*L106)/I107</f>
        <v>4.2495678519625511E-2</v>
      </c>
      <c r="M107" s="371">
        <f>1/(1/M102+IF(M104=0,0,1/M104)+IF(M106=0,0,1/M106))</f>
        <v>17.97077907481231</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7182-5E48-4A39-B8E2-1A0F08CE1257}">
  <sheetPr codeName="Sheet28"/>
  <dimension ref="A1:AW604"/>
  <sheetViews>
    <sheetView topLeftCell="C1" zoomScale="85" zoomScaleNormal="85" workbookViewId="0">
      <pane ySplit="2" topLeftCell="A3" activePane="bottomLeft" state="frozen"/>
      <selection pane="bottomLeft" activeCell="AH4" sqref="AH4"/>
    </sheetView>
  </sheetViews>
  <sheetFormatPr defaultColWidth="9.7109375" defaultRowHeight="12.75"/>
  <cols>
    <col min="28" max="28" width="9.7109375" style="29"/>
    <col min="29" max="29" width="9.7109375" style="25"/>
    <col min="30" max="30" width="10.28515625" style="29" bestFit="1" customWidth="1"/>
    <col min="31" max="36" width="9.7109375" style="25"/>
    <col min="39" max="39" width="32.42578125" bestFit="1" customWidth="1"/>
  </cols>
  <sheetData>
    <row r="1" spans="1:49">
      <c r="A1" t="s">
        <v>3090</v>
      </c>
      <c r="X1" t="s">
        <v>2896</v>
      </c>
      <c r="Y1" s="25">
        <f>SUMPRODUCT(Y3:Y602,AB3:AB602,AD3:AD602)/(AD1*AB1*IF(time=0,1,time))</f>
        <v>0</v>
      </c>
      <c r="Z1" s="25">
        <f>SUMPRODUCT(Z3:Z602,AB3:AB602,AD3:AD602)/(AD1*AB1*IF(time=0,1,time))</f>
        <v>76.157299099329023</v>
      </c>
      <c r="AA1" s="29">
        <f>SUMPRODUCT(AB3:AB602,AD3:AD602)/(AD1*IF(time=0,1,time))</f>
        <v>0.74178816089935429</v>
      </c>
      <c r="AB1" s="29">
        <f>SUM(AB3:AB602)/IF(time=0,1,time)</f>
        <v>0.7417881608993474</v>
      </c>
      <c r="AC1" s="25">
        <f>SUM(AC3:AC602)/IF(time=0,1,time)</f>
        <v>211.49804426656914</v>
      </c>
      <c r="AD1" s="29">
        <f>SUM(AD3:AD602)/IF(time=0,1,time)</f>
        <v>1.2283946448524035</v>
      </c>
      <c r="AE1" s="25">
        <f>SUM(AF3:AF602)</f>
        <v>4163.3074246350661</v>
      </c>
      <c r="AF1" s="25">
        <f>SUM(AF3:AF602)/IF(time=0,1,time)</f>
        <v>13.87769141545022</v>
      </c>
      <c r="AG1" s="25">
        <f>SUM(AG3:AG602)/IF(time=0,1,time)*bGlobDam*(1+DDmult)*IF(Talents!$O$27="Instants",1+Talents!I37*20%/(30*instsec),1)</f>
        <v>327.58159382962725</v>
      </c>
    </row>
    <row r="2" spans="1:49">
      <c r="A2" t="s">
        <v>125</v>
      </c>
      <c r="B2" t="s">
        <v>2901</v>
      </c>
      <c r="C2" t="s">
        <v>2902</v>
      </c>
      <c r="D2" t="s">
        <v>2903</v>
      </c>
      <c r="E2" t="s">
        <v>2904</v>
      </c>
      <c r="F2" t="s">
        <v>2905</v>
      </c>
      <c r="G2" t="s">
        <v>2906</v>
      </c>
      <c r="H2" t="s">
        <v>2907</v>
      </c>
      <c r="I2" t="s">
        <v>2908</v>
      </c>
      <c r="J2" t="s">
        <v>2909</v>
      </c>
      <c r="K2" t="s">
        <v>2910</v>
      </c>
      <c r="L2" t="s">
        <v>2911</v>
      </c>
      <c r="M2" t="s">
        <v>2912</v>
      </c>
      <c r="N2" t="s">
        <v>2992</v>
      </c>
      <c r="O2" t="s">
        <v>2993</v>
      </c>
      <c r="P2" t="s">
        <v>2994</v>
      </c>
      <c r="Q2" t="s">
        <v>2995</v>
      </c>
      <c r="R2" t="s">
        <v>2997</v>
      </c>
      <c r="S2" t="s">
        <v>2996</v>
      </c>
      <c r="T2" t="s">
        <v>2970</v>
      </c>
      <c r="U2" t="s">
        <v>2969</v>
      </c>
      <c r="V2" t="s">
        <v>2913</v>
      </c>
      <c r="W2" t="s">
        <v>2914</v>
      </c>
      <c r="X2" t="s">
        <v>2915</v>
      </c>
      <c r="Y2" t="s">
        <v>1215</v>
      </c>
      <c r="Z2" t="s">
        <v>768</v>
      </c>
      <c r="AA2" t="s">
        <v>2898</v>
      </c>
      <c r="AB2" s="29" t="s">
        <v>2916</v>
      </c>
      <c r="AC2" s="25" t="s">
        <v>771</v>
      </c>
      <c r="AD2" s="29" t="s">
        <v>2899</v>
      </c>
      <c r="AE2" s="25" t="s">
        <v>320</v>
      </c>
      <c r="AF2" s="25" t="s">
        <v>320</v>
      </c>
      <c r="AG2" s="25" t="s">
        <v>2999</v>
      </c>
      <c r="AH2" s="25" t="s">
        <v>3027</v>
      </c>
      <c r="AI2" s="25" t="s">
        <v>3025</v>
      </c>
      <c r="AJ2" s="25" t="s">
        <v>3026</v>
      </c>
      <c r="AL2" t="s">
        <v>2897</v>
      </c>
      <c r="AM2" t="s">
        <v>1708</v>
      </c>
      <c r="AO2" t="s">
        <v>1215</v>
      </c>
      <c r="AP2" t="s">
        <v>768</v>
      </c>
      <c r="AQ2" t="s">
        <v>2898</v>
      </c>
      <c r="AR2" t="s">
        <v>771</v>
      </c>
      <c r="AS2" t="s">
        <v>2899</v>
      </c>
      <c r="AT2" t="s">
        <v>2900</v>
      </c>
      <c r="AU2" t="s">
        <v>2967</v>
      </c>
    </row>
    <row r="3" spans="1:49">
      <c r="A3">
        <f>IF(time=0,-1,0)</f>
        <v>0</v>
      </c>
      <c r="B3">
        <v>1</v>
      </c>
      <c r="C3">
        <f t="shared" ref="C3:C66" si="0">IF(AND(cdspec60,cdspec60plus),CHOOSE($B3,cdspec601,cdspec602,cdspec603,cdspec604,cdspec605,cdspec606,cdspec607,cdspec608,cdspec609,cdspec6010),($B3-1)*60+IF(cdspec60,cdspec601,0))</f>
        <v>0</v>
      </c>
      <c r="D3">
        <f>IF($A3=$C3,1,0)</f>
        <v>1</v>
      </c>
      <c r="E3">
        <v>1</v>
      </c>
      <c r="F3">
        <f t="shared" ref="F3:F66" si="1">IF(AND(cdspec90,cdspec90plus),CHOOSE(E3,cdspec901,cdspec902,cdspec903,cdspec904,cdspec905,cdspec906),(E3-1)*IF(cdtreat90as120,120,90)+IF(cdspec90,cdspec901,0))</f>
        <v>0</v>
      </c>
      <c r="G3">
        <f>IF($A3=F3,1,0)</f>
        <v>1</v>
      </c>
      <c r="H3">
        <v>1</v>
      </c>
      <c r="I3">
        <f t="shared" ref="I3:I66" si="2">IF(AND(cdspec120,cdspec120plus),CHOOSE(H3,cdspec1201,cdspec1202,cdspec1203,cdspec1204,cdspec1205),(H3-1)*120+IF(cdspec120,cdspec1201,0))</f>
        <v>0</v>
      </c>
      <c r="J3">
        <f>IF($A3=I3,1,0)</f>
        <v>1</v>
      </c>
      <c r="K3">
        <v>1</v>
      </c>
      <c r="L3">
        <f t="shared" ref="L3:L66" si="3">IF(AND(cdspec180,cdspec180plus),CHOOSE(K3,cdspec1801,cdspec1802,cdspec1803,cdspec1804),(K3-1)*IF(cdtreat180as240,240,180)+IF(cdspec180,cdspec1801,0))</f>
        <v>0</v>
      </c>
      <c r="M3">
        <f>IF($A3=L3,1,0)</f>
        <v>1</v>
      </c>
      <c r="N3">
        <v>1</v>
      </c>
      <c r="O3">
        <f t="shared" ref="O3:O66" si="4">IF(cdspecar,CHOOSE(N3,cdar1,cdar2),(N3-1)*300)</f>
        <v>0</v>
      </c>
      <c r="P3">
        <f>IF($A3=O3,1,0)</f>
        <v>1</v>
      </c>
      <c r="Q3">
        <v>1</v>
      </c>
      <c r="R3">
        <f t="shared" ref="R3:R66" si="5">IF(cdspectea,CHOOSE(Q3,cdtea1,cdtea2),(Q3-1)*300)</f>
        <v>0</v>
      </c>
      <c r="S3">
        <f>IF($A3=R3,1,0)</f>
        <v>1</v>
      </c>
      <c r="T3">
        <f>IF($AU$3, IF(AND(0&gt;IF($AV$5,C3,IF($AV$8,F3,IF($AV$14,I3,IF($AV$32,L3))))-$AT$3,0&lt;IF($AV$5,C3,IF($AV$8,F3,IF($AV$14,I3,IF($AV$32,L3))))+$AU$3), IF($AV$5,C3,IF($AV$8,F3,IF($AV$14,I3,IF($AV$32,L3))))+$AU$3, 0), -1)</f>
        <v>-1</v>
      </c>
      <c r="U3">
        <v>0</v>
      </c>
      <c r="V3">
        <f>IF(blust,1,0)</f>
        <v>1</v>
      </c>
      <c r="W3">
        <f t="shared" ref="W3:W66" si="6">IF(V3=0,-1,IF(cdspeclust,CHOOSE(V3,cdlust1,cdlust2,cdlust3,cdlust4,cdlust5,cdlust6,cdlust7,cdlust8,cdlust9,cdlust10,cdlust11,cdlust12,cdlust13,cdlust14,cdlust15),(V3-1)*120))</f>
        <v>0</v>
      </c>
      <c r="X3">
        <f>IF($A3=W3,1,0)</f>
        <v>1</v>
      </c>
      <c r="Y3">
        <f t="shared" ref="Y3:Y66" si="7">IF($A3&lt;0, 0, IF($J3=0, 0, $AO$16*($J3&lt;=$AT$16)-IF($AW$14, $AO$3*($J3&lt;=$AT$3)))+IF($U3=0, 0, $AO$3))</f>
        <v>0</v>
      </c>
      <c r="Z3">
        <f t="shared" ref="Z3:Z66" si="8">IF($A3&lt;0, 0, IF($D3=0, 0, $AP$6*($D3&lt;=$AT$6)-IF($AW$5, $AP$3*($D3&lt;=$AT$3)))+IF($G3=0, 0, ($AP$9+$AP$10+$AP$11+$AP$12)*($G3&lt;=$AT$9)-IF($AW$8, $AP$3*($G3&lt;=$AT$3)))+IF($J3=0, 0, ($AP$17+$AP$18+$AP$19+$AP$24)*($J3&lt;=$AT$17)+($AP$23+$AP$25+$AP$27)*($J3&lt;=$AT$23)+$AP$30*($J3&lt;=$AT$30)+$AP$21*ROUNDUP($J3/2,0)*($J3&lt;=$AT$21)-IF($AW$14, IF($AP$3=65,$AP$3*ROUNDUP($J3/2,0)*($J3&lt;=$AT$3),$AP$3*($J3&lt;=$AT$3))))+IF($M3=0, 0, $AP$34*($M3&lt;=$AT$34)-IF($AW$32, $AP$3*($M3&lt;=$AT$3)))+IF($U3=0, 0, IF($AP$3=65,$AP$3*ROUNDUP($U3/2,0),$AP$3)))</f>
        <v>278</v>
      </c>
      <c r="AA3">
        <f t="shared" ref="AA3:AA66" si="9">IF($A3&lt;0,0,IF($J3=0,0,$AQ$20*($J3&lt;=$AT$20)-IF($AW$14,$AQ$3*($J3&lt;=$AT$3)))+IF($M3=0,0,$AQ$33*($M3&lt;=$AT$33))+IF($U3=0,0,$AQ$3))</f>
        <v>0</v>
      </c>
      <c r="AB3" s="29">
        <f t="shared" ref="AB3:AB66" si="10">IF($A3&lt;0,0,1-MAX($AN$44-AA3,0)/(MAX($AN$44-AA3,0)+467.5*CharLevel-22167.5))</f>
        <v>0.74178816089935007</v>
      </c>
      <c r="AC3" s="25">
        <f t="shared" ref="AC3:AC66" si="11">IF($A3&lt;0,0,$AN$43+IF($J3=0, 0, $AR$15*($J3&lt;=$AT$15)+$AR$22*($J3&lt;=$AT$22)+$AR$28*($J3&lt;=$AT$28)+$AR$29*($J3&lt;=$AT$29)-IF($AW$14, $AR$3*($J3&lt;=$AT$3))))</f>
        <v>607.49804426656829</v>
      </c>
      <c r="AD3" s="29">
        <f t="shared" ref="AD3:AD66" si="12">IF($A3&lt;0,0,(1+$AC3/(hasterate*100))*(1+$AS$26/100*AND($J3&gt;0,$J3&lt;=$AT$26))*(1+$AS$35/100*AND($M3&gt;0,$M3&lt;=$AT$35))*(1+0.3*($X3&gt;0)))</f>
        <v>2.1609785530598051</v>
      </c>
      <c r="AE3" s="25">
        <f t="shared" ref="AE3" si="13">IF($A3&lt;0,0,$AN$45+IF($P3&gt;0,$AN$37*$AL$37,0)+$S3*(60-IF(CharLevel&gt;60,(CharLevel-60)*2,0))*$AL$38+IF($J3=1,$AL$26*-25+IF($AL$39, 30, 0),0)+IF($M3=1,$AL$35*-10,0)+100+IF(vigor&gt;0, 10, 0))</f>
        <v>136.59054220555134</v>
      </c>
      <c r="AF3" s="25">
        <f t="shared" ref="AF3:AF66" si="14">MIN(instcost,AE3)</f>
        <v>40.163265306122447</v>
      </c>
      <c r="AG3" s="25">
        <f>IF($A3&lt;0,0,IF(instatk="bs",(1.5+talSCallInstBon)*(MHavg+(ap+Z3-$Z$1)/APtoDPS*MHnorm+170)*(1+sa*0.1+0.04*opp+0.02*agg+Slayer4value-1),IF(instatk="hemo",Slayer4value*(MHavg+(ap+Z3-$Z$1)/APtoDPS*MHnorm)*(1.1+talSCallInstBon)+420*(1+raidcrit)*debuffon,IF(instatk="ss",(MHavg+(ap+Z3-$Z$1)/APtoDPS*MHnorm+98)*(1+sa*0.1+0.02*agg+Slayer4value-1),IF(instatk="v",(ohavg+(ap+Z3-$Z$1)/APtoDPS*OHnorm)*(1+sa*0.1)*(0.5+0.05*dws)+avipdam,Slayer4value*((1+0.04*opp)*(MHavg+101+(ap+Z3-$Z$1)/APtoDPS*MHnorm+(0.5+0.05*dws)*(ohavg+(ap+Z3-$Z$1)/APtoDPS*OHnorm)+101*(1+0.1*dws))*(1+0.5*IF(Talents!$O$18="Yes",1,0)))))))*(instactualhit+(1+((leth*0.06+2)-1)*(cfact-1))*instactualcrit)*fwfactor*AB3*instsec*(AF3/$AN$45))</f>
        <v>931.97279120826579</v>
      </c>
      <c r="AH3" s="25">
        <f>MAX(0, IF(forceea,VLOOKUP(Cycles!$X$2,CHOOSE({1,2},Cycles!$AG$56:$AG$284,Cycles!R56:R284),2,FALSE),IF(firstsndCP=0,0,IF(firstsndCP=1,Cycles!$R$234,IF(firstsndCP=2,Cycles!$R$235,IF(firstsndCP=3,Cycles!$R$236,IF(firstsndCP=4,Cycles!$R$237,IF(firstsndCP=5,Cycles!$R$238)))))))-$AF3)</f>
        <v>24.999999999999993</v>
      </c>
      <c r="AI3" s="25">
        <f>IF(VLOOKUP(Cycles!$X$2,CHOOSE({1,2},Cycles!$AG$56:$AG$284,Cycles!S56:S284),2,FALSE)-$AF3&lt;0,0,VLOOKUP(Cycles!$X$2,CHOOSE({1,2},Cycles!$AG$56:$AG$284,Cycles!S56:S284),2,FALSE)-$AF3)</f>
        <v>221.71836734693878</v>
      </c>
      <c r="AJ3" s="25">
        <f>IF(VLOOKUP(Cycles!$X$2,CHOOSE({1,2},Cycles!$AG$56:$AG$284,Cycles!T56:T284),2,FALSE)-$AF3&lt;0,0,VLOOKUP(Cycles!$X$2,CHOOSE({1,2},Cycles!$AG$56:$AG$284,Cycles!T56:T284),2,FALSE)-$AF3)</f>
        <v>0</v>
      </c>
      <c r="AM3" t="s">
        <v>2968</v>
      </c>
      <c r="AO3">
        <f>IF($AU3, VLOOKUP(trinket2, $AM6:$AT35, 3, 0), 0)</f>
        <v>0</v>
      </c>
      <c r="AP3">
        <f>IF($AU3, VLOOKUP(trinket2, $AM6:$AT35, 4, 0), 0)</f>
        <v>0</v>
      </c>
      <c r="AQ3">
        <f>IF($AU3, VLOOKUP(trinket2, $AM6:$AT35, 5, 0), 0)</f>
        <v>0</v>
      </c>
      <c r="AR3">
        <f>IF($AU3, VLOOKUP(trinket2, $AM6:$AT35, 6, 0), 0)</f>
        <v>0</v>
      </c>
      <c r="AS3">
        <f>IF($AU3, VLOOKUP(trinket2, $AM6:$AT35, 7, 0), 0)</f>
        <v>0</v>
      </c>
      <c r="AT3">
        <f>IF($AU3, VLOOKUP(trinket2, $AM6:$AT35, 8, 0), 0)</f>
        <v>0</v>
      </c>
      <c r="AU3">
        <f>IF(AND($AW$5,cdspec60),0,IF(AND($AW$8,cdspec90),0,IF(AND($AW$14,cdspec120),0,IF(AND($AW$32,cdspec180),0,IF(COUNTIF(AU5:AU35,"&gt;0")&gt;1,VLOOKUP(trinket1,AM5:AU35,9,0),0)))))</f>
        <v>0</v>
      </c>
      <c r="AV3" t="b">
        <f>IF(COUNTIF(AU5:AU35, "&gt;0")&gt;1, VLOOKUP(trinket1, AM5:AU35, 9, 0), 0)&gt;0</f>
        <v>0</v>
      </c>
    </row>
    <row r="4" spans="1:49">
      <c r="A4">
        <f t="shared" ref="A4:A67" si="15">IF(A3&lt;0,-1,IF(A3+1&gt;=time,-1,A3+1))</f>
        <v>1</v>
      </c>
      <c r="B4">
        <f>MIN(IF(D3=1,B3+1,B3),10)</f>
        <v>2</v>
      </c>
      <c r="C4">
        <f t="shared" si="0"/>
        <v>60</v>
      </c>
      <c r="D4">
        <f t="shared" ref="D4:D67" si="16">IF($A4=$C4,1,IF(AND($D3&gt;0,$D3&lt;30),$D3+1,0))</f>
        <v>2</v>
      </c>
      <c r="E4">
        <f>MIN(IF(G3=1,E3+1,E3),6)</f>
        <v>2</v>
      </c>
      <c r="F4">
        <f t="shared" si="1"/>
        <v>90</v>
      </c>
      <c r="G4">
        <f t="shared" ref="G4:G67" si="17">IF($A4=F4,1,IF(AND(G3&gt;0,G3&lt;30),G3+1,0))</f>
        <v>2</v>
      </c>
      <c r="H4">
        <f>MIN(IF(J3=1,H3+1,H3),5)</f>
        <v>2</v>
      </c>
      <c r="I4">
        <f t="shared" si="2"/>
        <v>120</v>
      </c>
      <c r="J4">
        <f t="shared" ref="J4:J67" si="18">IF($A4=I4,1,IF(AND(J3&gt;0,J3&lt;30),J3+1,0))</f>
        <v>2</v>
      </c>
      <c r="K4">
        <f>MIN(IF(M3=1,K3+1,K3),4)</f>
        <v>2</v>
      </c>
      <c r="L4">
        <f t="shared" si="3"/>
        <v>180</v>
      </c>
      <c r="M4">
        <f t="shared" ref="M4:M67" si="19">IF($A4=L4,1,IF(AND(M3&gt;0,M3&lt;30),M3+1,0))</f>
        <v>2</v>
      </c>
      <c r="N4">
        <f>MIN(IF(P3=1,N3+1,N3),2)</f>
        <v>2</v>
      </c>
      <c r="O4">
        <f t="shared" si="4"/>
        <v>300</v>
      </c>
      <c r="P4">
        <f>IF($A4=O4,1,IF(AND(P3&gt;0,P3&lt;15),P3+1,0))</f>
        <v>2</v>
      </c>
      <c r="Q4">
        <f>MIN(IF(S3=1,Q3+1,Q3),2)</f>
        <v>2</v>
      </c>
      <c r="R4">
        <f t="shared" si="5"/>
        <v>300</v>
      </c>
      <c r="S4">
        <f>IF($A4=R4,1,IF(AND(S3&gt;0,S3&lt;1),S3+1,0))</f>
        <v>0</v>
      </c>
      <c r="T4">
        <f>IF($AU$3, IF(AND(T3&gt;IF($AV$5,C4,IF($AV$8,F4,IF($AV$14,I4,IF($AV$32,L4))))-$AT$3,T3&lt;IF($AV$5,C4,IF($AV$8,F4,IF($AV$14,I4,IF($AV$32,L4))))+$AU$3), IF($AV$5,C4,IF($AV$8,F4,IF($AV$14,I4,IF($AV$32,L4))))+$AU$3, T3)+IF(T3-A3=0, IF($AW$5,60,IF($AW$8,90,IF($AW$14,120,IF($AW$32,180))))), -1)</f>
        <v>-1</v>
      </c>
      <c r="U4">
        <f t="shared" ref="U4:U67" si="20">IF($A4=T4,1,IF(AND(U3&gt;0,U3&lt;$AT$3),U3+1,0))</f>
        <v>0</v>
      </c>
      <c r="V4">
        <f t="shared" ref="V4:V67" si="21">MIN(IF(X3=1,V3+1,V3),blustcount)</f>
        <v>1</v>
      </c>
      <c r="W4">
        <f t="shared" si="6"/>
        <v>0</v>
      </c>
      <c r="X4">
        <f>IF($A4=W4,1,IF(AND(X3&gt;0,X3&lt;40),X3+1,0))</f>
        <v>2</v>
      </c>
      <c r="Y4">
        <f t="shared" si="7"/>
        <v>0</v>
      </c>
      <c r="Z4">
        <f t="shared" si="8"/>
        <v>278</v>
      </c>
      <c r="AA4">
        <f t="shared" si="9"/>
        <v>0</v>
      </c>
      <c r="AB4" s="29">
        <f t="shared" si="10"/>
        <v>0.74178816089935007</v>
      </c>
      <c r="AC4" s="25">
        <f t="shared" si="11"/>
        <v>607.49804426656829</v>
      </c>
      <c r="AD4" s="29">
        <f t="shared" si="12"/>
        <v>2.1609785530598051</v>
      </c>
      <c r="AE4" s="25">
        <f t="shared" ref="AE4:AE67" si="22">IF($A4&lt;0,0,$AN$45+IF($P4&gt;0,$AN$37*$AL$37,0)+$S4*(60-IF(CharLevel&gt;60,(CharLevel-60)*2,0))*$AL$38+IF($J4=1,$AL$26*-25+IF($AL$39, 30, 0),0)+IF($M4=1,$AL$35*-10,0)+IF(AE3&gt;instcost,AE3-instcost,0))</f>
        <v>118.01781910498025</v>
      </c>
      <c r="AF4" s="25">
        <f t="shared" si="14"/>
        <v>40.163265306122447</v>
      </c>
      <c r="AG4" s="25">
        <f>IF($A4&lt;0,0,IF(instatk="bs",(1.5+talSCallInstBon)*(MHavg+(ap+Z4-$Z$1)/APtoDPS*MHnorm+170)*(1+sa*0.1+0.04*opp+0.02*agg+Slayer4value-1),IF(instatk="hemo",Slayer4value*(MHavg+(ap+Z4-$Z$1)/APtoDPS*MHnorm)*(1.1+talSCallInstBon)+420*(1+raidcrit)*debuffon,IF(instatk="ss",(MHavg+(ap+Z4-$Z$1)/APtoDPS*MHnorm+98)*(1+sa*0.1+0.02*agg+Slayer4value-1),IF(instatk="v",(ohavg+(ap+Z4-$Z$1)/APtoDPS*OHnorm)*(1+sa*0.1)*(0.5+0.05*dws)+avipdam,Slayer4value*((1+0.04*opp)*(MHavg+101+(ap+Z4-$Z$1)/APtoDPS*MHnorm+(0.5+0.05*dws)*(ohavg+(ap+Z4-$Z$1)/APtoDPS*OHnorm)+101*(1+0.1*dws))*(1+0.5*IF(Talents!$O$18="Yes",1,0)))))))*(instactualhit+(1+((leth*0.06+2)-1)*(cfact-1))*instactualcrit)*fwfactor*AB4*instsec*(AF4/$AN$45))</f>
        <v>931.97279120826579</v>
      </c>
      <c r="AH4" s="25">
        <f>IF(AH3-$AF4&lt;0,0,AH3-$AF4)</f>
        <v>0</v>
      </c>
      <c r="AI4" s="25">
        <f>IF(AI3-$AF4&lt;0,0,AI3-$AF4)</f>
        <v>181.55510204081634</v>
      </c>
      <c r="AJ4" s="25">
        <f>IF(AJ3-$AF4&lt;0,0,AJ3-$AF4)</f>
        <v>0</v>
      </c>
    </row>
    <row r="5" spans="1:49">
      <c r="A5">
        <f t="shared" si="15"/>
        <v>2</v>
      </c>
      <c r="B5">
        <f t="shared" ref="B5:B68" si="23">MIN(IF(D4=1,B4+1,B4),10)</f>
        <v>2</v>
      </c>
      <c r="C5">
        <f t="shared" si="0"/>
        <v>60</v>
      </c>
      <c r="D5">
        <f t="shared" si="16"/>
        <v>3</v>
      </c>
      <c r="E5">
        <f>MIN(IF(G4=1,E4+1,E4),6)</f>
        <v>2</v>
      </c>
      <c r="F5">
        <f t="shared" si="1"/>
        <v>90</v>
      </c>
      <c r="G5">
        <f t="shared" si="17"/>
        <v>3</v>
      </c>
      <c r="H5">
        <f t="shared" ref="H5:H68" si="24">MIN(IF(J4=1,H4+1,H4),5)</f>
        <v>2</v>
      </c>
      <c r="I5">
        <f t="shared" si="2"/>
        <v>120</v>
      </c>
      <c r="J5">
        <f t="shared" si="18"/>
        <v>3</v>
      </c>
      <c r="K5">
        <f t="shared" ref="K5:K68" si="25">MIN(IF(M4=1,K4+1,K4),4)</f>
        <v>2</v>
      </c>
      <c r="L5">
        <f t="shared" si="3"/>
        <v>180</v>
      </c>
      <c r="M5">
        <f t="shared" si="19"/>
        <v>3</v>
      </c>
      <c r="N5">
        <f t="shared" ref="N5:N68" si="26">MIN(IF(P4=1,N4+1,N4),2)</f>
        <v>2</v>
      </c>
      <c r="O5">
        <f t="shared" si="4"/>
        <v>300</v>
      </c>
      <c r="P5">
        <f t="shared" ref="P5:P68" si="27">IF($A5=O5,1,IF(AND(P4&gt;0,P4&lt;15),P4+1,0))</f>
        <v>3</v>
      </c>
      <c r="Q5">
        <f t="shared" ref="Q5:Q68" si="28">MIN(IF(S4=1,Q4+1,Q4),2)</f>
        <v>2</v>
      </c>
      <c r="R5">
        <f t="shared" si="5"/>
        <v>300</v>
      </c>
      <c r="S5">
        <f t="shared" ref="S5:S68" si="29">IF($A5=R5,1,IF(AND(S4&gt;0,S4&lt;1),S4+1,0))</f>
        <v>0</v>
      </c>
      <c r="T5">
        <f t="shared" ref="T5:T68" si="30">IF($AU$3, IF(AND(T4&gt;IF($AV$5,C5,IF($AV$8,F5,IF($AV$14,I5,IF($AV$32,L5))))-$AT$3,T4&lt;IF($AV$5,C5,IF($AV$8,F5,IF($AV$14,I5,IF($AV$32,L5))))+$AU$3), IF($AV$5,C5,IF($AV$8,F5,IF($AV$14,I5,IF($AV$32,L5))))+$AU$3, T4)+IF(T4-A4=0, IF($AW$5,60,IF($AW$8,90,IF($AW$14,120,IF($AW$32,180))))), -1)</f>
        <v>-1</v>
      </c>
      <c r="U5">
        <f t="shared" si="20"/>
        <v>0</v>
      </c>
      <c r="V5">
        <f t="shared" si="21"/>
        <v>1</v>
      </c>
      <c r="W5">
        <f t="shared" si="6"/>
        <v>0</v>
      </c>
      <c r="X5">
        <f t="shared" ref="X5:X68" si="31">IF($A5=W5,1,IF(AND(X4&gt;0,X4&lt;40),X4+1,0))</f>
        <v>3</v>
      </c>
      <c r="Y5">
        <f t="shared" si="7"/>
        <v>0</v>
      </c>
      <c r="Z5">
        <f t="shared" si="8"/>
        <v>278</v>
      </c>
      <c r="AA5">
        <f t="shared" si="9"/>
        <v>0</v>
      </c>
      <c r="AB5" s="29">
        <f t="shared" si="10"/>
        <v>0.74178816089935007</v>
      </c>
      <c r="AC5" s="25">
        <f t="shared" si="11"/>
        <v>607.49804426656829</v>
      </c>
      <c r="AD5" s="29">
        <f t="shared" si="12"/>
        <v>2.1609785530598051</v>
      </c>
      <c r="AE5" s="25">
        <f t="shared" si="22"/>
        <v>99.445096004409152</v>
      </c>
      <c r="AF5" s="25">
        <f t="shared" si="14"/>
        <v>40.163265306122447</v>
      </c>
      <c r="AG5" s="25">
        <f>IF($A5&lt;0,0,IF(instatk="bs",(1.5+talSCallInstBon)*(MHavg+(ap+Z5-$Z$1)/APtoDPS*MHnorm+170)*(1+sa*0.1+0.04*opp+0.02*agg+Slayer4value-1),IF(instatk="hemo",Slayer4value*(MHavg+(ap+Z5-$Z$1)/APtoDPS*MHnorm)*(1.1+talSCallInstBon)+420*(1+raidcrit)*debuffon,IF(instatk="ss",(MHavg+(ap+Z5-$Z$1)/APtoDPS*MHnorm+98)*(1+sa*0.1+0.02*agg+Slayer4value-1),IF(instatk="v",(ohavg+(ap+Z5-$Z$1)/APtoDPS*OHnorm)*(1+sa*0.1)*(0.5+0.05*dws)+avipdam,Slayer4value*((1+0.04*opp)*(MHavg+101+(ap+Z5-$Z$1)/APtoDPS*MHnorm+(0.5+0.05*dws)*(ohavg+(ap+Z5-$Z$1)/APtoDPS*OHnorm)+101*(1+0.1*dws))*(1+0.5*IF(Talents!$O$18="Yes",1,0)))))))*(instactualhit+(1+((leth*0.06+2)-1)*(cfact-1))*instactualcrit)*fwfactor*AB5*instsec*(AF5/$AN$45))</f>
        <v>931.97279120826579</v>
      </c>
      <c r="AH5" s="25">
        <f t="shared" ref="AH5:AH68" si="32">IF(AH4-$AF5&lt;0,0,AH4-$AF5)</f>
        <v>0</v>
      </c>
      <c r="AI5" s="25">
        <f t="shared" ref="AI5:AI68" si="33">IF(AI4-AF5&lt;0,0,AI4-AF5)</f>
        <v>141.3918367346939</v>
      </c>
      <c r="AJ5" s="25">
        <f t="shared" ref="AJ5:AJ68" si="34">IF(AJ4-$AF5&lt;0,0,AJ4-$AF5)</f>
        <v>0</v>
      </c>
      <c r="AM5" s="892" t="s">
        <v>2917</v>
      </c>
      <c r="AN5" s="892"/>
      <c r="AO5" s="892"/>
      <c r="AP5" s="892"/>
      <c r="AQ5" s="892"/>
      <c r="AR5" s="892"/>
      <c r="AS5" s="892"/>
      <c r="AT5" s="892"/>
      <c r="AU5" s="892"/>
      <c r="AV5" t="b">
        <f>IF($AV$3, IF(ISERROR(MATCH(trinket1, trinket60list, 0)&gt;0), FALSE, TRUE), FALSE)</f>
        <v>0</v>
      </c>
      <c r="AW5" t="b">
        <f>IF($AV$3, IF(ISERROR(MATCH(trinket2, trinket60list, 0)&gt;0), FALSE, TRUE), FALSE)</f>
        <v>0</v>
      </c>
    </row>
    <row r="6" spans="1:49">
      <c r="A6">
        <f t="shared" si="15"/>
        <v>3</v>
      </c>
      <c r="B6">
        <f t="shared" si="23"/>
        <v>2</v>
      </c>
      <c r="C6">
        <f t="shared" si="0"/>
        <v>60</v>
      </c>
      <c r="D6">
        <f t="shared" si="16"/>
        <v>4</v>
      </c>
      <c r="E6">
        <f t="shared" ref="E6:E69" si="35">MIN(IF(G5=1,E5+1,E5),6)</f>
        <v>2</v>
      </c>
      <c r="F6">
        <f t="shared" si="1"/>
        <v>90</v>
      </c>
      <c r="G6">
        <f t="shared" si="17"/>
        <v>4</v>
      </c>
      <c r="H6">
        <f t="shared" si="24"/>
        <v>2</v>
      </c>
      <c r="I6">
        <f t="shared" si="2"/>
        <v>120</v>
      </c>
      <c r="J6">
        <f t="shared" si="18"/>
        <v>4</v>
      </c>
      <c r="K6">
        <f t="shared" si="25"/>
        <v>2</v>
      </c>
      <c r="L6">
        <f t="shared" si="3"/>
        <v>180</v>
      </c>
      <c r="M6">
        <f t="shared" si="19"/>
        <v>4</v>
      </c>
      <c r="N6">
        <f t="shared" si="26"/>
        <v>2</v>
      </c>
      <c r="O6">
        <f t="shared" si="4"/>
        <v>300</v>
      </c>
      <c r="P6">
        <f t="shared" si="27"/>
        <v>4</v>
      </c>
      <c r="Q6">
        <f t="shared" si="28"/>
        <v>2</v>
      </c>
      <c r="R6">
        <f t="shared" si="5"/>
        <v>300</v>
      </c>
      <c r="S6">
        <f t="shared" si="29"/>
        <v>0</v>
      </c>
      <c r="T6">
        <f t="shared" si="30"/>
        <v>-1</v>
      </c>
      <c r="U6">
        <f t="shared" si="20"/>
        <v>0</v>
      </c>
      <c r="V6">
        <f t="shared" si="21"/>
        <v>1</v>
      </c>
      <c r="W6">
        <f t="shared" si="6"/>
        <v>0</v>
      </c>
      <c r="X6">
        <f t="shared" si="31"/>
        <v>4</v>
      </c>
      <c r="Y6">
        <f t="shared" si="7"/>
        <v>0</v>
      </c>
      <c r="Z6">
        <f t="shared" si="8"/>
        <v>278</v>
      </c>
      <c r="AA6">
        <f t="shared" si="9"/>
        <v>0</v>
      </c>
      <c r="AB6" s="29">
        <f t="shared" si="10"/>
        <v>0.74178816089935007</v>
      </c>
      <c r="AC6" s="25">
        <f t="shared" si="11"/>
        <v>607.49804426656829</v>
      </c>
      <c r="AD6" s="29">
        <f t="shared" si="12"/>
        <v>2.1609785530598051</v>
      </c>
      <c r="AE6" s="25">
        <f t="shared" si="22"/>
        <v>80.872372903838055</v>
      </c>
      <c r="AF6" s="25">
        <f t="shared" si="14"/>
        <v>40.163265306122447</v>
      </c>
      <c r="AG6" s="25">
        <f>IF($A6&lt;0,0,IF(instatk="bs",(1.5+talSCallInstBon)*(MHavg+(ap+Z6-$Z$1)/APtoDPS*MHnorm+170)*(1+sa*0.1+0.04*opp+0.02*agg+Slayer4value-1),IF(instatk="hemo",Slayer4value*(MHavg+(ap+Z6-$Z$1)/APtoDPS*MHnorm)*(1.1+talSCallInstBon)+420*(1+raidcrit)*debuffon,IF(instatk="ss",(MHavg+(ap+Z6-$Z$1)/APtoDPS*MHnorm+98)*(1+sa*0.1+0.02*agg+Slayer4value-1),IF(instatk="v",(ohavg+(ap+Z6-$Z$1)/APtoDPS*OHnorm)*(1+sa*0.1)*(0.5+0.05*dws)+avipdam,Slayer4value*((1+0.04*opp)*(MHavg+101+(ap+Z6-$Z$1)/APtoDPS*MHnorm+(0.5+0.05*dws)*(ohavg+(ap+Z6-$Z$1)/APtoDPS*OHnorm)+101*(1+0.1*dws))*(1+0.5*IF(Talents!$O$18="Yes",1,0)))))))*(instactualhit+(1+((leth*0.06+2)-1)*(cfact-1))*instactualcrit)*fwfactor*AB6*instsec*(AF6/$AN$45))</f>
        <v>931.97279120826579</v>
      </c>
      <c r="AH6" s="25">
        <f t="shared" si="32"/>
        <v>0</v>
      </c>
      <c r="AI6" s="25">
        <f t="shared" si="33"/>
        <v>101.22857142857146</v>
      </c>
      <c r="AJ6" s="25">
        <f t="shared" si="34"/>
        <v>0</v>
      </c>
      <c r="AL6" t="b">
        <f>OR(trinket1=AM6, trinket2=AM6)</f>
        <v>0</v>
      </c>
      <c r="AM6" t="s">
        <v>1655</v>
      </c>
      <c r="AP6">
        <f>216*AL6</f>
        <v>0</v>
      </c>
      <c r="AT6">
        <v>10</v>
      </c>
      <c r="AU6">
        <f>10*AL6</f>
        <v>0</v>
      </c>
    </row>
    <row r="7" spans="1:49">
      <c r="A7">
        <f t="shared" si="15"/>
        <v>4</v>
      </c>
      <c r="B7">
        <f t="shared" si="23"/>
        <v>2</v>
      </c>
      <c r="C7">
        <f t="shared" si="0"/>
        <v>60</v>
      </c>
      <c r="D7">
        <f t="shared" si="16"/>
        <v>5</v>
      </c>
      <c r="E7">
        <f t="shared" si="35"/>
        <v>2</v>
      </c>
      <c r="F7">
        <f t="shared" si="1"/>
        <v>90</v>
      </c>
      <c r="G7">
        <f t="shared" si="17"/>
        <v>5</v>
      </c>
      <c r="H7">
        <f t="shared" si="24"/>
        <v>2</v>
      </c>
      <c r="I7">
        <f t="shared" si="2"/>
        <v>120</v>
      </c>
      <c r="J7">
        <f t="shared" si="18"/>
        <v>5</v>
      </c>
      <c r="K7">
        <f t="shared" si="25"/>
        <v>2</v>
      </c>
      <c r="L7">
        <f t="shared" si="3"/>
        <v>180</v>
      </c>
      <c r="M7">
        <f t="shared" si="19"/>
        <v>5</v>
      </c>
      <c r="N7">
        <f t="shared" si="26"/>
        <v>2</v>
      </c>
      <c r="O7">
        <f t="shared" si="4"/>
        <v>300</v>
      </c>
      <c r="P7">
        <f t="shared" si="27"/>
        <v>5</v>
      </c>
      <c r="Q7">
        <f t="shared" si="28"/>
        <v>2</v>
      </c>
      <c r="R7">
        <f t="shared" si="5"/>
        <v>300</v>
      </c>
      <c r="S7">
        <f t="shared" si="29"/>
        <v>0</v>
      </c>
      <c r="T7">
        <f t="shared" si="30"/>
        <v>-1</v>
      </c>
      <c r="U7">
        <f t="shared" si="20"/>
        <v>0</v>
      </c>
      <c r="V7">
        <f t="shared" si="21"/>
        <v>1</v>
      </c>
      <c r="W7">
        <f t="shared" si="6"/>
        <v>0</v>
      </c>
      <c r="X7">
        <f t="shared" si="31"/>
        <v>5</v>
      </c>
      <c r="Y7">
        <f t="shared" si="7"/>
        <v>0</v>
      </c>
      <c r="Z7">
        <f t="shared" si="8"/>
        <v>278</v>
      </c>
      <c r="AA7">
        <f t="shared" si="9"/>
        <v>0</v>
      </c>
      <c r="AB7" s="29">
        <f t="shared" si="10"/>
        <v>0.74178816089935007</v>
      </c>
      <c r="AC7" s="25">
        <f t="shared" si="11"/>
        <v>607.49804426656829</v>
      </c>
      <c r="AD7" s="29">
        <f t="shared" si="12"/>
        <v>2.1609785530598051</v>
      </c>
      <c r="AE7" s="25">
        <f t="shared" si="22"/>
        <v>62.299649803266959</v>
      </c>
      <c r="AF7" s="25">
        <f t="shared" si="14"/>
        <v>40.163265306122447</v>
      </c>
      <c r="AG7" s="25">
        <f>IF($A7&lt;0,0,IF(instatk="bs",(1.5+talSCallInstBon)*(MHavg+(ap+Z7-$Z$1)/APtoDPS*MHnorm+170)*(1+sa*0.1+0.04*opp+0.02*agg+Slayer4value-1),IF(instatk="hemo",Slayer4value*(MHavg+(ap+Z7-$Z$1)/APtoDPS*MHnorm)*(1.1+talSCallInstBon)+420*(1+raidcrit)*debuffon,IF(instatk="ss",(MHavg+(ap+Z7-$Z$1)/APtoDPS*MHnorm+98)*(1+sa*0.1+0.02*agg+Slayer4value-1),IF(instatk="v",(ohavg+(ap+Z7-$Z$1)/APtoDPS*OHnorm)*(1+sa*0.1)*(0.5+0.05*dws)+avipdam,Slayer4value*((1+0.04*opp)*(MHavg+101+(ap+Z7-$Z$1)/APtoDPS*MHnorm+(0.5+0.05*dws)*(ohavg+(ap+Z7-$Z$1)/APtoDPS*OHnorm)+101*(1+0.1*dws))*(1+0.5*IF(Talents!$O$18="Yes",1,0)))))))*(instactualhit+(1+((leth*0.06+2)-1)*(cfact-1))*instactualcrit)*fwfactor*AB7*instsec*(AF7/$AN$45))</f>
        <v>931.97279120826579</v>
      </c>
      <c r="AH7" s="25">
        <f t="shared" si="32"/>
        <v>0</v>
      </c>
      <c r="AI7" s="25">
        <f t="shared" si="33"/>
        <v>61.065306122449009</v>
      </c>
      <c r="AJ7" s="25">
        <f t="shared" si="34"/>
        <v>0</v>
      </c>
    </row>
    <row r="8" spans="1:49">
      <c r="A8">
        <f t="shared" si="15"/>
        <v>5</v>
      </c>
      <c r="B8">
        <f t="shared" si="23"/>
        <v>2</v>
      </c>
      <c r="C8">
        <f t="shared" si="0"/>
        <v>60</v>
      </c>
      <c r="D8">
        <f t="shared" si="16"/>
        <v>6</v>
      </c>
      <c r="E8">
        <f t="shared" si="35"/>
        <v>2</v>
      </c>
      <c r="F8">
        <f t="shared" si="1"/>
        <v>90</v>
      </c>
      <c r="G8">
        <f t="shared" si="17"/>
        <v>6</v>
      </c>
      <c r="H8">
        <f t="shared" si="24"/>
        <v>2</v>
      </c>
      <c r="I8">
        <f t="shared" si="2"/>
        <v>120</v>
      </c>
      <c r="J8">
        <f t="shared" si="18"/>
        <v>6</v>
      </c>
      <c r="K8">
        <f t="shared" si="25"/>
        <v>2</v>
      </c>
      <c r="L8">
        <f t="shared" si="3"/>
        <v>180</v>
      </c>
      <c r="M8">
        <f t="shared" si="19"/>
        <v>6</v>
      </c>
      <c r="N8">
        <f t="shared" si="26"/>
        <v>2</v>
      </c>
      <c r="O8">
        <f t="shared" si="4"/>
        <v>300</v>
      </c>
      <c r="P8">
        <f t="shared" si="27"/>
        <v>6</v>
      </c>
      <c r="Q8">
        <f t="shared" si="28"/>
        <v>2</v>
      </c>
      <c r="R8">
        <f t="shared" si="5"/>
        <v>300</v>
      </c>
      <c r="S8">
        <f t="shared" si="29"/>
        <v>0</v>
      </c>
      <c r="T8">
        <f t="shared" si="30"/>
        <v>-1</v>
      </c>
      <c r="U8">
        <f t="shared" si="20"/>
        <v>0</v>
      </c>
      <c r="V8">
        <f t="shared" si="21"/>
        <v>1</v>
      </c>
      <c r="W8">
        <f t="shared" si="6"/>
        <v>0</v>
      </c>
      <c r="X8">
        <f t="shared" si="31"/>
        <v>6</v>
      </c>
      <c r="Y8">
        <f t="shared" si="7"/>
        <v>0</v>
      </c>
      <c r="Z8">
        <f t="shared" si="8"/>
        <v>278</v>
      </c>
      <c r="AA8">
        <f t="shared" si="9"/>
        <v>0</v>
      </c>
      <c r="AB8" s="29">
        <f t="shared" si="10"/>
        <v>0.74178816089935007</v>
      </c>
      <c r="AC8" s="25">
        <f t="shared" si="11"/>
        <v>607.49804426656829</v>
      </c>
      <c r="AD8" s="29">
        <f t="shared" si="12"/>
        <v>2.1609785530598051</v>
      </c>
      <c r="AE8" s="25">
        <f t="shared" si="22"/>
        <v>43.726926702695863</v>
      </c>
      <c r="AF8" s="25">
        <f t="shared" si="14"/>
        <v>40.163265306122447</v>
      </c>
      <c r="AG8" s="25">
        <f>IF($A8&lt;0,0,IF(instatk="bs",(1.5+talSCallInstBon)*(MHavg+(ap+Z8-$Z$1)/APtoDPS*MHnorm+170)*(1+sa*0.1+0.04*opp+0.02*agg+Slayer4value-1),IF(instatk="hemo",Slayer4value*(MHavg+(ap+Z8-$Z$1)/APtoDPS*MHnorm)*(1.1+talSCallInstBon)+420*(1+raidcrit)*debuffon,IF(instatk="ss",(MHavg+(ap+Z8-$Z$1)/APtoDPS*MHnorm+98)*(1+sa*0.1+0.02*agg+Slayer4value-1),IF(instatk="v",(ohavg+(ap+Z8-$Z$1)/APtoDPS*OHnorm)*(1+sa*0.1)*(0.5+0.05*dws)+avipdam,Slayer4value*((1+0.04*opp)*(MHavg+101+(ap+Z8-$Z$1)/APtoDPS*MHnorm+(0.5+0.05*dws)*(ohavg+(ap+Z8-$Z$1)/APtoDPS*OHnorm)+101*(1+0.1*dws))*(1+0.5*IF(Talents!$O$18="Yes",1,0)))))))*(instactualhit+(1+((leth*0.06+2)-1)*(cfact-1))*instactualcrit)*fwfactor*AB8*instsec*(AF8/$AN$45))</f>
        <v>931.97279120826579</v>
      </c>
      <c r="AH8" s="25">
        <f t="shared" si="32"/>
        <v>0</v>
      </c>
      <c r="AI8" s="25">
        <f t="shared" si="33"/>
        <v>20.902040816326561</v>
      </c>
      <c r="AJ8" s="25">
        <f t="shared" si="34"/>
        <v>0</v>
      </c>
      <c r="AM8" s="892" t="s">
        <v>2918</v>
      </c>
      <c r="AN8" s="892"/>
      <c r="AO8" s="892"/>
      <c r="AP8" s="892"/>
      <c r="AQ8" s="892"/>
      <c r="AR8" s="892"/>
      <c r="AS8" s="892"/>
      <c r="AT8" s="892"/>
      <c r="AU8" s="892"/>
      <c r="AV8" t="b">
        <f>IF($AV$3, IF(ISERROR(MATCH(trinket1, trinket90list, 0)&gt;0), FALSE, TRUE), FALSE)</f>
        <v>0</v>
      </c>
      <c r="AW8" t="b">
        <f>IF($AV$3, IF(ISERROR(MATCH(trinket2, trinket90list, 0)&gt;0), FALSE, TRUE), FALSE)</f>
        <v>0</v>
      </c>
    </row>
    <row r="9" spans="1:49">
      <c r="A9">
        <f t="shared" si="15"/>
        <v>6</v>
      </c>
      <c r="B9">
        <f t="shared" si="23"/>
        <v>2</v>
      </c>
      <c r="C9">
        <f t="shared" si="0"/>
        <v>60</v>
      </c>
      <c r="D9">
        <f t="shared" si="16"/>
        <v>7</v>
      </c>
      <c r="E9">
        <f t="shared" si="35"/>
        <v>2</v>
      </c>
      <c r="F9">
        <f t="shared" si="1"/>
        <v>90</v>
      </c>
      <c r="G9">
        <f t="shared" si="17"/>
        <v>7</v>
      </c>
      <c r="H9">
        <f t="shared" si="24"/>
        <v>2</v>
      </c>
      <c r="I9">
        <f t="shared" si="2"/>
        <v>120</v>
      </c>
      <c r="J9">
        <f t="shared" si="18"/>
        <v>7</v>
      </c>
      <c r="K9">
        <f t="shared" si="25"/>
        <v>2</v>
      </c>
      <c r="L9">
        <f t="shared" si="3"/>
        <v>180</v>
      </c>
      <c r="M9">
        <f t="shared" si="19"/>
        <v>7</v>
      </c>
      <c r="N9">
        <f t="shared" si="26"/>
        <v>2</v>
      </c>
      <c r="O9">
        <f t="shared" si="4"/>
        <v>300</v>
      </c>
      <c r="P9">
        <f t="shared" si="27"/>
        <v>7</v>
      </c>
      <c r="Q9">
        <f t="shared" si="28"/>
        <v>2</v>
      </c>
      <c r="R9">
        <f t="shared" si="5"/>
        <v>300</v>
      </c>
      <c r="S9">
        <f t="shared" si="29"/>
        <v>0</v>
      </c>
      <c r="T9">
        <f t="shared" si="30"/>
        <v>-1</v>
      </c>
      <c r="U9">
        <f t="shared" si="20"/>
        <v>0</v>
      </c>
      <c r="V9">
        <f t="shared" si="21"/>
        <v>1</v>
      </c>
      <c r="W9">
        <f t="shared" si="6"/>
        <v>0</v>
      </c>
      <c r="X9">
        <f t="shared" si="31"/>
        <v>7</v>
      </c>
      <c r="Y9">
        <f t="shared" si="7"/>
        <v>0</v>
      </c>
      <c r="Z9">
        <f t="shared" si="8"/>
        <v>278</v>
      </c>
      <c r="AA9">
        <f t="shared" si="9"/>
        <v>0</v>
      </c>
      <c r="AB9" s="29">
        <f t="shared" si="10"/>
        <v>0.74178816089935007</v>
      </c>
      <c r="AC9" s="25">
        <f t="shared" si="11"/>
        <v>607.49804426656829</v>
      </c>
      <c r="AD9" s="29">
        <f t="shared" si="12"/>
        <v>2.1609785530598051</v>
      </c>
      <c r="AE9" s="25">
        <f t="shared" si="22"/>
        <v>25.154203602124767</v>
      </c>
      <c r="AF9" s="25">
        <f t="shared" si="14"/>
        <v>25.154203602124767</v>
      </c>
      <c r="AG9" s="25">
        <f>IF($A9&lt;0,0,IF(instatk="bs",(1.5+talSCallInstBon)*(MHavg+(ap+Z9-$Z$1)/APtoDPS*MHnorm+170)*(1+sa*0.1+0.04*opp+0.02*agg+Slayer4value-1),IF(instatk="hemo",Slayer4value*(MHavg+(ap+Z9-$Z$1)/APtoDPS*MHnorm)*(1.1+talSCallInstBon)+420*(1+raidcrit)*debuffon,IF(instatk="ss",(MHavg+(ap+Z9-$Z$1)/APtoDPS*MHnorm+98)*(1+sa*0.1+0.02*agg+Slayer4value-1),IF(instatk="v",(ohavg+(ap+Z9-$Z$1)/APtoDPS*OHnorm)*(1+sa*0.1)*(0.5+0.05*dws)+avipdam,Slayer4value*((1+0.04*opp)*(MHavg+101+(ap+Z9-$Z$1)/APtoDPS*MHnorm+(0.5+0.05*dws)*(ohavg+(ap+Z9-$Z$1)/APtoDPS*OHnorm)+101*(1+0.1*dws))*(1+0.5*IF(Talents!$O$18="Yes",1,0)))))))*(instactualhit+(1+((leth*0.06+2)-1)*(cfact-1))*instactualcrit)*fwfactor*AB9*instsec*(AF9/$AN$45))</f>
        <v>583.69341145476039</v>
      </c>
      <c r="AH9" s="25">
        <f t="shared" si="32"/>
        <v>0</v>
      </c>
      <c r="AI9" s="25">
        <f t="shared" si="33"/>
        <v>0</v>
      </c>
      <c r="AJ9" s="25">
        <f t="shared" si="34"/>
        <v>0</v>
      </c>
      <c r="AL9" t="b">
        <f>OR(trinket1=AM9, trinket2=AM9)</f>
        <v>0</v>
      </c>
      <c r="AM9" t="s">
        <v>2397</v>
      </c>
      <c r="AP9">
        <f>200*AL9</f>
        <v>0</v>
      </c>
      <c r="AT9">
        <v>15</v>
      </c>
      <c r="AU9">
        <f>15*AL9</f>
        <v>0</v>
      </c>
    </row>
    <row r="10" spans="1:49">
      <c r="A10">
        <f t="shared" si="15"/>
        <v>7</v>
      </c>
      <c r="B10">
        <f t="shared" si="23"/>
        <v>2</v>
      </c>
      <c r="C10">
        <f t="shared" si="0"/>
        <v>60</v>
      </c>
      <c r="D10">
        <f t="shared" si="16"/>
        <v>8</v>
      </c>
      <c r="E10">
        <f t="shared" si="35"/>
        <v>2</v>
      </c>
      <c r="F10">
        <f t="shared" si="1"/>
        <v>90</v>
      </c>
      <c r="G10">
        <f t="shared" si="17"/>
        <v>8</v>
      </c>
      <c r="H10">
        <f t="shared" si="24"/>
        <v>2</v>
      </c>
      <c r="I10">
        <f t="shared" si="2"/>
        <v>120</v>
      </c>
      <c r="J10">
        <f t="shared" si="18"/>
        <v>8</v>
      </c>
      <c r="K10">
        <f t="shared" si="25"/>
        <v>2</v>
      </c>
      <c r="L10">
        <f t="shared" si="3"/>
        <v>180</v>
      </c>
      <c r="M10">
        <f t="shared" si="19"/>
        <v>8</v>
      </c>
      <c r="N10">
        <f t="shared" si="26"/>
        <v>2</v>
      </c>
      <c r="O10">
        <f t="shared" si="4"/>
        <v>300</v>
      </c>
      <c r="P10">
        <f t="shared" si="27"/>
        <v>8</v>
      </c>
      <c r="Q10">
        <f t="shared" si="28"/>
        <v>2</v>
      </c>
      <c r="R10">
        <f t="shared" si="5"/>
        <v>300</v>
      </c>
      <c r="S10">
        <f t="shared" si="29"/>
        <v>0</v>
      </c>
      <c r="T10">
        <f t="shared" si="30"/>
        <v>-1</v>
      </c>
      <c r="U10">
        <f t="shared" si="20"/>
        <v>0</v>
      </c>
      <c r="V10">
        <f t="shared" si="21"/>
        <v>1</v>
      </c>
      <c r="W10">
        <f t="shared" si="6"/>
        <v>0</v>
      </c>
      <c r="X10">
        <f t="shared" si="31"/>
        <v>8</v>
      </c>
      <c r="Y10">
        <f t="shared" si="7"/>
        <v>0</v>
      </c>
      <c r="Z10">
        <f t="shared" si="8"/>
        <v>278</v>
      </c>
      <c r="AA10">
        <f t="shared" si="9"/>
        <v>0</v>
      </c>
      <c r="AB10" s="29">
        <f t="shared" si="10"/>
        <v>0.74178816089935007</v>
      </c>
      <c r="AC10" s="25">
        <f t="shared" si="11"/>
        <v>607.49804426656829</v>
      </c>
      <c r="AD10" s="29">
        <f t="shared" si="12"/>
        <v>2.1609785530598051</v>
      </c>
      <c r="AE10" s="25">
        <f t="shared" si="22"/>
        <v>21.590542205551351</v>
      </c>
      <c r="AF10" s="25">
        <f t="shared" si="14"/>
        <v>21.590542205551351</v>
      </c>
      <c r="AG10" s="25">
        <f>IF($A10&lt;0,0,IF(instatk="bs",(1.5+talSCallInstBon)*(MHavg+(ap+Z10-$Z$1)/APtoDPS*MHnorm+170)*(1+sa*0.1+0.04*opp+0.02*agg+Slayer4value-1),IF(instatk="hemo",Slayer4value*(MHavg+(ap+Z10-$Z$1)/APtoDPS*MHnorm)*(1.1+talSCallInstBon)+420*(1+raidcrit)*debuffon,IF(instatk="ss",(MHavg+(ap+Z10-$Z$1)/APtoDPS*MHnorm+98)*(1+sa*0.1+0.02*agg+Slayer4value-1),IF(instatk="v",(ohavg+(ap+Z10-$Z$1)/APtoDPS*OHnorm)*(1+sa*0.1)*(0.5+0.05*dws)+avipdam,Slayer4value*((1+0.04*opp)*(MHavg+101+(ap+Z10-$Z$1)/APtoDPS*MHnorm+(0.5+0.05*dws)*(ohavg+(ap+Z10-$Z$1)/APtoDPS*OHnorm)+101*(1+0.1*dws))*(1+0.5*IF(Talents!$O$18="Yes",1,0)))))))*(instactualhit+(1+((leth*0.06+2)-1)*(cfact-1))*instactualcrit)*fwfactor*AB10*instsec*(AF10/$AN$45))</f>
        <v>501.00004891634677</v>
      </c>
      <c r="AH10" s="25">
        <f t="shared" si="32"/>
        <v>0</v>
      </c>
      <c r="AI10" s="25">
        <f t="shared" si="33"/>
        <v>0</v>
      </c>
      <c r="AJ10" s="25">
        <f t="shared" si="34"/>
        <v>0</v>
      </c>
      <c r="AL10" t="b">
        <f>OR(trinket1=AM10, trinket2=AM10)</f>
        <v>0</v>
      </c>
      <c r="AM10" t="s">
        <v>184</v>
      </c>
      <c r="AP10">
        <f>200*AL10</f>
        <v>0</v>
      </c>
      <c r="AT10">
        <v>15</v>
      </c>
      <c r="AU10">
        <f>15*AL10</f>
        <v>0</v>
      </c>
    </row>
    <row r="11" spans="1:49">
      <c r="A11">
        <f t="shared" si="15"/>
        <v>8</v>
      </c>
      <c r="B11">
        <f t="shared" si="23"/>
        <v>2</v>
      </c>
      <c r="C11">
        <f t="shared" si="0"/>
        <v>60</v>
      </c>
      <c r="D11">
        <f t="shared" si="16"/>
        <v>9</v>
      </c>
      <c r="E11">
        <f t="shared" si="35"/>
        <v>2</v>
      </c>
      <c r="F11">
        <f t="shared" si="1"/>
        <v>90</v>
      </c>
      <c r="G11">
        <f t="shared" si="17"/>
        <v>9</v>
      </c>
      <c r="H11">
        <f t="shared" si="24"/>
        <v>2</v>
      </c>
      <c r="I11">
        <f t="shared" si="2"/>
        <v>120</v>
      </c>
      <c r="J11">
        <f t="shared" si="18"/>
        <v>9</v>
      </c>
      <c r="K11">
        <f t="shared" si="25"/>
        <v>2</v>
      </c>
      <c r="L11">
        <f t="shared" si="3"/>
        <v>180</v>
      </c>
      <c r="M11">
        <f t="shared" si="19"/>
        <v>9</v>
      </c>
      <c r="N11">
        <f t="shared" si="26"/>
        <v>2</v>
      </c>
      <c r="O11">
        <f t="shared" si="4"/>
        <v>300</v>
      </c>
      <c r="P11">
        <f t="shared" si="27"/>
        <v>9</v>
      </c>
      <c r="Q11">
        <f t="shared" si="28"/>
        <v>2</v>
      </c>
      <c r="R11">
        <f t="shared" si="5"/>
        <v>300</v>
      </c>
      <c r="S11">
        <f t="shared" si="29"/>
        <v>0</v>
      </c>
      <c r="T11">
        <f t="shared" si="30"/>
        <v>-1</v>
      </c>
      <c r="U11">
        <f t="shared" si="20"/>
        <v>0</v>
      </c>
      <c r="V11">
        <f t="shared" si="21"/>
        <v>1</v>
      </c>
      <c r="W11">
        <f t="shared" si="6"/>
        <v>0</v>
      </c>
      <c r="X11">
        <f t="shared" si="31"/>
        <v>9</v>
      </c>
      <c r="Y11">
        <f t="shared" si="7"/>
        <v>0</v>
      </c>
      <c r="Z11">
        <f t="shared" si="8"/>
        <v>278</v>
      </c>
      <c r="AA11">
        <f t="shared" si="9"/>
        <v>0</v>
      </c>
      <c r="AB11" s="29">
        <f t="shared" si="10"/>
        <v>0.74178816089935007</v>
      </c>
      <c r="AC11" s="25">
        <f t="shared" si="11"/>
        <v>607.49804426656829</v>
      </c>
      <c r="AD11" s="29">
        <f t="shared" si="12"/>
        <v>2.1609785530598051</v>
      </c>
      <c r="AE11" s="25">
        <f t="shared" si="22"/>
        <v>21.590542205551351</v>
      </c>
      <c r="AF11" s="25">
        <f t="shared" si="14"/>
        <v>21.590542205551351</v>
      </c>
      <c r="AG11" s="25">
        <f>IF($A11&lt;0,0,IF(instatk="bs",(1.5+talSCallInstBon)*(MHavg+(ap+Z11-$Z$1)/APtoDPS*MHnorm+170)*(1+sa*0.1+0.04*opp+0.02*agg+Slayer4value-1),IF(instatk="hemo",Slayer4value*(MHavg+(ap+Z11-$Z$1)/APtoDPS*MHnorm)*(1.1+talSCallInstBon)+420*(1+raidcrit)*debuffon,IF(instatk="ss",(MHavg+(ap+Z11-$Z$1)/APtoDPS*MHnorm+98)*(1+sa*0.1+0.02*agg+Slayer4value-1),IF(instatk="v",(ohavg+(ap+Z11-$Z$1)/APtoDPS*OHnorm)*(1+sa*0.1)*(0.5+0.05*dws)+avipdam,Slayer4value*((1+0.04*opp)*(MHavg+101+(ap+Z11-$Z$1)/APtoDPS*MHnorm+(0.5+0.05*dws)*(ohavg+(ap+Z11-$Z$1)/APtoDPS*OHnorm)+101*(1+0.1*dws))*(1+0.5*IF(Talents!$O$18="Yes",1,0)))))))*(instactualhit+(1+((leth*0.06+2)-1)*(cfact-1))*instactualcrit)*fwfactor*AB11*instsec*(AF11/$AN$45))</f>
        <v>501.00004891634677</v>
      </c>
      <c r="AH11" s="25">
        <f t="shared" si="32"/>
        <v>0</v>
      </c>
      <c r="AI11" s="25">
        <f t="shared" si="33"/>
        <v>0</v>
      </c>
      <c r="AJ11" s="25">
        <f t="shared" si="34"/>
        <v>0</v>
      </c>
      <c r="AL11" t="b">
        <f>OR(trinket1=AM11, trinket2=AM11)</f>
        <v>0</v>
      </c>
      <c r="AM11" t="s">
        <v>1347</v>
      </c>
      <c r="AP11">
        <f>320*AL11</f>
        <v>0</v>
      </c>
      <c r="AT11">
        <v>15</v>
      </c>
      <c r="AU11">
        <f>15*AL11</f>
        <v>0</v>
      </c>
    </row>
    <row r="12" spans="1:49">
      <c r="A12">
        <f t="shared" si="15"/>
        <v>9</v>
      </c>
      <c r="B12">
        <f t="shared" si="23"/>
        <v>2</v>
      </c>
      <c r="C12">
        <f t="shared" si="0"/>
        <v>60</v>
      </c>
      <c r="D12">
        <f t="shared" si="16"/>
        <v>10</v>
      </c>
      <c r="E12">
        <f t="shared" si="35"/>
        <v>2</v>
      </c>
      <c r="F12">
        <f t="shared" si="1"/>
        <v>90</v>
      </c>
      <c r="G12">
        <f t="shared" si="17"/>
        <v>10</v>
      </c>
      <c r="H12">
        <f t="shared" si="24"/>
        <v>2</v>
      </c>
      <c r="I12">
        <f t="shared" si="2"/>
        <v>120</v>
      </c>
      <c r="J12">
        <f t="shared" si="18"/>
        <v>10</v>
      </c>
      <c r="K12">
        <f t="shared" si="25"/>
        <v>2</v>
      </c>
      <c r="L12">
        <f t="shared" si="3"/>
        <v>180</v>
      </c>
      <c r="M12">
        <f t="shared" si="19"/>
        <v>10</v>
      </c>
      <c r="N12">
        <f t="shared" si="26"/>
        <v>2</v>
      </c>
      <c r="O12">
        <f t="shared" si="4"/>
        <v>300</v>
      </c>
      <c r="P12">
        <f t="shared" si="27"/>
        <v>10</v>
      </c>
      <c r="Q12">
        <f t="shared" si="28"/>
        <v>2</v>
      </c>
      <c r="R12">
        <f t="shared" si="5"/>
        <v>300</v>
      </c>
      <c r="S12">
        <f t="shared" si="29"/>
        <v>0</v>
      </c>
      <c r="T12">
        <f t="shared" si="30"/>
        <v>-1</v>
      </c>
      <c r="U12">
        <f t="shared" si="20"/>
        <v>0</v>
      </c>
      <c r="V12">
        <f t="shared" si="21"/>
        <v>1</v>
      </c>
      <c r="W12">
        <f t="shared" si="6"/>
        <v>0</v>
      </c>
      <c r="X12">
        <f t="shared" si="31"/>
        <v>10</v>
      </c>
      <c r="Y12">
        <f t="shared" si="7"/>
        <v>0</v>
      </c>
      <c r="Z12">
        <f t="shared" si="8"/>
        <v>278</v>
      </c>
      <c r="AA12">
        <f t="shared" si="9"/>
        <v>0</v>
      </c>
      <c r="AB12" s="29">
        <f t="shared" si="10"/>
        <v>0.74178816089935007</v>
      </c>
      <c r="AC12" s="25">
        <f t="shared" si="11"/>
        <v>607.49804426656829</v>
      </c>
      <c r="AD12" s="29">
        <f t="shared" si="12"/>
        <v>2.1609785530598051</v>
      </c>
      <c r="AE12" s="25">
        <f t="shared" si="22"/>
        <v>21.590542205551351</v>
      </c>
      <c r="AF12" s="25">
        <f t="shared" si="14"/>
        <v>21.590542205551351</v>
      </c>
      <c r="AG12" s="25">
        <f>IF($A12&lt;0,0,IF(instatk="bs",(1.5+talSCallInstBon)*(MHavg+(ap+Z12-$Z$1)/APtoDPS*MHnorm+170)*(1+sa*0.1+0.04*opp+0.02*agg+Slayer4value-1),IF(instatk="hemo",Slayer4value*(MHavg+(ap+Z12-$Z$1)/APtoDPS*MHnorm)*(1.1+talSCallInstBon)+420*(1+raidcrit)*debuffon,IF(instatk="ss",(MHavg+(ap+Z12-$Z$1)/APtoDPS*MHnorm+98)*(1+sa*0.1+0.02*agg+Slayer4value-1),IF(instatk="v",(ohavg+(ap+Z12-$Z$1)/APtoDPS*OHnorm)*(1+sa*0.1)*(0.5+0.05*dws)+avipdam,Slayer4value*((1+0.04*opp)*(MHavg+101+(ap+Z12-$Z$1)/APtoDPS*MHnorm+(0.5+0.05*dws)*(ohavg+(ap+Z12-$Z$1)/APtoDPS*OHnorm)+101*(1+0.1*dws))*(1+0.5*IF(Talents!$O$18="Yes",1,0)))))))*(instactualhit+(1+((leth*0.06+2)-1)*(cfact-1))*instactualcrit)*fwfactor*AB12*instsec*(AF12/$AN$45))</f>
        <v>501.00004891634677</v>
      </c>
      <c r="AH12" s="25">
        <f t="shared" si="32"/>
        <v>0</v>
      </c>
      <c r="AI12" s="25">
        <f t="shared" si="33"/>
        <v>0</v>
      </c>
      <c r="AJ12" s="25">
        <f t="shared" si="34"/>
        <v>0</v>
      </c>
      <c r="AL12" t="b">
        <f>OR(trinket1=AM12, trinket2=AM12)</f>
        <v>0</v>
      </c>
      <c r="AM12" t="s">
        <v>140</v>
      </c>
      <c r="AP12">
        <f>140*AL12</f>
        <v>0</v>
      </c>
      <c r="AT12">
        <v>15</v>
      </c>
      <c r="AU12">
        <f>15*AL12</f>
        <v>0</v>
      </c>
    </row>
    <row r="13" spans="1:49">
      <c r="A13">
        <f t="shared" si="15"/>
        <v>10</v>
      </c>
      <c r="B13">
        <f t="shared" si="23"/>
        <v>2</v>
      </c>
      <c r="C13">
        <f t="shared" si="0"/>
        <v>60</v>
      </c>
      <c r="D13">
        <f t="shared" si="16"/>
        <v>11</v>
      </c>
      <c r="E13">
        <f t="shared" si="35"/>
        <v>2</v>
      </c>
      <c r="F13">
        <f t="shared" si="1"/>
        <v>90</v>
      </c>
      <c r="G13">
        <f t="shared" si="17"/>
        <v>11</v>
      </c>
      <c r="H13">
        <f t="shared" si="24"/>
        <v>2</v>
      </c>
      <c r="I13">
        <f t="shared" si="2"/>
        <v>120</v>
      </c>
      <c r="J13">
        <f t="shared" si="18"/>
        <v>11</v>
      </c>
      <c r="K13">
        <f t="shared" si="25"/>
        <v>2</v>
      </c>
      <c r="L13">
        <f t="shared" si="3"/>
        <v>180</v>
      </c>
      <c r="M13">
        <f t="shared" si="19"/>
        <v>11</v>
      </c>
      <c r="N13">
        <f t="shared" si="26"/>
        <v>2</v>
      </c>
      <c r="O13">
        <f t="shared" si="4"/>
        <v>300</v>
      </c>
      <c r="P13">
        <f t="shared" si="27"/>
        <v>11</v>
      </c>
      <c r="Q13">
        <f t="shared" si="28"/>
        <v>2</v>
      </c>
      <c r="R13">
        <f t="shared" si="5"/>
        <v>300</v>
      </c>
      <c r="S13">
        <f t="shared" si="29"/>
        <v>0</v>
      </c>
      <c r="T13">
        <f t="shared" si="30"/>
        <v>-1</v>
      </c>
      <c r="U13">
        <f t="shared" si="20"/>
        <v>0</v>
      </c>
      <c r="V13">
        <f t="shared" si="21"/>
        <v>1</v>
      </c>
      <c r="W13">
        <f t="shared" si="6"/>
        <v>0</v>
      </c>
      <c r="X13">
        <f t="shared" si="31"/>
        <v>11</v>
      </c>
      <c r="Y13">
        <f t="shared" si="7"/>
        <v>0</v>
      </c>
      <c r="Z13">
        <f t="shared" si="8"/>
        <v>278</v>
      </c>
      <c r="AA13">
        <f t="shared" si="9"/>
        <v>0</v>
      </c>
      <c r="AB13" s="29">
        <f t="shared" si="10"/>
        <v>0.74178816089935007</v>
      </c>
      <c r="AC13" s="25">
        <f t="shared" si="11"/>
        <v>607.49804426656829</v>
      </c>
      <c r="AD13" s="29">
        <f t="shared" si="12"/>
        <v>2.1609785530598051</v>
      </c>
      <c r="AE13" s="25">
        <f t="shared" si="22"/>
        <v>21.590542205551351</v>
      </c>
      <c r="AF13" s="25">
        <f t="shared" si="14"/>
        <v>21.590542205551351</v>
      </c>
      <c r="AG13" s="25">
        <f>IF($A13&lt;0,0,IF(instatk="bs",(1.5+talSCallInstBon)*(MHavg+(ap+Z13-$Z$1)/APtoDPS*MHnorm+170)*(1+sa*0.1+0.04*opp+0.02*agg+Slayer4value-1),IF(instatk="hemo",Slayer4value*(MHavg+(ap+Z13-$Z$1)/APtoDPS*MHnorm)*(1.1+talSCallInstBon)+420*(1+raidcrit)*debuffon,IF(instatk="ss",(MHavg+(ap+Z13-$Z$1)/APtoDPS*MHnorm+98)*(1+sa*0.1+0.02*agg+Slayer4value-1),IF(instatk="v",(ohavg+(ap+Z13-$Z$1)/APtoDPS*OHnorm)*(1+sa*0.1)*(0.5+0.05*dws)+avipdam,Slayer4value*((1+0.04*opp)*(MHavg+101+(ap+Z13-$Z$1)/APtoDPS*MHnorm+(0.5+0.05*dws)*(ohavg+(ap+Z13-$Z$1)/APtoDPS*OHnorm)+101*(1+0.1*dws))*(1+0.5*IF(Talents!$O$18="Yes",1,0)))))))*(instactualhit+(1+((leth*0.06+2)-1)*(cfact-1))*instactualcrit)*fwfactor*AB13*instsec*(AF13/$AN$45))</f>
        <v>501.00004891634677</v>
      </c>
      <c r="AH13" s="25">
        <f t="shared" si="32"/>
        <v>0</v>
      </c>
      <c r="AI13" s="25">
        <f t="shared" si="33"/>
        <v>0</v>
      </c>
      <c r="AJ13" s="25">
        <f t="shared" si="34"/>
        <v>0</v>
      </c>
    </row>
    <row r="14" spans="1:49">
      <c r="A14">
        <f t="shared" si="15"/>
        <v>11</v>
      </c>
      <c r="B14">
        <f t="shared" si="23"/>
        <v>2</v>
      </c>
      <c r="C14">
        <f t="shared" si="0"/>
        <v>60</v>
      </c>
      <c r="D14">
        <f t="shared" si="16"/>
        <v>12</v>
      </c>
      <c r="E14">
        <f t="shared" si="35"/>
        <v>2</v>
      </c>
      <c r="F14">
        <f t="shared" si="1"/>
        <v>90</v>
      </c>
      <c r="G14">
        <f t="shared" si="17"/>
        <v>12</v>
      </c>
      <c r="H14">
        <f t="shared" si="24"/>
        <v>2</v>
      </c>
      <c r="I14">
        <f t="shared" si="2"/>
        <v>120</v>
      </c>
      <c r="J14">
        <f t="shared" si="18"/>
        <v>12</v>
      </c>
      <c r="K14">
        <f t="shared" si="25"/>
        <v>2</v>
      </c>
      <c r="L14">
        <f t="shared" si="3"/>
        <v>180</v>
      </c>
      <c r="M14">
        <f t="shared" si="19"/>
        <v>12</v>
      </c>
      <c r="N14">
        <f t="shared" si="26"/>
        <v>2</v>
      </c>
      <c r="O14">
        <f t="shared" si="4"/>
        <v>300</v>
      </c>
      <c r="P14">
        <f t="shared" si="27"/>
        <v>12</v>
      </c>
      <c r="Q14">
        <f t="shared" si="28"/>
        <v>2</v>
      </c>
      <c r="R14">
        <f t="shared" si="5"/>
        <v>300</v>
      </c>
      <c r="S14">
        <f t="shared" si="29"/>
        <v>0</v>
      </c>
      <c r="T14">
        <f t="shared" si="30"/>
        <v>-1</v>
      </c>
      <c r="U14">
        <f t="shared" si="20"/>
        <v>0</v>
      </c>
      <c r="V14">
        <f t="shared" si="21"/>
        <v>1</v>
      </c>
      <c r="W14">
        <f t="shared" si="6"/>
        <v>0</v>
      </c>
      <c r="X14">
        <f t="shared" si="31"/>
        <v>12</v>
      </c>
      <c r="Y14">
        <f t="shared" si="7"/>
        <v>0</v>
      </c>
      <c r="Z14">
        <f t="shared" si="8"/>
        <v>278</v>
      </c>
      <c r="AA14">
        <f t="shared" si="9"/>
        <v>0</v>
      </c>
      <c r="AB14" s="29">
        <f t="shared" si="10"/>
        <v>0.74178816089935007</v>
      </c>
      <c r="AC14" s="25">
        <f t="shared" si="11"/>
        <v>607.49804426656829</v>
      </c>
      <c r="AD14" s="29">
        <f t="shared" si="12"/>
        <v>2.1609785530598051</v>
      </c>
      <c r="AE14" s="25">
        <f t="shared" si="22"/>
        <v>21.590542205551351</v>
      </c>
      <c r="AF14" s="25">
        <f t="shared" si="14"/>
        <v>21.590542205551351</v>
      </c>
      <c r="AG14" s="25">
        <f>IF($A14&lt;0,0,IF(instatk="bs",(1.5+talSCallInstBon)*(MHavg+(ap+Z14-$Z$1)/APtoDPS*MHnorm+170)*(1+sa*0.1+0.04*opp+0.02*agg+Slayer4value-1),IF(instatk="hemo",Slayer4value*(MHavg+(ap+Z14-$Z$1)/APtoDPS*MHnorm)*(1.1+talSCallInstBon)+420*(1+raidcrit)*debuffon,IF(instatk="ss",(MHavg+(ap+Z14-$Z$1)/APtoDPS*MHnorm+98)*(1+sa*0.1+0.02*agg+Slayer4value-1),IF(instatk="v",(ohavg+(ap+Z14-$Z$1)/APtoDPS*OHnorm)*(1+sa*0.1)*(0.5+0.05*dws)+avipdam,Slayer4value*((1+0.04*opp)*(MHavg+101+(ap+Z14-$Z$1)/APtoDPS*MHnorm+(0.5+0.05*dws)*(ohavg+(ap+Z14-$Z$1)/APtoDPS*OHnorm)+101*(1+0.1*dws))*(1+0.5*IF(Talents!$O$18="Yes",1,0)))))))*(instactualhit+(1+((leth*0.06+2)-1)*(cfact-1))*instactualcrit)*fwfactor*AB14*instsec*(AF14/$AN$45))</f>
        <v>501.00004891634677</v>
      </c>
      <c r="AH14" s="25">
        <f t="shared" si="32"/>
        <v>0</v>
      </c>
      <c r="AI14" s="25">
        <f t="shared" si="33"/>
        <v>0</v>
      </c>
      <c r="AJ14" s="25">
        <f t="shared" si="34"/>
        <v>0</v>
      </c>
      <c r="AM14" s="892" t="s">
        <v>2919</v>
      </c>
      <c r="AN14" s="892"/>
      <c r="AO14" s="892"/>
      <c r="AP14" s="892"/>
      <c r="AQ14" s="892"/>
      <c r="AR14" s="892"/>
      <c r="AS14" s="892"/>
      <c r="AT14" s="892"/>
      <c r="AU14" s="892"/>
      <c r="AV14" t="b">
        <f>IF($AV$3, IF(ISERROR(MATCH(trinket1, trinket120list, 0)&gt;0), FALSE, TRUE), FALSE)</f>
        <v>0</v>
      </c>
      <c r="AW14" t="b">
        <f>IF($AV$3, IF(ISERROR(MATCH(trinket2, trinket120list, 0)&gt;0), FALSE, TRUE), FALSE)</f>
        <v>0</v>
      </c>
    </row>
    <row r="15" spans="1:49">
      <c r="A15">
        <f t="shared" si="15"/>
        <v>12</v>
      </c>
      <c r="B15">
        <f t="shared" si="23"/>
        <v>2</v>
      </c>
      <c r="C15">
        <f t="shared" si="0"/>
        <v>60</v>
      </c>
      <c r="D15">
        <f t="shared" si="16"/>
        <v>13</v>
      </c>
      <c r="E15">
        <f t="shared" si="35"/>
        <v>2</v>
      </c>
      <c r="F15">
        <f t="shared" si="1"/>
        <v>90</v>
      </c>
      <c r="G15">
        <f t="shared" si="17"/>
        <v>13</v>
      </c>
      <c r="H15">
        <f t="shared" si="24"/>
        <v>2</v>
      </c>
      <c r="I15">
        <f t="shared" si="2"/>
        <v>120</v>
      </c>
      <c r="J15">
        <f t="shared" si="18"/>
        <v>13</v>
      </c>
      <c r="K15">
        <f t="shared" si="25"/>
        <v>2</v>
      </c>
      <c r="L15">
        <f t="shared" si="3"/>
        <v>180</v>
      </c>
      <c r="M15">
        <f t="shared" si="19"/>
        <v>13</v>
      </c>
      <c r="N15">
        <f t="shared" si="26"/>
        <v>2</v>
      </c>
      <c r="O15">
        <f t="shared" si="4"/>
        <v>300</v>
      </c>
      <c r="P15">
        <f t="shared" si="27"/>
        <v>13</v>
      </c>
      <c r="Q15">
        <f t="shared" si="28"/>
        <v>2</v>
      </c>
      <c r="R15">
        <f t="shared" si="5"/>
        <v>300</v>
      </c>
      <c r="S15">
        <f t="shared" si="29"/>
        <v>0</v>
      </c>
      <c r="T15">
        <f t="shared" si="30"/>
        <v>-1</v>
      </c>
      <c r="U15">
        <f t="shared" si="20"/>
        <v>0</v>
      </c>
      <c r="V15">
        <f t="shared" si="21"/>
        <v>1</v>
      </c>
      <c r="W15">
        <f t="shared" si="6"/>
        <v>0</v>
      </c>
      <c r="X15">
        <f t="shared" si="31"/>
        <v>13</v>
      </c>
      <c r="Y15">
        <f t="shared" si="7"/>
        <v>0</v>
      </c>
      <c r="Z15">
        <f t="shared" si="8"/>
        <v>278</v>
      </c>
      <c r="AA15">
        <f t="shared" si="9"/>
        <v>0</v>
      </c>
      <c r="AB15" s="29">
        <f t="shared" si="10"/>
        <v>0.74178816089935007</v>
      </c>
      <c r="AC15" s="25">
        <f t="shared" si="11"/>
        <v>607.49804426656829</v>
      </c>
      <c r="AD15" s="29">
        <f t="shared" si="12"/>
        <v>2.1609785530598051</v>
      </c>
      <c r="AE15" s="25">
        <f t="shared" si="22"/>
        <v>21.590542205551351</v>
      </c>
      <c r="AF15" s="25">
        <f t="shared" si="14"/>
        <v>21.590542205551351</v>
      </c>
      <c r="AG15" s="25">
        <f>IF($A15&lt;0,0,IF(instatk="bs",(1.5+talSCallInstBon)*(MHavg+(ap+Z15-$Z$1)/APtoDPS*MHnorm+170)*(1+sa*0.1+0.04*opp+0.02*agg+Slayer4value-1),IF(instatk="hemo",Slayer4value*(MHavg+(ap+Z15-$Z$1)/APtoDPS*MHnorm)*(1.1+talSCallInstBon)+420*(1+raidcrit)*debuffon,IF(instatk="ss",(MHavg+(ap+Z15-$Z$1)/APtoDPS*MHnorm+98)*(1+sa*0.1+0.02*agg+Slayer4value-1),IF(instatk="v",(ohavg+(ap+Z15-$Z$1)/APtoDPS*OHnorm)*(1+sa*0.1)*(0.5+0.05*dws)+avipdam,Slayer4value*((1+0.04*opp)*(MHavg+101+(ap+Z15-$Z$1)/APtoDPS*MHnorm+(0.5+0.05*dws)*(ohavg+(ap+Z15-$Z$1)/APtoDPS*OHnorm)+101*(1+0.1*dws))*(1+0.5*IF(Talents!$O$18="Yes",1,0)))))))*(instactualhit+(1+((leth*0.06+2)-1)*(cfact-1))*instactualcrit)*fwfactor*AB15*instsec*(AF15/$AN$45))</f>
        <v>501.00004891634677</v>
      </c>
      <c r="AH15" s="25">
        <f t="shared" si="32"/>
        <v>0</v>
      </c>
      <c r="AI15" s="25">
        <f t="shared" si="33"/>
        <v>0</v>
      </c>
      <c r="AJ15" s="25">
        <f t="shared" si="34"/>
        <v>0</v>
      </c>
      <c r="AL15" t="b">
        <f t="shared" ref="AL15:AL25" si="36">OR(trinket1=AM15, trinket2=AM15)</f>
        <v>0</v>
      </c>
      <c r="AM15" t="s">
        <v>2290</v>
      </c>
      <c r="AR15">
        <f>260*AL15</f>
        <v>0</v>
      </c>
      <c r="AT15">
        <v>10</v>
      </c>
      <c r="AU15">
        <f>10*AL15</f>
        <v>0</v>
      </c>
    </row>
    <row r="16" spans="1:49">
      <c r="A16">
        <f t="shared" si="15"/>
        <v>13</v>
      </c>
      <c r="B16">
        <f t="shared" si="23"/>
        <v>2</v>
      </c>
      <c r="C16">
        <f t="shared" si="0"/>
        <v>60</v>
      </c>
      <c r="D16">
        <f t="shared" si="16"/>
        <v>14</v>
      </c>
      <c r="E16">
        <f t="shared" si="35"/>
        <v>2</v>
      </c>
      <c r="F16">
        <f t="shared" si="1"/>
        <v>90</v>
      </c>
      <c r="G16">
        <f t="shared" si="17"/>
        <v>14</v>
      </c>
      <c r="H16">
        <f t="shared" si="24"/>
        <v>2</v>
      </c>
      <c r="I16">
        <f t="shared" si="2"/>
        <v>120</v>
      </c>
      <c r="J16">
        <f t="shared" si="18"/>
        <v>14</v>
      </c>
      <c r="K16">
        <f t="shared" si="25"/>
        <v>2</v>
      </c>
      <c r="L16">
        <f t="shared" si="3"/>
        <v>180</v>
      </c>
      <c r="M16">
        <f t="shared" si="19"/>
        <v>14</v>
      </c>
      <c r="N16">
        <f t="shared" si="26"/>
        <v>2</v>
      </c>
      <c r="O16">
        <f t="shared" si="4"/>
        <v>300</v>
      </c>
      <c r="P16">
        <f t="shared" si="27"/>
        <v>14</v>
      </c>
      <c r="Q16">
        <f t="shared" si="28"/>
        <v>2</v>
      </c>
      <c r="R16">
        <f t="shared" si="5"/>
        <v>300</v>
      </c>
      <c r="S16">
        <f t="shared" si="29"/>
        <v>0</v>
      </c>
      <c r="T16">
        <f t="shared" si="30"/>
        <v>-1</v>
      </c>
      <c r="U16">
        <f t="shared" si="20"/>
        <v>0</v>
      </c>
      <c r="V16">
        <f t="shared" si="21"/>
        <v>1</v>
      </c>
      <c r="W16">
        <f t="shared" si="6"/>
        <v>0</v>
      </c>
      <c r="X16">
        <f t="shared" si="31"/>
        <v>14</v>
      </c>
      <c r="Y16">
        <f t="shared" si="7"/>
        <v>0</v>
      </c>
      <c r="Z16">
        <f t="shared" si="8"/>
        <v>278</v>
      </c>
      <c r="AA16">
        <f t="shared" si="9"/>
        <v>0</v>
      </c>
      <c r="AB16" s="29">
        <f t="shared" si="10"/>
        <v>0.74178816089935007</v>
      </c>
      <c r="AC16" s="25">
        <f t="shared" si="11"/>
        <v>607.49804426656829</v>
      </c>
      <c r="AD16" s="29">
        <f t="shared" si="12"/>
        <v>2.1609785530598051</v>
      </c>
      <c r="AE16" s="25">
        <f t="shared" si="22"/>
        <v>21.590542205551351</v>
      </c>
      <c r="AF16" s="25">
        <f t="shared" si="14"/>
        <v>21.590542205551351</v>
      </c>
      <c r="AG16" s="25">
        <f>IF($A16&lt;0,0,IF(instatk="bs",(1.5+talSCallInstBon)*(MHavg+(ap+Z16-$Z$1)/APtoDPS*MHnorm+170)*(1+sa*0.1+0.04*opp+0.02*agg+Slayer4value-1),IF(instatk="hemo",Slayer4value*(MHavg+(ap+Z16-$Z$1)/APtoDPS*MHnorm)*(1.1+talSCallInstBon)+420*(1+raidcrit)*debuffon,IF(instatk="ss",(MHavg+(ap+Z16-$Z$1)/APtoDPS*MHnorm+98)*(1+sa*0.1+0.02*agg+Slayer4value-1),IF(instatk="v",(ohavg+(ap+Z16-$Z$1)/APtoDPS*OHnorm)*(1+sa*0.1)*(0.5+0.05*dws)+avipdam,Slayer4value*((1+0.04*opp)*(MHavg+101+(ap+Z16-$Z$1)/APtoDPS*MHnorm+(0.5+0.05*dws)*(ohavg+(ap+Z16-$Z$1)/APtoDPS*OHnorm)+101*(1+0.1*dws))*(1+0.5*IF(Talents!$O$18="Yes",1,0)))))))*(instactualhit+(1+((leth*0.06+2)-1)*(cfact-1))*instactualcrit)*fwfactor*AB16*instsec*(AF16/$AN$45))</f>
        <v>501.00004891634677</v>
      </c>
      <c r="AH16" s="25">
        <f t="shared" si="32"/>
        <v>0</v>
      </c>
      <c r="AI16" s="25">
        <f t="shared" si="33"/>
        <v>0</v>
      </c>
      <c r="AJ16" s="25">
        <f t="shared" si="34"/>
        <v>0</v>
      </c>
      <c r="AL16" t="b">
        <f t="shared" si="36"/>
        <v>0</v>
      </c>
      <c r="AM16" t="s">
        <v>2834</v>
      </c>
      <c r="AO16">
        <f>150*AL16</f>
        <v>0</v>
      </c>
      <c r="AT16">
        <v>20</v>
      </c>
      <c r="AU16">
        <f>20*AL16</f>
        <v>0</v>
      </c>
    </row>
    <row r="17" spans="1:49">
      <c r="A17">
        <f t="shared" si="15"/>
        <v>14</v>
      </c>
      <c r="B17">
        <f t="shared" si="23"/>
        <v>2</v>
      </c>
      <c r="C17">
        <f t="shared" si="0"/>
        <v>60</v>
      </c>
      <c r="D17">
        <f t="shared" si="16"/>
        <v>15</v>
      </c>
      <c r="E17">
        <f t="shared" si="35"/>
        <v>2</v>
      </c>
      <c r="F17">
        <f t="shared" si="1"/>
        <v>90</v>
      </c>
      <c r="G17">
        <f t="shared" si="17"/>
        <v>15</v>
      </c>
      <c r="H17">
        <f t="shared" si="24"/>
        <v>2</v>
      </c>
      <c r="I17">
        <f t="shared" si="2"/>
        <v>120</v>
      </c>
      <c r="J17">
        <f t="shared" si="18"/>
        <v>15</v>
      </c>
      <c r="K17">
        <f t="shared" si="25"/>
        <v>2</v>
      </c>
      <c r="L17">
        <f t="shared" si="3"/>
        <v>180</v>
      </c>
      <c r="M17">
        <f t="shared" si="19"/>
        <v>15</v>
      </c>
      <c r="N17">
        <f t="shared" si="26"/>
        <v>2</v>
      </c>
      <c r="O17">
        <f t="shared" si="4"/>
        <v>300</v>
      </c>
      <c r="P17">
        <f t="shared" si="27"/>
        <v>15</v>
      </c>
      <c r="Q17">
        <f t="shared" si="28"/>
        <v>2</v>
      </c>
      <c r="R17">
        <f t="shared" si="5"/>
        <v>300</v>
      </c>
      <c r="S17">
        <f t="shared" si="29"/>
        <v>0</v>
      </c>
      <c r="T17">
        <f t="shared" si="30"/>
        <v>-1</v>
      </c>
      <c r="U17">
        <f t="shared" si="20"/>
        <v>0</v>
      </c>
      <c r="V17">
        <f t="shared" si="21"/>
        <v>1</v>
      </c>
      <c r="W17">
        <f t="shared" si="6"/>
        <v>0</v>
      </c>
      <c r="X17">
        <f t="shared" si="31"/>
        <v>15</v>
      </c>
      <c r="Y17">
        <f t="shared" si="7"/>
        <v>0</v>
      </c>
      <c r="Z17">
        <f t="shared" si="8"/>
        <v>278</v>
      </c>
      <c r="AA17">
        <f t="shared" si="9"/>
        <v>0</v>
      </c>
      <c r="AB17" s="29">
        <f t="shared" si="10"/>
        <v>0.74178816089935007</v>
      </c>
      <c r="AC17" s="25">
        <f t="shared" si="11"/>
        <v>607.49804426656829</v>
      </c>
      <c r="AD17" s="29">
        <f t="shared" si="12"/>
        <v>2.1609785530598051</v>
      </c>
      <c r="AE17" s="25">
        <f t="shared" si="22"/>
        <v>21.590542205551351</v>
      </c>
      <c r="AF17" s="25">
        <f t="shared" si="14"/>
        <v>21.590542205551351</v>
      </c>
      <c r="AG17" s="25">
        <f>IF($A17&lt;0,0,IF(instatk="bs",(1.5+talSCallInstBon)*(MHavg+(ap+Z17-$Z$1)/APtoDPS*MHnorm+170)*(1+sa*0.1+0.04*opp+0.02*agg+Slayer4value-1),IF(instatk="hemo",Slayer4value*(MHavg+(ap+Z17-$Z$1)/APtoDPS*MHnorm)*(1.1+talSCallInstBon)+420*(1+raidcrit)*debuffon,IF(instatk="ss",(MHavg+(ap+Z17-$Z$1)/APtoDPS*MHnorm+98)*(1+sa*0.1+0.02*agg+Slayer4value-1),IF(instatk="v",(ohavg+(ap+Z17-$Z$1)/APtoDPS*OHnorm)*(1+sa*0.1)*(0.5+0.05*dws)+avipdam,Slayer4value*((1+0.04*opp)*(MHavg+101+(ap+Z17-$Z$1)/APtoDPS*MHnorm+(0.5+0.05*dws)*(ohavg+(ap+Z17-$Z$1)/APtoDPS*OHnorm)+101*(1+0.1*dws))*(1+0.5*IF(Talents!$O$18="Yes",1,0)))))))*(instactualhit+(1+((leth*0.06+2)-1)*(cfact-1))*instactualcrit)*fwfactor*AB17*instsec*(AF17/$AN$45))</f>
        <v>501.00004891634677</v>
      </c>
      <c r="AH17" s="25">
        <f t="shared" si="32"/>
        <v>0</v>
      </c>
      <c r="AI17" s="25">
        <f t="shared" si="33"/>
        <v>0</v>
      </c>
      <c r="AJ17" s="25">
        <f t="shared" si="34"/>
        <v>0</v>
      </c>
      <c r="AL17" t="b">
        <f t="shared" si="36"/>
        <v>0</v>
      </c>
      <c r="AM17" t="s">
        <v>1760</v>
      </c>
      <c r="AP17">
        <f>360*AL17</f>
        <v>0</v>
      </c>
      <c r="AT17">
        <v>20</v>
      </c>
      <c r="AU17">
        <f>20*AL17</f>
        <v>0</v>
      </c>
    </row>
    <row r="18" spans="1:49">
      <c r="A18">
        <f t="shared" si="15"/>
        <v>15</v>
      </c>
      <c r="B18">
        <f t="shared" si="23"/>
        <v>2</v>
      </c>
      <c r="C18">
        <f t="shared" si="0"/>
        <v>60</v>
      </c>
      <c r="D18">
        <f t="shared" si="16"/>
        <v>16</v>
      </c>
      <c r="E18">
        <f t="shared" si="35"/>
        <v>2</v>
      </c>
      <c r="F18">
        <f t="shared" si="1"/>
        <v>90</v>
      </c>
      <c r="G18">
        <f t="shared" si="17"/>
        <v>16</v>
      </c>
      <c r="H18">
        <f t="shared" si="24"/>
        <v>2</v>
      </c>
      <c r="I18">
        <f t="shared" si="2"/>
        <v>120</v>
      </c>
      <c r="J18">
        <f t="shared" si="18"/>
        <v>16</v>
      </c>
      <c r="K18">
        <f t="shared" si="25"/>
        <v>2</v>
      </c>
      <c r="L18">
        <f t="shared" si="3"/>
        <v>180</v>
      </c>
      <c r="M18">
        <f t="shared" si="19"/>
        <v>16</v>
      </c>
      <c r="N18">
        <f t="shared" si="26"/>
        <v>2</v>
      </c>
      <c r="O18">
        <f t="shared" si="4"/>
        <v>300</v>
      </c>
      <c r="P18">
        <f t="shared" si="27"/>
        <v>0</v>
      </c>
      <c r="Q18">
        <f t="shared" si="28"/>
        <v>2</v>
      </c>
      <c r="R18">
        <f t="shared" si="5"/>
        <v>300</v>
      </c>
      <c r="S18">
        <f t="shared" si="29"/>
        <v>0</v>
      </c>
      <c r="T18">
        <f t="shared" si="30"/>
        <v>-1</v>
      </c>
      <c r="U18">
        <f t="shared" si="20"/>
        <v>0</v>
      </c>
      <c r="V18">
        <f t="shared" si="21"/>
        <v>1</v>
      </c>
      <c r="W18">
        <f t="shared" si="6"/>
        <v>0</v>
      </c>
      <c r="X18">
        <f t="shared" si="31"/>
        <v>16</v>
      </c>
      <c r="Y18">
        <f t="shared" si="7"/>
        <v>0</v>
      </c>
      <c r="Z18">
        <f t="shared" si="8"/>
        <v>278</v>
      </c>
      <c r="AA18">
        <f t="shared" si="9"/>
        <v>0</v>
      </c>
      <c r="AB18" s="29">
        <f t="shared" si="10"/>
        <v>0.74178816089935007</v>
      </c>
      <c r="AC18" s="25">
        <f t="shared" si="11"/>
        <v>207.49804426656831</v>
      </c>
      <c r="AD18" s="29">
        <f t="shared" si="12"/>
        <v>1.4710593633221953</v>
      </c>
      <c r="AE18" s="25">
        <f t="shared" si="22"/>
        <v>13.243681724743192</v>
      </c>
      <c r="AF18" s="25">
        <f t="shared" si="14"/>
        <v>13.243681724743192</v>
      </c>
      <c r="AG18" s="25">
        <f>IF($A18&lt;0,0,IF(instatk="bs",(1.5+talSCallInstBon)*(MHavg+(ap+Z18-$Z$1)/APtoDPS*MHnorm+170)*(1+sa*0.1+0.04*opp+0.02*agg+Slayer4value-1),IF(instatk="hemo",Slayer4value*(MHavg+(ap+Z18-$Z$1)/APtoDPS*MHnorm)*(1.1+talSCallInstBon)+420*(1+raidcrit)*debuffon,IF(instatk="ss",(MHavg+(ap+Z18-$Z$1)/APtoDPS*MHnorm+98)*(1+sa*0.1+0.02*agg+Slayer4value-1),IF(instatk="v",(ohavg+(ap+Z18-$Z$1)/APtoDPS*OHnorm)*(1+sa*0.1)*(0.5+0.05*dws)+avipdam,Slayer4value*((1+0.04*opp)*(MHavg+101+(ap+Z18-$Z$1)/APtoDPS*MHnorm+(0.5+0.05*dws)*(ohavg+(ap+Z18-$Z$1)/APtoDPS*OHnorm)+101*(1+0.1*dws))*(1+0.5*IF(Talents!$O$18="Yes",1,0)))))))*(instactualhit+(1+((leth*0.06+2)-1)*(cfact-1))*instactualcrit)*fwfactor*AB18*instsec*(AF18/$AN$45))</f>
        <v>307.31443095592368</v>
      </c>
      <c r="AH18" s="25">
        <f t="shared" si="32"/>
        <v>0</v>
      </c>
      <c r="AI18" s="25">
        <f t="shared" si="33"/>
        <v>0</v>
      </c>
      <c r="AJ18" s="25">
        <f t="shared" si="34"/>
        <v>0</v>
      </c>
      <c r="AL18" t="b">
        <f t="shared" si="36"/>
        <v>1</v>
      </c>
      <c r="AM18" t="s">
        <v>185</v>
      </c>
      <c r="AP18">
        <f>278*AL18</f>
        <v>278</v>
      </c>
      <c r="AT18">
        <v>20</v>
      </c>
      <c r="AU18">
        <f t="shared" ref="AU18:AU21" si="37">20*AL18</f>
        <v>20</v>
      </c>
    </row>
    <row r="19" spans="1:49">
      <c r="A19">
        <f t="shared" si="15"/>
        <v>16</v>
      </c>
      <c r="B19">
        <f t="shared" si="23"/>
        <v>2</v>
      </c>
      <c r="C19">
        <f t="shared" si="0"/>
        <v>60</v>
      </c>
      <c r="D19">
        <f t="shared" si="16"/>
        <v>17</v>
      </c>
      <c r="E19">
        <f t="shared" si="35"/>
        <v>2</v>
      </c>
      <c r="F19">
        <f t="shared" si="1"/>
        <v>90</v>
      </c>
      <c r="G19">
        <f t="shared" si="17"/>
        <v>17</v>
      </c>
      <c r="H19">
        <f t="shared" si="24"/>
        <v>2</v>
      </c>
      <c r="I19">
        <f t="shared" si="2"/>
        <v>120</v>
      </c>
      <c r="J19">
        <f t="shared" si="18"/>
        <v>17</v>
      </c>
      <c r="K19">
        <f t="shared" si="25"/>
        <v>2</v>
      </c>
      <c r="L19">
        <f t="shared" si="3"/>
        <v>180</v>
      </c>
      <c r="M19">
        <f t="shared" si="19"/>
        <v>17</v>
      </c>
      <c r="N19">
        <f t="shared" si="26"/>
        <v>2</v>
      </c>
      <c r="O19">
        <f t="shared" si="4"/>
        <v>300</v>
      </c>
      <c r="P19">
        <f t="shared" si="27"/>
        <v>0</v>
      </c>
      <c r="Q19">
        <f t="shared" si="28"/>
        <v>2</v>
      </c>
      <c r="R19">
        <f t="shared" si="5"/>
        <v>300</v>
      </c>
      <c r="S19">
        <f t="shared" si="29"/>
        <v>0</v>
      </c>
      <c r="T19">
        <f t="shared" si="30"/>
        <v>-1</v>
      </c>
      <c r="U19">
        <f t="shared" si="20"/>
        <v>0</v>
      </c>
      <c r="V19">
        <f t="shared" si="21"/>
        <v>1</v>
      </c>
      <c r="W19">
        <f t="shared" si="6"/>
        <v>0</v>
      </c>
      <c r="X19">
        <f t="shared" si="31"/>
        <v>17</v>
      </c>
      <c r="Y19">
        <f t="shared" si="7"/>
        <v>0</v>
      </c>
      <c r="Z19">
        <f t="shared" si="8"/>
        <v>278</v>
      </c>
      <c r="AA19">
        <f t="shared" si="9"/>
        <v>0</v>
      </c>
      <c r="AB19" s="29">
        <f t="shared" si="10"/>
        <v>0.74178816089935007</v>
      </c>
      <c r="AC19" s="25">
        <f t="shared" si="11"/>
        <v>207.49804426656831</v>
      </c>
      <c r="AD19" s="29">
        <f t="shared" si="12"/>
        <v>1.4710593633221953</v>
      </c>
      <c r="AE19" s="25">
        <f t="shared" si="22"/>
        <v>13.243681724743192</v>
      </c>
      <c r="AF19" s="25">
        <f t="shared" si="14"/>
        <v>13.243681724743192</v>
      </c>
      <c r="AG19" s="25">
        <f>IF($A19&lt;0,0,IF(instatk="bs",(1.5+talSCallInstBon)*(MHavg+(ap+Z19-$Z$1)/APtoDPS*MHnorm+170)*(1+sa*0.1+0.04*opp+0.02*agg+Slayer4value-1),IF(instatk="hemo",Slayer4value*(MHavg+(ap+Z19-$Z$1)/APtoDPS*MHnorm)*(1.1+talSCallInstBon)+420*(1+raidcrit)*debuffon,IF(instatk="ss",(MHavg+(ap+Z19-$Z$1)/APtoDPS*MHnorm+98)*(1+sa*0.1+0.02*agg+Slayer4value-1),IF(instatk="v",(ohavg+(ap+Z19-$Z$1)/APtoDPS*OHnorm)*(1+sa*0.1)*(0.5+0.05*dws)+avipdam,Slayer4value*((1+0.04*opp)*(MHavg+101+(ap+Z19-$Z$1)/APtoDPS*MHnorm+(0.5+0.05*dws)*(ohavg+(ap+Z19-$Z$1)/APtoDPS*OHnorm)+101*(1+0.1*dws))*(1+0.5*IF(Talents!$O$18="Yes",1,0)))))))*(instactualhit+(1+((leth*0.06+2)-1)*(cfact-1))*instactualcrit)*fwfactor*AB19*instsec*(AF19/$AN$45))</f>
        <v>307.31443095592368</v>
      </c>
      <c r="AH19" s="25">
        <f t="shared" si="32"/>
        <v>0</v>
      </c>
      <c r="AI19" s="25">
        <f t="shared" si="33"/>
        <v>0</v>
      </c>
      <c r="AJ19" s="25">
        <f t="shared" si="34"/>
        <v>0</v>
      </c>
      <c r="AL19" t="b">
        <f t="shared" si="36"/>
        <v>0</v>
      </c>
      <c r="AM19" t="s">
        <v>187</v>
      </c>
      <c r="AP19">
        <f>200*AL19</f>
        <v>0</v>
      </c>
      <c r="AT19">
        <v>20</v>
      </c>
      <c r="AU19">
        <f t="shared" si="37"/>
        <v>0</v>
      </c>
    </row>
    <row r="20" spans="1:49">
      <c r="A20">
        <f t="shared" si="15"/>
        <v>17</v>
      </c>
      <c r="B20">
        <f t="shared" si="23"/>
        <v>2</v>
      </c>
      <c r="C20">
        <f t="shared" si="0"/>
        <v>60</v>
      </c>
      <c r="D20">
        <f t="shared" si="16"/>
        <v>18</v>
      </c>
      <c r="E20">
        <f t="shared" si="35"/>
        <v>2</v>
      </c>
      <c r="F20">
        <f t="shared" si="1"/>
        <v>90</v>
      </c>
      <c r="G20">
        <f t="shared" si="17"/>
        <v>18</v>
      </c>
      <c r="H20">
        <f t="shared" si="24"/>
        <v>2</v>
      </c>
      <c r="I20">
        <f t="shared" si="2"/>
        <v>120</v>
      </c>
      <c r="J20">
        <f t="shared" si="18"/>
        <v>18</v>
      </c>
      <c r="K20">
        <f t="shared" si="25"/>
        <v>2</v>
      </c>
      <c r="L20">
        <f t="shared" si="3"/>
        <v>180</v>
      </c>
      <c r="M20">
        <f t="shared" si="19"/>
        <v>18</v>
      </c>
      <c r="N20">
        <f t="shared" si="26"/>
        <v>2</v>
      </c>
      <c r="O20">
        <f t="shared" si="4"/>
        <v>300</v>
      </c>
      <c r="P20">
        <f t="shared" si="27"/>
        <v>0</v>
      </c>
      <c r="Q20">
        <f t="shared" si="28"/>
        <v>2</v>
      </c>
      <c r="R20">
        <f t="shared" si="5"/>
        <v>300</v>
      </c>
      <c r="S20">
        <f t="shared" si="29"/>
        <v>0</v>
      </c>
      <c r="T20">
        <f t="shared" si="30"/>
        <v>-1</v>
      </c>
      <c r="U20">
        <f t="shared" si="20"/>
        <v>0</v>
      </c>
      <c r="V20">
        <f t="shared" si="21"/>
        <v>1</v>
      </c>
      <c r="W20">
        <f t="shared" si="6"/>
        <v>0</v>
      </c>
      <c r="X20">
        <f t="shared" si="31"/>
        <v>18</v>
      </c>
      <c r="Y20">
        <f t="shared" si="7"/>
        <v>0</v>
      </c>
      <c r="Z20">
        <f t="shared" si="8"/>
        <v>278</v>
      </c>
      <c r="AA20">
        <f t="shared" si="9"/>
        <v>0</v>
      </c>
      <c r="AB20" s="29">
        <f t="shared" si="10"/>
        <v>0.74178816089935007</v>
      </c>
      <c r="AC20" s="25">
        <f t="shared" si="11"/>
        <v>207.49804426656831</v>
      </c>
      <c r="AD20" s="29">
        <f t="shared" si="12"/>
        <v>1.4710593633221953</v>
      </c>
      <c r="AE20" s="25">
        <f t="shared" si="22"/>
        <v>13.243681724743192</v>
      </c>
      <c r="AF20" s="25">
        <f t="shared" si="14"/>
        <v>13.243681724743192</v>
      </c>
      <c r="AG20" s="25">
        <f>IF($A20&lt;0,0,IF(instatk="bs",(1.5+talSCallInstBon)*(MHavg+(ap+Z20-$Z$1)/APtoDPS*MHnorm+170)*(1+sa*0.1+0.04*opp+0.02*agg+Slayer4value-1),IF(instatk="hemo",Slayer4value*(MHavg+(ap+Z20-$Z$1)/APtoDPS*MHnorm)*(1.1+talSCallInstBon)+420*(1+raidcrit)*debuffon,IF(instatk="ss",(MHavg+(ap+Z20-$Z$1)/APtoDPS*MHnorm+98)*(1+sa*0.1+0.02*agg+Slayer4value-1),IF(instatk="v",(ohavg+(ap+Z20-$Z$1)/APtoDPS*OHnorm)*(1+sa*0.1)*(0.5+0.05*dws)+avipdam,Slayer4value*((1+0.04*opp)*(MHavg+101+(ap+Z20-$Z$1)/APtoDPS*MHnorm+(0.5+0.05*dws)*(ohavg+(ap+Z20-$Z$1)/APtoDPS*OHnorm)+101*(1+0.1*dws))*(1+0.5*IF(Talents!$O$18="Yes",1,0)))))))*(instactualhit+(1+((leth*0.06+2)-1)*(cfact-1))*instactualcrit)*fwfactor*AB20*instsec*(AF20/$AN$45))</f>
        <v>307.31443095592368</v>
      </c>
      <c r="AH20" s="25">
        <f t="shared" si="32"/>
        <v>0</v>
      </c>
      <c r="AI20" s="25">
        <f t="shared" si="33"/>
        <v>0</v>
      </c>
      <c r="AJ20" s="25">
        <f t="shared" si="34"/>
        <v>0</v>
      </c>
      <c r="AL20" t="b">
        <f t="shared" si="36"/>
        <v>0</v>
      </c>
      <c r="AM20" t="s">
        <v>785</v>
      </c>
      <c r="AQ20">
        <f>600*AL20</f>
        <v>0</v>
      </c>
      <c r="AT20">
        <v>20</v>
      </c>
      <c r="AU20">
        <f t="shared" si="37"/>
        <v>0</v>
      </c>
    </row>
    <row r="21" spans="1:49">
      <c r="A21">
        <f t="shared" si="15"/>
        <v>18</v>
      </c>
      <c r="B21">
        <f t="shared" si="23"/>
        <v>2</v>
      </c>
      <c r="C21">
        <f t="shared" si="0"/>
        <v>60</v>
      </c>
      <c r="D21">
        <f t="shared" si="16"/>
        <v>19</v>
      </c>
      <c r="E21">
        <f t="shared" si="35"/>
        <v>2</v>
      </c>
      <c r="F21">
        <f t="shared" si="1"/>
        <v>90</v>
      </c>
      <c r="G21">
        <f t="shared" si="17"/>
        <v>19</v>
      </c>
      <c r="H21">
        <f t="shared" si="24"/>
        <v>2</v>
      </c>
      <c r="I21">
        <f t="shared" si="2"/>
        <v>120</v>
      </c>
      <c r="J21">
        <f t="shared" si="18"/>
        <v>19</v>
      </c>
      <c r="K21">
        <f t="shared" si="25"/>
        <v>2</v>
      </c>
      <c r="L21">
        <f t="shared" si="3"/>
        <v>180</v>
      </c>
      <c r="M21">
        <f t="shared" si="19"/>
        <v>19</v>
      </c>
      <c r="N21">
        <f t="shared" si="26"/>
        <v>2</v>
      </c>
      <c r="O21">
        <f t="shared" si="4"/>
        <v>300</v>
      </c>
      <c r="P21">
        <f t="shared" si="27"/>
        <v>0</v>
      </c>
      <c r="Q21">
        <f t="shared" si="28"/>
        <v>2</v>
      </c>
      <c r="R21">
        <f t="shared" si="5"/>
        <v>300</v>
      </c>
      <c r="S21">
        <f t="shared" si="29"/>
        <v>0</v>
      </c>
      <c r="T21">
        <f t="shared" si="30"/>
        <v>-1</v>
      </c>
      <c r="U21">
        <f t="shared" si="20"/>
        <v>0</v>
      </c>
      <c r="V21">
        <f t="shared" si="21"/>
        <v>1</v>
      </c>
      <c r="W21">
        <f t="shared" si="6"/>
        <v>0</v>
      </c>
      <c r="X21">
        <f t="shared" si="31"/>
        <v>19</v>
      </c>
      <c r="Y21">
        <f t="shared" si="7"/>
        <v>0</v>
      </c>
      <c r="Z21">
        <f t="shared" si="8"/>
        <v>278</v>
      </c>
      <c r="AA21">
        <f t="shared" si="9"/>
        <v>0</v>
      </c>
      <c r="AB21" s="29">
        <f t="shared" si="10"/>
        <v>0.74178816089935007</v>
      </c>
      <c r="AC21" s="25">
        <f t="shared" si="11"/>
        <v>207.49804426656831</v>
      </c>
      <c r="AD21" s="29">
        <f t="shared" si="12"/>
        <v>1.4710593633221953</v>
      </c>
      <c r="AE21" s="25">
        <f t="shared" si="22"/>
        <v>13.243681724743192</v>
      </c>
      <c r="AF21" s="25">
        <f t="shared" si="14"/>
        <v>13.243681724743192</v>
      </c>
      <c r="AG21" s="25">
        <f>IF($A21&lt;0,0,IF(instatk="bs",(1.5+talSCallInstBon)*(MHavg+(ap+Z21-$Z$1)/APtoDPS*MHnorm+170)*(1+sa*0.1+0.04*opp+0.02*agg+Slayer4value-1),IF(instatk="hemo",Slayer4value*(MHavg+(ap+Z21-$Z$1)/APtoDPS*MHnorm)*(1.1+talSCallInstBon)+420*(1+raidcrit)*debuffon,IF(instatk="ss",(MHavg+(ap+Z21-$Z$1)/APtoDPS*MHnorm+98)*(1+sa*0.1+0.02*agg+Slayer4value-1),IF(instatk="v",(ohavg+(ap+Z21-$Z$1)/APtoDPS*OHnorm)*(1+sa*0.1)*(0.5+0.05*dws)+avipdam,Slayer4value*((1+0.04*opp)*(MHavg+101+(ap+Z21-$Z$1)/APtoDPS*MHnorm+(0.5+0.05*dws)*(ohavg+(ap+Z21-$Z$1)/APtoDPS*OHnorm)+101*(1+0.1*dws))*(1+0.5*IF(Talents!$O$18="Yes",1,0)))))))*(instactualhit+(1+((leth*0.06+2)-1)*(cfact-1))*instactualcrit)*fwfactor*AB21*instsec*(AF21/$AN$45))</f>
        <v>307.31443095592368</v>
      </c>
      <c r="AH21" s="25">
        <f t="shared" si="32"/>
        <v>0</v>
      </c>
      <c r="AI21" s="25">
        <f t="shared" si="33"/>
        <v>0</v>
      </c>
      <c r="AJ21" s="25">
        <f t="shared" si="34"/>
        <v>0</v>
      </c>
      <c r="AL21" t="b">
        <f t="shared" si="36"/>
        <v>0</v>
      </c>
      <c r="AM21" t="s">
        <v>2975</v>
      </c>
      <c r="AP21">
        <f>65*AL21</f>
        <v>0</v>
      </c>
      <c r="AT21">
        <v>20</v>
      </c>
      <c r="AU21">
        <f t="shared" si="37"/>
        <v>0</v>
      </c>
    </row>
    <row r="22" spans="1:49">
      <c r="A22">
        <f t="shared" si="15"/>
        <v>19</v>
      </c>
      <c r="B22">
        <f t="shared" si="23"/>
        <v>2</v>
      </c>
      <c r="C22">
        <f t="shared" si="0"/>
        <v>60</v>
      </c>
      <c r="D22">
        <f t="shared" si="16"/>
        <v>20</v>
      </c>
      <c r="E22">
        <f t="shared" si="35"/>
        <v>2</v>
      </c>
      <c r="F22">
        <f t="shared" si="1"/>
        <v>90</v>
      </c>
      <c r="G22">
        <f t="shared" si="17"/>
        <v>20</v>
      </c>
      <c r="H22">
        <f t="shared" si="24"/>
        <v>2</v>
      </c>
      <c r="I22">
        <f t="shared" si="2"/>
        <v>120</v>
      </c>
      <c r="J22">
        <f t="shared" si="18"/>
        <v>20</v>
      </c>
      <c r="K22">
        <f t="shared" si="25"/>
        <v>2</v>
      </c>
      <c r="L22">
        <f t="shared" si="3"/>
        <v>180</v>
      </c>
      <c r="M22">
        <f t="shared" si="19"/>
        <v>20</v>
      </c>
      <c r="N22">
        <f t="shared" si="26"/>
        <v>2</v>
      </c>
      <c r="O22">
        <f t="shared" si="4"/>
        <v>300</v>
      </c>
      <c r="P22">
        <f t="shared" si="27"/>
        <v>0</v>
      </c>
      <c r="Q22">
        <f t="shared" si="28"/>
        <v>2</v>
      </c>
      <c r="R22">
        <f t="shared" si="5"/>
        <v>300</v>
      </c>
      <c r="S22">
        <f t="shared" si="29"/>
        <v>0</v>
      </c>
      <c r="T22">
        <f t="shared" si="30"/>
        <v>-1</v>
      </c>
      <c r="U22">
        <f t="shared" si="20"/>
        <v>0</v>
      </c>
      <c r="V22">
        <f t="shared" si="21"/>
        <v>1</v>
      </c>
      <c r="W22">
        <f t="shared" si="6"/>
        <v>0</v>
      </c>
      <c r="X22">
        <f t="shared" si="31"/>
        <v>20</v>
      </c>
      <c r="Y22">
        <f t="shared" si="7"/>
        <v>0</v>
      </c>
      <c r="Z22">
        <f t="shared" si="8"/>
        <v>278</v>
      </c>
      <c r="AA22">
        <f t="shared" si="9"/>
        <v>0</v>
      </c>
      <c r="AB22" s="29">
        <f t="shared" si="10"/>
        <v>0.74178816089935007</v>
      </c>
      <c r="AC22" s="25">
        <f t="shared" si="11"/>
        <v>207.49804426656831</v>
      </c>
      <c r="AD22" s="29">
        <f t="shared" si="12"/>
        <v>1.4710593633221953</v>
      </c>
      <c r="AE22" s="25">
        <f t="shared" si="22"/>
        <v>13.243681724743192</v>
      </c>
      <c r="AF22" s="25">
        <f t="shared" si="14"/>
        <v>13.243681724743192</v>
      </c>
      <c r="AG22" s="25">
        <f>IF($A22&lt;0,0,IF(instatk="bs",(1.5+talSCallInstBon)*(MHavg+(ap+Z22-$Z$1)/APtoDPS*MHnorm+170)*(1+sa*0.1+0.04*opp+0.02*agg+Slayer4value-1),IF(instatk="hemo",Slayer4value*(MHavg+(ap+Z22-$Z$1)/APtoDPS*MHnorm)*(1.1+talSCallInstBon)+420*(1+raidcrit)*debuffon,IF(instatk="ss",(MHavg+(ap+Z22-$Z$1)/APtoDPS*MHnorm+98)*(1+sa*0.1+0.02*agg+Slayer4value-1),IF(instatk="v",(ohavg+(ap+Z22-$Z$1)/APtoDPS*OHnorm)*(1+sa*0.1)*(0.5+0.05*dws)+avipdam,Slayer4value*((1+0.04*opp)*(MHavg+101+(ap+Z22-$Z$1)/APtoDPS*MHnorm+(0.5+0.05*dws)*(ohavg+(ap+Z22-$Z$1)/APtoDPS*OHnorm)+101*(1+0.1*dws))*(1+0.5*IF(Talents!$O$18="Yes",1,0)))))))*(instactualhit+(1+((leth*0.06+2)-1)*(cfact-1))*instactualcrit)*fwfactor*AB22*instsec*(AF22/$AN$45))</f>
        <v>307.31443095592368</v>
      </c>
      <c r="AH22" s="25">
        <f t="shared" si="32"/>
        <v>0</v>
      </c>
      <c r="AI22" s="25">
        <f t="shared" si="33"/>
        <v>0</v>
      </c>
      <c r="AJ22" s="25">
        <f t="shared" si="34"/>
        <v>0</v>
      </c>
      <c r="AL22" t="b">
        <f t="shared" si="36"/>
        <v>0</v>
      </c>
      <c r="AM22" t="s">
        <v>132</v>
      </c>
      <c r="AR22">
        <f>200*AL22</f>
        <v>0</v>
      </c>
      <c r="AT22">
        <v>15</v>
      </c>
      <c r="AU22">
        <f>15*AL22</f>
        <v>0</v>
      </c>
    </row>
    <row r="23" spans="1:49">
      <c r="A23">
        <f t="shared" si="15"/>
        <v>20</v>
      </c>
      <c r="B23">
        <f t="shared" si="23"/>
        <v>2</v>
      </c>
      <c r="C23">
        <f t="shared" si="0"/>
        <v>60</v>
      </c>
      <c r="D23">
        <f t="shared" si="16"/>
        <v>21</v>
      </c>
      <c r="E23">
        <f t="shared" si="35"/>
        <v>2</v>
      </c>
      <c r="F23">
        <f t="shared" si="1"/>
        <v>90</v>
      </c>
      <c r="G23">
        <f t="shared" si="17"/>
        <v>21</v>
      </c>
      <c r="H23">
        <f t="shared" si="24"/>
        <v>2</v>
      </c>
      <c r="I23">
        <f t="shared" si="2"/>
        <v>120</v>
      </c>
      <c r="J23">
        <f t="shared" si="18"/>
        <v>21</v>
      </c>
      <c r="K23">
        <f t="shared" si="25"/>
        <v>2</v>
      </c>
      <c r="L23">
        <f t="shared" si="3"/>
        <v>180</v>
      </c>
      <c r="M23">
        <f t="shared" si="19"/>
        <v>21</v>
      </c>
      <c r="N23">
        <f t="shared" si="26"/>
        <v>2</v>
      </c>
      <c r="O23">
        <f t="shared" si="4"/>
        <v>300</v>
      </c>
      <c r="P23">
        <f t="shared" si="27"/>
        <v>0</v>
      </c>
      <c r="Q23">
        <f t="shared" si="28"/>
        <v>2</v>
      </c>
      <c r="R23">
        <f t="shared" si="5"/>
        <v>300</v>
      </c>
      <c r="S23">
        <f t="shared" si="29"/>
        <v>0</v>
      </c>
      <c r="T23">
        <f t="shared" si="30"/>
        <v>-1</v>
      </c>
      <c r="U23">
        <f t="shared" si="20"/>
        <v>0</v>
      </c>
      <c r="V23">
        <f t="shared" si="21"/>
        <v>1</v>
      </c>
      <c r="W23">
        <f t="shared" si="6"/>
        <v>0</v>
      </c>
      <c r="X23">
        <f t="shared" si="31"/>
        <v>21</v>
      </c>
      <c r="Y23">
        <f t="shared" si="7"/>
        <v>0</v>
      </c>
      <c r="Z23">
        <f t="shared" si="8"/>
        <v>0</v>
      </c>
      <c r="AA23">
        <f t="shared" si="9"/>
        <v>0</v>
      </c>
      <c r="AB23" s="29">
        <f t="shared" si="10"/>
        <v>0.74178816089935007</v>
      </c>
      <c r="AC23" s="25">
        <f t="shared" si="11"/>
        <v>207.49804426656831</v>
      </c>
      <c r="AD23" s="29">
        <f t="shared" si="12"/>
        <v>1.4710593633221953</v>
      </c>
      <c r="AE23" s="25">
        <f t="shared" si="22"/>
        <v>13.243681724743192</v>
      </c>
      <c r="AF23" s="25">
        <f t="shared" si="14"/>
        <v>13.243681724743192</v>
      </c>
      <c r="AG23" s="25">
        <f>IF($A23&lt;0,0,IF(instatk="bs",(1.5+talSCallInstBon)*(MHavg+(ap+Z23-$Z$1)/APtoDPS*MHnorm+170)*(1+sa*0.1+0.04*opp+0.02*agg+Slayer4value-1),IF(instatk="hemo",Slayer4value*(MHavg+(ap+Z23-$Z$1)/APtoDPS*MHnorm)*(1.1+talSCallInstBon)+420*(1+raidcrit)*debuffon,IF(instatk="ss",(MHavg+(ap+Z23-$Z$1)/APtoDPS*MHnorm+98)*(1+sa*0.1+0.02*agg+Slayer4value-1),IF(instatk="v",(ohavg+(ap+Z23-$Z$1)/APtoDPS*OHnorm)*(1+sa*0.1)*(0.5+0.05*dws)+avipdam,Slayer4value*((1+0.04*opp)*(MHavg+101+(ap+Z23-$Z$1)/APtoDPS*MHnorm+(0.5+0.05*dws)*(ohavg+(ap+Z23-$Z$1)/APtoDPS*OHnorm)+101*(1+0.1*dws))*(1+0.5*IF(Talents!$O$18="Yes",1,0)))))))*(instactualhit+(1+((leth*0.06+2)-1)*(cfact-1))*instactualcrit)*fwfactor*AB23*instsec*(AF23/$AN$45))</f>
        <v>290.78918279358999</v>
      </c>
      <c r="AH23" s="25">
        <f t="shared" si="32"/>
        <v>0</v>
      </c>
      <c r="AI23" s="25">
        <f t="shared" si="33"/>
        <v>0</v>
      </c>
      <c r="AJ23" s="25">
        <f t="shared" si="34"/>
        <v>0</v>
      </c>
      <c r="AL23" t="b">
        <f t="shared" si="36"/>
        <v>0</v>
      </c>
      <c r="AM23" t="s">
        <v>2399</v>
      </c>
      <c r="AP23">
        <f>185*AL23</f>
        <v>0</v>
      </c>
      <c r="AT23">
        <v>15</v>
      </c>
      <c r="AU23">
        <f>15*AL23</f>
        <v>0</v>
      </c>
    </row>
    <row r="24" spans="1:49">
      <c r="A24">
        <f t="shared" si="15"/>
        <v>21</v>
      </c>
      <c r="B24">
        <f t="shared" si="23"/>
        <v>2</v>
      </c>
      <c r="C24">
        <f t="shared" si="0"/>
        <v>60</v>
      </c>
      <c r="D24">
        <f t="shared" si="16"/>
        <v>22</v>
      </c>
      <c r="E24">
        <f t="shared" si="35"/>
        <v>2</v>
      </c>
      <c r="F24">
        <f t="shared" si="1"/>
        <v>90</v>
      </c>
      <c r="G24">
        <f t="shared" si="17"/>
        <v>22</v>
      </c>
      <c r="H24">
        <f t="shared" si="24"/>
        <v>2</v>
      </c>
      <c r="I24">
        <f t="shared" si="2"/>
        <v>120</v>
      </c>
      <c r="J24">
        <f t="shared" si="18"/>
        <v>22</v>
      </c>
      <c r="K24">
        <f t="shared" si="25"/>
        <v>2</v>
      </c>
      <c r="L24">
        <f t="shared" si="3"/>
        <v>180</v>
      </c>
      <c r="M24">
        <f t="shared" si="19"/>
        <v>22</v>
      </c>
      <c r="N24">
        <f t="shared" si="26"/>
        <v>2</v>
      </c>
      <c r="O24">
        <f t="shared" si="4"/>
        <v>300</v>
      </c>
      <c r="P24">
        <f t="shared" si="27"/>
        <v>0</v>
      </c>
      <c r="Q24">
        <f t="shared" si="28"/>
        <v>2</v>
      </c>
      <c r="R24">
        <f t="shared" si="5"/>
        <v>300</v>
      </c>
      <c r="S24">
        <f t="shared" si="29"/>
        <v>0</v>
      </c>
      <c r="T24">
        <f t="shared" si="30"/>
        <v>-1</v>
      </c>
      <c r="U24">
        <f t="shared" si="20"/>
        <v>0</v>
      </c>
      <c r="V24">
        <f t="shared" si="21"/>
        <v>1</v>
      </c>
      <c r="W24">
        <f t="shared" si="6"/>
        <v>0</v>
      </c>
      <c r="X24">
        <f t="shared" si="31"/>
        <v>22</v>
      </c>
      <c r="Y24">
        <f t="shared" si="7"/>
        <v>0</v>
      </c>
      <c r="Z24">
        <f t="shared" si="8"/>
        <v>0</v>
      </c>
      <c r="AA24">
        <f t="shared" si="9"/>
        <v>0</v>
      </c>
      <c r="AB24" s="29">
        <f t="shared" si="10"/>
        <v>0.74178816089935007</v>
      </c>
      <c r="AC24" s="25">
        <f t="shared" si="11"/>
        <v>207.49804426656831</v>
      </c>
      <c r="AD24" s="29">
        <f t="shared" si="12"/>
        <v>1.4710593633221953</v>
      </c>
      <c r="AE24" s="25">
        <f t="shared" si="22"/>
        <v>13.243681724743192</v>
      </c>
      <c r="AF24" s="25">
        <f t="shared" si="14"/>
        <v>13.243681724743192</v>
      </c>
      <c r="AG24" s="25">
        <f>IF($A24&lt;0,0,IF(instatk="bs",(1.5+talSCallInstBon)*(MHavg+(ap+Z24-$Z$1)/APtoDPS*MHnorm+170)*(1+sa*0.1+0.04*opp+0.02*agg+Slayer4value-1),IF(instatk="hemo",Slayer4value*(MHavg+(ap+Z24-$Z$1)/APtoDPS*MHnorm)*(1.1+talSCallInstBon)+420*(1+raidcrit)*debuffon,IF(instatk="ss",(MHavg+(ap+Z24-$Z$1)/APtoDPS*MHnorm+98)*(1+sa*0.1+0.02*agg+Slayer4value-1),IF(instatk="v",(ohavg+(ap+Z24-$Z$1)/APtoDPS*OHnorm)*(1+sa*0.1)*(0.5+0.05*dws)+avipdam,Slayer4value*((1+0.04*opp)*(MHavg+101+(ap+Z24-$Z$1)/APtoDPS*MHnorm+(0.5+0.05*dws)*(ohavg+(ap+Z24-$Z$1)/APtoDPS*OHnorm)+101*(1+0.1*dws))*(1+0.5*IF(Talents!$O$18="Yes",1,0)))))))*(instactualhit+(1+((leth*0.06+2)-1)*(cfact-1))*instactualcrit)*fwfactor*AB24*instsec*(AF24/$AN$45))</f>
        <v>290.78918279358999</v>
      </c>
      <c r="AH24" s="25">
        <f t="shared" si="32"/>
        <v>0</v>
      </c>
      <c r="AI24" s="25">
        <f t="shared" si="33"/>
        <v>0</v>
      </c>
      <c r="AJ24" s="25">
        <f t="shared" si="34"/>
        <v>0</v>
      </c>
      <c r="AL24" t="b">
        <f t="shared" si="36"/>
        <v>0</v>
      </c>
      <c r="AM24" t="s">
        <v>139</v>
      </c>
      <c r="AP24">
        <f>260*AL24</f>
        <v>0</v>
      </c>
      <c r="AT24">
        <v>20</v>
      </c>
      <c r="AU24">
        <f t="shared" ref="AU24" si="38">20*AL24</f>
        <v>0</v>
      </c>
    </row>
    <row r="25" spans="1:49">
      <c r="A25">
        <f t="shared" si="15"/>
        <v>22</v>
      </c>
      <c r="B25">
        <f t="shared" si="23"/>
        <v>2</v>
      </c>
      <c r="C25">
        <f t="shared" si="0"/>
        <v>60</v>
      </c>
      <c r="D25">
        <f t="shared" si="16"/>
        <v>23</v>
      </c>
      <c r="E25">
        <f t="shared" si="35"/>
        <v>2</v>
      </c>
      <c r="F25">
        <f t="shared" si="1"/>
        <v>90</v>
      </c>
      <c r="G25">
        <f t="shared" si="17"/>
        <v>23</v>
      </c>
      <c r="H25">
        <f t="shared" si="24"/>
        <v>2</v>
      </c>
      <c r="I25">
        <f t="shared" si="2"/>
        <v>120</v>
      </c>
      <c r="J25">
        <f t="shared" si="18"/>
        <v>23</v>
      </c>
      <c r="K25">
        <f t="shared" si="25"/>
        <v>2</v>
      </c>
      <c r="L25">
        <f t="shared" si="3"/>
        <v>180</v>
      </c>
      <c r="M25">
        <f t="shared" si="19"/>
        <v>23</v>
      </c>
      <c r="N25">
        <f t="shared" si="26"/>
        <v>2</v>
      </c>
      <c r="O25">
        <f t="shared" si="4"/>
        <v>300</v>
      </c>
      <c r="P25">
        <f t="shared" si="27"/>
        <v>0</v>
      </c>
      <c r="Q25">
        <f t="shared" si="28"/>
        <v>2</v>
      </c>
      <c r="R25">
        <f t="shared" si="5"/>
        <v>300</v>
      </c>
      <c r="S25">
        <f t="shared" si="29"/>
        <v>0</v>
      </c>
      <c r="T25">
        <f t="shared" si="30"/>
        <v>-1</v>
      </c>
      <c r="U25">
        <f t="shared" si="20"/>
        <v>0</v>
      </c>
      <c r="V25">
        <f t="shared" si="21"/>
        <v>1</v>
      </c>
      <c r="W25">
        <f t="shared" si="6"/>
        <v>0</v>
      </c>
      <c r="X25">
        <f t="shared" si="31"/>
        <v>23</v>
      </c>
      <c r="Y25">
        <f t="shared" si="7"/>
        <v>0</v>
      </c>
      <c r="Z25">
        <f t="shared" si="8"/>
        <v>0</v>
      </c>
      <c r="AA25">
        <f t="shared" si="9"/>
        <v>0</v>
      </c>
      <c r="AB25" s="29">
        <f t="shared" si="10"/>
        <v>0.74178816089935007</v>
      </c>
      <c r="AC25" s="25">
        <f t="shared" si="11"/>
        <v>207.49804426656831</v>
      </c>
      <c r="AD25" s="29">
        <f t="shared" si="12"/>
        <v>1.4710593633221953</v>
      </c>
      <c r="AE25" s="25">
        <f t="shared" si="22"/>
        <v>13.243681724743192</v>
      </c>
      <c r="AF25" s="25">
        <f t="shared" si="14"/>
        <v>13.243681724743192</v>
      </c>
      <c r="AG25" s="25">
        <f>IF($A25&lt;0,0,IF(instatk="bs",(1.5+talSCallInstBon)*(MHavg+(ap+Z25-$Z$1)/APtoDPS*MHnorm+170)*(1+sa*0.1+0.04*opp+0.02*agg+Slayer4value-1),IF(instatk="hemo",Slayer4value*(MHavg+(ap+Z25-$Z$1)/APtoDPS*MHnorm)*(1.1+talSCallInstBon)+420*(1+raidcrit)*debuffon,IF(instatk="ss",(MHavg+(ap+Z25-$Z$1)/APtoDPS*MHnorm+98)*(1+sa*0.1+0.02*agg+Slayer4value-1),IF(instatk="v",(ohavg+(ap+Z25-$Z$1)/APtoDPS*OHnorm)*(1+sa*0.1)*(0.5+0.05*dws)+avipdam,Slayer4value*((1+0.04*opp)*(MHavg+101+(ap+Z25-$Z$1)/APtoDPS*MHnorm+(0.5+0.05*dws)*(ohavg+(ap+Z25-$Z$1)/APtoDPS*OHnorm)+101*(1+0.1*dws))*(1+0.5*IF(Talents!$O$18="Yes",1,0)))))))*(instactualhit+(1+((leth*0.06+2)-1)*(cfact-1))*instactualcrit)*fwfactor*AB25*instsec*(AF25/$AN$45))</f>
        <v>290.78918279358999</v>
      </c>
      <c r="AH25" s="25">
        <f t="shared" si="32"/>
        <v>0</v>
      </c>
      <c r="AI25" s="25">
        <f t="shared" si="33"/>
        <v>0</v>
      </c>
      <c r="AJ25" s="25">
        <f t="shared" si="34"/>
        <v>0</v>
      </c>
      <c r="AL25" t="b">
        <f t="shared" si="36"/>
        <v>0</v>
      </c>
      <c r="AM25" t="s">
        <v>2400</v>
      </c>
      <c r="AP25">
        <f>185*AL25</f>
        <v>0</v>
      </c>
      <c r="AT25">
        <v>15</v>
      </c>
      <c r="AU25">
        <f>15*AL25</f>
        <v>0</v>
      </c>
    </row>
    <row r="26" spans="1:49">
      <c r="A26">
        <f t="shared" si="15"/>
        <v>23</v>
      </c>
      <c r="B26">
        <f t="shared" si="23"/>
        <v>2</v>
      </c>
      <c r="C26">
        <f t="shared" si="0"/>
        <v>60</v>
      </c>
      <c r="D26">
        <f t="shared" si="16"/>
        <v>24</v>
      </c>
      <c r="E26">
        <f t="shared" si="35"/>
        <v>2</v>
      </c>
      <c r="F26">
        <f t="shared" si="1"/>
        <v>90</v>
      </c>
      <c r="G26">
        <f t="shared" si="17"/>
        <v>24</v>
      </c>
      <c r="H26">
        <f t="shared" si="24"/>
        <v>2</v>
      </c>
      <c r="I26">
        <f t="shared" si="2"/>
        <v>120</v>
      </c>
      <c r="J26">
        <f t="shared" si="18"/>
        <v>24</v>
      </c>
      <c r="K26">
        <f t="shared" si="25"/>
        <v>2</v>
      </c>
      <c r="L26">
        <f t="shared" si="3"/>
        <v>180</v>
      </c>
      <c r="M26">
        <f t="shared" si="19"/>
        <v>24</v>
      </c>
      <c r="N26">
        <f t="shared" si="26"/>
        <v>2</v>
      </c>
      <c r="O26">
        <f t="shared" si="4"/>
        <v>300</v>
      </c>
      <c r="P26">
        <f t="shared" si="27"/>
        <v>0</v>
      </c>
      <c r="Q26">
        <f t="shared" si="28"/>
        <v>2</v>
      </c>
      <c r="R26">
        <f t="shared" si="5"/>
        <v>300</v>
      </c>
      <c r="S26">
        <f t="shared" si="29"/>
        <v>0</v>
      </c>
      <c r="T26">
        <f t="shared" si="30"/>
        <v>-1</v>
      </c>
      <c r="U26">
        <f t="shared" si="20"/>
        <v>0</v>
      </c>
      <c r="V26">
        <f t="shared" si="21"/>
        <v>1</v>
      </c>
      <c r="W26">
        <f t="shared" si="6"/>
        <v>0</v>
      </c>
      <c r="X26">
        <f t="shared" si="31"/>
        <v>24</v>
      </c>
      <c r="Y26">
        <f t="shared" si="7"/>
        <v>0</v>
      </c>
      <c r="Z26">
        <f t="shared" si="8"/>
        <v>0</v>
      </c>
      <c r="AA26">
        <f t="shared" si="9"/>
        <v>0</v>
      </c>
      <c r="AB26" s="29">
        <f t="shared" si="10"/>
        <v>0.74178816089935007</v>
      </c>
      <c r="AC26" s="25">
        <f t="shared" si="11"/>
        <v>207.49804426656831</v>
      </c>
      <c r="AD26" s="29">
        <f t="shared" si="12"/>
        <v>1.4710593633221953</v>
      </c>
      <c r="AE26" s="25">
        <f t="shared" si="22"/>
        <v>13.243681724743192</v>
      </c>
      <c r="AF26" s="25">
        <f t="shared" si="14"/>
        <v>13.243681724743192</v>
      </c>
      <c r="AG26" s="25">
        <f>IF($A26&lt;0,0,IF(instatk="bs",(1.5+talSCallInstBon)*(MHavg+(ap+Z26-$Z$1)/APtoDPS*MHnorm+170)*(1+sa*0.1+0.04*opp+0.02*agg+Slayer4value-1),IF(instatk="hemo",Slayer4value*(MHavg+(ap+Z26-$Z$1)/APtoDPS*MHnorm)*(1.1+talSCallInstBon)+420*(1+raidcrit)*debuffon,IF(instatk="ss",(MHavg+(ap+Z26-$Z$1)/APtoDPS*MHnorm+98)*(1+sa*0.1+0.02*agg+Slayer4value-1),IF(instatk="v",(ohavg+(ap+Z26-$Z$1)/APtoDPS*OHnorm)*(1+sa*0.1)*(0.5+0.05*dws)+avipdam,Slayer4value*((1+0.04*opp)*(MHavg+101+(ap+Z26-$Z$1)/APtoDPS*MHnorm+(0.5+0.05*dws)*(ohavg+(ap+Z26-$Z$1)/APtoDPS*OHnorm)+101*(1+0.1*dws))*(1+0.5*IF(Talents!$O$18="Yes",1,0)))))))*(instactualhit+(1+((leth*0.06+2)-1)*(cfact-1))*instactualcrit)*fwfactor*AB26*instsec*(AF26/$AN$45))</f>
        <v>290.78918279358999</v>
      </c>
      <c r="AH26" s="25">
        <f t="shared" si="32"/>
        <v>0</v>
      </c>
      <c r="AI26" s="25">
        <f t="shared" si="33"/>
        <v>0</v>
      </c>
      <c r="AJ26" s="25">
        <f t="shared" si="34"/>
        <v>0</v>
      </c>
      <c r="AL26" t="b">
        <f>blfl&gt;0</f>
        <v>1</v>
      </c>
      <c r="AM26" t="s">
        <v>746</v>
      </c>
      <c r="AS26">
        <f>20*AL26</f>
        <v>20</v>
      </c>
      <c r="AT26">
        <v>15</v>
      </c>
      <c r="AU26">
        <v>0</v>
      </c>
    </row>
    <row r="27" spans="1:49">
      <c r="A27">
        <f t="shared" si="15"/>
        <v>24</v>
      </c>
      <c r="B27">
        <f t="shared" si="23"/>
        <v>2</v>
      </c>
      <c r="C27">
        <f t="shared" si="0"/>
        <v>60</v>
      </c>
      <c r="D27">
        <f t="shared" si="16"/>
        <v>25</v>
      </c>
      <c r="E27">
        <f t="shared" si="35"/>
        <v>2</v>
      </c>
      <c r="F27">
        <f t="shared" si="1"/>
        <v>90</v>
      </c>
      <c r="G27">
        <f t="shared" si="17"/>
        <v>25</v>
      </c>
      <c r="H27">
        <f t="shared" si="24"/>
        <v>2</v>
      </c>
      <c r="I27">
        <f t="shared" si="2"/>
        <v>120</v>
      </c>
      <c r="J27">
        <f t="shared" si="18"/>
        <v>25</v>
      </c>
      <c r="K27">
        <f t="shared" si="25"/>
        <v>2</v>
      </c>
      <c r="L27">
        <f t="shared" si="3"/>
        <v>180</v>
      </c>
      <c r="M27">
        <f t="shared" si="19"/>
        <v>25</v>
      </c>
      <c r="N27">
        <f t="shared" si="26"/>
        <v>2</v>
      </c>
      <c r="O27">
        <f t="shared" si="4"/>
        <v>300</v>
      </c>
      <c r="P27">
        <f t="shared" si="27"/>
        <v>0</v>
      </c>
      <c r="Q27">
        <f t="shared" si="28"/>
        <v>2</v>
      </c>
      <c r="R27">
        <f t="shared" si="5"/>
        <v>300</v>
      </c>
      <c r="S27">
        <f t="shared" si="29"/>
        <v>0</v>
      </c>
      <c r="T27">
        <f t="shared" si="30"/>
        <v>-1</v>
      </c>
      <c r="U27">
        <f t="shared" si="20"/>
        <v>0</v>
      </c>
      <c r="V27">
        <f t="shared" si="21"/>
        <v>1</v>
      </c>
      <c r="W27">
        <f t="shared" si="6"/>
        <v>0</v>
      </c>
      <c r="X27">
        <f t="shared" si="31"/>
        <v>25</v>
      </c>
      <c r="Y27">
        <f t="shared" si="7"/>
        <v>0</v>
      </c>
      <c r="Z27">
        <f t="shared" si="8"/>
        <v>0</v>
      </c>
      <c r="AA27">
        <f t="shared" si="9"/>
        <v>0</v>
      </c>
      <c r="AB27" s="29">
        <f t="shared" si="10"/>
        <v>0.74178816089935007</v>
      </c>
      <c r="AC27" s="25">
        <f t="shared" si="11"/>
        <v>207.49804426656831</v>
      </c>
      <c r="AD27" s="29">
        <f t="shared" si="12"/>
        <v>1.4710593633221953</v>
      </c>
      <c r="AE27" s="25">
        <f t="shared" si="22"/>
        <v>13.243681724743192</v>
      </c>
      <c r="AF27" s="25">
        <f t="shared" si="14"/>
        <v>13.243681724743192</v>
      </c>
      <c r="AG27" s="25">
        <f>IF($A27&lt;0,0,IF(instatk="bs",(1.5+talSCallInstBon)*(MHavg+(ap+Z27-$Z$1)/APtoDPS*MHnorm+170)*(1+sa*0.1+0.04*opp+0.02*agg+Slayer4value-1),IF(instatk="hemo",Slayer4value*(MHavg+(ap+Z27-$Z$1)/APtoDPS*MHnorm)*(1.1+talSCallInstBon)+420*(1+raidcrit)*debuffon,IF(instatk="ss",(MHavg+(ap+Z27-$Z$1)/APtoDPS*MHnorm+98)*(1+sa*0.1+0.02*agg+Slayer4value-1),IF(instatk="v",(ohavg+(ap+Z27-$Z$1)/APtoDPS*OHnorm)*(1+sa*0.1)*(0.5+0.05*dws)+avipdam,Slayer4value*((1+0.04*opp)*(MHavg+101+(ap+Z27-$Z$1)/APtoDPS*MHnorm+(0.5+0.05*dws)*(ohavg+(ap+Z27-$Z$1)/APtoDPS*OHnorm)+101*(1+0.1*dws))*(1+0.5*IF(Talents!$O$18="Yes",1,0)))))))*(instactualhit+(1+((leth*0.06+2)-1)*(cfact-1))*instactualcrit)*fwfactor*AB27*instsec*(AF27/$AN$45))</f>
        <v>290.78918279358999</v>
      </c>
      <c r="AH27" s="25">
        <f t="shared" si="32"/>
        <v>0</v>
      </c>
      <c r="AI27" s="25">
        <f t="shared" si="33"/>
        <v>0</v>
      </c>
      <c r="AJ27" s="25">
        <f t="shared" si="34"/>
        <v>0</v>
      </c>
      <c r="AL27" t="b">
        <f>AND(includeracials,CharRace="Orc")</f>
        <v>0</v>
      </c>
      <c r="AM27" t="s">
        <v>2920</v>
      </c>
      <c r="AP27">
        <f>(2+CharLevel*4)*AL27</f>
        <v>0</v>
      </c>
      <c r="AT27">
        <v>15</v>
      </c>
      <c r="AU27">
        <v>0</v>
      </c>
    </row>
    <row r="28" spans="1:49">
      <c r="A28">
        <f t="shared" si="15"/>
        <v>25</v>
      </c>
      <c r="B28">
        <f t="shared" si="23"/>
        <v>2</v>
      </c>
      <c r="C28">
        <f t="shared" si="0"/>
        <v>60</v>
      </c>
      <c r="D28">
        <f t="shared" si="16"/>
        <v>26</v>
      </c>
      <c r="E28">
        <f t="shared" si="35"/>
        <v>2</v>
      </c>
      <c r="F28">
        <f t="shared" si="1"/>
        <v>90</v>
      </c>
      <c r="G28">
        <f t="shared" si="17"/>
        <v>26</v>
      </c>
      <c r="H28">
        <f t="shared" si="24"/>
        <v>2</v>
      </c>
      <c r="I28">
        <f t="shared" si="2"/>
        <v>120</v>
      </c>
      <c r="J28">
        <f t="shared" si="18"/>
        <v>26</v>
      </c>
      <c r="K28">
        <f t="shared" si="25"/>
        <v>2</v>
      </c>
      <c r="L28">
        <f t="shared" si="3"/>
        <v>180</v>
      </c>
      <c r="M28">
        <f t="shared" si="19"/>
        <v>26</v>
      </c>
      <c r="N28">
        <f t="shared" si="26"/>
        <v>2</v>
      </c>
      <c r="O28">
        <f t="shared" si="4"/>
        <v>300</v>
      </c>
      <c r="P28">
        <f t="shared" si="27"/>
        <v>0</v>
      </c>
      <c r="Q28">
        <f t="shared" si="28"/>
        <v>2</v>
      </c>
      <c r="R28">
        <f t="shared" si="5"/>
        <v>300</v>
      </c>
      <c r="S28">
        <f t="shared" si="29"/>
        <v>0</v>
      </c>
      <c r="T28">
        <f t="shared" si="30"/>
        <v>-1</v>
      </c>
      <c r="U28">
        <f t="shared" si="20"/>
        <v>0</v>
      </c>
      <c r="V28">
        <f t="shared" si="21"/>
        <v>1</v>
      </c>
      <c r="W28">
        <f t="shared" si="6"/>
        <v>0</v>
      </c>
      <c r="X28">
        <f t="shared" si="31"/>
        <v>26</v>
      </c>
      <c r="Y28">
        <f t="shared" si="7"/>
        <v>0</v>
      </c>
      <c r="Z28">
        <f t="shared" si="8"/>
        <v>0</v>
      </c>
      <c r="AA28">
        <f t="shared" si="9"/>
        <v>0</v>
      </c>
      <c r="AB28" s="29">
        <f t="shared" si="10"/>
        <v>0.74178816089935007</v>
      </c>
      <c r="AC28" s="25">
        <f t="shared" si="11"/>
        <v>207.49804426656831</v>
      </c>
      <c r="AD28" s="29">
        <f t="shared" si="12"/>
        <v>1.4710593633221953</v>
      </c>
      <c r="AE28" s="25">
        <f t="shared" si="22"/>
        <v>13.243681724743192</v>
      </c>
      <c r="AF28" s="25">
        <f t="shared" si="14"/>
        <v>13.243681724743192</v>
      </c>
      <c r="AG28" s="25">
        <f>IF($A28&lt;0,0,IF(instatk="bs",(1.5+talSCallInstBon)*(MHavg+(ap+Z28-$Z$1)/APtoDPS*MHnorm+170)*(1+sa*0.1+0.04*opp+0.02*agg+Slayer4value-1),IF(instatk="hemo",Slayer4value*(MHavg+(ap+Z28-$Z$1)/APtoDPS*MHnorm)*(1.1+talSCallInstBon)+420*(1+raidcrit)*debuffon,IF(instatk="ss",(MHavg+(ap+Z28-$Z$1)/APtoDPS*MHnorm+98)*(1+sa*0.1+0.02*agg+Slayer4value-1),IF(instatk="v",(ohavg+(ap+Z28-$Z$1)/APtoDPS*OHnorm)*(1+sa*0.1)*(0.5+0.05*dws)+avipdam,Slayer4value*((1+0.04*opp)*(MHavg+101+(ap+Z28-$Z$1)/APtoDPS*MHnorm+(0.5+0.05*dws)*(ohavg+(ap+Z28-$Z$1)/APtoDPS*OHnorm)+101*(1+0.1*dws))*(1+0.5*IF(Talents!$O$18="Yes",1,0)))))))*(instactualhit+(1+((leth*0.06+2)-1)*(cfact-1))*instactualcrit)*fwfactor*AB28*instsec*(AF28/$AN$45))</f>
        <v>290.78918279358999</v>
      </c>
      <c r="AH28" s="25">
        <f t="shared" si="32"/>
        <v>0</v>
      </c>
      <c r="AI28" s="25">
        <f t="shared" si="33"/>
        <v>0</v>
      </c>
      <c r="AJ28" s="25">
        <f t="shared" si="34"/>
        <v>0</v>
      </c>
      <c r="AL28" t="b">
        <f>AND(Talents!O36="No", 'Gear &amp; Buffs'!B135&gt;0)</f>
        <v>1</v>
      </c>
      <c r="AM28" t="s">
        <v>1334</v>
      </c>
      <c r="AR28">
        <f>400*AL28</f>
        <v>400</v>
      </c>
      <c r="AT28">
        <v>15</v>
      </c>
      <c r="AU28">
        <v>0</v>
      </c>
    </row>
    <row r="29" spans="1:49">
      <c r="A29">
        <f t="shared" si="15"/>
        <v>26</v>
      </c>
      <c r="B29">
        <f t="shared" si="23"/>
        <v>2</v>
      </c>
      <c r="C29">
        <f t="shared" si="0"/>
        <v>60</v>
      </c>
      <c r="D29">
        <f t="shared" si="16"/>
        <v>27</v>
      </c>
      <c r="E29">
        <f t="shared" si="35"/>
        <v>2</v>
      </c>
      <c r="F29">
        <f t="shared" si="1"/>
        <v>90</v>
      </c>
      <c r="G29">
        <f t="shared" si="17"/>
        <v>27</v>
      </c>
      <c r="H29">
        <f t="shared" si="24"/>
        <v>2</v>
      </c>
      <c r="I29">
        <f t="shared" si="2"/>
        <v>120</v>
      </c>
      <c r="J29">
        <f t="shared" si="18"/>
        <v>27</v>
      </c>
      <c r="K29">
        <f t="shared" si="25"/>
        <v>2</v>
      </c>
      <c r="L29">
        <f t="shared" si="3"/>
        <v>180</v>
      </c>
      <c r="M29">
        <f t="shared" si="19"/>
        <v>27</v>
      </c>
      <c r="N29">
        <f t="shared" si="26"/>
        <v>2</v>
      </c>
      <c r="O29">
        <f t="shared" si="4"/>
        <v>300</v>
      </c>
      <c r="P29">
        <f t="shared" si="27"/>
        <v>0</v>
      </c>
      <c r="Q29">
        <f t="shared" si="28"/>
        <v>2</v>
      </c>
      <c r="R29">
        <f t="shared" si="5"/>
        <v>300</v>
      </c>
      <c r="S29">
        <f t="shared" si="29"/>
        <v>0</v>
      </c>
      <c r="T29">
        <f t="shared" si="30"/>
        <v>-1</v>
      </c>
      <c r="U29">
        <f t="shared" si="20"/>
        <v>0</v>
      </c>
      <c r="V29">
        <f t="shared" si="21"/>
        <v>1</v>
      </c>
      <c r="W29">
        <f t="shared" si="6"/>
        <v>0</v>
      </c>
      <c r="X29">
        <f t="shared" si="31"/>
        <v>27</v>
      </c>
      <c r="Y29">
        <f t="shared" si="7"/>
        <v>0</v>
      </c>
      <c r="Z29">
        <f t="shared" si="8"/>
        <v>0</v>
      </c>
      <c r="AA29">
        <f t="shared" si="9"/>
        <v>0</v>
      </c>
      <c r="AB29" s="29">
        <f t="shared" si="10"/>
        <v>0.74178816089935007</v>
      </c>
      <c r="AC29" s="25">
        <f t="shared" si="11"/>
        <v>207.49804426656831</v>
      </c>
      <c r="AD29" s="29">
        <f t="shared" si="12"/>
        <v>1.4710593633221953</v>
      </c>
      <c r="AE29" s="25">
        <f t="shared" si="22"/>
        <v>13.243681724743192</v>
      </c>
      <c r="AF29" s="25">
        <f t="shared" si="14"/>
        <v>13.243681724743192</v>
      </c>
      <c r="AG29" s="25">
        <f>IF($A29&lt;0,0,IF(instatk="bs",(1.5+talSCallInstBon)*(MHavg+(ap+Z29-$Z$1)/APtoDPS*MHnorm+170)*(1+sa*0.1+0.04*opp+0.02*agg+Slayer4value-1),IF(instatk="hemo",Slayer4value*(MHavg+(ap+Z29-$Z$1)/APtoDPS*MHnorm)*(1.1+talSCallInstBon)+420*(1+raidcrit)*debuffon,IF(instatk="ss",(MHavg+(ap+Z29-$Z$1)/APtoDPS*MHnorm+98)*(1+sa*0.1+0.02*agg+Slayer4value-1),IF(instatk="v",(ohavg+(ap+Z29-$Z$1)/APtoDPS*OHnorm)*(1+sa*0.1)*(0.5+0.05*dws)+avipdam,Slayer4value*((1+0.04*opp)*(MHavg+101+(ap+Z29-$Z$1)/APtoDPS*MHnorm+(0.5+0.05*dws)*(ohavg+(ap+Z29-$Z$1)/APtoDPS*OHnorm)+101*(1+0.1*dws))*(1+0.5*IF(Talents!$O$18="Yes",1,0)))))))*(instactualhit+(1+((leth*0.06+2)-1)*(cfact-1))*instactualcrit)*fwfactor*AB29*instsec*(AF29/$AN$45))</f>
        <v>290.78918279358999</v>
      </c>
      <c r="AH29" s="25">
        <f t="shared" si="32"/>
        <v>0</v>
      </c>
      <c r="AI29" s="25">
        <f t="shared" si="33"/>
        <v>0</v>
      </c>
      <c r="AJ29" s="25">
        <f t="shared" si="34"/>
        <v>0</v>
      </c>
      <c r="AL29" t="b">
        <f>AND(Talents!O36="No",'Gear &amp; Buffs'!B136&gt;0)</f>
        <v>1</v>
      </c>
      <c r="AM29" t="s">
        <v>1332</v>
      </c>
      <c r="AR29">
        <f>80*AL29</f>
        <v>80</v>
      </c>
      <c r="AT29">
        <v>30</v>
      </c>
      <c r="AU29">
        <v>0</v>
      </c>
    </row>
    <row r="30" spans="1:49">
      <c r="A30">
        <f t="shared" si="15"/>
        <v>27</v>
      </c>
      <c r="B30">
        <f t="shared" si="23"/>
        <v>2</v>
      </c>
      <c r="C30">
        <f t="shared" si="0"/>
        <v>60</v>
      </c>
      <c r="D30">
        <f t="shared" si="16"/>
        <v>28</v>
      </c>
      <c r="E30">
        <f t="shared" si="35"/>
        <v>2</v>
      </c>
      <c r="F30">
        <f t="shared" si="1"/>
        <v>90</v>
      </c>
      <c r="G30">
        <f t="shared" si="17"/>
        <v>28</v>
      </c>
      <c r="H30">
        <f t="shared" si="24"/>
        <v>2</v>
      </c>
      <c r="I30">
        <f t="shared" si="2"/>
        <v>120</v>
      </c>
      <c r="J30">
        <f t="shared" si="18"/>
        <v>28</v>
      </c>
      <c r="K30">
        <f t="shared" si="25"/>
        <v>2</v>
      </c>
      <c r="L30">
        <f t="shared" si="3"/>
        <v>180</v>
      </c>
      <c r="M30">
        <f t="shared" si="19"/>
        <v>28</v>
      </c>
      <c r="N30">
        <f t="shared" si="26"/>
        <v>2</v>
      </c>
      <c r="O30">
        <f t="shared" si="4"/>
        <v>300</v>
      </c>
      <c r="P30">
        <f t="shared" si="27"/>
        <v>0</v>
      </c>
      <c r="Q30">
        <f t="shared" si="28"/>
        <v>2</v>
      </c>
      <c r="R30">
        <f t="shared" si="5"/>
        <v>300</v>
      </c>
      <c r="S30">
        <f t="shared" si="29"/>
        <v>0</v>
      </c>
      <c r="T30">
        <f t="shared" si="30"/>
        <v>-1</v>
      </c>
      <c r="U30">
        <f t="shared" si="20"/>
        <v>0</v>
      </c>
      <c r="V30">
        <f t="shared" si="21"/>
        <v>1</v>
      </c>
      <c r="W30">
        <f t="shared" si="6"/>
        <v>0</v>
      </c>
      <c r="X30">
        <f t="shared" si="31"/>
        <v>28</v>
      </c>
      <c r="Y30">
        <f t="shared" si="7"/>
        <v>0</v>
      </c>
      <c r="Z30">
        <f t="shared" si="8"/>
        <v>0</v>
      </c>
      <c r="AA30">
        <f t="shared" si="9"/>
        <v>0</v>
      </c>
      <c r="AB30" s="29">
        <f t="shared" si="10"/>
        <v>0.74178816089935007</v>
      </c>
      <c r="AC30" s="25">
        <f t="shared" si="11"/>
        <v>207.49804426656831</v>
      </c>
      <c r="AD30" s="29">
        <f t="shared" si="12"/>
        <v>1.4710593633221953</v>
      </c>
      <c r="AE30" s="25">
        <f t="shared" si="22"/>
        <v>13.243681724743192</v>
      </c>
      <c r="AF30" s="25">
        <f t="shared" si="14"/>
        <v>13.243681724743192</v>
      </c>
      <c r="AG30" s="25">
        <f>IF($A30&lt;0,0,IF(instatk="bs",(1.5+talSCallInstBon)*(MHavg+(ap+Z30-$Z$1)/APtoDPS*MHnorm+170)*(1+sa*0.1+0.04*opp+0.02*agg+Slayer4value-1),IF(instatk="hemo",Slayer4value*(MHavg+(ap+Z30-$Z$1)/APtoDPS*MHnorm)*(1.1+talSCallInstBon)+420*(1+raidcrit)*debuffon,IF(instatk="ss",(MHavg+(ap+Z30-$Z$1)/APtoDPS*MHnorm+98)*(1+sa*0.1+0.02*agg+Slayer4value-1),IF(instatk="v",(ohavg+(ap+Z30-$Z$1)/APtoDPS*OHnorm)*(1+sa*0.1)*(0.5+0.05*dws)+avipdam,Slayer4value*((1+0.04*opp)*(MHavg+101+(ap+Z30-$Z$1)/APtoDPS*MHnorm+(0.5+0.05*dws)*(ohavg+(ap+Z30-$Z$1)/APtoDPS*OHnorm)+101*(1+0.1*dws))*(1+0.5*IF(Talents!$O$18="Yes",1,0)))))))*(instactualhit+(1+((leth*0.06+2)-1)*(cfact-1))*instactualcrit)*fwfactor*AB30*instsec*(AF30/$AN$45))</f>
        <v>290.78918279358999</v>
      </c>
      <c r="AH30" s="25">
        <f t="shared" si="32"/>
        <v>0</v>
      </c>
      <c r="AI30" s="25">
        <f t="shared" si="33"/>
        <v>0</v>
      </c>
      <c r="AJ30" s="25">
        <f t="shared" si="34"/>
        <v>0</v>
      </c>
      <c r="AL30" t="b">
        <f>AND(Talents!O36="No",'Gear &amp; Buffs'!B136=0,'Gear &amp; Buffs'!B137&gt;0)</f>
        <v>0</v>
      </c>
      <c r="AM30" t="s">
        <v>1331</v>
      </c>
      <c r="AP30">
        <f>60*AL30</f>
        <v>0</v>
      </c>
      <c r="AT30">
        <v>30</v>
      </c>
      <c r="AU30">
        <v>0</v>
      </c>
    </row>
    <row r="31" spans="1:49">
      <c r="A31">
        <f t="shared" si="15"/>
        <v>28</v>
      </c>
      <c r="B31">
        <f t="shared" si="23"/>
        <v>2</v>
      </c>
      <c r="C31">
        <f t="shared" si="0"/>
        <v>60</v>
      </c>
      <c r="D31">
        <f t="shared" si="16"/>
        <v>29</v>
      </c>
      <c r="E31">
        <f t="shared" si="35"/>
        <v>2</v>
      </c>
      <c r="F31">
        <f t="shared" si="1"/>
        <v>90</v>
      </c>
      <c r="G31">
        <f t="shared" si="17"/>
        <v>29</v>
      </c>
      <c r="H31">
        <f t="shared" si="24"/>
        <v>2</v>
      </c>
      <c r="I31">
        <f t="shared" si="2"/>
        <v>120</v>
      </c>
      <c r="J31">
        <f t="shared" si="18"/>
        <v>29</v>
      </c>
      <c r="K31">
        <f t="shared" si="25"/>
        <v>2</v>
      </c>
      <c r="L31">
        <f t="shared" si="3"/>
        <v>180</v>
      </c>
      <c r="M31">
        <f t="shared" si="19"/>
        <v>29</v>
      </c>
      <c r="N31">
        <f t="shared" si="26"/>
        <v>2</v>
      </c>
      <c r="O31">
        <f t="shared" si="4"/>
        <v>300</v>
      </c>
      <c r="P31">
        <f t="shared" si="27"/>
        <v>0</v>
      </c>
      <c r="Q31">
        <f t="shared" si="28"/>
        <v>2</v>
      </c>
      <c r="R31">
        <f t="shared" si="5"/>
        <v>300</v>
      </c>
      <c r="S31">
        <f t="shared" si="29"/>
        <v>0</v>
      </c>
      <c r="T31">
        <f t="shared" si="30"/>
        <v>-1</v>
      </c>
      <c r="U31">
        <f t="shared" si="20"/>
        <v>0</v>
      </c>
      <c r="V31">
        <f t="shared" si="21"/>
        <v>1</v>
      </c>
      <c r="W31">
        <f t="shared" si="6"/>
        <v>0</v>
      </c>
      <c r="X31">
        <f t="shared" si="31"/>
        <v>29</v>
      </c>
      <c r="Y31">
        <f t="shared" si="7"/>
        <v>0</v>
      </c>
      <c r="Z31">
        <f t="shared" si="8"/>
        <v>0</v>
      </c>
      <c r="AA31">
        <f t="shared" si="9"/>
        <v>0</v>
      </c>
      <c r="AB31" s="29">
        <f t="shared" si="10"/>
        <v>0.74178816089935007</v>
      </c>
      <c r="AC31" s="25">
        <f t="shared" si="11"/>
        <v>207.49804426656831</v>
      </c>
      <c r="AD31" s="29">
        <f t="shared" si="12"/>
        <v>1.4710593633221953</v>
      </c>
      <c r="AE31" s="25">
        <f t="shared" si="22"/>
        <v>13.243681724743192</v>
      </c>
      <c r="AF31" s="25">
        <f t="shared" si="14"/>
        <v>13.243681724743192</v>
      </c>
      <c r="AG31" s="25">
        <f>IF($A31&lt;0,0,IF(instatk="bs",(1.5+talSCallInstBon)*(MHavg+(ap+Z31-$Z$1)/APtoDPS*MHnorm+170)*(1+sa*0.1+0.04*opp+0.02*agg+Slayer4value-1),IF(instatk="hemo",Slayer4value*(MHavg+(ap+Z31-$Z$1)/APtoDPS*MHnorm)*(1.1+talSCallInstBon)+420*(1+raidcrit)*debuffon,IF(instatk="ss",(MHavg+(ap+Z31-$Z$1)/APtoDPS*MHnorm+98)*(1+sa*0.1+0.02*agg+Slayer4value-1),IF(instatk="v",(ohavg+(ap+Z31-$Z$1)/APtoDPS*OHnorm)*(1+sa*0.1)*(0.5+0.05*dws)+avipdam,Slayer4value*((1+0.04*opp)*(MHavg+101+(ap+Z31-$Z$1)/APtoDPS*MHnorm+(0.5+0.05*dws)*(ohavg+(ap+Z31-$Z$1)/APtoDPS*OHnorm)+101*(1+0.1*dws))*(1+0.5*IF(Talents!$O$18="Yes",1,0)))))))*(instactualhit+(1+((leth*0.06+2)-1)*(cfact-1))*instactualcrit)*fwfactor*AB31*instsec*(AF31/$AN$45))</f>
        <v>290.78918279358999</v>
      </c>
      <c r="AH31" s="25">
        <f t="shared" si="32"/>
        <v>0</v>
      </c>
      <c r="AI31" s="25">
        <f t="shared" si="33"/>
        <v>0</v>
      </c>
      <c r="AJ31" s="25">
        <f t="shared" si="34"/>
        <v>0</v>
      </c>
    </row>
    <row r="32" spans="1:49">
      <c r="A32">
        <f t="shared" si="15"/>
        <v>29</v>
      </c>
      <c r="B32">
        <f t="shared" si="23"/>
        <v>2</v>
      </c>
      <c r="C32">
        <f t="shared" si="0"/>
        <v>60</v>
      </c>
      <c r="D32">
        <f t="shared" si="16"/>
        <v>30</v>
      </c>
      <c r="E32">
        <f t="shared" si="35"/>
        <v>2</v>
      </c>
      <c r="F32">
        <f t="shared" si="1"/>
        <v>90</v>
      </c>
      <c r="G32">
        <f t="shared" si="17"/>
        <v>30</v>
      </c>
      <c r="H32">
        <f t="shared" si="24"/>
        <v>2</v>
      </c>
      <c r="I32">
        <f t="shared" si="2"/>
        <v>120</v>
      </c>
      <c r="J32">
        <f t="shared" si="18"/>
        <v>30</v>
      </c>
      <c r="K32">
        <f t="shared" si="25"/>
        <v>2</v>
      </c>
      <c r="L32">
        <f t="shared" si="3"/>
        <v>180</v>
      </c>
      <c r="M32">
        <f t="shared" si="19"/>
        <v>30</v>
      </c>
      <c r="N32">
        <f t="shared" si="26"/>
        <v>2</v>
      </c>
      <c r="O32">
        <f t="shared" si="4"/>
        <v>300</v>
      </c>
      <c r="P32">
        <f t="shared" si="27"/>
        <v>0</v>
      </c>
      <c r="Q32">
        <f t="shared" si="28"/>
        <v>2</v>
      </c>
      <c r="R32">
        <f t="shared" si="5"/>
        <v>300</v>
      </c>
      <c r="S32">
        <f t="shared" si="29"/>
        <v>0</v>
      </c>
      <c r="T32">
        <f t="shared" si="30"/>
        <v>-1</v>
      </c>
      <c r="U32">
        <f t="shared" si="20"/>
        <v>0</v>
      </c>
      <c r="V32">
        <f t="shared" si="21"/>
        <v>1</v>
      </c>
      <c r="W32">
        <f t="shared" si="6"/>
        <v>0</v>
      </c>
      <c r="X32">
        <f t="shared" si="31"/>
        <v>30</v>
      </c>
      <c r="Y32">
        <f t="shared" si="7"/>
        <v>0</v>
      </c>
      <c r="Z32">
        <f t="shared" si="8"/>
        <v>0</v>
      </c>
      <c r="AA32">
        <f t="shared" si="9"/>
        <v>0</v>
      </c>
      <c r="AB32" s="29">
        <f t="shared" si="10"/>
        <v>0.74178816089935007</v>
      </c>
      <c r="AC32" s="25">
        <f t="shared" si="11"/>
        <v>207.49804426656831</v>
      </c>
      <c r="AD32" s="29">
        <f t="shared" si="12"/>
        <v>1.4710593633221953</v>
      </c>
      <c r="AE32" s="25">
        <f t="shared" si="22"/>
        <v>13.243681724743192</v>
      </c>
      <c r="AF32" s="25">
        <f t="shared" si="14"/>
        <v>13.243681724743192</v>
      </c>
      <c r="AG32" s="25">
        <f>IF($A32&lt;0,0,IF(instatk="bs",(1.5+talSCallInstBon)*(MHavg+(ap+Z32-$Z$1)/APtoDPS*MHnorm+170)*(1+sa*0.1+0.04*opp+0.02*agg+Slayer4value-1),IF(instatk="hemo",Slayer4value*(MHavg+(ap+Z32-$Z$1)/APtoDPS*MHnorm)*(1.1+talSCallInstBon)+420*(1+raidcrit)*debuffon,IF(instatk="ss",(MHavg+(ap+Z32-$Z$1)/APtoDPS*MHnorm+98)*(1+sa*0.1+0.02*agg+Slayer4value-1),IF(instatk="v",(ohavg+(ap+Z32-$Z$1)/APtoDPS*OHnorm)*(1+sa*0.1)*(0.5+0.05*dws)+avipdam,Slayer4value*((1+0.04*opp)*(MHavg+101+(ap+Z32-$Z$1)/APtoDPS*MHnorm+(0.5+0.05*dws)*(ohavg+(ap+Z32-$Z$1)/APtoDPS*OHnorm)+101*(1+0.1*dws))*(1+0.5*IF(Talents!$O$18="Yes",1,0)))))))*(instactualhit+(1+((leth*0.06+2)-1)*(cfact-1))*instactualcrit)*fwfactor*AB32*instsec*(AF32/$AN$45))</f>
        <v>290.78918279358999</v>
      </c>
      <c r="AH32" s="25">
        <f t="shared" si="32"/>
        <v>0</v>
      </c>
      <c r="AI32" s="25">
        <f t="shared" si="33"/>
        <v>0</v>
      </c>
      <c r="AJ32" s="25">
        <f t="shared" si="34"/>
        <v>0</v>
      </c>
      <c r="AM32" s="892" t="s">
        <v>2921</v>
      </c>
      <c r="AN32" s="892"/>
      <c r="AO32" s="892"/>
      <c r="AP32" s="892"/>
      <c r="AQ32" s="892"/>
      <c r="AR32" s="892"/>
      <c r="AS32" s="892"/>
      <c r="AT32" s="892"/>
      <c r="AU32" s="892"/>
      <c r="AV32" t="b">
        <f>IF($AV$3, IF(ISERROR(MATCH(trinket1, trinket180list, 0)&gt;0), FALSE, TRUE), FALSE)</f>
        <v>0</v>
      </c>
      <c r="AW32" t="b">
        <f>IF($AV$3, IF(ISERROR(MATCH(trinket2, trinket180list, 0)&gt;0), FALSE, TRUE), FALSE)</f>
        <v>0</v>
      </c>
    </row>
    <row r="33" spans="1:47">
      <c r="A33">
        <f t="shared" si="15"/>
        <v>30</v>
      </c>
      <c r="B33">
        <f t="shared" si="23"/>
        <v>2</v>
      </c>
      <c r="C33">
        <f t="shared" si="0"/>
        <v>60</v>
      </c>
      <c r="D33">
        <f t="shared" si="16"/>
        <v>0</v>
      </c>
      <c r="E33">
        <f t="shared" si="35"/>
        <v>2</v>
      </c>
      <c r="F33">
        <f t="shared" si="1"/>
        <v>90</v>
      </c>
      <c r="G33">
        <f t="shared" si="17"/>
        <v>0</v>
      </c>
      <c r="H33">
        <f t="shared" si="24"/>
        <v>2</v>
      </c>
      <c r="I33">
        <f t="shared" si="2"/>
        <v>120</v>
      </c>
      <c r="J33">
        <f t="shared" si="18"/>
        <v>0</v>
      </c>
      <c r="K33">
        <f t="shared" si="25"/>
        <v>2</v>
      </c>
      <c r="L33">
        <f t="shared" si="3"/>
        <v>180</v>
      </c>
      <c r="M33">
        <f t="shared" si="19"/>
        <v>0</v>
      </c>
      <c r="N33">
        <f t="shared" si="26"/>
        <v>2</v>
      </c>
      <c r="O33">
        <f t="shared" si="4"/>
        <v>300</v>
      </c>
      <c r="P33">
        <f t="shared" si="27"/>
        <v>0</v>
      </c>
      <c r="Q33">
        <f t="shared" si="28"/>
        <v>2</v>
      </c>
      <c r="R33">
        <f t="shared" si="5"/>
        <v>300</v>
      </c>
      <c r="S33">
        <f t="shared" si="29"/>
        <v>0</v>
      </c>
      <c r="T33">
        <f t="shared" si="30"/>
        <v>-1</v>
      </c>
      <c r="U33">
        <f t="shared" si="20"/>
        <v>0</v>
      </c>
      <c r="V33">
        <f t="shared" si="21"/>
        <v>1</v>
      </c>
      <c r="W33">
        <f t="shared" si="6"/>
        <v>0</v>
      </c>
      <c r="X33">
        <f t="shared" si="31"/>
        <v>31</v>
      </c>
      <c r="Y33">
        <f t="shared" si="7"/>
        <v>0</v>
      </c>
      <c r="Z33">
        <f t="shared" si="8"/>
        <v>0</v>
      </c>
      <c r="AA33">
        <f t="shared" si="9"/>
        <v>0</v>
      </c>
      <c r="AB33" s="29">
        <f t="shared" si="10"/>
        <v>0.74178816089935007</v>
      </c>
      <c r="AC33" s="25">
        <f t="shared" si="11"/>
        <v>127.49804426656831</v>
      </c>
      <c r="AD33" s="29">
        <f t="shared" si="12"/>
        <v>1.4051081438100002</v>
      </c>
      <c r="AE33" s="25">
        <f t="shared" si="22"/>
        <v>13.243681724743192</v>
      </c>
      <c r="AF33" s="25">
        <f t="shared" si="14"/>
        <v>13.243681724743192</v>
      </c>
      <c r="AG33" s="25">
        <f>IF($A33&lt;0,0,IF(instatk="bs",(1.5+talSCallInstBon)*(MHavg+(ap+Z33-$Z$1)/APtoDPS*MHnorm+170)*(1+sa*0.1+0.04*opp+0.02*agg+Slayer4value-1),IF(instatk="hemo",Slayer4value*(MHavg+(ap+Z33-$Z$1)/APtoDPS*MHnorm)*(1.1+talSCallInstBon)+420*(1+raidcrit)*debuffon,IF(instatk="ss",(MHavg+(ap+Z33-$Z$1)/APtoDPS*MHnorm+98)*(1+sa*0.1+0.02*agg+Slayer4value-1),IF(instatk="v",(ohavg+(ap+Z33-$Z$1)/APtoDPS*OHnorm)*(1+sa*0.1)*(0.5+0.05*dws)+avipdam,Slayer4value*((1+0.04*opp)*(MHavg+101+(ap+Z33-$Z$1)/APtoDPS*MHnorm+(0.5+0.05*dws)*(ohavg+(ap+Z33-$Z$1)/APtoDPS*OHnorm)+101*(1+0.1*dws))*(1+0.5*IF(Talents!$O$18="Yes",1,0)))))))*(instactualhit+(1+((leth*0.06+2)-1)*(cfact-1))*instactualcrit)*fwfactor*AB33*instsec*(AF33/$AN$45))</f>
        <v>290.78918279358999</v>
      </c>
      <c r="AH33" s="25">
        <f t="shared" si="32"/>
        <v>0</v>
      </c>
      <c r="AI33" s="25">
        <f t="shared" si="33"/>
        <v>0</v>
      </c>
      <c r="AJ33" s="25">
        <f t="shared" si="34"/>
        <v>0</v>
      </c>
      <c r="AL33" t="b">
        <f>OR(trinket1=AM33, trinket2=AM33)</f>
        <v>0</v>
      </c>
      <c r="AM33" t="s">
        <v>2848</v>
      </c>
      <c r="AQ33" s="25">
        <f>MIN(Trinket!AF16*200, Trinket!AE17)*AL33</f>
        <v>0</v>
      </c>
      <c r="AT33">
        <v>30</v>
      </c>
      <c r="AU33">
        <v>0</v>
      </c>
    </row>
    <row r="34" spans="1:47">
      <c r="A34">
        <f t="shared" si="15"/>
        <v>31</v>
      </c>
      <c r="B34">
        <f t="shared" si="23"/>
        <v>2</v>
      </c>
      <c r="C34">
        <f t="shared" si="0"/>
        <v>60</v>
      </c>
      <c r="D34">
        <f t="shared" si="16"/>
        <v>0</v>
      </c>
      <c r="E34">
        <f t="shared" si="35"/>
        <v>2</v>
      </c>
      <c r="F34">
        <f t="shared" si="1"/>
        <v>90</v>
      </c>
      <c r="G34">
        <f t="shared" si="17"/>
        <v>0</v>
      </c>
      <c r="H34">
        <f t="shared" si="24"/>
        <v>2</v>
      </c>
      <c r="I34">
        <f t="shared" si="2"/>
        <v>120</v>
      </c>
      <c r="J34">
        <f t="shared" si="18"/>
        <v>0</v>
      </c>
      <c r="K34">
        <f t="shared" si="25"/>
        <v>2</v>
      </c>
      <c r="L34">
        <f t="shared" si="3"/>
        <v>180</v>
      </c>
      <c r="M34">
        <f t="shared" si="19"/>
        <v>0</v>
      </c>
      <c r="N34">
        <f t="shared" si="26"/>
        <v>2</v>
      </c>
      <c r="O34">
        <f t="shared" si="4"/>
        <v>300</v>
      </c>
      <c r="P34">
        <f t="shared" si="27"/>
        <v>0</v>
      </c>
      <c r="Q34">
        <f t="shared" si="28"/>
        <v>2</v>
      </c>
      <c r="R34">
        <f t="shared" si="5"/>
        <v>300</v>
      </c>
      <c r="S34">
        <f t="shared" si="29"/>
        <v>0</v>
      </c>
      <c r="T34">
        <f t="shared" si="30"/>
        <v>-1</v>
      </c>
      <c r="U34">
        <f t="shared" si="20"/>
        <v>0</v>
      </c>
      <c r="V34">
        <f t="shared" si="21"/>
        <v>1</v>
      </c>
      <c r="W34">
        <f t="shared" si="6"/>
        <v>0</v>
      </c>
      <c r="X34">
        <f t="shared" si="31"/>
        <v>32</v>
      </c>
      <c r="Y34">
        <f t="shared" si="7"/>
        <v>0</v>
      </c>
      <c r="Z34">
        <f t="shared" si="8"/>
        <v>0</v>
      </c>
      <c r="AA34">
        <f t="shared" si="9"/>
        <v>0</v>
      </c>
      <c r="AB34" s="29">
        <f t="shared" si="10"/>
        <v>0.74178816089935007</v>
      </c>
      <c r="AC34" s="25">
        <f t="shared" si="11"/>
        <v>127.49804426656831</v>
      </c>
      <c r="AD34" s="29">
        <f t="shared" si="12"/>
        <v>1.4051081438100002</v>
      </c>
      <c r="AE34" s="25">
        <f t="shared" si="22"/>
        <v>13.243681724743192</v>
      </c>
      <c r="AF34" s="25">
        <f t="shared" si="14"/>
        <v>13.243681724743192</v>
      </c>
      <c r="AG34" s="25">
        <f>IF($A34&lt;0,0,IF(instatk="bs",(1.5+talSCallInstBon)*(MHavg+(ap+Z34-$Z$1)/APtoDPS*MHnorm+170)*(1+sa*0.1+0.04*opp+0.02*agg+Slayer4value-1),IF(instatk="hemo",Slayer4value*(MHavg+(ap+Z34-$Z$1)/APtoDPS*MHnorm)*(1.1+talSCallInstBon)+420*(1+raidcrit)*debuffon,IF(instatk="ss",(MHavg+(ap+Z34-$Z$1)/APtoDPS*MHnorm+98)*(1+sa*0.1+0.02*agg+Slayer4value-1),IF(instatk="v",(ohavg+(ap+Z34-$Z$1)/APtoDPS*OHnorm)*(1+sa*0.1)*(0.5+0.05*dws)+avipdam,Slayer4value*((1+0.04*opp)*(MHavg+101+(ap+Z34-$Z$1)/APtoDPS*MHnorm+(0.5+0.05*dws)*(ohavg+(ap+Z34-$Z$1)/APtoDPS*OHnorm)+101*(1+0.1*dws))*(1+0.5*IF(Talents!$O$18="Yes",1,0)))))))*(instactualhit+(1+((leth*0.06+2)-1)*(cfact-1))*instactualcrit)*fwfactor*AB34*instsec*(AF34/$AN$45))</f>
        <v>290.78918279358999</v>
      </c>
      <c r="AH34" s="25">
        <f t="shared" si="32"/>
        <v>0</v>
      </c>
      <c r="AI34" s="25">
        <f t="shared" si="33"/>
        <v>0</v>
      </c>
      <c r="AJ34" s="25">
        <f t="shared" si="34"/>
        <v>0</v>
      </c>
      <c r="AL34" t="b">
        <f>OR(trinket1=AM34, trinket2=AM34)</f>
        <v>0</v>
      </c>
      <c r="AM34" t="s">
        <v>1956</v>
      </c>
      <c r="AP34">
        <f>320*AL34</f>
        <v>0</v>
      </c>
      <c r="AT34">
        <v>12</v>
      </c>
      <c r="AU34">
        <f>12*AL34</f>
        <v>0</v>
      </c>
    </row>
    <row r="35" spans="1:47">
      <c r="A35">
        <f t="shared" si="15"/>
        <v>32</v>
      </c>
      <c r="B35">
        <f t="shared" si="23"/>
        <v>2</v>
      </c>
      <c r="C35">
        <f t="shared" si="0"/>
        <v>60</v>
      </c>
      <c r="D35">
        <f t="shared" si="16"/>
        <v>0</v>
      </c>
      <c r="E35">
        <f t="shared" si="35"/>
        <v>2</v>
      </c>
      <c r="F35">
        <f t="shared" si="1"/>
        <v>90</v>
      </c>
      <c r="G35">
        <f t="shared" si="17"/>
        <v>0</v>
      </c>
      <c r="H35">
        <f t="shared" si="24"/>
        <v>2</v>
      </c>
      <c r="I35">
        <f t="shared" si="2"/>
        <v>120</v>
      </c>
      <c r="J35">
        <f t="shared" si="18"/>
        <v>0</v>
      </c>
      <c r="K35">
        <f t="shared" si="25"/>
        <v>2</v>
      </c>
      <c r="L35">
        <f t="shared" si="3"/>
        <v>180</v>
      </c>
      <c r="M35">
        <f t="shared" si="19"/>
        <v>0</v>
      </c>
      <c r="N35">
        <f t="shared" si="26"/>
        <v>2</v>
      </c>
      <c r="O35">
        <f t="shared" si="4"/>
        <v>300</v>
      </c>
      <c r="P35">
        <f t="shared" si="27"/>
        <v>0</v>
      </c>
      <c r="Q35">
        <f t="shared" si="28"/>
        <v>2</v>
      </c>
      <c r="R35">
        <f t="shared" si="5"/>
        <v>300</v>
      </c>
      <c r="S35">
        <f t="shared" si="29"/>
        <v>0</v>
      </c>
      <c r="T35">
        <f t="shared" si="30"/>
        <v>-1</v>
      </c>
      <c r="U35">
        <f t="shared" si="20"/>
        <v>0</v>
      </c>
      <c r="V35">
        <f t="shared" si="21"/>
        <v>1</v>
      </c>
      <c r="W35">
        <f t="shared" si="6"/>
        <v>0</v>
      </c>
      <c r="X35">
        <f t="shared" si="31"/>
        <v>33</v>
      </c>
      <c r="Y35">
        <f t="shared" si="7"/>
        <v>0</v>
      </c>
      <c r="Z35">
        <f t="shared" si="8"/>
        <v>0</v>
      </c>
      <c r="AA35">
        <f t="shared" si="9"/>
        <v>0</v>
      </c>
      <c r="AB35" s="29">
        <f t="shared" si="10"/>
        <v>0.74178816089935007</v>
      </c>
      <c r="AC35" s="25">
        <f t="shared" si="11"/>
        <v>127.49804426656831</v>
      </c>
      <c r="AD35" s="29">
        <f t="shared" si="12"/>
        <v>1.4051081438100002</v>
      </c>
      <c r="AE35" s="25">
        <f t="shared" si="22"/>
        <v>13.243681724743192</v>
      </c>
      <c r="AF35" s="25">
        <f t="shared" si="14"/>
        <v>13.243681724743192</v>
      </c>
      <c r="AG35" s="25">
        <f>IF($A35&lt;0,0,IF(instatk="bs",(1.5+talSCallInstBon)*(MHavg+(ap+Z35-$Z$1)/APtoDPS*MHnorm+170)*(1+sa*0.1+0.04*opp+0.02*agg+Slayer4value-1),IF(instatk="hemo",Slayer4value*(MHavg+(ap+Z35-$Z$1)/APtoDPS*MHnorm)*(1.1+talSCallInstBon)+420*(1+raidcrit)*debuffon,IF(instatk="ss",(MHavg+(ap+Z35-$Z$1)/APtoDPS*MHnorm+98)*(1+sa*0.1+0.02*agg+Slayer4value-1),IF(instatk="v",(ohavg+(ap+Z35-$Z$1)/APtoDPS*OHnorm)*(1+sa*0.1)*(0.5+0.05*dws)+avipdam,Slayer4value*((1+0.04*opp)*(MHavg+101+(ap+Z35-$Z$1)/APtoDPS*MHnorm+(0.5+0.05*dws)*(ohavg+(ap+Z35-$Z$1)/APtoDPS*OHnorm)+101*(1+0.1*dws))*(1+0.5*IF(Talents!$O$18="Yes",1,0)))))))*(instactualhit+(1+((leth*0.06+2)-1)*(cfact-1))*instactualcrit)*fwfactor*AB35*instsec*(AF35/$AN$45))</f>
        <v>290.78918279358999</v>
      </c>
      <c r="AH35" s="25">
        <f t="shared" si="32"/>
        <v>0</v>
      </c>
      <c r="AI35" s="25">
        <f t="shared" si="33"/>
        <v>0</v>
      </c>
      <c r="AJ35" s="25">
        <f t="shared" si="34"/>
        <v>0</v>
      </c>
      <c r="AL35" t="b">
        <f>AND(includeracials,CharRace="Troll")</f>
        <v>0</v>
      </c>
      <c r="AM35" t="s">
        <v>2922</v>
      </c>
      <c r="AS35">
        <f>MIN(10+ 33*(1-berserkinghp), 30)*AL35</f>
        <v>0</v>
      </c>
      <c r="AT35">
        <v>10</v>
      </c>
      <c r="AU35">
        <v>0</v>
      </c>
    </row>
    <row r="36" spans="1:47">
      <c r="A36">
        <f t="shared" si="15"/>
        <v>33</v>
      </c>
      <c r="B36">
        <f t="shared" si="23"/>
        <v>2</v>
      </c>
      <c r="C36">
        <f t="shared" si="0"/>
        <v>60</v>
      </c>
      <c r="D36">
        <f t="shared" si="16"/>
        <v>0</v>
      </c>
      <c r="E36">
        <f t="shared" si="35"/>
        <v>2</v>
      </c>
      <c r="F36">
        <f t="shared" si="1"/>
        <v>90</v>
      </c>
      <c r="G36">
        <f t="shared" si="17"/>
        <v>0</v>
      </c>
      <c r="H36">
        <f t="shared" si="24"/>
        <v>2</v>
      </c>
      <c r="I36">
        <f t="shared" si="2"/>
        <v>120</v>
      </c>
      <c r="J36">
        <f t="shared" si="18"/>
        <v>0</v>
      </c>
      <c r="K36">
        <f t="shared" si="25"/>
        <v>2</v>
      </c>
      <c r="L36">
        <f t="shared" si="3"/>
        <v>180</v>
      </c>
      <c r="M36">
        <f t="shared" si="19"/>
        <v>0</v>
      </c>
      <c r="N36">
        <f t="shared" si="26"/>
        <v>2</v>
      </c>
      <c r="O36">
        <f t="shared" si="4"/>
        <v>300</v>
      </c>
      <c r="P36">
        <f t="shared" si="27"/>
        <v>0</v>
      </c>
      <c r="Q36">
        <f t="shared" si="28"/>
        <v>2</v>
      </c>
      <c r="R36">
        <f t="shared" si="5"/>
        <v>300</v>
      </c>
      <c r="S36">
        <f t="shared" si="29"/>
        <v>0</v>
      </c>
      <c r="T36">
        <f t="shared" si="30"/>
        <v>-1</v>
      </c>
      <c r="U36">
        <f t="shared" si="20"/>
        <v>0</v>
      </c>
      <c r="V36">
        <f t="shared" si="21"/>
        <v>1</v>
      </c>
      <c r="W36">
        <f t="shared" si="6"/>
        <v>0</v>
      </c>
      <c r="X36">
        <f t="shared" si="31"/>
        <v>34</v>
      </c>
      <c r="Y36">
        <f t="shared" si="7"/>
        <v>0</v>
      </c>
      <c r="Z36">
        <f t="shared" si="8"/>
        <v>0</v>
      </c>
      <c r="AA36">
        <f t="shared" si="9"/>
        <v>0</v>
      </c>
      <c r="AB36" s="29">
        <f t="shared" si="10"/>
        <v>0.74178816089935007</v>
      </c>
      <c r="AC36" s="25">
        <f t="shared" si="11"/>
        <v>127.49804426656831</v>
      </c>
      <c r="AD36" s="29">
        <f t="shared" si="12"/>
        <v>1.4051081438100002</v>
      </c>
      <c r="AE36" s="25">
        <f t="shared" si="22"/>
        <v>13.243681724743192</v>
      </c>
      <c r="AF36" s="25">
        <f t="shared" si="14"/>
        <v>13.243681724743192</v>
      </c>
      <c r="AG36" s="25">
        <f>IF($A36&lt;0,0,IF(instatk="bs",(1.5+talSCallInstBon)*(MHavg+(ap+Z36-$Z$1)/APtoDPS*MHnorm+170)*(1+sa*0.1+0.04*opp+0.02*agg+Slayer4value-1),IF(instatk="hemo",Slayer4value*(MHavg+(ap+Z36-$Z$1)/APtoDPS*MHnorm)*(1.1+talSCallInstBon)+420*(1+raidcrit)*debuffon,IF(instatk="ss",(MHavg+(ap+Z36-$Z$1)/APtoDPS*MHnorm+98)*(1+sa*0.1+0.02*agg+Slayer4value-1),IF(instatk="v",(ohavg+(ap+Z36-$Z$1)/APtoDPS*OHnorm)*(1+sa*0.1)*(0.5+0.05*dws)+avipdam,Slayer4value*((1+0.04*opp)*(MHavg+101+(ap+Z36-$Z$1)/APtoDPS*MHnorm+(0.5+0.05*dws)*(ohavg+(ap+Z36-$Z$1)/APtoDPS*OHnorm)+101*(1+0.1*dws))*(1+0.5*IF(Talents!$O$18="Yes",1,0)))))))*(instactualhit+(1+((leth*0.06+2)-1)*(cfact-1))*instactualcrit)*fwfactor*AB36*instsec*(AF36/$AN$45))</f>
        <v>290.78918279358999</v>
      </c>
      <c r="AH36" s="25">
        <f t="shared" si="32"/>
        <v>0</v>
      </c>
      <c r="AI36" s="25">
        <f t="shared" si="33"/>
        <v>0</v>
      </c>
      <c r="AJ36" s="25">
        <f t="shared" si="34"/>
        <v>0</v>
      </c>
    </row>
    <row r="37" spans="1:47">
      <c r="A37">
        <f t="shared" si="15"/>
        <v>34</v>
      </c>
      <c r="B37">
        <f t="shared" si="23"/>
        <v>2</v>
      </c>
      <c r="C37">
        <f t="shared" si="0"/>
        <v>60</v>
      </c>
      <c r="D37">
        <f t="shared" si="16"/>
        <v>0</v>
      </c>
      <c r="E37">
        <f t="shared" si="35"/>
        <v>2</v>
      </c>
      <c r="F37">
        <f t="shared" si="1"/>
        <v>90</v>
      </c>
      <c r="G37">
        <f t="shared" si="17"/>
        <v>0</v>
      </c>
      <c r="H37">
        <f t="shared" si="24"/>
        <v>2</v>
      </c>
      <c r="I37">
        <f t="shared" si="2"/>
        <v>120</v>
      </c>
      <c r="J37">
        <f t="shared" si="18"/>
        <v>0</v>
      </c>
      <c r="K37">
        <f t="shared" si="25"/>
        <v>2</v>
      </c>
      <c r="L37">
        <f t="shared" si="3"/>
        <v>180</v>
      </c>
      <c r="M37">
        <f t="shared" si="19"/>
        <v>0</v>
      </c>
      <c r="N37">
        <f t="shared" si="26"/>
        <v>2</v>
      </c>
      <c r="O37">
        <f t="shared" si="4"/>
        <v>300</v>
      </c>
      <c r="P37">
        <f t="shared" si="27"/>
        <v>0</v>
      </c>
      <c r="Q37">
        <f t="shared" si="28"/>
        <v>2</v>
      </c>
      <c r="R37">
        <f t="shared" si="5"/>
        <v>300</v>
      </c>
      <c r="S37">
        <f t="shared" si="29"/>
        <v>0</v>
      </c>
      <c r="T37">
        <f t="shared" si="30"/>
        <v>-1</v>
      </c>
      <c r="U37">
        <f t="shared" si="20"/>
        <v>0</v>
      </c>
      <c r="V37">
        <f t="shared" si="21"/>
        <v>1</v>
      </c>
      <c r="W37">
        <f t="shared" si="6"/>
        <v>0</v>
      </c>
      <c r="X37">
        <f t="shared" si="31"/>
        <v>35</v>
      </c>
      <c r="Y37">
        <f t="shared" si="7"/>
        <v>0</v>
      </c>
      <c r="Z37">
        <f t="shared" si="8"/>
        <v>0</v>
      </c>
      <c r="AA37">
        <f t="shared" si="9"/>
        <v>0</v>
      </c>
      <c r="AB37" s="29">
        <f t="shared" si="10"/>
        <v>0.74178816089935007</v>
      </c>
      <c r="AC37" s="25">
        <f t="shared" si="11"/>
        <v>127.49804426656831</v>
      </c>
      <c r="AD37" s="29">
        <f t="shared" si="12"/>
        <v>1.4051081438100002</v>
      </c>
      <c r="AE37" s="25">
        <f t="shared" si="22"/>
        <v>13.243681724743192</v>
      </c>
      <c r="AF37" s="25">
        <f t="shared" si="14"/>
        <v>13.243681724743192</v>
      </c>
      <c r="AG37" s="25">
        <f>IF($A37&lt;0,0,IF(instatk="bs",(1.5+talSCallInstBon)*(MHavg+(ap+Z37-$Z$1)/APtoDPS*MHnorm+170)*(1+sa*0.1+0.04*opp+0.02*agg+Slayer4value-1),IF(instatk="hemo",Slayer4value*(MHavg+(ap+Z37-$Z$1)/APtoDPS*MHnorm)*(1.1+talSCallInstBon)+420*(1+raidcrit)*debuffon,IF(instatk="ss",(MHavg+(ap+Z37-$Z$1)/APtoDPS*MHnorm+98)*(1+sa*0.1+0.02*agg+Slayer4value-1),IF(instatk="v",(ohavg+(ap+Z37-$Z$1)/APtoDPS*OHnorm)*(1+sa*0.1)*(0.5+0.05*dws)+avipdam,Slayer4value*((1+0.04*opp)*(MHavg+101+(ap+Z37-$Z$1)/APtoDPS*MHnorm+(0.5+0.05*dws)*(ohavg+(ap+Z37-$Z$1)/APtoDPS*OHnorm)+101*(1+0.1*dws))*(1+0.5*IF(Talents!$O$18="Yes",1,0)))))))*(instactualhit+(1+((leth*0.06+2)-1)*(cfact-1))*instactualcrit)*fwfactor*AB37*instsec*(AF37/$AN$45))</f>
        <v>290.78918279358999</v>
      </c>
      <c r="AH37" s="25">
        <f t="shared" si="32"/>
        <v>0</v>
      </c>
      <c r="AI37" s="25">
        <f t="shared" si="33"/>
        <v>0</v>
      </c>
      <c r="AJ37" s="25">
        <f t="shared" si="34"/>
        <v>0</v>
      </c>
      <c r="AL37" t="b">
        <f>arush&gt;0</f>
        <v>1</v>
      </c>
      <c r="AM37" t="s">
        <v>752</v>
      </c>
      <c r="AN37" s="898">
        <f>10-MAX(0,10/(instcost*Cycles!N43+evicost)*evicost)</f>
        <v>8.346860480808159</v>
      </c>
    </row>
    <row r="38" spans="1:47">
      <c r="A38">
        <f t="shared" si="15"/>
        <v>35</v>
      </c>
      <c r="B38">
        <f t="shared" si="23"/>
        <v>2</v>
      </c>
      <c r="C38">
        <f t="shared" si="0"/>
        <v>60</v>
      </c>
      <c r="D38">
        <f t="shared" si="16"/>
        <v>0</v>
      </c>
      <c r="E38">
        <f t="shared" si="35"/>
        <v>2</v>
      </c>
      <c r="F38">
        <f t="shared" si="1"/>
        <v>90</v>
      </c>
      <c r="G38">
        <f t="shared" si="17"/>
        <v>0</v>
      </c>
      <c r="H38">
        <f t="shared" si="24"/>
        <v>2</v>
      </c>
      <c r="I38">
        <f t="shared" si="2"/>
        <v>120</v>
      </c>
      <c r="J38">
        <f t="shared" si="18"/>
        <v>0</v>
      </c>
      <c r="K38">
        <f t="shared" si="25"/>
        <v>2</v>
      </c>
      <c r="L38">
        <f t="shared" si="3"/>
        <v>180</v>
      </c>
      <c r="M38">
        <f t="shared" si="19"/>
        <v>0</v>
      </c>
      <c r="N38">
        <f t="shared" si="26"/>
        <v>2</v>
      </c>
      <c r="O38">
        <f t="shared" si="4"/>
        <v>300</v>
      </c>
      <c r="P38">
        <f t="shared" si="27"/>
        <v>0</v>
      </c>
      <c r="Q38">
        <f t="shared" si="28"/>
        <v>2</v>
      </c>
      <c r="R38">
        <f t="shared" si="5"/>
        <v>300</v>
      </c>
      <c r="S38">
        <f t="shared" si="29"/>
        <v>0</v>
      </c>
      <c r="T38">
        <f t="shared" si="30"/>
        <v>-1</v>
      </c>
      <c r="U38">
        <f t="shared" si="20"/>
        <v>0</v>
      </c>
      <c r="V38">
        <f t="shared" si="21"/>
        <v>1</v>
      </c>
      <c r="W38">
        <f t="shared" si="6"/>
        <v>0</v>
      </c>
      <c r="X38">
        <f t="shared" si="31"/>
        <v>36</v>
      </c>
      <c r="Y38">
        <f t="shared" si="7"/>
        <v>0</v>
      </c>
      <c r="Z38">
        <f t="shared" si="8"/>
        <v>0</v>
      </c>
      <c r="AA38">
        <f t="shared" si="9"/>
        <v>0</v>
      </c>
      <c r="AB38" s="29">
        <f t="shared" si="10"/>
        <v>0.74178816089935007</v>
      </c>
      <c r="AC38" s="25">
        <f t="shared" si="11"/>
        <v>127.49804426656831</v>
      </c>
      <c r="AD38" s="29">
        <f t="shared" si="12"/>
        <v>1.4051081438100002</v>
      </c>
      <c r="AE38" s="25">
        <f t="shared" si="22"/>
        <v>13.243681724743192</v>
      </c>
      <c r="AF38" s="25">
        <f t="shared" si="14"/>
        <v>13.243681724743192</v>
      </c>
      <c r="AG38" s="25">
        <f>IF($A38&lt;0,0,IF(instatk="bs",(1.5+talSCallInstBon)*(MHavg+(ap+Z38-$Z$1)/APtoDPS*MHnorm+170)*(1+sa*0.1+0.04*opp+0.02*agg+Slayer4value-1),IF(instatk="hemo",Slayer4value*(MHavg+(ap+Z38-$Z$1)/APtoDPS*MHnorm)*(1.1+talSCallInstBon)+420*(1+raidcrit)*debuffon,IF(instatk="ss",(MHavg+(ap+Z38-$Z$1)/APtoDPS*MHnorm+98)*(1+sa*0.1+0.02*agg+Slayer4value-1),IF(instatk="v",(ohavg+(ap+Z38-$Z$1)/APtoDPS*OHnorm)*(1+sa*0.1)*(0.5+0.05*dws)+avipdam,Slayer4value*((1+0.04*opp)*(MHavg+101+(ap+Z38-$Z$1)/APtoDPS*MHnorm+(0.5+0.05*dws)*(ohavg+(ap+Z38-$Z$1)/APtoDPS*OHnorm)+101*(1+0.1*dws))*(1+0.5*IF(Talents!$O$18="Yes",1,0)))))))*(instactualhit+(1+((leth*0.06+2)-1)*(cfact-1))*instactualcrit)*fwfactor*AB38*instsec*(AF38/$AN$45))</f>
        <v>290.78918279358999</v>
      </c>
      <c r="AH38" s="25">
        <f t="shared" si="32"/>
        <v>0</v>
      </c>
      <c r="AI38" s="25">
        <f t="shared" si="33"/>
        <v>0</v>
      </c>
      <c r="AJ38" s="25">
        <f t="shared" si="34"/>
        <v>0</v>
      </c>
      <c r="AL38" t="b">
        <f>AND(Talents!O36="No", 'Gear &amp; Buffs'!B138&gt;0)</f>
        <v>1</v>
      </c>
      <c r="AM38" t="s">
        <v>1335</v>
      </c>
    </row>
    <row r="39" spans="1:47">
      <c r="A39">
        <f t="shared" si="15"/>
        <v>36</v>
      </c>
      <c r="B39">
        <f t="shared" si="23"/>
        <v>2</v>
      </c>
      <c r="C39">
        <f t="shared" si="0"/>
        <v>60</v>
      </c>
      <c r="D39">
        <f t="shared" si="16"/>
        <v>0</v>
      </c>
      <c r="E39">
        <f t="shared" si="35"/>
        <v>2</v>
      </c>
      <c r="F39">
        <f t="shared" si="1"/>
        <v>90</v>
      </c>
      <c r="G39">
        <f t="shared" si="17"/>
        <v>0</v>
      </c>
      <c r="H39">
        <f t="shared" si="24"/>
        <v>2</v>
      </c>
      <c r="I39">
        <f t="shared" si="2"/>
        <v>120</v>
      </c>
      <c r="J39">
        <f t="shared" si="18"/>
        <v>0</v>
      </c>
      <c r="K39">
        <f t="shared" si="25"/>
        <v>2</v>
      </c>
      <c r="L39">
        <f t="shared" si="3"/>
        <v>180</v>
      </c>
      <c r="M39">
        <f t="shared" si="19"/>
        <v>0</v>
      </c>
      <c r="N39">
        <f t="shared" si="26"/>
        <v>2</v>
      </c>
      <c r="O39">
        <f t="shared" si="4"/>
        <v>300</v>
      </c>
      <c r="P39">
        <f t="shared" si="27"/>
        <v>0</v>
      </c>
      <c r="Q39">
        <f t="shared" si="28"/>
        <v>2</v>
      </c>
      <c r="R39">
        <f t="shared" si="5"/>
        <v>300</v>
      </c>
      <c r="S39">
        <f t="shared" si="29"/>
        <v>0</v>
      </c>
      <c r="T39">
        <f t="shared" si="30"/>
        <v>-1</v>
      </c>
      <c r="U39">
        <f t="shared" si="20"/>
        <v>0</v>
      </c>
      <c r="V39">
        <f t="shared" si="21"/>
        <v>1</v>
      </c>
      <c r="W39">
        <f t="shared" si="6"/>
        <v>0</v>
      </c>
      <c r="X39">
        <f t="shared" si="31"/>
        <v>37</v>
      </c>
      <c r="Y39">
        <f t="shared" si="7"/>
        <v>0</v>
      </c>
      <c r="Z39">
        <f t="shared" si="8"/>
        <v>0</v>
      </c>
      <c r="AA39">
        <f t="shared" si="9"/>
        <v>0</v>
      </c>
      <c r="AB39" s="29">
        <f t="shared" si="10"/>
        <v>0.74178816089935007</v>
      </c>
      <c r="AC39" s="25">
        <f t="shared" si="11"/>
        <v>127.49804426656831</v>
      </c>
      <c r="AD39" s="29">
        <f t="shared" si="12"/>
        <v>1.4051081438100002</v>
      </c>
      <c r="AE39" s="25">
        <f t="shared" si="22"/>
        <v>13.243681724743192</v>
      </c>
      <c r="AF39" s="25">
        <f t="shared" si="14"/>
        <v>13.243681724743192</v>
      </c>
      <c r="AG39" s="25">
        <f>IF($A39&lt;0,0,IF(instatk="bs",(1.5+talSCallInstBon)*(MHavg+(ap+Z39-$Z$1)/APtoDPS*MHnorm+170)*(1+sa*0.1+0.04*opp+0.02*agg+Slayer4value-1),IF(instatk="hemo",Slayer4value*(MHavg+(ap+Z39-$Z$1)/APtoDPS*MHnorm)*(1.1+talSCallInstBon)+420*(1+raidcrit)*debuffon,IF(instatk="ss",(MHavg+(ap+Z39-$Z$1)/APtoDPS*MHnorm+98)*(1+sa*0.1+0.02*agg+Slayer4value-1),IF(instatk="v",(ohavg+(ap+Z39-$Z$1)/APtoDPS*OHnorm)*(1+sa*0.1)*(0.5+0.05*dws)+avipdam,Slayer4value*((1+0.04*opp)*(MHavg+101+(ap+Z39-$Z$1)/APtoDPS*MHnorm+(0.5+0.05*dws)*(ohavg+(ap+Z39-$Z$1)/APtoDPS*OHnorm)+101*(1+0.1*dws))*(1+0.5*IF(Talents!$O$18="Yes",1,0)))))))*(instactualhit+(1+((leth*0.06+2)-1)*(cfact-1))*instactualcrit)*fwfactor*AB39*instsec*(AF39/$AN$45))</f>
        <v>290.78918279358999</v>
      </c>
      <c r="AH39" s="25">
        <f t="shared" si="32"/>
        <v>0</v>
      </c>
      <c r="AI39" s="25">
        <f t="shared" si="33"/>
        <v>0</v>
      </c>
      <c r="AJ39" s="25">
        <f t="shared" si="34"/>
        <v>0</v>
      </c>
      <c r="AL39" t="b">
        <f>AND(includeracials,CharRace="Blood Elf",hasmana)</f>
        <v>0</v>
      </c>
      <c r="AM39" t="s">
        <v>3002</v>
      </c>
    </row>
    <row r="40" spans="1:47">
      <c r="A40">
        <f t="shared" si="15"/>
        <v>37</v>
      </c>
      <c r="B40">
        <f t="shared" si="23"/>
        <v>2</v>
      </c>
      <c r="C40">
        <f t="shared" si="0"/>
        <v>60</v>
      </c>
      <c r="D40">
        <f t="shared" si="16"/>
        <v>0</v>
      </c>
      <c r="E40">
        <f t="shared" si="35"/>
        <v>2</v>
      </c>
      <c r="F40">
        <f t="shared" si="1"/>
        <v>90</v>
      </c>
      <c r="G40">
        <f t="shared" si="17"/>
        <v>0</v>
      </c>
      <c r="H40">
        <f t="shared" si="24"/>
        <v>2</v>
      </c>
      <c r="I40">
        <f t="shared" si="2"/>
        <v>120</v>
      </c>
      <c r="J40">
        <f t="shared" si="18"/>
        <v>0</v>
      </c>
      <c r="K40">
        <f t="shared" si="25"/>
        <v>2</v>
      </c>
      <c r="L40">
        <f t="shared" si="3"/>
        <v>180</v>
      </c>
      <c r="M40">
        <f t="shared" si="19"/>
        <v>0</v>
      </c>
      <c r="N40">
        <f t="shared" si="26"/>
        <v>2</v>
      </c>
      <c r="O40">
        <f t="shared" si="4"/>
        <v>300</v>
      </c>
      <c r="P40">
        <f t="shared" si="27"/>
        <v>0</v>
      </c>
      <c r="Q40">
        <f t="shared" si="28"/>
        <v>2</v>
      </c>
      <c r="R40">
        <f t="shared" si="5"/>
        <v>300</v>
      </c>
      <c r="S40">
        <f t="shared" si="29"/>
        <v>0</v>
      </c>
      <c r="T40">
        <f t="shared" si="30"/>
        <v>-1</v>
      </c>
      <c r="U40">
        <f t="shared" si="20"/>
        <v>0</v>
      </c>
      <c r="V40">
        <f t="shared" si="21"/>
        <v>1</v>
      </c>
      <c r="W40">
        <f t="shared" si="6"/>
        <v>0</v>
      </c>
      <c r="X40">
        <f t="shared" si="31"/>
        <v>38</v>
      </c>
      <c r="Y40">
        <f t="shared" si="7"/>
        <v>0</v>
      </c>
      <c r="Z40">
        <f t="shared" si="8"/>
        <v>0</v>
      </c>
      <c r="AA40">
        <f t="shared" si="9"/>
        <v>0</v>
      </c>
      <c r="AB40" s="29">
        <f t="shared" si="10"/>
        <v>0.74178816089935007</v>
      </c>
      <c r="AC40" s="25">
        <f t="shared" si="11"/>
        <v>127.49804426656831</v>
      </c>
      <c r="AD40" s="29">
        <f t="shared" si="12"/>
        <v>1.4051081438100002</v>
      </c>
      <c r="AE40" s="25">
        <f t="shared" si="22"/>
        <v>13.243681724743192</v>
      </c>
      <c r="AF40" s="25">
        <f t="shared" si="14"/>
        <v>13.243681724743192</v>
      </c>
      <c r="AG40" s="25">
        <f>IF($A40&lt;0,0,IF(instatk="bs",(1.5+talSCallInstBon)*(MHavg+(ap+Z40-$Z$1)/APtoDPS*MHnorm+170)*(1+sa*0.1+0.04*opp+0.02*agg+Slayer4value-1),IF(instatk="hemo",Slayer4value*(MHavg+(ap+Z40-$Z$1)/APtoDPS*MHnorm)*(1.1+talSCallInstBon)+420*(1+raidcrit)*debuffon,IF(instatk="ss",(MHavg+(ap+Z40-$Z$1)/APtoDPS*MHnorm+98)*(1+sa*0.1+0.02*agg+Slayer4value-1),IF(instatk="v",(ohavg+(ap+Z40-$Z$1)/APtoDPS*OHnorm)*(1+sa*0.1)*(0.5+0.05*dws)+avipdam,Slayer4value*((1+0.04*opp)*(MHavg+101+(ap+Z40-$Z$1)/APtoDPS*MHnorm+(0.5+0.05*dws)*(ohavg+(ap+Z40-$Z$1)/APtoDPS*OHnorm)+101*(1+0.1*dws))*(1+0.5*IF(Talents!$O$18="Yes",1,0)))))))*(instactualhit+(1+((leth*0.06+2)-1)*(cfact-1))*instactualcrit)*fwfactor*AB40*instsec*(AF40/$AN$45))</f>
        <v>290.78918279358999</v>
      </c>
      <c r="AH40" s="25">
        <f t="shared" si="32"/>
        <v>0</v>
      </c>
      <c r="AI40" s="25">
        <f t="shared" si="33"/>
        <v>0</v>
      </c>
      <c r="AJ40" s="25">
        <f t="shared" si="34"/>
        <v>0</v>
      </c>
    </row>
    <row r="41" spans="1:47">
      <c r="A41">
        <f t="shared" si="15"/>
        <v>38</v>
      </c>
      <c r="B41">
        <f t="shared" si="23"/>
        <v>2</v>
      </c>
      <c r="C41">
        <f t="shared" si="0"/>
        <v>60</v>
      </c>
      <c r="D41">
        <f t="shared" si="16"/>
        <v>0</v>
      </c>
      <c r="E41">
        <f t="shared" si="35"/>
        <v>2</v>
      </c>
      <c r="F41">
        <f t="shared" si="1"/>
        <v>90</v>
      </c>
      <c r="G41">
        <f t="shared" si="17"/>
        <v>0</v>
      </c>
      <c r="H41">
        <f t="shared" si="24"/>
        <v>2</v>
      </c>
      <c r="I41">
        <f t="shared" si="2"/>
        <v>120</v>
      </c>
      <c r="J41">
        <f t="shared" si="18"/>
        <v>0</v>
      </c>
      <c r="K41">
        <f t="shared" si="25"/>
        <v>2</v>
      </c>
      <c r="L41">
        <f t="shared" si="3"/>
        <v>180</v>
      </c>
      <c r="M41">
        <f t="shared" si="19"/>
        <v>0</v>
      </c>
      <c r="N41">
        <f t="shared" si="26"/>
        <v>2</v>
      </c>
      <c r="O41">
        <f t="shared" si="4"/>
        <v>300</v>
      </c>
      <c r="P41">
        <f t="shared" si="27"/>
        <v>0</v>
      </c>
      <c r="Q41">
        <f t="shared" si="28"/>
        <v>2</v>
      </c>
      <c r="R41">
        <f t="shared" si="5"/>
        <v>300</v>
      </c>
      <c r="S41">
        <f t="shared" si="29"/>
        <v>0</v>
      </c>
      <c r="T41">
        <f t="shared" si="30"/>
        <v>-1</v>
      </c>
      <c r="U41">
        <f t="shared" si="20"/>
        <v>0</v>
      </c>
      <c r="V41">
        <f t="shared" si="21"/>
        <v>1</v>
      </c>
      <c r="W41">
        <f t="shared" si="6"/>
        <v>0</v>
      </c>
      <c r="X41">
        <f t="shared" si="31"/>
        <v>39</v>
      </c>
      <c r="Y41">
        <f t="shared" si="7"/>
        <v>0</v>
      </c>
      <c r="Z41">
        <f t="shared" si="8"/>
        <v>0</v>
      </c>
      <c r="AA41">
        <f t="shared" si="9"/>
        <v>0</v>
      </c>
      <c r="AB41" s="29">
        <f t="shared" si="10"/>
        <v>0.74178816089935007</v>
      </c>
      <c r="AC41" s="25">
        <f t="shared" si="11"/>
        <v>127.49804426656831</v>
      </c>
      <c r="AD41" s="29">
        <f t="shared" si="12"/>
        <v>1.4051081438100002</v>
      </c>
      <c r="AE41" s="25">
        <f t="shared" si="22"/>
        <v>13.243681724743192</v>
      </c>
      <c r="AF41" s="25">
        <f t="shared" si="14"/>
        <v>13.243681724743192</v>
      </c>
      <c r="AG41" s="25">
        <f>IF($A41&lt;0,0,IF(instatk="bs",(1.5+talSCallInstBon)*(MHavg+(ap+Z41-$Z$1)/APtoDPS*MHnorm+170)*(1+sa*0.1+0.04*opp+0.02*agg+Slayer4value-1),IF(instatk="hemo",Slayer4value*(MHavg+(ap+Z41-$Z$1)/APtoDPS*MHnorm)*(1.1+talSCallInstBon)+420*(1+raidcrit)*debuffon,IF(instatk="ss",(MHavg+(ap+Z41-$Z$1)/APtoDPS*MHnorm+98)*(1+sa*0.1+0.02*agg+Slayer4value-1),IF(instatk="v",(ohavg+(ap+Z41-$Z$1)/APtoDPS*OHnorm)*(1+sa*0.1)*(0.5+0.05*dws)+avipdam,Slayer4value*((1+0.04*opp)*(MHavg+101+(ap+Z41-$Z$1)/APtoDPS*MHnorm+(0.5+0.05*dws)*(ohavg+(ap+Z41-$Z$1)/APtoDPS*OHnorm)+101*(1+0.1*dws))*(1+0.5*IF(Talents!$O$18="Yes",1,0)))))))*(instactualhit+(1+((leth*0.06+2)-1)*(cfact-1))*instactualcrit)*fwfactor*AB41*instsec*(AF41/$AN$45))</f>
        <v>290.78918279358999</v>
      </c>
      <c r="AH41" s="25">
        <f t="shared" si="32"/>
        <v>0</v>
      </c>
      <c r="AI41" s="25">
        <f t="shared" si="33"/>
        <v>0</v>
      </c>
      <c r="AJ41" s="25">
        <f t="shared" si="34"/>
        <v>0</v>
      </c>
      <c r="AL41" t="b">
        <f>AND(Talents!O36="No", 'Gear &amp; Buffs'!B107&gt;0)</f>
        <v>1</v>
      </c>
      <c r="AM41" t="s">
        <v>2955</v>
      </c>
    </row>
    <row r="42" spans="1:47">
      <c r="A42">
        <f t="shared" si="15"/>
        <v>39</v>
      </c>
      <c r="B42">
        <f t="shared" si="23"/>
        <v>2</v>
      </c>
      <c r="C42">
        <f t="shared" si="0"/>
        <v>60</v>
      </c>
      <c r="D42">
        <f t="shared" si="16"/>
        <v>0</v>
      </c>
      <c r="E42">
        <f t="shared" si="35"/>
        <v>2</v>
      </c>
      <c r="F42">
        <f t="shared" si="1"/>
        <v>90</v>
      </c>
      <c r="G42">
        <f t="shared" si="17"/>
        <v>0</v>
      </c>
      <c r="H42">
        <f t="shared" si="24"/>
        <v>2</v>
      </c>
      <c r="I42">
        <f t="shared" si="2"/>
        <v>120</v>
      </c>
      <c r="J42">
        <f t="shared" si="18"/>
        <v>0</v>
      </c>
      <c r="K42">
        <f t="shared" si="25"/>
        <v>2</v>
      </c>
      <c r="L42">
        <f t="shared" si="3"/>
        <v>180</v>
      </c>
      <c r="M42">
        <f t="shared" si="19"/>
        <v>0</v>
      </c>
      <c r="N42">
        <f t="shared" si="26"/>
        <v>2</v>
      </c>
      <c r="O42">
        <f t="shared" si="4"/>
        <v>300</v>
      </c>
      <c r="P42">
        <f t="shared" si="27"/>
        <v>0</v>
      </c>
      <c r="Q42">
        <f t="shared" si="28"/>
        <v>2</v>
      </c>
      <c r="R42">
        <f t="shared" si="5"/>
        <v>300</v>
      </c>
      <c r="S42">
        <f t="shared" si="29"/>
        <v>0</v>
      </c>
      <c r="T42">
        <f t="shared" si="30"/>
        <v>-1</v>
      </c>
      <c r="U42">
        <f t="shared" si="20"/>
        <v>0</v>
      </c>
      <c r="V42">
        <f t="shared" si="21"/>
        <v>1</v>
      </c>
      <c r="W42">
        <f t="shared" si="6"/>
        <v>0</v>
      </c>
      <c r="X42">
        <f t="shared" si="31"/>
        <v>40</v>
      </c>
      <c r="Y42">
        <f t="shared" si="7"/>
        <v>0</v>
      </c>
      <c r="Z42">
        <f t="shared" si="8"/>
        <v>0</v>
      </c>
      <c r="AA42">
        <f t="shared" si="9"/>
        <v>0</v>
      </c>
      <c r="AB42" s="29">
        <f t="shared" si="10"/>
        <v>0.74178816089935007</v>
      </c>
      <c r="AC42" s="25">
        <f t="shared" si="11"/>
        <v>127.49804426656831</v>
      </c>
      <c r="AD42" s="29">
        <f t="shared" si="12"/>
        <v>1.4051081438100002</v>
      </c>
      <c r="AE42" s="25">
        <f t="shared" si="22"/>
        <v>13.243681724743192</v>
      </c>
      <c r="AF42" s="25">
        <f t="shared" si="14"/>
        <v>13.243681724743192</v>
      </c>
      <c r="AG42" s="25">
        <f>IF($A42&lt;0,0,IF(instatk="bs",(1.5+talSCallInstBon)*(MHavg+(ap+Z42-$Z$1)/APtoDPS*MHnorm+170)*(1+sa*0.1+0.04*opp+0.02*agg+Slayer4value-1),IF(instatk="hemo",Slayer4value*(MHavg+(ap+Z42-$Z$1)/APtoDPS*MHnorm)*(1.1+talSCallInstBon)+420*(1+raidcrit)*debuffon,IF(instatk="ss",(MHavg+(ap+Z42-$Z$1)/APtoDPS*MHnorm+98)*(1+sa*0.1+0.02*agg+Slayer4value-1),IF(instatk="v",(ohavg+(ap+Z42-$Z$1)/APtoDPS*OHnorm)*(1+sa*0.1)*(0.5+0.05*dws)+avipdam,Slayer4value*((1+0.04*opp)*(MHavg+101+(ap+Z42-$Z$1)/APtoDPS*MHnorm+(0.5+0.05*dws)*(ohavg+(ap+Z42-$Z$1)/APtoDPS*OHnorm)+101*(1+0.1*dws))*(1+0.5*IF(Talents!$O$18="Yes",1,0)))))))*(instactualhit+(1+((leth*0.06+2)-1)*(cfact-1))*instactualcrit)*fwfactor*AB42*instsec*(AF42/$AN$45))</f>
        <v>290.78918279358999</v>
      </c>
      <c r="AH42" s="25">
        <f t="shared" si="32"/>
        <v>0</v>
      </c>
      <c r="AI42" s="25">
        <f t="shared" si="33"/>
        <v>0</v>
      </c>
      <c r="AJ42" s="25">
        <f t="shared" si="34"/>
        <v>0</v>
      </c>
    </row>
    <row r="43" spans="1:47">
      <c r="A43">
        <f t="shared" si="15"/>
        <v>40</v>
      </c>
      <c r="B43">
        <f t="shared" si="23"/>
        <v>2</v>
      </c>
      <c r="C43">
        <f t="shared" si="0"/>
        <v>60</v>
      </c>
      <c r="D43">
        <f t="shared" si="16"/>
        <v>0</v>
      </c>
      <c r="E43">
        <f t="shared" si="35"/>
        <v>2</v>
      </c>
      <c r="F43">
        <f t="shared" si="1"/>
        <v>90</v>
      </c>
      <c r="G43">
        <f t="shared" si="17"/>
        <v>0</v>
      </c>
      <c r="H43">
        <f t="shared" si="24"/>
        <v>2</v>
      </c>
      <c r="I43">
        <f t="shared" si="2"/>
        <v>120</v>
      </c>
      <c r="J43">
        <f t="shared" si="18"/>
        <v>0</v>
      </c>
      <c r="K43">
        <f t="shared" si="25"/>
        <v>2</v>
      </c>
      <c r="L43">
        <f t="shared" si="3"/>
        <v>180</v>
      </c>
      <c r="M43">
        <f t="shared" si="19"/>
        <v>0</v>
      </c>
      <c r="N43">
        <f t="shared" si="26"/>
        <v>2</v>
      </c>
      <c r="O43">
        <f t="shared" si="4"/>
        <v>300</v>
      </c>
      <c r="P43">
        <f t="shared" si="27"/>
        <v>0</v>
      </c>
      <c r="Q43">
        <f t="shared" si="28"/>
        <v>2</v>
      </c>
      <c r="R43">
        <f t="shared" si="5"/>
        <v>300</v>
      </c>
      <c r="S43">
        <f t="shared" si="29"/>
        <v>0</v>
      </c>
      <c r="T43">
        <f t="shared" si="30"/>
        <v>-1</v>
      </c>
      <c r="U43">
        <f t="shared" si="20"/>
        <v>0</v>
      </c>
      <c r="V43">
        <f t="shared" si="21"/>
        <v>1</v>
      </c>
      <c r="W43">
        <f t="shared" si="6"/>
        <v>0</v>
      </c>
      <c r="X43">
        <f t="shared" si="31"/>
        <v>0</v>
      </c>
      <c r="Y43">
        <f t="shared" si="7"/>
        <v>0</v>
      </c>
      <c r="Z43">
        <f t="shared" si="8"/>
        <v>0</v>
      </c>
      <c r="AA43">
        <f t="shared" si="9"/>
        <v>0</v>
      </c>
      <c r="AB43" s="29">
        <f t="shared" si="10"/>
        <v>0.74178816089935007</v>
      </c>
      <c r="AC43" s="25">
        <f t="shared" si="11"/>
        <v>127.49804426656831</v>
      </c>
      <c r="AD43" s="29">
        <f t="shared" si="12"/>
        <v>1.0808524183153847</v>
      </c>
      <c r="AE43" s="25">
        <f t="shared" si="22"/>
        <v>13.243681724743192</v>
      </c>
      <c r="AF43" s="25">
        <f t="shared" si="14"/>
        <v>13.243681724743192</v>
      </c>
      <c r="AG43" s="25">
        <f>IF($A43&lt;0,0,IF(instatk="bs",(1.5+talSCallInstBon)*(MHavg+(ap+Z43-$Z$1)/APtoDPS*MHnorm+170)*(1+sa*0.1+0.04*opp+0.02*agg+Slayer4value-1),IF(instatk="hemo",Slayer4value*(MHavg+(ap+Z43-$Z$1)/APtoDPS*MHnorm)*(1.1+talSCallInstBon)+420*(1+raidcrit)*debuffon,IF(instatk="ss",(MHavg+(ap+Z43-$Z$1)/APtoDPS*MHnorm+98)*(1+sa*0.1+0.02*agg+Slayer4value-1),IF(instatk="v",(ohavg+(ap+Z43-$Z$1)/APtoDPS*OHnorm)*(1+sa*0.1)*(0.5+0.05*dws)+avipdam,Slayer4value*((1+0.04*opp)*(MHavg+101+(ap+Z43-$Z$1)/APtoDPS*MHnorm+(0.5+0.05*dws)*(ohavg+(ap+Z43-$Z$1)/APtoDPS*OHnorm)+101*(1+0.1*dws))*(1+0.5*IF(Talents!$O$18="Yes",1,0)))))))*(instactualhit+(1+((leth*0.06+2)-1)*(cfact-1))*instactualcrit)*fwfactor*AB43*instsec*(AF43/$AN$45))</f>
        <v>290.78918279358999</v>
      </c>
      <c r="AH43" s="25">
        <f t="shared" si="32"/>
        <v>0</v>
      </c>
      <c r="AI43" s="25">
        <f t="shared" si="33"/>
        <v>0</v>
      </c>
      <c r="AJ43" s="25">
        <f t="shared" si="34"/>
        <v>0</v>
      </c>
      <c r="AM43" t="s">
        <v>2923</v>
      </c>
      <c r="AN43" s="893">
        <f>'Gear &amp; Buffs'!P143</f>
        <v>127.49804426656831</v>
      </c>
    </row>
    <row r="44" spans="1:47">
      <c r="A44">
        <f t="shared" si="15"/>
        <v>41</v>
      </c>
      <c r="B44">
        <f t="shared" si="23"/>
        <v>2</v>
      </c>
      <c r="C44">
        <f t="shared" si="0"/>
        <v>60</v>
      </c>
      <c r="D44">
        <f t="shared" si="16"/>
        <v>0</v>
      </c>
      <c r="E44">
        <f t="shared" si="35"/>
        <v>2</v>
      </c>
      <c r="F44">
        <f t="shared" si="1"/>
        <v>90</v>
      </c>
      <c r="G44">
        <f t="shared" si="17"/>
        <v>0</v>
      </c>
      <c r="H44">
        <f t="shared" si="24"/>
        <v>2</v>
      </c>
      <c r="I44">
        <f t="shared" si="2"/>
        <v>120</v>
      </c>
      <c r="J44">
        <f t="shared" si="18"/>
        <v>0</v>
      </c>
      <c r="K44">
        <f t="shared" si="25"/>
        <v>2</v>
      </c>
      <c r="L44">
        <f t="shared" si="3"/>
        <v>180</v>
      </c>
      <c r="M44">
        <f t="shared" si="19"/>
        <v>0</v>
      </c>
      <c r="N44">
        <f t="shared" si="26"/>
        <v>2</v>
      </c>
      <c r="O44">
        <f t="shared" si="4"/>
        <v>300</v>
      </c>
      <c r="P44">
        <f t="shared" si="27"/>
        <v>0</v>
      </c>
      <c r="Q44">
        <f t="shared" si="28"/>
        <v>2</v>
      </c>
      <c r="R44">
        <f t="shared" si="5"/>
        <v>300</v>
      </c>
      <c r="S44">
        <f t="shared" si="29"/>
        <v>0</v>
      </c>
      <c r="T44">
        <f t="shared" si="30"/>
        <v>-1</v>
      </c>
      <c r="U44">
        <f t="shared" si="20"/>
        <v>0</v>
      </c>
      <c r="V44">
        <f t="shared" si="21"/>
        <v>1</v>
      </c>
      <c r="W44">
        <f t="shared" si="6"/>
        <v>0</v>
      </c>
      <c r="X44">
        <f t="shared" si="31"/>
        <v>0</v>
      </c>
      <c r="Y44">
        <f t="shared" si="7"/>
        <v>0</v>
      </c>
      <c r="Z44">
        <f t="shared" si="8"/>
        <v>0</v>
      </c>
      <c r="AA44">
        <f t="shared" si="9"/>
        <v>0</v>
      </c>
      <c r="AB44" s="29">
        <f t="shared" si="10"/>
        <v>0.74178816089935007</v>
      </c>
      <c r="AC44" s="25">
        <f t="shared" si="11"/>
        <v>127.49804426656831</v>
      </c>
      <c r="AD44" s="29">
        <f t="shared" si="12"/>
        <v>1.0808524183153847</v>
      </c>
      <c r="AE44" s="25">
        <f t="shared" si="22"/>
        <v>13.243681724743192</v>
      </c>
      <c r="AF44" s="25">
        <f t="shared" si="14"/>
        <v>13.243681724743192</v>
      </c>
      <c r="AG44" s="25">
        <f>IF($A44&lt;0,0,IF(instatk="bs",(1.5+talSCallInstBon)*(MHavg+(ap+Z44-$Z$1)/APtoDPS*MHnorm+170)*(1+sa*0.1+0.04*opp+0.02*agg+Slayer4value-1),IF(instatk="hemo",Slayer4value*(MHavg+(ap+Z44-$Z$1)/APtoDPS*MHnorm)*(1.1+talSCallInstBon)+420*(1+raidcrit)*debuffon,IF(instatk="ss",(MHavg+(ap+Z44-$Z$1)/APtoDPS*MHnorm+98)*(1+sa*0.1+0.02*agg+Slayer4value-1),IF(instatk="v",(ohavg+(ap+Z44-$Z$1)/APtoDPS*OHnorm)*(1+sa*0.1)*(0.5+0.05*dws)+avipdam,Slayer4value*((1+0.04*opp)*(MHavg+101+(ap+Z44-$Z$1)/APtoDPS*MHnorm+(0.5+0.05*dws)*(ohavg+(ap+Z44-$Z$1)/APtoDPS*OHnorm)+101*(1+0.1*dws))*(1+0.5*IF(Talents!$O$18="Yes",1,0)))))))*(instactualhit+(1+((leth*0.06+2)-1)*(cfact-1))*instactualcrit)*fwfactor*AB44*instsec*(AF44/$AN$45))</f>
        <v>290.78918279358999</v>
      </c>
      <c r="AH44" s="25">
        <f t="shared" si="32"/>
        <v>0</v>
      </c>
      <c r="AI44" s="25">
        <f t="shared" si="33"/>
        <v>0</v>
      </c>
      <c r="AJ44" s="25">
        <f t="shared" si="34"/>
        <v>0</v>
      </c>
      <c r="AM44" t="s">
        <v>1474</v>
      </c>
      <c r="AN44" s="25">
        <f>'Damage Calc'!Q43</f>
        <v>3675</v>
      </c>
    </row>
    <row r="45" spans="1:47">
      <c r="A45">
        <f t="shared" si="15"/>
        <v>42</v>
      </c>
      <c r="B45">
        <f t="shared" si="23"/>
        <v>2</v>
      </c>
      <c r="C45">
        <f t="shared" si="0"/>
        <v>60</v>
      </c>
      <c r="D45">
        <f t="shared" si="16"/>
        <v>0</v>
      </c>
      <c r="E45">
        <f t="shared" si="35"/>
        <v>2</v>
      </c>
      <c r="F45">
        <f t="shared" si="1"/>
        <v>90</v>
      </c>
      <c r="G45">
        <f t="shared" si="17"/>
        <v>0</v>
      </c>
      <c r="H45">
        <f t="shared" si="24"/>
        <v>2</v>
      </c>
      <c r="I45">
        <f t="shared" si="2"/>
        <v>120</v>
      </c>
      <c r="J45">
        <f t="shared" si="18"/>
        <v>0</v>
      </c>
      <c r="K45">
        <f t="shared" si="25"/>
        <v>2</v>
      </c>
      <c r="L45">
        <f t="shared" si="3"/>
        <v>180</v>
      </c>
      <c r="M45">
        <f t="shared" si="19"/>
        <v>0</v>
      </c>
      <c r="N45">
        <f t="shared" si="26"/>
        <v>2</v>
      </c>
      <c r="O45">
        <f t="shared" si="4"/>
        <v>300</v>
      </c>
      <c r="P45">
        <f t="shared" si="27"/>
        <v>0</v>
      </c>
      <c r="Q45">
        <f t="shared" si="28"/>
        <v>2</v>
      </c>
      <c r="R45">
        <f t="shared" si="5"/>
        <v>300</v>
      </c>
      <c r="S45">
        <f t="shared" si="29"/>
        <v>0</v>
      </c>
      <c r="T45">
        <f t="shared" si="30"/>
        <v>-1</v>
      </c>
      <c r="U45">
        <f t="shared" si="20"/>
        <v>0</v>
      </c>
      <c r="V45">
        <f t="shared" si="21"/>
        <v>1</v>
      </c>
      <c r="W45">
        <f t="shared" si="6"/>
        <v>0</v>
      </c>
      <c r="X45">
        <f t="shared" si="31"/>
        <v>0</v>
      </c>
      <c r="Y45">
        <f t="shared" si="7"/>
        <v>0</v>
      </c>
      <c r="Z45">
        <f t="shared" si="8"/>
        <v>0</v>
      </c>
      <c r="AA45">
        <f t="shared" si="9"/>
        <v>0</v>
      </c>
      <c r="AB45" s="29">
        <f t="shared" si="10"/>
        <v>0.74178816089935007</v>
      </c>
      <c r="AC45" s="25">
        <f t="shared" si="11"/>
        <v>127.49804426656831</v>
      </c>
      <c r="AD45" s="29">
        <f t="shared" si="12"/>
        <v>1.0808524183153847</v>
      </c>
      <c r="AE45" s="25">
        <f t="shared" si="22"/>
        <v>13.243681724743192</v>
      </c>
      <c r="AF45" s="25">
        <f t="shared" si="14"/>
        <v>13.243681724743192</v>
      </c>
      <c r="AG45" s="25">
        <f>IF($A45&lt;0,0,IF(instatk="bs",(1.5+talSCallInstBon)*(MHavg+(ap+Z45-$Z$1)/APtoDPS*MHnorm+170)*(1+sa*0.1+0.04*opp+0.02*agg+Slayer4value-1),IF(instatk="hemo",Slayer4value*(MHavg+(ap+Z45-$Z$1)/APtoDPS*MHnorm)*(1.1+talSCallInstBon)+420*(1+raidcrit)*debuffon,IF(instatk="ss",(MHavg+(ap+Z45-$Z$1)/APtoDPS*MHnorm+98)*(1+sa*0.1+0.02*agg+Slayer4value-1),IF(instatk="v",(ohavg+(ap+Z45-$Z$1)/APtoDPS*OHnorm)*(1+sa*0.1)*(0.5+0.05*dws)+avipdam,Slayer4value*((1+0.04*opp)*(MHavg+101+(ap+Z45-$Z$1)/APtoDPS*MHnorm+(0.5+0.05*dws)*(ohavg+(ap+Z45-$Z$1)/APtoDPS*OHnorm)+101*(1+0.1*dws))*(1+0.5*IF(Talents!$O$18="Yes",1,0)))))))*(instactualhit+(1+((leth*0.06+2)-1)*(cfact-1))*instactualcrit)*fwfactor*AB45*instsec*(AF45/$AN$45))</f>
        <v>290.78918279358999</v>
      </c>
      <c r="AH45" s="25">
        <f t="shared" si="32"/>
        <v>0</v>
      </c>
      <c r="AI45" s="25">
        <f t="shared" si="33"/>
        <v>0</v>
      </c>
      <c r="AJ45" s="25">
        <f t="shared" si="34"/>
        <v>0</v>
      </c>
      <c r="AM45" t="s">
        <v>320</v>
      </c>
      <c r="AN45" s="898">
        <f>(sndeec+AO45)*AR45+(eec+AO45)*(1-AR45)</f>
        <v>13.243681724743192</v>
      </c>
      <c r="AO45">
        <f>MAX(25/120*blfl-'Damage Calc'!Q47+IF(AND(includeracials,'Gear &amp; Buffs'!B74="troll"),10/180,0)-IF(AND(includeracials,'Gear &amp; Buffs'!B74="Blood Elf",hasmana),30/120,0), 0)</f>
        <v>7.5000000000000011E-2</v>
      </c>
      <c r="AQ45" t="s">
        <v>3030</v>
      </c>
      <c r="AR45" s="29">
        <f>VLOOKUP(Cycles!$X$2,CHOOSE({1,2},Cycles!$AG$56:$AG$284,Cycles!U56:U284),2,FALSE)</f>
        <v>1</v>
      </c>
      <c r="AT45" s="25"/>
    </row>
    <row r="46" spans="1:47">
      <c r="A46">
        <f t="shared" si="15"/>
        <v>43</v>
      </c>
      <c r="B46">
        <f t="shared" si="23"/>
        <v>2</v>
      </c>
      <c r="C46">
        <f t="shared" si="0"/>
        <v>60</v>
      </c>
      <c r="D46">
        <f t="shared" si="16"/>
        <v>0</v>
      </c>
      <c r="E46">
        <f t="shared" si="35"/>
        <v>2</v>
      </c>
      <c r="F46">
        <f t="shared" si="1"/>
        <v>90</v>
      </c>
      <c r="G46">
        <f t="shared" si="17"/>
        <v>0</v>
      </c>
      <c r="H46">
        <f t="shared" si="24"/>
        <v>2</v>
      </c>
      <c r="I46">
        <f t="shared" si="2"/>
        <v>120</v>
      </c>
      <c r="J46">
        <f t="shared" si="18"/>
        <v>0</v>
      </c>
      <c r="K46">
        <f t="shared" si="25"/>
        <v>2</v>
      </c>
      <c r="L46">
        <f t="shared" si="3"/>
        <v>180</v>
      </c>
      <c r="M46">
        <f t="shared" si="19"/>
        <v>0</v>
      </c>
      <c r="N46">
        <f t="shared" si="26"/>
        <v>2</v>
      </c>
      <c r="O46">
        <f t="shared" si="4"/>
        <v>300</v>
      </c>
      <c r="P46">
        <f t="shared" si="27"/>
        <v>0</v>
      </c>
      <c r="Q46">
        <f t="shared" si="28"/>
        <v>2</v>
      </c>
      <c r="R46">
        <f t="shared" si="5"/>
        <v>300</v>
      </c>
      <c r="S46">
        <f t="shared" si="29"/>
        <v>0</v>
      </c>
      <c r="T46">
        <f t="shared" si="30"/>
        <v>-1</v>
      </c>
      <c r="U46">
        <f t="shared" si="20"/>
        <v>0</v>
      </c>
      <c r="V46">
        <f t="shared" si="21"/>
        <v>1</v>
      </c>
      <c r="W46">
        <f t="shared" si="6"/>
        <v>0</v>
      </c>
      <c r="X46">
        <f t="shared" si="31"/>
        <v>0</v>
      </c>
      <c r="Y46">
        <f t="shared" si="7"/>
        <v>0</v>
      </c>
      <c r="Z46">
        <f t="shared" si="8"/>
        <v>0</v>
      </c>
      <c r="AA46">
        <f t="shared" si="9"/>
        <v>0</v>
      </c>
      <c r="AB46" s="29">
        <f t="shared" si="10"/>
        <v>0.74178816089935007</v>
      </c>
      <c r="AC46" s="25">
        <f t="shared" si="11"/>
        <v>127.49804426656831</v>
      </c>
      <c r="AD46" s="29">
        <f t="shared" si="12"/>
        <v>1.0808524183153847</v>
      </c>
      <c r="AE46" s="25">
        <f t="shared" si="22"/>
        <v>13.243681724743192</v>
      </c>
      <c r="AF46" s="25">
        <f t="shared" si="14"/>
        <v>13.243681724743192</v>
      </c>
      <c r="AG46" s="25">
        <f>IF($A46&lt;0,0,IF(instatk="bs",(1.5+talSCallInstBon)*(MHavg+(ap+Z46-$Z$1)/APtoDPS*MHnorm+170)*(1+sa*0.1+0.04*opp+0.02*agg+Slayer4value-1),IF(instatk="hemo",Slayer4value*(MHavg+(ap+Z46-$Z$1)/APtoDPS*MHnorm)*(1.1+talSCallInstBon)+420*(1+raidcrit)*debuffon,IF(instatk="ss",(MHavg+(ap+Z46-$Z$1)/APtoDPS*MHnorm+98)*(1+sa*0.1+0.02*agg+Slayer4value-1),IF(instatk="v",(ohavg+(ap+Z46-$Z$1)/APtoDPS*OHnorm)*(1+sa*0.1)*(0.5+0.05*dws)+avipdam,Slayer4value*((1+0.04*opp)*(MHavg+101+(ap+Z46-$Z$1)/APtoDPS*MHnorm+(0.5+0.05*dws)*(ohavg+(ap+Z46-$Z$1)/APtoDPS*OHnorm)+101*(1+0.1*dws))*(1+0.5*IF(Talents!$O$18="Yes",1,0)))))))*(instactualhit+(1+((leth*0.06+2)-1)*(cfact-1))*instactualcrit)*fwfactor*AB46*instsec*(AF46/$AN$45))</f>
        <v>290.78918279358999</v>
      </c>
      <c r="AH46" s="25">
        <f t="shared" si="32"/>
        <v>0</v>
      </c>
      <c r="AI46" s="25">
        <f t="shared" si="33"/>
        <v>0</v>
      </c>
      <c r="AJ46" s="25">
        <f t="shared" si="34"/>
        <v>0</v>
      </c>
      <c r="AM46" t="s">
        <v>2998</v>
      </c>
      <c r="AN46" s="25">
        <f>avginst*fwfactor*bGlobDam*(1+DDmult)*armor</f>
        <v>1014.2539107837594</v>
      </c>
    </row>
    <row r="47" spans="1:47">
      <c r="A47">
        <f t="shared" si="15"/>
        <v>44</v>
      </c>
      <c r="B47">
        <f t="shared" si="23"/>
        <v>2</v>
      </c>
      <c r="C47">
        <f t="shared" si="0"/>
        <v>60</v>
      </c>
      <c r="D47">
        <f t="shared" si="16"/>
        <v>0</v>
      </c>
      <c r="E47">
        <f t="shared" si="35"/>
        <v>2</v>
      </c>
      <c r="F47">
        <f t="shared" si="1"/>
        <v>90</v>
      </c>
      <c r="G47">
        <f t="shared" si="17"/>
        <v>0</v>
      </c>
      <c r="H47">
        <f t="shared" si="24"/>
        <v>2</v>
      </c>
      <c r="I47">
        <f t="shared" si="2"/>
        <v>120</v>
      </c>
      <c r="J47">
        <f t="shared" si="18"/>
        <v>0</v>
      </c>
      <c r="K47">
        <f t="shared" si="25"/>
        <v>2</v>
      </c>
      <c r="L47">
        <f t="shared" si="3"/>
        <v>180</v>
      </c>
      <c r="M47">
        <f t="shared" si="19"/>
        <v>0</v>
      </c>
      <c r="N47">
        <f t="shared" si="26"/>
        <v>2</v>
      </c>
      <c r="O47">
        <f t="shared" si="4"/>
        <v>300</v>
      </c>
      <c r="P47">
        <f t="shared" si="27"/>
        <v>0</v>
      </c>
      <c r="Q47">
        <f t="shared" si="28"/>
        <v>2</v>
      </c>
      <c r="R47">
        <f t="shared" si="5"/>
        <v>300</v>
      </c>
      <c r="S47">
        <f t="shared" si="29"/>
        <v>0</v>
      </c>
      <c r="T47">
        <f t="shared" si="30"/>
        <v>-1</v>
      </c>
      <c r="U47">
        <f t="shared" si="20"/>
        <v>0</v>
      </c>
      <c r="V47">
        <f t="shared" si="21"/>
        <v>1</v>
      </c>
      <c r="W47">
        <f t="shared" si="6"/>
        <v>0</v>
      </c>
      <c r="X47">
        <f t="shared" si="31"/>
        <v>0</v>
      </c>
      <c r="Y47">
        <f t="shared" si="7"/>
        <v>0</v>
      </c>
      <c r="Z47">
        <f t="shared" si="8"/>
        <v>0</v>
      </c>
      <c r="AA47">
        <f t="shared" si="9"/>
        <v>0</v>
      </c>
      <c r="AB47" s="29">
        <f t="shared" si="10"/>
        <v>0.74178816089935007</v>
      </c>
      <c r="AC47" s="25">
        <f t="shared" si="11"/>
        <v>127.49804426656831</v>
      </c>
      <c r="AD47" s="29">
        <f t="shared" si="12"/>
        <v>1.0808524183153847</v>
      </c>
      <c r="AE47" s="25">
        <f t="shared" si="22"/>
        <v>13.243681724743192</v>
      </c>
      <c r="AF47" s="25">
        <f t="shared" si="14"/>
        <v>13.243681724743192</v>
      </c>
      <c r="AG47" s="25">
        <f>IF($A47&lt;0,0,IF(instatk="bs",(1.5+talSCallInstBon)*(MHavg+(ap+Z47-$Z$1)/APtoDPS*MHnorm+170)*(1+sa*0.1+0.04*opp+0.02*agg+Slayer4value-1),IF(instatk="hemo",Slayer4value*(MHavg+(ap+Z47-$Z$1)/APtoDPS*MHnorm)*(1.1+talSCallInstBon)+420*(1+raidcrit)*debuffon,IF(instatk="ss",(MHavg+(ap+Z47-$Z$1)/APtoDPS*MHnorm+98)*(1+sa*0.1+0.02*agg+Slayer4value-1),IF(instatk="v",(ohavg+(ap+Z47-$Z$1)/APtoDPS*OHnorm)*(1+sa*0.1)*(0.5+0.05*dws)+avipdam,Slayer4value*((1+0.04*opp)*(MHavg+101+(ap+Z47-$Z$1)/APtoDPS*MHnorm+(0.5+0.05*dws)*(ohavg+(ap+Z47-$Z$1)/APtoDPS*OHnorm)+101*(1+0.1*dws))*(1+0.5*IF(Talents!$O$18="Yes",1,0)))))))*(instactualhit+(1+((leth*0.06+2)-1)*(cfact-1))*instactualcrit)*fwfactor*AB47*instsec*(AF47/$AN$45))</f>
        <v>290.78918279358999</v>
      </c>
      <c r="AH47" s="25">
        <f t="shared" si="32"/>
        <v>0</v>
      </c>
      <c r="AI47" s="25">
        <f t="shared" si="33"/>
        <v>0</v>
      </c>
      <c r="AJ47" s="25">
        <f t="shared" si="34"/>
        <v>0</v>
      </c>
    </row>
    <row r="48" spans="1:47">
      <c r="A48">
        <f t="shared" si="15"/>
        <v>45</v>
      </c>
      <c r="B48">
        <f t="shared" si="23"/>
        <v>2</v>
      </c>
      <c r="C48">
        <f t="shared" si="0"/>
        <v>60</v>
      </c>
      <c r="D48">
        <f t="shared" si="16"/>
        <v>0</v>
      </c>
      <c r="E48">
        <f t="shared" si="35"/>
        <v>2</v>
      </c>
      <c r="F48">
        <f t="shared" si="1"/>
        <v>90</v>
      </c>
      <c r="G48">
        <f t="shared" si="17"/>
        <v>0</v>
      </c>
      <c r="H48">
        <f t="shared" si="24"/>
        <v>2</v>
      </c>
      <c r="I48">
        <f t="shared" si="2"/>
        <v>120</v>
      </c>
      <c r="J48">
        <f t="shared" si="18"/>
        <v>0</v>
      </c>
      <c r="K48">
        <f t="shared" si="25"/>
        <v>2</v>
      </c>
      <c r="L48">
        <f t="shared" si="3"/>
        <v>180</v>
      </c>
      <c r="M48">
        <f t="shared" si="19"/>
        <v>0</v>
      </c>
      <c r="N48">
        <f t="shared" si="26"/>
        <v>2</v>
      </c>
      <c r="O48">
        <f t="shared" si="4"/>
        <v>300</v>
      </c>
      <c r="P48">
        <f t="shared" si="27"/>
        <v>0</v>
      </c>
      <c r="Q48">
        <f t="shared" si="28"/>
        <v>2</v>
      </c>
      <c r="R48">
        <f t="shared" si="5"/>
        <v>300</v>
      </c>
      <c r="S48">
        <f t="shared" si="29"/>
        <v>0</v>
      </c>
      <c r="T48">
        <f t="shared" si="30"/>
        <v>-1</v>
      </c>
      <c r="U48">
        <f t="shared" si="20"/>
        <v>0</v>
      </c>
      <c r="V48">
        <f t="shared" si="21"/>
        <v>1</v>
      </c>
      <c r="W48">
        <f t="shared" si="6"/>
        <v>0</v>
      </c>
      <c r="X48">
        <f t="shared" si="31"/>
        <v>0</v>
      </c>
      <c r="Y48">
        <f t="shared" si="7"/>
        <v>0</v>
      </c>
      <c r="Z48">
        <f t="shared" si="8"/>
        <v>0</v>
      </c>
      <c r="AA48">
        <f t="shared" si="9"/>
        <v>0</v>
      </c>
      <c r="AB48" s="29">
        <f t="shared" si="10"/>
        <v>0.74178816089935007</v>
      </c>
      <c r="AC48" s="25">
        <f t="shared" si="11"/>
        <v>127.49804426656831</v>
      </c>
      <c r="AD48" s="29">
        <f t="shared" si="12"/>
        <v>1.0808524183153847</v>
      </c>
      <c r="AE48" s="25">
        <f t="shared" si="22"/>
        <v>13.243681724743192</v>
      </c>
      <c r="AF48" s="25">
        <f t="shared" si="14"/>
        <v>13.243681724743192</v>
      </c>
      <c r="AG48" s="25">
        <f>IF($A48&lt;0,0,IF(instatk="bs",(1.5+talSCallInstBon)*(MHavg+(ap+Z48-$Z$1)/APtoDPS*MHnorm+170)*(1+sa*0.1+0.04*opp+0.02*agg+Slayer4value-1),IF(instatk="hemo",Slayer4value*(MHavg+(ap+Z48-$Z$1)/APtoDPS*MHnorm)*(1.1+talSCallInstBon)+420*(1+raidcrit)*debuffon,IF(instatk="ss",(MHavg+(ap+Z48-$Z$1)/APtoDPS*MHnorm+98)*(1+sa*0.1+0.02*agg+Slayer4value-1),IF(instatk="v",(ohavg+(ap+Z48-$Z$1)/APtoDPS*OHnorm)*(1+sa*0.1)*(0.5+0.05*dws)+avipdam,Slayer4value*((1+0.04*opp)*(MHavg+101+(ap+Z48-$Z$1)/APtoDPS*MHnorm+(0.5+0.05*dws)*(ohavg+(ap+Z48-$Z$1)/APtoDPS*OHnorm)+101*(1+0.1*dws))*(1+0.5*IF(Talents!$O$18="Yes",1,0)))))))*(instactualhit+(1+((leth*0.06+2)-1)*(cfact-1))*instactualcrit)*fwfactor*AB48*instsec*(AF48/$AN$45))</f>
        <v>290.78918279358999</v>
      </c>
      <c r="AH48" s="25">
        <f t="shared" si="32"/>
        <v>0</v>
      </c>
      <c r="AI48" s="25">
        <f t="shared" si="33"/>
        <v>0</v>
      </c>
      <c r="AJ48" s="25">
        <f t="shared" si="34"/>
        <v>0</v>
      </c>
    </row>
    <row r="49" spans="1:39">
      <c r="A49">
        <f t="shared" si="15"/>
        <v>46</v>
      </c>
      <c r="B49">
        <f t="shared" si="23"/>
        <v>2</v>
      </c>
      <c r="C49">
        <f t="shared" si="0"/>
        <v>60</v>
      </c>
      <c r="D49">
        <f t="shared" si="16"/>
        <v>0</v>
      </c>
      <c r="E49">
        <f t="shared" si="35"/>
        <v>2</v>
      </c>
      <c r="F49">
        <f t="shared" si="1"/>
        <v>90</v>
      </c>
      <c r="G49">
        <f t="shared" si="17"/>
        <v>0</v>
      </c>
      <c r="H49">
        <f t="shared" si="24"/>
        <v>2</v>
      </c>
      <c r="I49">
        <f t="shared" si="2"/>
        <v>120</v>
      </c>
      <c r="J49">
        <f t="shared" si="18"/>
        <v>0</v>
      </c>
      <c r="K49">
        <f t="shared" si="25"/>
        <v>2</v>
      </c>
      <c r="L49">
        <f t="shared" si="3"/>
        <v>180</v>
      </c>
      <c r="M49">
        <f t="shared" si="19"/>
        <v>0</v>
      </c>
      <c r="N49">
        <f t="shared" si="26"/>
        <v>2</v>
      </c>
      <c r="O49">
        <f t="shared" si="4"/>
        <v>300</v>
      </c>
      <c r="P49">
        <f t="shared" si="27"/>
        <v>0</v>
      </c>
      <c r="Q49">
        <f t="shared" si="28"/>
        <v>2</v>
      </c>
      <c r="R49">
        <f t="shared" si="5"/>
        <v>300</v>
      </c>
      <c r="S49">
        <f t="shared" si="29"/>
        <v>0</v>
      </c>
      <c r="T49">
        <f t="shared" si="30"/>
        <v>-1</v>
      </c>
      <c r="U49">
        <f t="shared" si="20"/>
        <v>0</v>
      </c>
      <c r="V49">
        <f t="shared" si="21"/>
        <v>1</v>
      </c>
      <c r="W49">
        <f t="shared" si="6"/>
        <v>0</v>
      </c>
      <c r="X49">
        <f t="shared" si="31"/>
        <v>0</v>
      </c>
      <c r="Y49">
        <f t="shared" si="7"/>
        <v>0</v>
      </c>
      <c r="Z49">
        <f t="shared" si="8"/>
        <v>0</v>
      </c>
      <c r="AA49">
        <f t="shared" si="9"/>
        <v>0</v>
      </c>
      <c r="AB49" s="29">
        <f t="shared" si="10"/>
        <v>0.74178816089935007</v>
      </c>
      <c r="AC49" s="25">
        <f t="shared" si="11"/>
        <v>127.49804426656831</v>
      </c>
      <c r="AD49" s="29">
        <f t="shared" si="12"/>
        <v>1.0808524183153847</v>
      </c>
      <c r="AE49" s="25">
        <f t="shared" si="22"/>
        <v>13.243681724743192</v>
      </c>
      <c r="AF49" s="25">
        <f t="shared" si="14"/>
        <v>13.243681724743192</v>
      </c>
      <c r="AG49" s="25">
        <f>IF($A49&lt;0,0,IF(instatk="bs",(1.5+talSCallInstBon)*(MHavg+(ap+Z49-$Z$1)/APtoDPS*MHnorm+170)*(1+sa*0.1+0.04*opp+0.02*agg+Slayer4value-1),IF(instatk="hemo",Slayer4value*(MHavg+(ap+Z49-$Z$1)/APtoDPS*MHnorm)*(1.1+talSCallInstBon)+420*(1+raidcrit)*debuffon,IF(instatk="ss",(MHavg+(ap+Z49-$Z$1)/APtoDPS*MHnorm+98)*(1+sa*0.1+0.02*agg+Slayer4value-1),IF(instatk="v",(ohavg+(ap+Z49-$Z$1)/APtoDPS*OHnorm)*(1+sa*0.1)*(0.5+0.05*dws)+avipdam,Slayer4value*((1+0.04*opp)*(MHavg+101+(ap+Z49-$Z$1)/APtoDPS*MHnorm+(0.5+0.05*dws)*(ohavg+(ap+Z49-$Z$1)/APtoDPS*OHnorm)+101*(1+0.1*dws))*(1+0.5*IF(Talents!$O$18="Yes",1,0)))))))*(instactualhit+(1+((leth*0.06+2)-1)*(cfact-1))*instactualcrit)*fwfactor*AB49*instsec*(AF49/$AN$45))</f>
        <v>290.78918279358999</v>
      </c>
      <c r="AH49" s="25">
        <f t="shared" si="32"/>
        <v>0</v>
      </c>
      <c r="AI49" s="25">
        <f t="shared" si="33"/>
        <v>0</v>
      </c>
      <c r="AJ49" s="25">
        <f t="shared" si="34"/>
        <v>0</v>
      </c>
      <c r="AL49" s="25"/>
      <c r="AM49" s="899"/>
    </row>
    <row r="50" spans="1:39">
      <c r="A50">
        <f t="shared" si="15"/>
        <v>47</v>
      </c>
      <c r="B50">
        <f t="shared" si="23"/>
        <v>2</v>
      </c>
      <c r="C50">
        <f t="shared" si="0"/>
        <v>60</v>
      </c>
      <c r="D50">
        <f t="shared" si="16"/>
        <v>0</v>
      </c>
      <c r="E50">
        <f t="shared" si="35"/>
        <v>2</v>
      </c>
      <c r="F50">
        <f t="shared" si="1"/>
        <v>90</v>
      </c>
      <c r="G50">
        <f t="shared" si="17"/>
        <v>0</v>
      </c>
      <c r="H50">
        <f t="shared" si="24"/>
        <v>2</v>
      </c>
      <c r="I50">
        <f t="shared" si="2"/>
        <v>120</v>
      </c>
      <c r="J50">
        <f t="shared" si="18"/>
        <v>0</v>
      </c>
      <c r="K50">
        <f t="shared" si="25"/>
        <v>2</v>
      </c>
      <c r="L50">
        <f t="shared" si="3"/>
        <v>180</v>
      </c>
      <c r="M50">
        <f t="shared" si="19"/>
        <v>0</v>
      </c>
      <c r="N50">
        <f t="shared" si="26"/>
        <v>2</v>
      </c>
      <c r="O50">
        <f t="shared" si="4"/>
        <v>300</v>
      </c>
      <c r="P50">
        <f t="shared" si="27"/>
        <v>0</v>
      </c>
      <c r="Q50">
        <f t="shared" si="28"/>
        <v>2</v>
      </c>
      <c r="R50">
        <f t="shared" si="5"/>
        <v>300</v>
      </c>
      <c r="S50">
        <f t="shared" si="29"/>
        <v>0</v>
      </c>
      <c r="T50">
        <f t="shared" si="30"/>
        <v>-1</v>
      </c>
      <c r="U50">
        <f t="shared" si="20"/>
        <v>0</v>
      </c>
      <c r="V50">
        <f t="shared" si="21"/>
        <v>1</v>
      </c>
      <c r="W50">
        <f t="shared" si="6"/>
        <v>0</v>
      </c>
      <c r="X50">
        <f t="shared" si="31"/>
        <v>0</v>
      </c>
      <c r="Y50">
        <f t="shared" si="7"/>
        <v>0</v>
      </c>
      <c r="Z50">
        <f t="shared" si="8"/>
        <v>0</v>
      </c>
      <c r="AA50">
        <f t="shared" si="9"/>
        <v>0</v>
      </c>
      <c r="AB50" s="29">
        <f t="shared" si="10"/>
        <v>0.74178816089935007</v>
      </c>
      <c r="AC50" s="25">
        <f t="shared" si="11"/>
        <v>127.49804426656831</v>
      </c>
      <c r="AD50" s="29">
        <f t="shared" si="12"/>
        <v>1.0808524183153847</v>
      </c>
      <c r="AE50" s="25">
        <f t="shared" si="22"/>
        <v>13.243681724743192</v>
      </c>
      <c r="AF50" s="25">
        <f t="shared" si="14"/>
        <v>13.243681724743192</v>
      </c>
      <c r="AG50" s="25">
        <f>IF($A50&lt;0,0,IF(instatk="bs",(1.5+talSCallInstBon)*(MHavg+(ap+Z50-$Z$1)/APtoDPS*MHnorm+170)*(1+sa*0.1+0.04*opp+0.02*agg+Slayer4value-1),IF(instatk="hemo",Slayer4value*(MHavg+(ap+Z50-$Z$1)/APtoDPS*MHnorm)*(1.1+talSCallInstBon)+420*(1+raidcrit)*debuffon,IF(instatk="ss",(MHavg+(ap+Z50-$Z$1)/APtoDPS*MHnorm+98)*(1+sa*0.1+0.02*agg+Slayer4value-1),IF(instatk="v",(ohavg+(ap+Z50-$Z$1)/APtoDPS*OHnorm)*(1+sa*0.1)*(0.5+0.05*dws)+avipdam,Slayer4value*((1+0.04*opp)*(MHavg+101+(ap+Z50-$Z$1)/APtoDPS*MHnorm+(0.5+0.05*dws)*(ohavg+(ap+Z50-$Z$1)/APtoDPS*OHnorm)+101*(1+0.1*dws))*(1+0.5*IF(Talents!$O$18="Yes",1,0)))))))*(instactualhit+(1+((leth*0.06+2)-1)*(cfact-1))*instactualcrit)*fwfactor*AB50*instsec*(AF50/$AN$45))</f>
        <v>290.78918279358999</v>
      </c>
      <c r="AH50" s="25">
        <f t="shared" si="32"/>
        <v>0</v>
      </c>
      <c r="AI50" s="25">
        <f t="shared" si="33"/>
        <v>0</v>
      </c>
      <c r="AJ50" s="25">
        <f t="shared" si="34"/>
        <v>0</v>
      </c>
    </row>
    <row r="51" spans="1:39">
      <c r="A51">
        <f t="shared" si="15"/>
        <v>48</v>
      </c>
      <c r="B51">
        <f t="shared" si="23"/>
        <v>2</v>
      </c>
      <c r="C51">
        <f t="shared" si="0"/>
        <v>60</v>
      </c>
      <c r="D51">
        <f t="shared" si="16"/>
        <v>0</v>
      </c>
      <c r="E51">
        <f t="shared" si="35"/>
        <v>2</v>
      </c>
      <c r="F51">
        <f t="shared" si="1"/>
        <v>90</v>
      </c>
      <c r="G51">
        <f t="shared" si="17"/>
        <v>0</v>
      </c>
      <c r="H51">
        <f t="shared" si="24"/>
        <v>2</v>
      </c>
      <c r="I51">
        <f t="shared" si="2"/>
        <v>120</v>
      </c>
      <c r="J51">
        <f t="shared" si="18"/>
        <v>0</v>
      </c>
      <c r="K51">
        <f t="shared" si="25"/>
        <v>2</v>
      </c>
      <c r="L51">
        <f t="shared" si="3"/>
        <v>180</v>
      </c>
      <c r="M51">
        <f t="shared" si="19"/>
        <v>0</v>
      </c>
      <c r="N51">
        <f t="shared" si="26"/>
        <v>2</v>
      </c>
      <c r="O51">
        <f t="shared" si="4"/>
        <v>300</v>
      </c>
      <c r="P51">
        <f t="shared" si="27"/>
        <v>0</v>
      </c>
      <c r="Q51">
        <f t="shared" si="28"/>
        <v>2</v>
      </c>
      <c r="R51">
        <f t="shared" si="5"/>
        <v>300</v>
      </c>
      <c r="S51">
        <f t="shared" si="29"/>
        <v>0</v>
      </c>
      <c r="T51">
        <f t="shared" si="30"/>
        <v>-1</v>
      </c>
      <c r="U51">
        <f t="shared" si="20"/>
        <v>0</v>
      </c>
      <c r="V51">
        <f t="shared" si="21"/>
        <v>1</v>
      </c>
      <c r="W51">
        <f t="shared" si="6"/>
        <v>0</v>
      </c>
      <c r="X51">
        <f t="shared" si="31"/>
        <v>0</v>
      </c>
      <c r="Y51">
        <f t="shared" si="7"/>
        <v>0</v>
      </c>
      <c r="Z51">
        <f t="shared" si="8"/>
        <v>0</v>
      </c>
      <c r="AA51">
        <f t="shared" si="9"/>
        <v>0</v>
      </c>
      <c r="AB51" s="29">
        <f t="shared" si="10"/>
        <v>0.74178816089935007</v>
      </c>
      <c r="AC51" s="25">
        <f t="shared" si="11"/>
        <v>127.49804426656831</v>
      </c>
      <c r="AD51" s="29">
        <f t="shared" si="12"/>
        <v>1.0808524183153847</v>
      </c>
      <c r="AE51" s="25">
        <f t="shared" si="22"/>
        <v>13.243681724743192</v>
      </c>
      <c r="AF51" s="25">
        <f t="shared" si="14"/>
        <v>13.243681724743192</v>
      </c>
      <c r="AG51" s="25">
        <f>IF($A51&lt;0,0,IF(instatk="bs",(1.5+talSCallInstBon)*(MHavg+(ap+Z51-$Z$1)/APtoDPS*MHnorm+170)*(1+sa*0.1+0.04*opp+0.02*agg+Slayer4value-1),IF(instatk="hemo",Slayer4value*(MHavg+(ap+Z51-$Z$1)/APtoDPS*MHnorm)*(1.1+talSCallInstBon)+420*(1+raidcrit)*debuffon,IF(instatk="ss",(MHavg+(ap+Z51-$Z$1)/APtoDPS*MHnorm+98)*(1+sa*0.1+0.02*agg+Slayer4value-1),IF(instatk="v",(ohavg+(ap+Z51-$Z$1)/APtoDPS*OHnorm)*(1+sa*0.1)*(0.5+0.05*dws)+avipdam,Slayer4value*((1+0.04*opp)*(MHavg+101+(ap+Z51-$Z$1)/APtoDPS*MHnorm+(0.5+0.05*dws)*(ohavg+(ap+Z51-$Z$1)/APtoDPS*OHnorm)+101*(1+0.1*dws))*(1+0.5*IF(Talents!$O$18="Yes",1,0)))))))*(instactualhit+(1+((leth*0.06+2)-1)*(cfact-1))*instactualcrit)*fwfactor*AB51*instsec*(AF51/$AN$45))</f>
        <v>290.78918279358999</v>
      </c>
      <c r="AH51" s="25">
        <f t="shared" si="32"/>
        <v>0</v>
      </c>
      <c r="AI51" s="25">
        <f t="shared" si="33"/>
        <v>0</v>
      </c>
      <c r="AJ51" s="25">
        <f t="shared" si="34"/>
        <v>0</v>
      </c>
    </row>
    <row r="52" spans="1:39">
      <c r="A52">
        <f t="shared" si="15"/>
        <v>49</v>
      </c>
      <c r="B52">
        <f t="shared" si="23"/>
        <v>2</v>
      </c>
      <c r="C52">
        <f t="shared" si="0"/>
        <v>60</v>
      </c>
      <c r="D52">
        <f t="shared" si="16"/>
        <v>0</v>
      </c>
      <c r="E52">
        <f t="shared" si="35"/>
        <v>2</v>
      </c>
      <c r="F52">
        <f t="shared" si="1"/>
        <v>90</v>
      </c>
      <c r="G52">
        <f t="shared" si="17"/>
        <v>0</v>
      </c>
      <c r="H52">
        <f t="shared" si="24"/>
        <v>2</v>
      </c>
      <c r="I52">
        <f t="shared" si="2"/>
        <v>120</v>
      </c>
      <c r="J52">
        <f t="shared" si="18"/>
        <v>0</v>
      </c>
      <c r="K52">
        <f t="shared" si="25"/>
        <v>2</v>
      </c>
      <c r="L52">
        <f t="shared" si="3"/>
        <v>180</v>
      </c>
      <c r="M52">
        <f t="shared" si="19"/>
        <v>0</v>
      </c>
      <c r="N52">
        <f t="shared" si="26"/>
        <v>2</v>
      </c>
      <c r="O52">
        <f t="shared" si="4"/>
        <v>300</v>
      </c>
      <c r="P52">
        <f t="shared" si="27"/>
        <v>0</v>
      </c>
      <c r="Q52">
        <f t="shared" si="28"/>
        <v>2</v>
      </c>
      <c r="R52">
        <f t="shared" si="5"/>
        <v>300</v>
      </c>
      <c r="S52">
        <f t="shared" si="29"/>
        <v>0</v>
      </c>
      <c r="T52">
        <f t="shared" si="30"/>
        <v>-1</v>
      </c>
      <c r="U52">
        <f t="shared" si="20"/>
        <v>0</v>
      </c>
      <c r="V52">
        <f t="shared" si="21"/>
        <v>1</v>
      </c>
      <c r="W52">
        <f t="shared" si="6"/>
        <v>0</v>
      </c>
      <c r="X52">
        <f t="shared" si="31"/>
        <v>0</v>
      </c>
      <c r="Y52">
        <f t="shared" si="7"/>
        <v>0</v>
      </c>
      <c r="Z52">
        <f t="shared" si="8"/>
        <v>0</v>
      </c>
      <c r="AA52">
        <f t="shared" si="9"/>
        <v>0</v>
      </c>
      <c r="AB52" s="29">
        <f t="shared" si="10"/>
        <v>0.74178816089935007</v>
      </c>
      <c r="AC52" s="25">
        <f t="shared" si="11"/>
        <v>127.49804426656831</v>
      </c>
      <c r="AD52" s="29">
        <f t="shared" si="12"/>
        <v>1.0808524183153847</v>
      </c>
      <c r="AE52" s="25">
        <f t="shared" si="22"/>
        <v>13.243681724743192</v>
      </c>
      <c r="AF52" s="25">
        <f t="shared" si="14"/>
        <v>13.243681724743192</v>
      </c>
      <c r="AG52" s="25">
        <f>IF($A52&lt;0,0,IF(instatk="bs",(1.5+talSCallInstBon)*(MHavg+(ap+Z52-$Z$1)/APtoDPS*MHnorm+170)*(1+sa*0.1+0.04*opp+0.02*agg+Slayer4value-1),IF(instatk="hemo",Slayer4value*(MHavg+(ap+Z52-$Z$1)/APtoDPS*MHnorm)*(1.1+talSCallInstBon)+420*(1+raidcrit)*debuffon,IF(instatk="ss",(MHavg+(ap+Z52-$Z$1)/APtoDPS*MHnorm+98)*(1+sa*0.1+0.02*agg+Slayer4value-1),IF(instatk="v",(ohavg+(ap+Z52-$Z$1)/APtoDPS*OHnorm)*(1+sa*0.1)*(0.5+0.05*dws)+avipdam,Slayer4value*((1+0.04*opp)*(MHavg+101+(ap+Z52-$Z$1)/APtoDPS*MHnorm+(0.5+0.05*dws)*(ohavg+(ap+Z52-$Z$1)/APtoDPS*OHnorm)+101*(1+0.1*dws))*(1+0.5*IF(Talents!$O$18="Yes",1,0)))))))*(instactualhit+(1+((leth*0.06+2)-1)*(cfact-1))*instactualcrit)*fwfactor*AB52*instsec*(AF52/$AN$45))</f>
        <v>290.78918279358999</v>
      </c>
      <c r="AH52" s="25">
        <f t="shared" si="32"/>
        <v>0</v>
      </c>
      <c r="AI52" s="25">
        <f t="shared" si="33"/>
        <v>0</v>
      </c>
      <c r="AJ52" s="25">
        <f t="shared" si="34"/>
        <v>0</v>
      </c>
    </row>
    <row r="53" spans="1:39">
      <c r="A53">
        <f t="shared" si="15"/>
        <v>50</v>
      </c>
      <c r="B53">
        <f t="shared" si="23"/>
        <v>2</v>
      </c>
      <c r="C53">
        <f t="shared" si="0"/>
        <v>60</v>
      </c>
      <c r="D53">
        <f t="shared" si="16"/>
        <v>0</v>
      </c>
      <c r="E53">
        <f t="shared" si="35"/>
        <v>2</v>
      </c>
      <c r="F53">
        <f t="shared" si="1"/>
        <v>90</v>
      </c>
      <c r="G53">
        <f t="shared" si="17"/>
        <v>0</v>
      </c>
      <c r="H53">
        <f t="shared" si="24"/>
        <v>2</v>
      </c>
      <c r="I53">
        <f t="shared" si="2"/>
        <v>120</v>
      </c>
      <c r="J53">
        <f t="shared" si="18"/>
        <v>0</v>
      </c>
      <c r="K53">
        <f t="shared" si="25"/>
        <v>2</v>
      </c>
      <c r="L53">
        <f t="shared" si="3"/>
        <v>180</v>
      </c>
      <c r="M53">
        <f t="shared" si="19"/>
        <v>0</v>
      </c>
      <c r="N53">
        <f t="shared" si="26"/>
        <v>2</v>
      </c>
      <c r="O53">
        <f t="shared" si="4"/>
        <v>300</v>
      </c>
      <c r="P53">
        <f t="shared" si="27"/>
        <v>0</v>
      </c>
      <c r="Q53">
        <f t="shared" si="28"/>
        <v>2</v>
      </c>
      <c r="R53">
        <f t="shared" si="5"/>
        <v>300</v>
      </c>
      <c r="S53">
        <f t="shared" si="29"/>
        <v>0</v>
      </c>
      <c r="T53">
        <f t="shared" si="30"/>
        <v>-1</v>
      </c>
      <c r="U53">
        <f t="shared" si="20"/>
        <v>0</v>
      </c>
      <c r="V53">
        <f t="shared" si="21"/>
        <v>1</v>
      </c>
      <c r="W53">
        <f t="shared" si="6"/>
        <v>0</v>
      </c>
      <c r="X53">
        <f t="shared" si="31"/>
        <v>0</v>
      </c>
      <c r="Y53">
        <f t="shared" si="7"/>
        <v>0</v>
      </c>
      <c r="Z53">
        <f t="shared" si="8"/>
        <v>0</v>
      </c>
      <c r="AA53">
        <f t="shared" si="9"/>
        <v>0</v>
      </c>
      <c r="AB53" s="29">
        <f t="shared" si="10"/>
        <v>0.74178816089935007</v>
      </c>
      <c r="AC53" s="25">
        <f t="shared" si="11"/>
        <v>127.49804426656831</v>
      </c>
      <c r="AD53" s="29">
        <f t="shared" si="12"/>
        <v>1.0808524183153847</v>
      </c>
      <c r="AE53" s="25">
        <f t="shared" si="22"/>
        <v>13.243681724743192</v>
      </c>
      <c r="AF53" s="25">
        <f t="shared" si="14"/>
        <v>13.243681724743192</v>
      </c>
      <c r="AG53" s="25">
        <f>IF($A53&lt;0,0,IF(instatk="bs",(1.5+talSCallInstBon)*(MHavg+(ap+Z53-$Z$1)/APtoDPS*MHnorm+170)*(1+sa*0.1+0.04*opp+0.02*agg+Slayer4value-1),IF(instatk="hemo",Slayer4value*(MHavg+(ap+Z53-$Z$1)/APtoDPS*MHnorm)*(1.1+talSCallInstBon)+420*(1+raidcrit)*debuffon,IF(instatk="ss",(MHavg+(ap+Z53-$Z$1)/APtoDPS*MHnorm+98)*(1+sa*0.1+0.02*agg+Slayer4value-1),IF(instatk="v",(ohavg+(ap+Z53-$Z$1)/APtoDPS*OHnorm)*(1+sa*0.1)*(0.5+0.05*dws)+avipdam,Slayer4value*((1+0.04*opp)*(MHavg+101+(ap+Z53-$Z$1)/APtoDPS*MHnorm+(0.5+0.05*dws)*(ohavg+(ap+Z53-$Z$1)/APtoDPS*OHnorm)+101*(1+0.1*dws))*(1+0.5*IF(Talents!$O$18="Yes",1,0)))))))*(instactualhit+(1+((leth*0.06+2)-1)*(cfact-1))*instactualcrit)*fwfactor*AB53*instsec*(AF53/$AN$45))</f>
        <v>290.78918279358999</v>
      </c>
      <c r="AH53" s="25">
        <f t="shared" si="32"/>
        <v>0</v>
      </c>
      <c r="AI53" s="25">
        <f t="shared" si="33"/>
        <v>0</v>
      </c>
      <c r="AJ53" s="25">
        <f t="shared" si="34"/>
        <v>0</v>
      </c>
    </row>
    <row r="54" spans="1:39">
      <c r="A54">
        <f t="shared" si="15"/>
        <v>51</v>
      </c>
      <c r="B54">
        <f t="shared" si="23"/>
        <v>2</v>
      </c>
      <c r="C54">
        <f t="shared" si="0"/>
        <v>60</v>
      </c>
      <c r="D54">
        <f t="shared" si="16"/>
        <v>0</v>
      </c>
      <c r="E54">
        <f t="shared" si="35"/>
        <v>2</v>
      </c>
      <c r="F54">
        <f t="shared" si="1"/>
        <v>90</v>
      </c>
      <c r="G54">
        <f t="shared" si="17"/>
        <v>0</v>
      </c>
      <c r="H54">
        <f t="shared" si="24"/>
        <v>2</v>
      </c>
      <c r="I54">
        <f t="shared" si="2"/>
        <v>120</v>
      </c>
      <c r="J54">
        <f t="shared" si="18"/>
        <v>0</v>
      </c>
      <c r="K54">
        <f t="shared" si="25"/>
        <v>2</v>
      </c>
      <c r="L54">
        <f t="shared" si="3"/>
        <v>180</v>
      </c>
      <c r="M54">
        <f t="shared" si="19"/>
        <v>0</v>
      </c>
      <c r="N54">
        <f t="shared" si="26"/>
        <v>2</v>
      </c>
      <c r="O54">
        <f t="shared" si="4"/>
        <v>300</v>
      </c>
      <c r="P54">
        <f t="shared" si="27"/>
        <v>0</v>
      </c>
      <c r="Q54">
        <f t="shared" si="28"/>
        <v>2</v>
      </c>
      <c r="R54">
        <f t="shared" si="5"/>
        <v>300</v>
      </c>
      <c r="S54">
        <f t="shared" si="29"/>
        <v>0</v>
      </c>
      <c r="T54">
        <f t="shared" si="30"/>
        <v>-1</v>
      </c>
      <c r="U54">
        <f t="shared" si="20"/>
        <v>0</v>
      </c>
      <c r="V54">
        <f t="shared" si="21"/>
        <v>1</v>
      </c>
      <c r="W54">
        <f t="shared" si="6"/>
        <v>0</v>
      </c>
      <c r="X54">
        <f t="shared" si="31"/>
        <v>0</v>
      </c>
      <c r="Y54">
        <f t="shared" si="7"/>
        <v>0</v>
      </c>
      <c r="Z54">
        <f t="shared" si="8"/>
        <v>0</v>
      </c>
      <c r="AA54">
        <f t="shared" si="9"/>
        <v>0</v>
      </c>
      <c r="AB54" s="29">
        <f t="shared" si="10"/>
        <v>0.74178816089935007</v>
      </c>
      <c r="AC54" s="25">
        <f t="shared" si="11"/>
        <v>127.49804426656831</v>
      </c>
      <c r="AD54" s="29">
        <f t="shared" si="12"/>
        <v>1.0808524183153847</v>
      </c>
      <c r="AE54" s="25">
        <f t="shared" si="22"/>
        <v>13.243681724743192</v>
      </c>
      <c r="AF54" s="25">
        <f t="shared" si="14"/>
        <v>13.243681724743192</v>
      </c>
      <c r="AG54" s="25">
        <f>IF($A54&lt;0,0,IF(instatk="bs",(1.5+talSCallInstBon)*(MHavg+(ap+Z54-$Z$1)/APtoDPS*MHnorm+170)*(1+sa*0.1+0.04*opp+0.02*agg+Slayer4value-1),IF(instatk="hemo",Slayer4value*(MHavg+(ap+Z54-$Z$1)/APtoDPS*MHnorm)*(1.1+talSCallInstBon)+420*(1+raidcrit)*debuffon,IF(instatk="ss",(MHavg+(ap+Z54-$Z$1)/APtoDPS*MHnorm+98)*(1+sa*0.1+0.02*agg+Slayer4value-1),IF(instatk="v",(ohavg+(ap+Z54-$Z$1)/APtoDPS*OHnorm)*(1+sa*0.1)*(0.5+0.05*dws)+avipdam,Slayer4value*((1+0.04*opp)*(MHavg+101+(ap+Z54-$Z$1)/APtoDPS*MHnorm+(0.5+0.05*dws)*(ohavg+(ap+Z54-$Z$1)/APtoDPS*OHnorm)+101*(1+0.1*dws))*(1+0.5*IF(Talents!$O$18="Yes",1,0)))))))*(instactualhit+(1+((leth*0.06+2)-1)*(cfact-1))*instactualcrit)*fwfactor*AB54*instsec*(AF54/$AN$45))</f>
        <v>290.78918279358999</v>
      </c>
      <c r="AH54" s="25">
        <f t="shared" si="32"/>
        <v>0</v>
      </c>
      <c r="AI54" s="25">
        <f t="shared" si="33"/>
        <v>0</v>
      </c>
      <c r="AJ54" s="25">
        <f t="shared" si="34"/>
        <v>0</v>
      </c>
    </row>
    <row r="55" spans="1:39">
      <c r="A55">
        <f t="shared" si="15"/>
        <v>52</v>
      </c>
      <c r="B55">
        <f t="shared" si="23"/>
        <v>2</v>
      </c>
      <c r="C55">
        <f t="shared" si="0"/>
        <v>60</v>
      </c>
      <c r="D55">
        <f t="shared" si="16"/>
        <v>0</v>
      </c>
      <c r="E55">
        <f t="shared" si="35"/>
        <v>2</v>
      </c>
      <c r="F55">
        <f t="shared" si="1"/>
        <v>90</v>
      </c>
      <c r="G55">
        <f t="shared" si="17"/>
        <v>0</v>
      </c>
      <c r="H55">
        <f t="shared" si="24"/>
        <v>2</v>
      </c>
      <c r="I55">
        <f t="shared" si="2"/>
        <v>120</v>
      </c>
      <c r="J55">
        <f t="shared" si="18"/>
        <v>0</v>
      </c>
      <c r="K55">
        <f t="shared" si="25"/>
        <v>2</v>
      </c>
      <c r="L55">
        <f t="shared" si="3"/>
        <v>180</v>
      </c>
      <c r="M55">
        <f t="shared" si="19"/>
        <v>0</v>
      </c>
      <c r="N55">
        <f t="shared" si="26"/>
        <v>2</v>
      </c>
      <c r="O55">
        <f t="shared" si="4"/>
        <v>300</v>
      </c>
      <c r="P55">
        <f t="shared" si="27"/>
        <v>0</v>
      </c>
      <c r="Q55">
        <f t="shared" si="28"/>
        <v>2</v>
      </c>
      <c r="R55">
        <f t="shared" si="5"/>
        <v>300</v>
      </c>
      <c r="S55">
        <f t="shared" si="29"/>
        <v>0</v>
      </c>
      <c r="T55">
        <f t="shared" si="30"/>
        <v>-1</v>
      </c>
      <c r="U55">
        <f t="shared" si="20"/>
        <v>0</v>
      </c>
      <c r="V55">
        <f t="shared" si="21"/>
        <v>1</v>
      </c>
      <c r="W55">
        <f t="shared" si="6"/>
        <v>0</v>
      </c>
      <c r="X55">
        <f t="shared" si="31"/>
        <v>0</v>
      </c>
      <c r="Y55">
        <f t="shared" si="7"/>
        <v>0</v>
      </c>
      <c r="Z55">
        <f t="shared" si="8"/>
        <v>0</v>
      </c>
      <c r="AA55">
        <f t="shared" si="9"/>
        <v>0</v>
      </c>
      <c r="AB55" s="29">
        <f t="shared" si="10"/>
        <v>0.74178816089935007</v>
      </c>
      <c r="AC55" s="25">
        <f t="shared" si="11"/>
        <v>127.49804426656831</v>
      </c>
      <c r="AD55" s="29">
        <f t="shared" si="12"/>
        <v>1.0808524183153847</v>
      </c>
      <c r="AE55" s="25">
        <f t="shared" si="22"/>
        <v>13.243681724743192</v>
      </c>
      <c r="AF55" s="25">
        <f t="shared" si="14"/>
        <v>13.243681724743192</v>
      </c>
      <c r="AG55" s="25">
        <f>IF($A55&lt;0,0,IF(instatk="bs",(1.5+talSCallInstBon)*(MHavg+(ap+Z55-$Z$1)/APtoDPS*MHnorm+170)*(1+sa*0.1+0.04*opp+0.02*agg+Slayer4value-1),IF(instatk="hemo",Slayer4value*(MHavg+(ap+Z55-$Z$1)/APtoDPS*MHnorm)*(1.1+talSCallInstBon)+420*(1+raidcrit)*debuffon,IF(instatk="ss",(MHavg+(ap+Z55-$Z$1)/APtoDPS*MHnorm+98)*(1+sa*0.1+0.02*agg+Slayer4value-1),IF(instatk="v",(ohavg+(ap+Z55-$Z$1)/APtoDPS*OHnorm)*(1+sa*0.1)*(0.5+0.05*dws)+avipdam,Slayer4value*((1+0.04*opp)*(MHavg+101+(ap+Z55-$Z$1)/APtoDPS*MHnorm+(0.5+0.05*dws)*(ohavg+(ap+Z55-$Z$1)/APtoDPS*OHnorm)+101*(1+0.1*dws))*(1+0.5*IF(Talents!$O$18="Yes",1,0)))))))*(instactualhit+(1+((leth*0.06+2)-1)*(cfact-1))*instactualcrit)*fwfactor*AB55*instsec*(AF55/$AN$45))</f>
        <v>290.78918279358999</v>
      </c>
      <c r="AH55" s="25">
        <f t="shared" si="32"/>
        <v>0</v>
      </c>
      <c r="AI55" s="25">
        <f t="shared" si="33"/>
        <v>0</v>
      </c>
      <c r="AJ55" s="25">
        <f t="shared" si="34"/>
        <v>0</v>
      </c>
    </row>
    <row r="56" spans="1:39">
      <c r="A56">
        <f t="shared" si="15"/>
        <v>53</v>
      </c>
      <c r="B56">
        <f t="shared" si="23"/>
        <v>2</v>
      </c>
      <c r="C56">
        <f t="shared" si="0"/>
        <v>60</v>
      </c>
      <c r="D56">
        <f t="shared" si="16"/>
        <v>0</v>
      </c>
      <c r="E56">
        <f t="shared" si="35"/>
        <v>2</v>
      </c>
      <c r="F56">
        <f t="shared" si="1"/>
        <v>90</v>
      </c>
      <c r="G56">
        <f t="shared" si="17"/>
        <v>0</v>
      </c>
      <c r="H56">
        <f t="shared" si="24"/>
        <v>2</v>
      </c>
      <c r="I56">
        <f t="shared" si="2"/>
        <v>120</v>
      </c>
      <c r="J56">
        <f t="shared" si="18"/>
        <v>0</v>
      </c>
      <c r="K56">
        <f t="shared" si="25"/>
        <v>2</v>
      </c>
      <c r="L56">
        <f t="shared" si="3"/>
        <v>180</v>
      </c>
      <c r="M56">
        <f t="shared" si="19"/>
        <v>0</v>
      </c>
      <c r="N56">
        <f t="shared" si="26"/>
        <v>2</v>
      </c>
      <c r="O56">
        <f t="shared" si="4"/>
        <v>300</v>
      </c>
      <c r="P56">
        <f t="shared" si="27"/>
        <v>0</v>
      </c>
      <c r="Q56">
        <f t="shared" si="28"/>
        <v>2</v>
      </c>
      <c r="R56">
        <f t="shared" si="5"/>
        <v>300</v>
      </c>
      <c r="S56">
        <f t="shared" si="29"/>
        <v>0</v>
      </c>
      <c r="T56">
        <f t="shared" si="30"/>
        <v>-1</v>
      </c>
      <c r="U56">
        <f t="shared" si="20"/>
        <v>0</v>
      </c>
      <c r="V56">
        <f t="shared" si="21"/>
        <v>1</v>
      </c>
      <c r="W56">
        <f t="shared" si="6"/>
        <v>0</v>
      </c>
      <c r="X56">
        <f t="shared" si="31"/>
        <v>0</v>
      </c>
      <c r="Y56">
        <f t="shared" si="7"/>
        <v>0</v>
      </c>
      <c r="Z56">
        <f t="shared" si="8"/>
        <v>0</v>
      </c>
      <c r="AA56">
        <f t="shared" si="9"/>
        <v>0</v>
      </c>
      <c r="AB56" s="29">
        <f t="shared" si="10"/>
        <v>0.74178816089935007</v>
      </c>
      <c r="AC56" s="25">
        <f t="shared" si="11"/>
        <v>127.49804426656831</v>
      </c>
      <c r="AD56" s="29">
        <f t="shared" si="12"/>
        <v>1.0808524183153847</v>
      </c>
      <c r="AE56" s="25">
        <f t="shared" si="22"/>
        <v>13.243681724743192</v>
      </c>
      <c r="AF56" s="25">
        <f t="shared" si="14"/>
        <v>13.243681724743192</v>
      </c>
      <c r="AG56" s="25">
        <f>IF($A56&lt;0,0,IF(instatk="bs",(1.5+talSCallInstBon)*(MHavg+(ap+Z56-$Z$1)/APtoDPS*MHnorm+170)*(1+sa*0.1+0.04*opp+0.02*agg+Slayer4value-1),IF(instatk="hemo",Slayer4value*(MHavg+(ap+Z56-$Z$1)/APtoDPS*MHnorm)*(1.1+talSCallInstBon)+420*(1+raidcrit)*debuffon,IF(instatk="ss",(MHavg+(ap+Z56-$Z$1)/APtoDPS*MHnorm+98)*(1+sa*0.1+0.02*agg+Slayer4value-1),IF(instatk="v",(ohavg+(ap+Z56-$Z$1)/APtoDPS*OHnorm)*(1+sa*0.1)*(0.5+0.05*dws)+avipdam,Slayer4value*((1+0.04*opp)*(MHavg+101+(ap+Z56-$Z$1)/APtoDPS*MHnorm+(0.5+0.05*dws)*(ohavg+(ap+Z56-$Z$1)/APtoDPS*OHnorm)+101*(1+0.1*dws))*(1+0.5*IF(Talents!$O$18="Yes",1,0)))))))*(instactualhit+(1+((leth*0.06+2)-1)*(cfact-1))*instactualcrit)*fwfactor*AB56*instsec*(AF56/$AN$45))</f>
        <v>290.78918279358999</v>
      </c>
      <c r="AH56" s="25">
        <f t="shared" si="32"/>
        <v>0</v>
      </c>
      <c r="AI56" s="25">
        <f t="shared" si="33"/>
        <v>0</v>
      </c>
      <c r="AJ56" s="25">
        <f t="shared" si="34"/>
        <v>0</v>
      </c>
    </row>
    <row r="57" spans="1:39">
      <c r="A57">
        <f t="shared" si="15"/>
        <v>54</v>
      </c>
      <c r="B57">
        <f t="shared" si="23"/>
        <v>2</v>
      </c>
      <c r="C57">
        <f t="shared" si="0"/>
        <v>60</v>
      </c>
      <c r="D57">
        <f t="shared" si="16"/>
        <v>0</v>
      </c>
      <c r="E57">
        <f t="shared" si="35"/>
        <v>2</v>
      </c>
      <c r="F57">
        <f t="shared" si="1"/>
        <v>90</v>
      </c>
      <c r="G57">
        <f t="shared" si="17"/>
        <v>0</v>
      </c>
      <c r="H57">
        <f t="shared" si="24"/>
        <v>2</v>
      </c>
      <c r="I57">
        <f t="shared" si="2"/>
        <v>120</v>
      </c>
      <c r="J57">
        <f t="shared" si="18"/>
        <v>0</v>
      </c>
      <c r="K57">
        <f t="shared" si="25"/>
        <v>2</v>
      </c>
      <c r="L57">
        <f t="shared" si="3"/>
        <v>180</v>
      </c>
      <c r="M57">
        <f t="shared" si="19"/>
        <v>0</v>
      </c>
      <c r="N57">
        <f t="shared" si="26"/>
        <v>2</v>
      </c>
      <c r="O57">
        <f t="shared" si="4"/>
        <v>300</v>
      </c>
      <c r="P57">
        <f t="shared" si="27"/>
        <v>0</v>
      </c>
      <c r="Q57">
        <f t="shared" si="28"/>
        <v>2</v>
      </c>
      <c r="R57">
        <f t="shared" si="5"/>
        <v>300</v>
      </c>
      <c r="S57">
        <f t="shared" si="29"/>
        <v>0</v>
      </c>
      <c r="T57">
        <f t="shared" si="30"/>
        <v>-1</v>
      </c>
      <c r="U57">
        <f t="shared" si="20"/>
        <v>0</v>
      </c>
      <c r="V57">
        <f t="shared" si="21"/>
        <v>1</v>
      </c>
      <c r="W57">
        <f t="shared" si="6"/>
        <v>0</v>
      </c>
      <c r="X57">
        <f t="shared" si="31"/>
        <v>0</v>
      </c>
      <c r="Y57">
        <f t="shared" si="7"/>
        <v>0</v>
      </c>
      <c r="Z57">
        <f t="shared" si="8"/>
        <v>0</v>
      </c>
      <c r="AA57">
        <f t="shared" si="9"/>
        <v>0</v>
      </c>
      <c r="AB57" s="29">
        <f t="shared" si="10"/>
        <v>0.74178816089935007</v>
      </c>
      <c r="AC57" s="25">
        <f t="shared" si="11"/>
        <v>127.49804426656831</v>
      </c>
      <c r="AD57" s="29">
        <f t="shared" si="12"/>
        <v>1.0808524183153847</v>
      </c>
      <c r="AE57" s="25">
        <f t="shared" si="22"/>
        <v>13.243681724743192</v>
      </c>
      <c r="AF57" s="25">
        <f t="shared" si="14"/>
        <v>13.243681724743192</v>
      </c>
      <c r="AG57" s="25">
        <f>IF($A57&lt;0,0,IF(instatk="bs",(1.5+talSCallInstBon)*(MHavg+(ap+Z57-$Z$1)/APtoDPS*MHnorm+170)*(1+sa*0.1+0.04*opp+0.02*agg+Slayer4value-1),IF(instatk="hemo",Slayer4value*(MHavg+(ap+Z57-$Z$1)/APtoDPS*MHnorm)*(1.1+talSCallInstBon)+420*(1+raidcrit)*debuffon,IF(instatk="ss",(MHavg+(ap+Z57-$Z$1)/APtoDPS*MHnorm+98)*(1+sa*0.1+0.02*agg+Slayer4value-1),IF(instatk="v",(ohavg+(ap+Z57-$Z$1)/APtoDPS*OHnorm)*(1+sa*0.1)*(0.5+0.05*dws)+avipdam,Slayer4value*((1+0.04*opp)*(MHavg+101+(ap+Z57-$Z$1)/APtoDPS*MHnorm+(0.5+0.05*dws)*(ohavg+(ap+Z57-$Z$1)/APtoDPS*OHnorm)+101*(1+0.1*dws))*(1+0.5*IF(Talents!$O$18="Yes",1,0)))))))*(instactualhit+(1+((leth*0.06+2)-1)*(cfact-1))*instactualcrit)*fwfactor*AB57*instsec*(AF57/$AN$45))</f>
        <v>290.78918279358999</v>
      </c>
      <c r="AH57" s="25">
        <f t="shared" si="32"/>
        <v>0</v>
      </c>
      <c r="AI57" s="25">
        <f t="shared" si="33"/>
        <v>0</v>
      </c>
      <c r="AJ57" s="25">
        <f t="shared" si="34"/>
        <v>0</v>
      </c>
    </row>
    <row r="58" spans="1:39">
      <c r="A58">
        <f t="shared" si="15"/>
        <v>55</v>
      </c>
      <c r="B58">
        <f t="shared" si="23"/>
        <v>2</v>
      </c>
      <c r="C58">
        <f t="shared" si="0"/>
        <v>60</v>
      </c>
      <c r="D58">
        <f t="shared" si="16"/>
        <v>0</v>
      </c>
      <c r="E58">
        <f t="shared" si="35"/>
        <v>2</v>
      </c>
      <c r="F58">
        <f t="shared" si="1"/>
        <v>90</v>
      </c>
      <c r="G58">
        <f t="shared" si="17"/>
        <v>0</v>
      </c>
      <c r="H58">
        <f t="shared" si="24"/>
        <v>2</v>
      </c>
      <c r="I58">
        <f t="shared" si="2"/>
        <v>120</v>
      </c>
      <c r="J58">
        <f t="shared" si="18"/>
        <v>0</v>
      </c>
      <c r="K58">
        <f t="shared" si="25"/>
        <v>2</v>
      </c>
      <c r="L58">
        <f t="shared" si="3"/>
        <v>180</v>
      </c>
      <c r="M58">
        <f t="shared" si="19"/>
        <v>0</v>
      </c>
      <c r="N58">
        <f t="shared" si="26"/>
        <v>2</v>
      </c>
      <c r="O58">
        <f t="shared" si="4"/>
        <v>300</v>
      </c>
      <c r="P58">
        <f t="shared" si="27"/>
        <v>0</v>
      </c>
      <c r="Q58">
        <f t="shared" si="28"/>
        <v>2</v>
      </c>
      <c r="R58">
        <f t="shared" si="5"/>
        <v>300</v>
      </c>
      <c r="S58">
        <f t="shared" si="29"/>
        <v>0</v>
      </c>
      <c r="T58">
        <f t="shared" si="30"/>
        <v>-1</v>
      </c>
      <c r="U58">
        <f t="shared" si="20"/>
        <v>0</v>
      </c>
      <c r="V58">
        <f t="shared" si="21"/>
        <v>1</v>
      </c>
      <c r="W58">
        <f t="shared" si="6"/>
        <v>0</v>
      </c>
      <c r="X58">
        <f t="shared" si="31"/>
        <v>0</v>
      </c>
      <c r="Y58">
        <f t="shared" si="7"/>
        <v>0</v>
      </c>
      <c r="Z58">
        <f t="shared" si="8"/>
        <v>0</v>
      </c>
      <c r="AA58">
        <f t="shared" si="9"/>
        <v>0</v>
      </c>
      <c r="AB58" s="29">
        <f t="shared" si="10"/>
        <v>0.74178816089935007</v>
      </c>
      <c r="AC58" s="25">
        <f t="shared" si="11"/>
        <v>127.49804426656831</v>
      </c>
      <c r="AD58" s="29">
        <f t="shared" si="12"/>
        <v>1.0808524183153847</v>
      </c>
      <c r="AE58" s="25">
        <f t="shared" si="22"/>
        <v>13.243681724743192</v>
      </c>
      <c r="AF58" s="25">
        <f t="shared" si="14"/>
        <v>13.243681724743192</v>
      </c>
      <c r="AG58" s="25">
        <f>IF($A58&lt;0,0,IF(instatk="bs",(1.5+talSCallInstBon)*(MHavg+(ap+Z58-$Z$1)/APtoDPS*MHnorm+170)*(1+sa*0.1+0.04*opp+0.02*agg+Slayer4value-1),IF(instatk="hemo",Slayer4value*(MHavg+(ap+Z58-$Z$1)/APtoDPS*MHnorm)*(1.1+talSCallInstBon)+420*(1+raidcrit)*debuffon,IF(instatk="ss",(MHavg+(ap+Z58-$Z$1)/APtoDPS*MHnorm+98)*(1+sa*0.1+0.02*agg+Slayer4value-1),IF(instatk="v",(ohavg+(ap+Z58-$Z$1)/APtoDPS*OHnorm)*(1+sa*0.1)*(0.5+0.05*dws)+avipdam,Slayer4value*((1+0.04*opp)*(MHavg+101+(ap+Z58-$Z$1)/APtoDPS*MHnorm+(0.5+0.05*dws)*(ohavg+(ap+Z58-$Z$1)/APtoDPS*OHnorm)+101*(1+0.1*dws))*(1+0.5*IF(Talents!$O$18="Yes",1,0)))))))*(instactualhit+(1+((leth*0.06+2)-1)*(cfact-1))*instactualcrit)*fwfactor*AB58*instsec*(AF58/$AN$45))</f>
        <v>290.78918279358999</v>
      </c>
      <c r="AH58" s="25">
        <f t="shared" si="32"/>
        <v>0</v>
      </c>
      <c r="AI58" s="25">
        <f t="shared" si="33"/>
        <v>0</v>
      </c>
      <c r="AJ58" s="25">
        <f t="shared" si="34"/>
        <v>0</v>
      </c>
    </row>
    <row r="59" spans="1:39">
      <c r="A59">
        <f t="shared" si="15"/>
        <v>56</v>
      </c>
      <c r="B59">
        <f t="shared" si="23"/>
        <v>2</v>
      </c>
      <c r="C59">
        <f t="shared" si="0"/>
        <v>60</v>
      </c>
      <c r="D59">
        <f t="shared" si="16"/>
        <v>0</v>
      </c>
      <c r="E59">
        <f t="shared" si="35"/>
        <v>2</v>
      </c>
      <c r="F59">
        <f t="shared" si="1"/>
        <v>90</v>
      </c>
      <c r="G59">
        <f t="shared" si="17"/>
        <v>0</v>
      </c>
      <c r="H59">
        <f t="shared" si="24"/>
        <v>2</v>
      </c>
      <c r="I59">
        <f t="shared" si="2"/>
        <v>120</v>
      </c>
      <c r="J59">
        <f t="shared" si="18"/>
        <v>0</v>
      </c>
      <c r="K59">
        <f t="shared" si="25"/>
        <v>2</v>
      </c>
      <c r="L59">
        <f t="shared" si="3"/>
        <v>180</v>
      </c>
      <c r="M59">
        <f t="shared" si="19"/>
        <v>0</v>
      </c>
      <c r="N59">
        <f t="shared" si="26"/>
        <v>2</v>
      </c>
      <c r="O59">
        <f t="shared" si="4"/>
        <v>300</v>
      </c>
      <c r="P59">
        <f t="shared" si="27"/>
        <v>0</v>
      </c>
      <c r="Q59">
        <f t="shared" si="28"/>
        <v>2</v>
      </c>
      <c r="R59">
        <f t="shared" si="5"/>
        <v>300</v>
      </c>
      <c r="S59">
        <f t="shared" si="29"/>
        <v>0</v>
      </c>
      <c r="T59">
        <f t="shared" si="30"/>
        <v>-1</v>
      </c>
      <c r="U59">
        <f t="shared" si="20"/>
        <v>0</v>
      </c>
      <c r="V59">
        <f t="shared" si="21"/>
        <v>1</v>
      </c>
      <c r="W59">
        <f t="shared" si="6"/>
        <v>0</v>
      </c>
      <c r="X59">
        <f t="shared" si="31"/>
        <v>0</v>
      </c>
      <c r="Y59">
        <f t="shared" si="7"/>
        <v>0</v>
      </c>
      <c r="Z59">
        <f t="shared" si="8"/>
        <v>0</v>
      </c>
      <c r="AA59">
        <f t="shared" si="9"/>
        <v>0</v>
      </c>
      <c r="AB59" s="29">
        <f t="shared" si="10"/>
        <v>0.74178816089935007</v>
      </c>
      <c r="AC59" s="25">
        <f t="shared" si="11"/>
        <v>127.49804426656831</v>
      </c>
      <c r="AD59" s="29">
        <f t="shared" si="12"/>
        <v>1.0808524183153847</v>
      </c>
      <c r="AE59" s="25">
        <f t="shared" si="22"/>
        <v>13.243681724743192</v>
      </c>
      <c r="AF59" s="25">
        <f t="shared" si="14"/>
        <v>13.243681724743192</v>
      </c>
      <c r="AG59" s="25">
        <f>IF($A59&lt;0,0,IF(instatk="bs",(1.5+talSCallInstBon)*(MHavg+(ap+Z59-$Z$1)/APtoDPS*MHnorm+170)*(1+sa*0.1+0.04*opp+0.02*agg+Slayer4value-1),IF(instatk="hemo",Slayer4value*(MHavg+(ap+Z59-$Z$1)/APtoDPS*MHnorm)*(1.1+talSCallInstBon)+420*(1+raidcrit)*debuffon,IF(instatk="ss",(MHavg+(ap+Z59-$Z$1)/APtoDPS*MHnorm+98)*(1+sa*0.1+0.02*agg+Slayer4value-1),IF(instatk="v",(ohavg+(ap+Z59-$Z$1)/APtoDPS*OHnorm)*(1+sa*0.1)*(0.5+0.05*dws)+avipdam,Slayer4value*((1+0.04*opp)*(MHavg+101+(ap+Z59-$Z$1)/APtoDPS*MHnorm+(0.5+0.05*dws)*(ohavg+(ap+Z59-$Z$1)/APtoDPS*OHnorm)+101*(1+0.1*dws))*(1+0.5*IF(Talents!$O$18="Yes",1,0)))))))*(instactualhit+(1+((leth*0.06+2)-1)*(cfact-1))*instactualcrit)*fwfactor*AB59*instsec*(AF59/$AN$45))</f>
        <v>290.78918279358999</v>
      </c>
      <c r="AH59" s="25">
        <f t="shared" si="32"/>
        <v>0</v>
      </c>
      <c r="AI59" s="25">
        <f t="shared" si="33"/>
        <v>0</v>
      </c>
      <c r="AJ59" s="25">
        <f t="shared" si="34"/>
        <v>0</v>
      </c>
    </row>
    <row r="60" spans="1:39">
      <c r="A60">
        <f t="shared" si="15"/>
        <v>57</v>
      </c>
      <c r="B60">
        <f t="shared" si="23"/>
        <v>2</v>
      </c>
      <c r="C60">
        <f t="shared" si="0"/>
        <v>60</v>
      </c>
      <c r="D60">
        <f t="shared" si="16"/>
        <v>0</v>
      </c>
      <c r="E60">
        <f t="shared" si="35"/>
        <v>2</v>
      </c>
      <c r="F60">
        <f t="shared" si="1"/>
        <v>90</v>
      </c>
      <c r="G60">
        <f t="shared" si="17"/>
        <v>0</v>
      </c>
      <c r="H60">
        <f t="shared" si="24"/>
        <v>2</v>
      </c>
      <c r="I60">
        <f t="shared" si="2"/>
        <v>120</v>
      </c>
      <c r="J60">
        <f t="shared" si="18"/>
        <v>0</v>
      </c>
      <c r="K60">
        <f t="shared" si="25"/>
        <v>2</v>
      </c>
      <c r="L60">
        <f t="shared" si="3"/>
        <v>180</v>
      </c>
      <c r="M60">
        <f t="shared" si="19"/>
        <v>0</v>
      </c>
      <c r="N60">
        <f t="shared" si="26"/>
        <v>2</v>
      </c>
      <c r="O60">
        <f t="shared" si="4"/>
        <v>300</v>
      </c>
      <c r="P60">
        <f t="shared" si="27"/>
        <v>0</v>
      </c>
      <c r="Q60">
        <f t="shared" si="28"/>
        <v>2</v>
      </c>
      <c r="R60">
        <f t="shared" si="5"/>
        <v>300</v>
      </c>
      <c r="S60">
        <f t="shared" si="29"/>
        <v>0</v>
      </c>
      <c r="T60">
        <f t="shared" si="30"/>
        <v>-1</v>
      </c>
      <c r="U60">
        <f t="shared" si="20"/>
        <v>0</v>
      </c>
      <c r="V60">
        <f t="shared" si="21"/>
        <v>1</v>
      </c>
      <c r="W60">
        <f t="shared" si="6"/>
        <v>0</v>
      </c>
      <c r="X60">
        <f t="shared" si="31"/>
        <v>0</v>
      </c>
      <c r="Y60">
        <f t="shared" si="7"/>
        <v>0</v>
      </c>
      <c r="Z60">
        <f t="shared" si="8"/>
        <v>0</v>
      </c>
      <c r="AA60">
        <f t="shared" si="9"/>
        <v>0</v>
      </c>
      <c r="AB60" s="29">
        <f t="shared" si="10"/>
        <v>0.74178816089935007</v>
      </c>
      <c r="AC60" s="25">
        <f t="shared" si="11"/>
        <v>127.49804426656831</v>
      </c>
      <c r="AD60" s="29">
        <f t="shared" si="12"/>
        <v>1.0808524183153847</v>
      </c>
      <c r="AE60" s="25">
        <f t="shared" si="22"/>
        <v>13.243681724743192</v>
      </c>
      <c r="AF60" s="25">
        <f t="shared" si="14"/>
        <v>13.243681724743192</v>
      </c>
      <c r="AG60" s="25">
        <f>IF($A60&lt;0,0,IF(instatk="bs",(1.5+talSCallInstBon)*(MHavg+(ap+Z60-$Z$1)/APtoDPS*MHnorm+170)*(1+sa*0.1+0.04*opp+0.02*agg+Slayer4value-1),IF(instatk="hemo",Slayer4value*(MHavg+(ap+Z60-$Z$1)/APtoDPS*MHnorm)*(1.1+talSCallInstBon)+420*(1+raidcrit)*debuffon,IF(instatk="ss",(MHavg+(ap+Z60-$Z$1)/APtoDPS*MHnorm+98)*(1+sa*0.1+0.02*agg+Slayer4value-1),IF(instatk="v",(ohavg+(ap+Z60-$Z$1)/APtoDPS*OHnorm)*(1+sa*0.1)*(0.5+0.05*dws)+avipdam,Slayer4value*((1+0.04*opp)*(MHavg+101+(ap+Z60-$Z$1)/APtoDPS*MHnorm+(0.5+0.05*dws)*(ohavg+(ap+Z60-$Z$1)/APtoDPS*OHnorm)+101*(1+0.1*dws))*(1+0.5*IF(Talents!$O$18="Yes",1,0)))))))*(instactualhit+(1+((leth*0.06+2)-1)*(cfact-1))*instactualcrit)*fwfactor*AB60*instsec*(AF60/$AN$45))</f>
        <v>290.78918279358999</v>
      </c>
      <c r="AH60" s="25">
        <f t="shared" si="32"/>
        <v>0</v>
      </c>
      <c r="AI60" s="25">
        <f t="shared" si="33"/>
        <v>0</v>
      </c>
      <c r="AJ60" s="25">
        <f t="shared" si="34"/>
        <v>0</v>
      </c>
    </row>
    <row r="61" spans="1:39">
      <c r="A61">
        <f t="shared" si="15"/>
        <v>58</v>
      </c>
      <c r="B61">
        <f t="shared" si="23"/>
        <v>2</v>
      </c>
      <c r="C61">
        <f t="shared" si="0"/>
        <v>60</v>
      </c>
      <c r="D61">
        <f t="shared" si="16"/>
        <v>0</v>
      </c>
      <c r="E61">
        <f t="shared" si="35"/>
        <v>2</v>
      </c>
      <c r="F61">
        <f t="shared" si="1"/>
        <v>90</v>
      </c>
      <c r="G61">
        <f t="shared" si="17"/>
        <v>0</v>
      </c>
      <c r="H61">
        <f t="shared" si="24"/>
        <v>2</v>
      </c>
      <c r="I61">
        <f t="shared" si="2"/>
        <v>120</v>
      </c>
      <c r="J61">
        <f t="shared" si="18"/>
        <v>0</v>
      </c>
      <c r="K61">
        <f t="shared" si="25"/>
        <v>2</v>
      </c>
      <c r="L61">
        <f t="shared" si="3"/>
        <v>180</v>
      </c>
      <c r="M61">
        <f t="shared" si="19"/>
        <v>0</v>
      </c>
      <c r="N61">
        <f t="shared" si="26"/>
        <v>2</v>
      </c>
      <c r="O61">
        <f t="shared" si="4"/>
        <v>300</v>
      </c>
      <c r="P61">
        <f t="shared" si="27"/>
        <v>0</v>
      </c>
      <c r="Q61">
        <f t="shared" si="28"/>
        <v>2</v>
      </c>
      <c r="R61">
        <f t="shared" si="5"/>
        <v>300</v>
      </c>
      <c r="S61">
        <f t="shared" si="29"/>
        <v>0</v>
      </c>
      <c r="T61">
        <f t="shared" si="30"/>
        <v>-1</v>
      </c>
      <c r="U61">
        <f t="shared" si="20"/>
        <v>0</v>
      </c>
      <c r="V61">
        <f t="shared" si="21"/>
        <v>1</v>
      </c>
      <c r="W61">
        <f t="shared" si="6"/>
        <v>0</v>
      </c>
      <c r="X61">
        <f t="shared" si="31"/>
        <v>0</v>
      </c>
      <c r="Y61">
        <f t="shared" si="7"/>
        <v>0</v>
      </c>
      <c r="Z61">
        <f t="shared" si="8"/>
        <v>0</v>
      </c>
      <c r="AA61">
        <f t="shared" si="9"/>
        <v>0</v>
      </c>
      <c r="AB61" s="29">
        <f t="shared" si="10"/>
        <v>0.74178816089935007</v>
      </c>
      <c r="AC61" s="25">
        <f t="shared" si="11"/>
        <v>127.49804426656831</v>
      </c>
      <c r="AD61" s="29">
        <f t="shared" si="12"/>
        <v>1.0808524183153847</v>
      </c>
      <c r="AE61" s="25">
        <f t="shared" si="22"/>
        <v>13.243681724743192</v>
      </c>
      <c r="AF61" s="25">
        <f t="shared" si="14"/>
        <v>13.243681724743192</v>
      </c>
      <c r="AG61" s="25">
        <f>IF($A61&lt;0,0,IF(instatk="bs",(1.5+talSCallInstBon)*(MHavg+(ap+Z61-$Z$1)/APtoDPS*MHnorm+170)*(1+sa*0.1+0.04*opp+0.02*agg+Slayer4value-1),IF(instatk="hemo",Slayer4value*(MHavg+(ap+Z61-$Z$1)/APtoDPS*MHnorm)*(1.1+talSCallInstBon)+420*(1+raidcrit)*debuffon,IF(instatk="ss",(MHavg+(ap+Z61-$Z$1)/APtoDPS*MHnorm+98)*(1+sa*0.1+0.02*agg+Slayer4value-1),IF(instatk="v",(ohavg+(ap+Z61-$Z$1)/APtoDPS*OHnorm)*(1+sa*0.1)*(0.5+0.05*dws)+avipdam,Slayer4value*((1+0.04*opp)*(MHavg+101+(ap+Z61-$Z$1)/APtoDPS*MHnorm+(0.5+0.05*dws)*(ohavg+(ap+Z61-$Z$1)/APtoDPS*OHnorm)+101*(1+0.1*dws))*(1+0.5*IF(Talents!$O$18="Yes",1,0)))))))*(instactualhit+(1+((leth*0.06+2)-1)*(cfact-1))*instactualcrit)*fwfactor*AB61*instsec*(AF61/$AN$45))</f>
        <v>290.78918279358999</v>
      </c>
      <c r="AH61" s="25">
        <f t="shared" si="32"/>
        <v>0</v>
      </c>
      <c r="AI61" s="25">
        <f t="shared" si="33"/>
        <v>0</v>
      </c>
      <c r="AJ61" s="25">
        <f t="shared" si="34"/>
        <v>0</v>
      </c>
    </row>
    <row r="62" spans="1:39">
      <c r="A62">
        <f t="shared" si="15"/>
        <v>59</v>
      </c>
      <c r="B62">
        <f t="shared" si="23"/>
        <v>2</v>
      </c>
      <c r="C62">
        <f t="shared" si="0"/>
        <v>60</v>
      </c>
      <c r="D62">
        <f t="shared" si="16"/>
        <v>0</v>
      </c>
      <c r="E62">
        <f t="shared" si="35"/>
        <v>2</v>
      </c>
      <c r="F62">
        <f t="shared" si="1"/>
        <v>90</v>
      </c>
      <c r="G62">
        <f t="shared" si="17"/>
        <v>0</v>
      </c>
      <c r="H62">
        <f t="shared" si="24"/>
        <v>2</v>
      </c>
      <c r="I62">
        <f t="shared" si="2"/>
        <v>120</v>
      </c>
      <c r="J62">
        <f t="shared" si="18"/>
        <v>0</v>
      </c>
      <c r="K62">
        <f t="shared" si="25"/>
        <v>2</v>
      </c>
      <c r="L62">
        <f t="shared" si="3"/>
        <v>180</v>
      </c>
      <c r="M62">
        <f t="shared" si="19"/>
        <v>0</v>
      </c>
      <c r="N62">
        <f t="shared" si="26"/>
        <v>2</v>
      </c>
      <c r="O62">
        <f t="shared" si="4"/>
        <v>300</v>
      </c>
      <c r="P62">
        <f t="shared" si="27"/>
        <v>0</v>
      </c>
      <c r="Q62">
        <f t="shared" si="28"/>
        <v>2</v>
      </c>
      <c r="R62">
        <f t="shared" si="5"/>
        <v>300</v>
      </c>
      <c r="S62">
        <f t="shared" si="29"/>
        <v>0</v>
      </c>
      <c r="T62">
        <f t="shared" si="30"/>
        <v>-1</v>
      </c>
      <c r="U62">
        <f t="shared" si="20"/>
        <v>0</v>
      </c>
      <c r="V62">
        <f t="shared" si="21"/>
        <v>1</v>
      </c>
      <c r="W62">
        <f t="shared" si="6"/>
        <v>0</v>
      </c>
      <c r="X62">
        <f t="shared" si="31"/>
        <v>0</v>
      </c>
      <c r="Y62">
        <f t="shared" si="7"/>
        <v>0</v>
      </c>
      <c r="Z62">
        <f t="shared" si="8"/>
        <v>0</v>
      </c>
      <c r="AA62">
        <f t="shared" si="9"/>
        <v>0</v>
      </c>
      <c r="AB62" s="29">
        <f t="shared" si="10"/>
        <v>0.74178816089935007</v>
      </c>
      <c r="AC62" s="25">
        <f t="shared" si="11"/>
        <v>127.49804426656831</v>
      </c>
      <c r="AD62" s="29">
        <f t="shared" si="12"/>
        <v>1.0808524183153847</v>
      </c>
      <c r="AE62" s="25">
        <f t="shared" si="22"/>
        <v>13.243681724743192</v>
      </c>
      <c r="AF62" s="25">
        <f t="shared" si="14"/>
        <v>13.243681724743192</v>
      </c>
      <c r="AG62" s="25">
        <f>IF($A62&lt;0,0,IF(instatk="bs",(1.5+talSCallInstBon)*(MHavg+(ap+Z62-$Z$1)/APtoDPS*MHnorm+170)*(1+sa*0.1+0.04*opp+0.02*agg+Slayer4value-1),IF(instatk="hemo",Slayer4value*(MHavg+(ap+Z62-$Z$1)/APtoDPS*MHnorm)*(1.1+talSCallInstBon)+420*(1+raidcrit)*debuffon,IF(instatk="ss",(MHavg+(ap+Z62-$Z$1)/APtoDPS*MHnorm+98)*(1+sa*0.1+0.02*agg+Slayer4value-1),IF(instatk="v",(ohavg+(ap+Z62-$Z$1)/APtoDPS*OHnorm)*(1+sa*0.1)*(0.5+0.05*dws)+avipdam,Slayer4value*((1+0.04*opp)*(MHavg+101+(ap+Z62-$Z$1)/APtoDPS*MHnorm+(0.5+0.05*dws)*(ohavg+(ap+Z62-$Z$1)/APtoDPS*OHnorm)+101*(1+0.1*dws))*(1+0.5*IF(Talents!$O$18="Yes",1,0)))))))*(instactualhit+(1+((leth*0.06+2)-1)*(cfact-1))*instactualcrit)*fwfactor*AB62*instsec*(AF62/$AN$45))</f>
        <v>290.78918279358999</v>
      </c>
      <c r="AH62" s="25">
        <f t="shared" si="32"/>
        <v>0</v>
      </c>
      <c r="AI62" s="25">
        <f t="shared" si="33"/>
        <v>0</v>
      </c>
      <c r="AJ62" s="25">
        <f t="shared" si="34"/>
        <v>0</v>
      </c>
    </row>
    <row r="63" spans="1:39">
      <c r="A63">
        <f t="shared" si="15"/>
        <v>60</v>
      </c>
      <c r="B63">
        <f t="shared" si="23"/>
        <v>2</v>
      </c>
      <c r="C63">
        <f t="shared" si="0"/>
        <v>60</v>
      </c>
      <c r="D63">
        <f t="shared" si="16"/>
        <v>1</v>
      </c>
      <c r="E63">
        <f t="shared" si="35"/>
        <v>2</v>
      </c>
      <c r="F63">
        <f t="shared" si="1"/>
        <v>90</v>
      </c>
      <c r="G63">
        <f t="shared" si="17"/>
        <v>0</v>
      </c>
      <c r="H63">
        <f t="shared" si="24"/>
        <v>2</v>
      </c>
      <c r="I63">
        <f t="shared" si="2"/>
        <v>120</v>
      </c>
      <c r="J63">
        <f t="shared" si="18"/>
        <v>0</v>
      </c>
      <c r="K63">
        <f t="shared" si="25"/>
        <v>2</v>
      </c>
      <c r="L63">
        <f t="shared" si="3"/>
        <v>180</v>
      </c>
      <c r="M63">
        <f t="shared" si="19"/>
        <v>0</v>
      </c>
      <c r="N63">
        <f t="shared" si="26"/>
        <v>2</v>
      </c>
      <c r="O63">
        <f t="shared" si="4"/>
        <v>300</v>
      </c>
      <c r="P63">
        <f t="shared" si="27"/>
        <v>0</v>
      </c>
      <c r="Q63">
        <f t="shared" si="28"/>
        <v>2</v>
      </c>
      <c r="R63">
        <f t="shared" si="5"/>
        <v>300</v>
      </c>
      <c r="S63">
        <f t="shared" si="29"/>
        <v>0</v>
      </c>
      <c r="T63">
        <f t="shared" si="30"/>
        <v>-1</v>
      </c>
      <c r="U63">
        <f t="shared" si="20"/>
        <v>0</v>
      </c>
      <c r="V63">
        <f t="shared" si="21"/>
        <v>1</v>
      </c>
      <c r="W63">
        <f t="shared" si="6"/>
        <v>0</v>
      </c>
      <c r="X63">
        <f t="shared" si="31"/>
        <v>0</v>
      </c>
      <c r="Y63">
        <f t="shared" si="7"/>
        <v>0</v>
      </c>
      <c r="Z63">
        <f t="shared" si="8"/>
        <v>0</v>
      </c>
      <c r="AA63">
        <f t="shared" si="9"/>
        <v>0</v>
      </c>
      <c r="AB63" s="29">
        <f t="shared" si="10"/>
        <v>0.74178816089935007</v>
      </c>
      <c r="AC63" s="25">
        <f t="shared" si="11"/>
        <v>127.49804426656831</v>
      </c>
      <c r="AD63" s="29">
        <f t="shared" si="12"/>
        <v>1.0808524183153847</v>
      </c>
      <c r="AE63" s="25">
        <f t="shared" si="22"/>
        <v>13.243681724743192</v>
      </c>
      <c r="AF63" s="25">
        <f t="shared" si="14"/>
        <v>13.243681724743192</v>
      </c>
      <c r="AG63" s="25">
        <f>IF($A63&lt;0,0,IF(instatk="bs",(1.5+talSCallInstBon)*(MHavg+(ap+Z63-$Z$1)/APtoDPS*MHnorm+170)*(1+sa*0.1+0.04*opp+0.02*agg+Slayer4value-1),IF(instatk="hemo",Slayer4value*(MHavg+(ap+Z63-$Z$1)/APtoDPS*MHnorm)*(1.1+talSCallInstBon)+420*(1+raidcrit)*debuffon,IF(instatk="ss",(MHavg+(ap+Z63-$Z$1)/APtoDPS*MHnorm+98)*(1+sa*0.1+0.02*agg+Slayer4value-1),IF(instatk="v",(ohavg+(ap+Z63-$Z$1)/APtoDPS*OHnorm)*(1+sa*0.1)*(0.5+0.05*dws)+avipdam,Slayer4value*((1+0.04*opp)*(MHavg+101+(ap+Z63-$Z$1)/APtoDPS*MHnorm+(0.5+0.05*dws)*(ohavg+(ap+Z63-$Z$1)/APtoDPS*OHnorm)+101*(1+0.1*dws))*(1+0.5*IF(Talents!$O$18="Yes",1,0)))))))*(instactualhit+(1+((leth*0.06+2)-1)*(cfact-1))*instactualcrit)*fwfactor*AB63*instsec*(AF63/$AN$45))</f>
        <v>290.78918279358999</v>
      </c>
      <c r="AH63" s="25">
        <f t="shared" si="32"/>
        <v>0</v>
      </c>
      <c r="AI63" s="25">
        <f t="shared" si="33"/>
        <v>0</v>
      </c>
      <c r="AJ63" s="25">
        <f t="shared" si="34"/>
        <v>0</v>
      </c>
    </row>
    <row r="64" spans="1:39">
      <c r="A64">
        <f t="shared" si="15"/>
        <v>61</v>
      </c>
      <c r="B64">
        <f t="shared" si="23"/>
        <v>3</v>
      </c>
      <c r="C64">
        <f t="shared" si="0"/>
        <v>120</v>
      </c>
      <c r="D64">
        <f t="shared" si="16"/>
        <v>2</v>
      </c>
      <c r="E64">
        <f t="shared" si="35"/>
        <v>2</v>
      </c>
      <c r="F64">
        <f t="shared" si="1"/>
        <v>90</v>
      </c>
      <c r="G64">
        <f t="shared" si="17"/>
        <v>0</v>
      </c>
      <c r="H64">
        <f t="shared" si="24"/>
        <v>2</v>
      </c>
      <c r="I64">
        <f t="shared" si="2"/>
        <v>120</v>
      </c>
      <c r="J64">
        <f t="shared" si="18"/>
        <v>0</v>
      </c>
      <c r="K64">
        <f t="shared" si="25"/>
        <v>2</v>
      </c>
      <c r="L64">
        <f t="shared" si="3"/>
        <v>180</v>
      </c>
      <c r="M64">
        <f t="shared" si="19"/>
        <v>0</v>
      </c>
      <c r="N64">
        <f t="shared" si="26"/>
        <v>2</v>
      </c>
      <c r="O64">
        <f t="shared" si="4"/>
        <v>300</v>
      </c>
      <c r="P64">
        <f t="shared" si="27"/>
        <v>0</v>
      </c>
      <c r="Q64">
        <f t="shared" si="28"/>
        <v>2</v>
      </c>
      <c r="R64">
        <f t="shared" si="5"/>
        <v>300</v>
      </c>
      <c r="S64">
        <f t="shared" si="29"/>
        <v>0</v>
      </c>
      <c r="T64">
        <f t="shared" si="30"/>
        <v>-1</v>
      </c>
      <c r="U64">
        <f t="shared" si="20"/>
        <v>0</v>
      </c>
      <c r="V64">
        <f t="shared" si="21"/>
        <v>1</v>
      </c>
      <c r="W64">
        <f t="shared" si="6"/>
        <v>0</v>
      </c>
      <c r="X64">
        <f t="shared" si="31"/>
        <v>0</v>
      </c>
      <c r="Y64">
        <f t="shared" si="7"/>
        <v>0</v>
      </c>
      <c r="Z64">
        <f t="shared" si="8"/>
        <v>0</v>
      </c>
      <c r="AA64">
        <f t="shared" si="9"/>
        <v>0</v>
      </c>
      <c r="AB64" s="29">
        <f t="shared" si="10"/>
        <v>0.74178816089935007</v>
      </c>
      <c r="AC64" s="25">
        <f t="shared" si="11"/>
        <v>127.49804426656831</v>
      </c>
      <c r="AD64" s="29">
        <f t="shared" si="12"/>
        <v>1.0808524183153847</v>
      </c>
      <c r="AE64" s="25">
        <f t="shared" si="22"/>
        <v>13.243681724743192</v>
      </c>
      <c r="AF64" s="25">
        <f t="shared" si="14"/>
        <v>13.243681724743192</v>
      </c>
      <c r="AG64" s="25">
        <f>IF($A64&lt;0,0,IF(instatk="bs",(1.5+talSCallInstBon)*(MHavg+(ap+Z64-$Z$1)/APtoDPS*MHnorm+170)*(1+sa*0.1+0.04*opp+0.02*agg+Slayer4value-1),IF(instatk="hemo",Slayer4value*(MHavg+(ap+Z64-$Z$1)/APtoDPS*MHnorm)*(1.1+talSCallInstBon)+420*(1+raidcrit)*debuffon,IF(instatk="ss",(MHavg+(ap+Z64-$Z$1)/APtoDPS*MHnorm+98)*(1+sa*0.1+0.02*agg+Slayer4value-1),IF(instatk="v",(ohavg+(ap+Z64-$Z$1)/APtoDPS*OHnorm)*(1+sa*0.1)*(0.5+0.05*dws)+avipdam,Slayer4value*((1+0.04*opp)*(MHavg+101+(ap+Z64-$Z$1)/APtoDPS*MHnorm+(0.5+0.05*dws)*(ohavg+(ap+Z64-$Z$1)/APtoDPS*OHnorm)+101*(1+0.1*dws))*(1+0.5*IF(Talents!$O$18="Yes",1,0)))))))*(instactualhit+(1+((leth*0.06+2)-1)*(cfact-1))*instactualcrit)*fwfactor*AB64*instsec*(AF64/$AN$45))</f>
        <v>290.78918279358999</v>
      </c>
      <c r="AH64" s="25">
        <f t="shared" si="32"/>
        <v>0</v>
      </c>
      <c r="AI64" s="25">
        <f t="shared" si="33"/>
        <v>0</v>
      </c>
      <c r="AJ64" s="25">
        <f t="shared" si="34"/>
        <v>0</v>
      </c>
    </row>
    <row r="65" spans="1:36">
      <c r="A65">
        <f t="shared" si="15"/>
        <v>62</v>
      </c>
      <c r="B65">
        <f t="shared" si="23"/>
        <v>3</v>
      </c>
      <c r="C65">
        <f t="shared" si="0"/>
        <v>120</v>
      </c>
      <c r="D65">
        <f t="shared" si="16"/>
        <v>3</v>
      </c>
      <c r="E65">
        <f t="shared" si="35"/>
        <v>2</v>
      </c>
      <c r="F65">
        <f t="shared" si="1"/>
        <v>90</v>
      </c>
      <c r="G65">
        <f t="shared" si="17"/>
        <v>0</v>
      </c>
      <c r="H65">
        <f t="shared" si="24"/>
        <v>2</v>
      </c>
      <c r="I65">
        <f t="shared" si="2"/>
        <v>120</v>
      </c>
      <c r="J65">
        <f t="shared" si="18"/>
        <v>0</v>
      </c>
      <c r="K65">
        <f t="shared" si="25"/>
        <v>2</v>
      </c>
      <c r="L65">
        <f t="shared" si="3"/>
        <v>180</v>
      </c>
      <c r="M65">
        <f t="shared" si="19"/>
        <v>0</v>
      </c>
      <c r="N65">
        <f t="shared" si="26"/>
        <v>2</v>
      </c>
      <c r="O65">
        <f t="shared" si="4"/>
        <v>300</v>
      </c>
      <c r="P65">
        <f t="shared" si="27"/>
        <v>0</v>
      </c>
      <c r="Q65">
        <f t="shared" si="28"/>
        <v>2</v>
      </c>
      <c r="R65">
        <f t="shared" si="5"/>
        <v>300</v>
      </c>
      <c r="S65">
        <f t="shared" si="29"/>
        <v>0</v>
      </c>
      <c r="T65">
        <f t="shared" si="30"/>
        <v>-1</v>
      </c>
      <c r="U65">
        <f t="shared" si="20"/>
        <v>0</v>
      </c>
      <c r="V65">
        <f t="shared" si="21"/>
        <v>1</v>
      </c>
      <c r="W65">
        <f t="shared" si="6"/>
        <v>0</v>
      </c>
      <c r="X65">
        <f t="shared" si="31"/>
        <v>0</v>
      </c>
      <c r="Y65">
        <f t="shared" si="7"/>
        <v>0</v>
      </c>
      <c r="Z65">
        <f t="shared" si="8"/>
        <v>0</v>
      </c>
      <c r="AA65">
        <f t="shared" si="9"/>
        <v>0</v>
      </c>
      <c r="AB65" s="29">
        <f t="shared" si="10"/>
        <v>0.74178816089935007</v>
      </c>
      <c r="AC65" s="25">
        <f t="shared" si="11"/>
        <v>127.49804426656831</v>
      </c>
      <c r="AD65" s="29">
        <f t="shared" si="12"/>
        <v>1.0808524183153847</v>
      </c>
      <c r="AE65" s="25">
        <f t="shared" si="22"/>
        <v>13.243681724743192</v>
      </c>
      <c r="AF65" s="25">
        <f t="shared" si="14"/>
        <v>13.243681724743192</v>
      </c>
      <c r="AG65" s="25">
        <f>IF($A65&lt;0,0,IF(instatk="bs",(1.5+talSCallInstBon)*(MHavg+(ap+Z65-$Z$1)/APtoDPS*MHnorm+170)*(1+sa*0.1+0.04*opp+0.02*agg+Slayer4value-1),IF(instatk="hemo",Slayer4value*(MHavg+(ap+Z65-$Z$1)/APtoDPS*MHnorm)*(1.1+talSCallInstBon)+420*(1+raidcrit)*debuffon,IF(instatk="ss",(MHavg+(ap+Z65-$Z$1)/APtoDPS*MHnorm+98)*(1+sa*0.1+0.02*agg+Slayer4value-1),IF(instatk="v",(ohavg+(ap+Z65-$Z$1)/APtoDPS*OHnorm)*(1+sa*0.1)*(0.5+0.05*dws)+avipdam,Slayer4value*((1+0.04*opp)*(MHavg+101+(ap+Z65-$Z$1)/APtoDPS*MHnorm+(0.5+0.05*dws)*(ohavg+(ap+Z65-$Z$1)/APtoDPS*OHnorm)+101*(1+0.1*dws))*(1+0.5*IF(Talents!$O$18="Yes",1,0)))))))*(instactualhit+(1+((leth*0.06+2)-1)*(cfact-1))*instactualcrit)*fwfactor*AB65*instsec*(AF65/$AN$45))</f>
        <v>290.78918279358999</v>
      </c>
      <c r="AH65" s="25">
        <f t="shared" si="32"/>
        <v>0</v>
      </c>
      <c r="AI65" s="25">
        <f t="shared" si="33"/>
        <v>0</v>
      </c>
      <c r="AJ65" s="25">
        <f t="shared" si="34"/>
        <v>0</v>
      </c>
    </row>
    <row r="66" spans="1:36">
      <c r="A66">
        <f t="shared" si="15"/>
        <v>63</v>
      </c>
      <c r="B66">
        <f t="shared" si="23"/>
        <v>3</v>
      </c>
      <c r="C66">
        <f t="shared" si="0"/>
        <v>120</v>
      </c>
      <c r="D66">
        <f t="shared" si="16"/>
        <v>4</v>
      </c>
      <c r="E66">
        <f t="shared" si="35"/>
        <v>2</v>
      </c>
      <c r="F66">
        <f t="shared" si="1"/>
        <v>90</v>
      </c>
      <c r="G66">
        <f t="shared" si="17"/>
        <v>0</v>
      </c>
      <c r="H66">
        <f t="shared" si="24"/>
        <v>2</v>
      </c>
      <c r="I66">
        <f t="shared" si="2"/>
        <v>120</v>
      </c>
      <c r="J66">
        <f t="shared" si="18"/>
        <v>0</v>
      </c>
      <c r="K66">
        <f t="shared" si="25"/>
        <v>2</v>
      </c>
      <c r="L66">
        <f t="shared" si="3"/>
        <v>180</v>
      </c>
      <c r="M66">
        <f t="shared" si="19"/>
        <v>0</v>
      </c>
      <c r="N66">
        <f t="shared" si="26"/>
        <v>2</v>
      </c>
      <c r="O66">
        <f t="shared" si="4"/>
        <v>300</v>
      </c>
      <c r="P66">
        <f t="shared" si="27"/>
        <v>0</v>
      </c>
      <c r="Q66">
        <f t="shared" si="28"/>
        <v>2</v>
      </c>
      <c r="R66">
        <f t="shared" si="5"/>
        <v>300</v>
      </c>
      <c r="S66">
        <f t="shared" si="29"/>
        <v>0</v>
      </c>
      <c r="T66">
        <f t="shared" si="30"/>
        <v>-1</v>
      </c>
      <c r="U66">
        <f t="shared" si="20"/>
        <v>0</v>
      </c>
      <c r="V66">
        <f t="shared" si="21"/>
        <v>1</v>
      </c>
      <c r="W66">
        <f t="shared" si="6"/>
        <v>0</v>
      </c>
      <c r="X66">
        <f t="shared" si="31"/>
        <v>0</v>
      </c>
      <c r="Y66">
        <f t="shared" si="7"/>
        <v>0</v>
      </c>
      <c r="Z66">
        <f t="shared" si="8"/>
        <v>0</v>
      </c>
      <c r="AA66">
        <f t="shared" si="9"/>
        <v>0</v>
      </c>
      <c r="AB66" s="29">
        <f t="shared" si="10"/>
        <v>0.74178816089935007</v>
      </c>
      <c r="AC66" s="25">
        <f t="shared" si="11"/>
        <v>127.49804426656831</v>
      </c>
      <c r="AD66" s="29">
        <f t="shared" si="12"/>
        <v>1.0808524183153847</v>
      </c>
      <c r="AE66" s="25">
        <f t="shared" si="22"/>
        <v>13.243681724743192</v>
      </c>
      <c r="AF66" s="25">
        <f t="shared" si="14"/>
        <v>13.243681724743192</v>
      </c>
      <c r="AG66" s="25">
        <f>IF($A66&lt;0,0,IF(instatk="bs",(1.5+talSCallInstBon)*(MHavg+(ap+Z66-$Z$1)/APtoDPS*MHnorm+170)*(1+sa*0.1+0.04*opp+0.02*agg+Slayer4value-1),IF(instatk="hemo",Slayer4value*(MHavg+(ap+Z66-$Z$1)/APtoDPS*MHnorm)*(1.1+talSCallInstBon)+420*(1+raidcrit)*debuffon,IF(instatk="ss",(MHavg+(ap+Z66-$Z$1)/APtoDPS*MHnorm+98)*(1+sa*0.1+0.02*agg+Slayer4value-1),IF(instatk="v",(ohavg+(ap+Z66-$Z$1)/APtoDPS*OHnorm)*(1+sa*0.1)*(0.5+0.05*dws)+avipdam,Slayer4value*((1+0.04*opp)*(MHavg+101+(ap+Z66-$Z$1)/APtoDPS*MHnorm+(0.5+0.05*dws)*(ohavg+(ap+Z66-$Z$1)/APtoDPS*OHnorm)+101*(1+0.1*dws))*(1+0.5*IF(Talents!$O$18="Yes",1,0)))))))*(instactualhit+(1+((leth*0.06+2)-1)*(cfact-1))*instactualcrit)*fwfactor*AB66*instsec*(AF66/$AN$45))</f>
        <v>290.78918279358999</v>
      </c>
      <c r="AH66" s="25">
        <f t="shared" si="32"/>
        <v>0</v>
      </c>
      <c r="AI66" s="25">
        <f t="shared" si="33"/>
        <v>0</v>
      </c>
      <c r="AJ66" s="25">
        <f t="shared" si="34"/>
        <v>0</v>
      </c>
    </row>
    <row r="67" spans="1:36">
      <c r="A67">
        <f t="shared" si="15"/>
        <v>64</v>
      </c>
      <c r="B67">
        <f t="shared" si="23"/>
        <v>3</v>
      </c>
      <c r="C67">
        <f t="shared" ref="C67:C130" si="39">IF(AND(cdspec60,cdspec60plus),CHOOSE($B67,cdspec601,cdspec602,cdspec603,cdspec604,cdspec605,cdspec606,cdspec607,cdspec608,cdspec609,cdspec6010),($B67-1)*60+IF(cdspec60,cdspec601,0))</f>
        <v>120</v>
      </c>
      <c r="D67">
        <f t="shared" si="16"/>
        <v>5</v>
      </c>
      <c r="E67">
        <f t="shared" si="35"/>
        <v>2</v>
      </c>
      <c r="F67">
        <f t="shared" ref="F67:F130" si="40">IF(AND(cdspec90,cdspec90plus),CHOOSE(E67,cdspec901,cdspec902,cdspec903,cdspec904,cdspec905,cdspec906),(E67-1)*IF(cdtreat90as120,120,90)+IF(cdspec90,cdspec901,0))</f>
        <v>90</v>
      </c>
      <c r="G67">
        <f t="shared" si="17"/>
        <v>0</v>
      </c>
      <c r="H67">
        <f t="shared" si="24"/>
        <v>2</v>
      </c>
      <c r="I67">
        <f t="shared" ref="I67:I130" si="41">IF(AND(cdspec120,cdspec120plus),CHOOSE(H67,cdspec1201,cdspec1202,cdspec1203,cdspec1204,cdspec1205),(H67-1)*120+IF(cdspec120,cdspec1201,0))</f>
        <v>120</v>
      </c>
      <c r="J67">
        <f t="shared" si="18"/>
        <v>0</v>
      </c>
      <c r="K67">
        <f t="shared" si="25"/>
        <v>2</v>
      </c>
      <c r="L67">
        <f t="shared" ref="L67:L130" si="42">IF(AND(cdspec180,cdspec180plus),CHOOSE(K67,cdspec1801,cdspec1802,cdspec1803,cdspec1804),(K67-1)*IF(cdtreat180as240,240,180)+IF(cdspec180,cdspec1801,0))</f>
        <v>180</v>
      </c>
      <c r="M67">
        <f t="shared" si="19"/>
        <v>0</v>
      </c>
      <c r="N67">
        <f t="shared" si="26"/>
        <v>2</v>
      </c>
      <c r="O67">
        <f t="shared" ref="O67:O130" si="43">IF(cdspecar,CHOOSE(N67,cdar1,cdar2),(N67-1)*300)</f>
        <v>300</v>
      </c>
      <c r="P67">
        <f t="shared" si="27"/>
        <v>0</v>
      </c>
      <c r="Q67">
        <f t="shared" si="28"/>
        <v>2</v>
      </c>
      <c r="R67">
        <f t="shared" ref="R67:R130" si="44">IF(cdspectea,CHOOSE(Q67,cdtea1,cdtea2),(Q67-1)*300)</f>
        <v>300</v>
      </c>
      <c r="S67">
        <f t="shared" si="29"/>
        <v>0</v>
      </c>
      <c r="T67">
        <f t="shared" si="30"/>
        <v>-1</v>
      </c>
      <c r="U67">
        <f t="shared" si="20"/>
        <v>0</v>
      </c>
      <c r="V67">
        <f t="shared" si="21"/>
        <v>1</v>
      </c>
      <c r="W67">
        <f t="shared" ref="W67:W130" si="45">IF(V67=0,-1,IF(cdspeclust,CHOOSE(V67,cdlust1,cdlust2,cdlust3,cdlust4,cdlust5,cdlust6,cdlust7,cdlust8,cdlust9,cdlust10,cdlust11,cdlust12,cdlust13,cdlust14,cdlust15),(V67-1)*120))</f>
        <v>0</v>
      </c>
      <c r="X67">
        <f t="shared" si="31"/>
        <v>0</v>
      </c>
      <c r="Y67">
        <f t="shared" ref="Y67:Y130" si="46">IF($A67&lt;0, 0, IF($J67=0, 0, $AO$16*($J67&lt;=$AT$16)-IF($AW$14, $AO$3*($J67&lt;=$AT$3)))+IF($U67=0, 0, $AO$3))</f>
        <v>0</v>
      </c>
      <c r="Z67">
        <f t="shared" ref="Z67:Z130" si="47">IF($A67&lt;0, 0, IF($D67=0, 0, $AP$6*($D67&lt;=$AT$6)-IF($AW$5, $AP$3*($D67&lt;=$AT$3)))+IF($G67=0, 0, ($AP$9+$AP$10+$AP$11+$AP$12)*($G67&lt;=$AT$9)-IF($AW$8, $AP$3*($G67&lt;=$AT$3)))+IF($J67=0, 0, ($AP$17+$AP$18+$AP$19+$AP$24)*($J67&lt;=$AT$17)+($AP$23+$AP$25+$AP$27)*($J67&lt;=$AT$23)+$AP$30*($J67&lt;=$AT$30)+$AP$21*ROUNDUP($J67/2,0)*($J67&lt;=$AT$21)-IF($AW$14, IF($AP$3=65,$AP$3*ROUNDUP($J67/2,0)*($J67&lt;=$AT$3),$AP$3*($J67&lt;=$AT$3))))+IF($M67=0, 0, $AP$34*($M67&lt;=$AT$34)-IF($AW$32, $AP$3*($M67&lt;=$AT$3)))+IF($U67=0, 0, IF($AP$3=65,$AP$3*ROUNDUP($U67/2,0),$AP$3)))</f>
        <v>0</v>
      </c>
      <c r="AA67">
        <f t="shared" ref="AA67:AA130" si="48">IF($A67&lt;0,0,IF($J67=0,0,$AQ$20*($J67&lt;=$AT$20)-IF($AW$14,$AQ$3*($J67&lt;=$AT$3)))+IF($M67=0,0,$AQ$33*($M67&lt;=$AT$33))+IF($U67=0,0,$AQ$3))</f>
        <v>0</v>
      </c>
      <c r="AB67" s="29">
        <f t="shared" ref="AB67:AB130" si="49">IF($A67&lt;0,0,1-MAX($AN$44-AA67,0)/(MAX($AN$44-AA67,0)+467.5*CharLevel-22167.5))</f>
        <v>0.74178816089935007</v>
      </c>
      <c r="AC67" s="25">
        <f t="shared" ref="AC67:AC130" si="50">IF($A67&lt;0,0,$AN$43+IF($J67=0, 0, $AR$15*($J67&lt;=$AT$15)+$AR$22*($J67&lt;=$AT$22)+$AR$28*($J67&lt;=$AT$28)+$AR$29*($J67&lt;=$AT$29)-IF($AW$14, $AR$3*($J67&lt;=$AT$3))))</f>
        <v>127.49804426656831</v>
      </c>
      <c r="AD67" s="29">
        <f t="shared" ref="AD67:AD130" si="51">IF($A67&lt;0,0,(1+$AC67/(hasterate*100))*(1+$AS$26/100*AND($J67&gt;0,$J67&lt;=$AT$26))*(1+$AS$35/100*AND($M67&gt;0,$M67&lt;=$AT$35))*(1+0.3*($X67&gt;0)))</f>
        <v>1.0808524183153847</v>
      </c>
      <c r="AE67" s="25">
        <f t="shared" si="22"/>
        <v>13.243681724743192</v>
      </c>
      <c r="AF67" s="25">
        <f t="shared" ref="AF67:AF130" si="52">MIN(instcost,AE67)</f>
        <v>13.243681724743192</v>
      </c>
      <c r="AG67" s="25">
        <f>IF($A67&lt;0,0,IF(instatk="bs",(1.5+talSCallInstBon)*(MHavg+(ap+Z67-$Z$1)/APtoDPS*MHnorm+170)*(1+sa*0.1+0.04*opp+0.02*agg+Slayer4value-1),IF(instatk="hemo",Slayer4value*(MHavg+(ap+Z67-$Z$1)/APtoDPS*MHnorm)*(1.1+talSCallInstBon)+420*(1+raidcrit)*debuffon,IF(instatk="ss",(MHavg+(ap+Z67-$Z$1)/APtoDPS*MHnorm+98)*(1+sa*0.1+0.02*agg+Slayer4value-1),IF(instatk="v",(ohavg+(ap+Z67-$Z$1)/APtoDPS*OHnorm)*(1+sa*0.1)*(0.5+0.05*dws)+avipdam,Slayer4value*((1+0.04*opp)*(MHavg+101+(ap+Z67-$Z$1)/APtoDPS*MHnorm+(0.5+0.05*dws)*(ohavg+(ap+Z67-$Z$1)/APtoDPS*OHnorm)+101*(1+0.1*dws))*(1+0.5*IF(Talents!$O$18="Yes",1,0)))))))*(instactualhit+(1+((leth*0.06+2)-1)*(cfact-1))*instactualcrit)*fwfactor*AB67*instsec*(AF67/$AN$45))</f>
        <v>290.78918279358999</v>
      </c>
      <c r="AH67" s="25">
        <f t="shared" si="32"/>
        <v>0</v>
      </c>
      <c r="AI67" s="25">
        <f t="shared" si="33"/>
        <v>0</v>
      </c>
      <c r="AJ67" s="25">
        <f t="shared" si="34"/>
        <v>0</v>
      </c>
    </row>
    <row r="68" spans="1:36">
      <c r="A68">
        <f t="shared" ref="A68:A131" si="53">IF(A67&lt;0,-1,IF(A67+1&gt;=time,-1,A67+1))</f>
        <v>65</v>
      </c>
      <c r="B68">
        <f t="shared" si="23"/>
        <v>3</v>
      </c>
      <c r="C68">
        <f t="shared" si="39"/>
        <v>120</v>
      </c>
      <c r="D68">
        <f t="shared" ref="D68:D131" si="54">IF($A68=$C68,1,IF(AND($D67&gt;0,$D67&lt;30),$D67+1,0))</f>
        <v>6</v>
      </c>
      <c r="E68">
        <f t="shared" si="35"/>
        <v>2</v>
      </c>
      <c r="F68">
        <f t="shared" si="40"/>
        <v>90</v>
      </c>
      <c r="G68">
        <f t="shared" ref="G68:G131" si="55">IF($A68=F68,1,IF(AND(G67&gt;0,G67&lt;30),G67+1,0))</f>
        <v>0</v>
      </c>
      <c r="H68">
        <f t="shared" si="24"/>
        <v>2</v>
      </c>
      <c r="I68">
        <f t="shared" si="41"/>
        <v>120</v>
      </c>
      <c r="J68">
        <f t="shared" ref="J68:J131" si="56">IF($A68=I68,1,IF(AND(J67&gt;0,J67&lt;30),J67+1,0))</f>
        <v>0</v>
      </c>
      <c r="K68">
        <f t="shared" si="25"/>
        <v>2</v>
      </c>
      <c r="L68">
        <f t="shared" si="42"/>
        <v>180</v>
      </c>
      <c r="M68">
        <f t="shared" ref="M68:M131" si="57">IF($A68=L68,1,IF(AND(M67&gt;0,M67&lt;30),M67+1,0))</f>
        <v>0</v>
      </c>
      <c r="N68">
        <f t="shared" si="26"/>
        <v>2</v>
      </c>
      <c r="O68">
        <f t="shared" si="43"/>
        <v>300</v>
      </c>
      <c r="P68">
        <f t="shared" si="27"/>
        <v>0</v>
      </c>
      <c r="Q68">
        <f t="shared" si="28"/>
        <v>2</v>
      </c>
      <c r="R68">
        <f t="shared" si="44"/>
        <v>300</v>
      </c>
      <c r="S68">
        <f t="shared" si="29"/>
        <v>0</v>
      </c>
      <c r="T68">
        <f t="shared" si="30"/>
        <v>-1</v>
      </c>
      <c r="U68">
        <f t="shared" ref="U68:U131" si="58">IF($A68=T68,1,IF(AND(U67&gt;0,U67&lt;$AT$3),U67+1,0))</f>
        <v>0</v>
      </c>
      <c r="V68">
        <f t="shared" ref="V68:V131" si="59">MIN(IF(X67=1,V67+1,V67),blustcount)</f>
        <v>1</v>
      </c>
      <c r="W68">
        <f t="shared" si="45"/>
        <v>0</v>
      </c>
      <c r="X68">
        <f t="shared" si="31"/>
        <v>0</v>
      </c>
      <c r="Y68">
        <f t="shared" si="46"/>
        <v>0</v>
      </c>
      <c r="Z68">
        <f t="shared" si="47"/>
        <v>0</v>
      </c>
      <c r="AA68">
        <f t="shared" si="48"/>
        <v>0</v>
      </c>
      <c r="AB68" s="29">
        <f t="shared" si="49"/>
        <v>0.74178816089935007</v>
      </c>
      <c r="AC68" s="25">
        <f t="shared" si="50"/>
        <v>127.49804426656831</v>
      </c>
      <c r="AD68" s="29">
        <f t="shared" si="51"/>
        <v>1.0808524183153847</v>
      </c>
      <c r="AE68" s="25">
        <f t="shared" ref="AE68:AE131" si="60">IF($A68&lt;0,0,$AN$45+IF($P68&gt;0,$AN$37*$AL$37,0)+$S68*(60-IF(CharLevel&gt;60,(CharLevel-60)*2,0))*$AL$38+IF($J68=1,$AL$26*-25+IF($AL$39, 30, 0),0)+IF($M68=1,$AL$35*-10,0)+IF(AE67&gt;instcost,AE67-instcost,0))</f>
        <v>13.243681724743192</v>
      </c>
      <c r="AF68" s="25">
        <f t="shared" si="52"/>
        <v>13.243681724743192</v>
      </c>
      <c r="AG68" s="25">
        <f>IF($A68&lt;0,0,IF(instatk="bs",(1.5+talSCallInstBon)*(MHavg+(ap+Z68-$Z$1)/APtoDPS*MHnorm+170)*(1+sa*0.1+0.04*opp+0.02*agg+Slayer4value-1),IF(instatk="hemo",Slayer4value*(MHavg+(ap+Z68-$Z$1)/APtoDPS*MHnorm)*(1.1+talSCallInstBon)+420*(1+raidcrit)*debuffon,IF(instatk="ss",(MHavg+(ap+Z68-$Z$1)/APtoDPS*MHnorm+98)*(1+sa*0.1+0.02*agg+Slayer4value-1),IF(instatk="v",(ohavg+(ap+Z68-$Z$1)/APtoDPS*OHnorm)*(1+sa*0.1)*(0.5+0.05*dws)+avipdam,Slayer4value*((1+0.04*opp)*(MHavg+101+(ap+Z68-$Z$1)/APtoDPS*MHnorm+(0.5+0.05*dws)*(ohavg+(ap+Z68-$Z$1)/APtoDPS*OHnorm)+101*(1+0.1*dws))*(1+0.5*IF(Talents!$O$18="Yes",1,0)))))))*(instactualhit+(1+((leth*0.06+2)-1)*(cfact-1))*instactualcrit)*fwfactor*AB68*instsec*(AF68/$AN$45))</f>
        <v>290.78918279358999</v>
      </c>
      <c r="AH68" s="25">
        <f t="shared" si="32"/>
        <v>0</v>
      </c>
      <c r="AI68" s="25">
        <f t="shared" si="33"/>
        <v>0</v>
      </c>
      <c r="AJ68" s="25">
        <f t="shared" si="34"/>
        <v>0</v>
      </c>
    </row>
    <row r="69" spans="1:36">
      <c r="A69">
        <f t="shared" si="53"/>
        <v>66</v>
      </c>
      <c r="B69">
        <f t="shared" ref="B69:B132" si="61">MIN(IF(D68=1,B68+1,B68),10)</f>
        <v>3</v>
      </c>
      <c r="C69">
        <f t="shared" si="39"/>
        <v>120</v>
      </c>
      <c r="D69">
        <f t="shared" si="54"/>
        <v>7</v>
      </c>
      <c r="E69">
        <f t="shared" si="35"/>
        <v>2</v>
      </c>
      <c r="F69">
        <f t="shared" si="40"/>
        <v>90</v>
      </c>
      <c r="G69">
        <f t="shared" si="55"/>
        <v>0</v>
      </c>
      <c r="H69">
        <f t="shared" ref="H69:H132" si="62">MIN(IF(J68=1,H68+1,H68),5)</f>
        <v>2</v>
      </c>
      <c r="I69">
        <f t="shared" si="41"/>
        <v>120</v>
      </c>
      <c r="J69">
        <f t="shared" si="56"/>
        <v>0</v>
      </c>
      <c r="K69">
        <f t="shared" ref="K69:K132" si="63">MIN(IF(M68=1,K68+1,K68),4)</f>
        <v>2</v>
      </c>
      <c r="L69">
        <f t="shared" si="42"/>
        <v>180</v>
      </c>
      <c r="M69">
        <f t="shared" si="57"/>
        <v>0</v>
      </c>
      <c r="N69">
        <f t="shared" ref="N69:N132" si="64">MIN(IF(P68=1,N68+1,N68),2)</f>
        <v>2</v>
      </c>
      <c r="O69">
        <f t="shared" si="43"/>
        <v>300</v>
      </c>
      <c r="P69">
        <f t="shared" ref="P69:P132" si="65">IF($A69=O69,1,IF(AND(P68&gt;0,P68&lt;15),P68+1,0))</f>
        <v>0</v>
      </c>
      <c r="Q69">
        <f t="shared" ref="Q69:Q132" si="66">MIN(IF(S68=1,Q68+1,Q68),2)</f>
        <v>2</v>
      </c>
      <c r="R69">
        <f t="shared" si="44"/>
        <v>300</v>
      </c>
      <c r="S69">
        <f t="shared" ref="S69:S132" si="67">IF($A69=R69,1,IF(AND(S68&gt;0,S68&lt;1),S68+1,0))</f>
        <v>0</v>
      </c>
      <c r="T69">
        <f t="shared" ref="T69:T132" si="68">IF($AU$3, IF(AND(T68&gt;IF($AV$5,C69,IF($AV$8,F69,IF($AV$14,I69,IF($AV$32,L69))))-$AT$3,T68&lt;IF($AV$5,C69,IF($AV$8,F69,IF($AV$14,I69,IF($AV$32,L69))))+$AU$3), IF($AV$5,C69,IF($AV$8,F69,IF($AV$14,I69,IF($AV$32,L69))))+$AU$3, T68)+IF(T68-A68=0, IF($AW$5,60,IF($AW$8,90,IF($AW$14,120,IF($AW$32,180))))), -1)</f>
        <v>-1</v>
      </c>
      <c r="U69">
        <f t="shared" si="58"/>
        <v>0</v>
      </c>
      <c r="V69">
        <f t="shared" si="59"/>
        <v>1</v>
      </c>
      <c r="W69">
        <f t="shared" si="45"/>
        <v>0</v>
      </c>
      <c r="X69">
        <f t="shared" ref="X69:X132" si="69">IF($A69=W69,1,IF(AND(X68&gt;0,X68&lt;40),X68+1,0))</f>
        <v>0</v>
      </c>
      <c r="Y69">
        <f t="shared" si="46"/>
        <v>0</v>
      </c>
      <c r="Z69">
        <f t="shared" si="47"/>
        <v>0</v>
      </c>
      <c r="AA69">
        <f t="shared" si="48"/>
        <v>0</v>
      </c>
      <c r="AB69" s="29">
        <f t="shared" si="49"/>
        <v>0.74178816089935007</v>
      </c>
      <c r="AC69" s="25">
        <f t="shared" si="50"/>
        <v>127.49804426656831</v>
      </c>
      <c r="AD69" s="29">
        <f t="shared" si="51"/>
        <v>1.0808524183153847</v>
      </c>
      <c r="AE69" s="25">
        <f t="shared" si="60"/>
        <v>13.243681724743192</v>
      </c>
      <c r="AF69" s="25">
        <f t="shared" si="52"/>
        <v>13.243681724743192</v>
      </c>
      <c r="AG69" s="25">
        <f>IF($A69&lt;0,0,IF(instatk="bs",(1.5+talSCallInstBon)*(MHavg+(ap+Z69-$Z$1)/APtoDPS*MHnorm+170)*(1+sa*0.1+0.04*opp+0.02*agg+Slayer4value-1),IF(instatk="hemo",Slayer4value*(MHavg+(ap+Z69-$Z$1)/APtoDPS*MHnorm)*(1.1+talSCallInstBon)+420*(1+raidcrit)*debuffon,IF(instatk="ss",(MHavg+(ap+Z69-$Z$1)/APtoDPS*MHnorm+98)*(1+sa*0.1+0.02*agg+Slayer4value-1),IF(instatk="v",(ohavg+(ap+Z69-$Z$1)/APtoDPS*OHnorm)*(1+sa*0.1)*(0.5+0.05*dws)+avipdam,Slayer4value*((1+0.04*opp)*(MHavg+101+(ap+Z69-$Z$1)/APtoDPS*MHnorm+(0.5+0.05*dws)*(ohavg+(ap+Z69-$Z$1)/APtoDPS*OHnorm)+101*(1+0.1*dws))*(1+0.5*IF(Talents!$O$18="Yes",1,0)))))))*(instactualhit+(1+((leth*0.06+2)-1)*(cfact-1))*instactualcrit)*fwfactor*AB69*instsec*(AF69/$AN$45))</f>
        <v>290.78918279358999</v>
      </c>
      <c r="AH69" s="25">
        <f t="shared" ref="AH69:AH132" si="70">IF(AH68-$AF69&lt;0,0,AH68-$AF69)</f>
        <v>0</v>
      </c>
      <c r="AI69" s="25">
        <f t="shared" ref="AI69:AI132" si="71">IF(AI68-AF69&lt;0,0,AI68-AF69)</f>
        <v>0</v>
      </c>
      <c r="AJ69" s="25">
        <f t="shared" ref="AJ69:AJ132" si="72">IF(AJ68-$AF69&lt;0,0,AJ68-$AF69)</f>
        <v>0</v>
      </c>
    </row>
    <row r="70" spans="1:36">
      <c r="A70">
        <f t="shared" si="53"/>
        <v>67</v>
      </c>
      <c r="B70">
        <f t="shared" si="61"/>
        <v>3</v>
      </c>
      <c r="C70">
        <f t="shared" si="39"/>
        <v>120</v>
      </c>
      <c r="D70">
        <f t="shared" si="54"/>
        <v>8</v>
      </c>
      <c r="E70">
        <f t="shared" ref="E70:E133" si="73">MIN(IF(G69=1,E69+1,E69),6)</f>
        <v>2</v>
      </c>
      <c r="F70">
        <f t="shared" si="40"/>
        <v>90</v>
      </c>
      <c r="G70">
        <f t="shared" si="55"/>
        <v>0</v>
      </c>
      <c r="H70">
        <f t="shared" si="62"/>
        <v>2</v>
      </c>
      <c r="I70">
        <f t="shared" si="41"/>
        <v>120</v>
      </c>
      <c r="J70">
        <f t="shared" si="56"/>
        <v>0</v>
      </c>
      <c r="K70">
        <f t="shared" si="63"/>
        <v>2</v>
      </c>
      <c r="L70">
        <f t="shared" si="42"/>
        <v>180</v>
      </c>
      <c r="M70">
        <f t="shared" si="57"/>
        <v>0</v>
      </c>
      <c r="N70">
        <f t="shared" si="64"/>
        <v>2</v>
      </c>
      <c r="O70">
        <f t="shared" si="43"/>
        <v>300</v>
      </c>
      <c r="P70">
        <f t="shared" si="65"/>
        <v>0</v>
      </c>
      <c r="Q70">
        <f t="shared" si="66"/>
        <v>2</v>
      </c>
      <c r="R70">
        <f t="shared" si="44"/>
        <v>300</v>
      </c>
      <c r="S70">
        <f t="shared" si="67"/>
        <v>0</v>
      </c>
      <c r="T70">
        <f t="shared" si="68"/>
        <v>-1</v>
      </c>
      <c r="U70">
        <f t="shared" si="58"/>
        <v>0</v>
      </c>
      <c r="V70">
        <f t="shared" si="59"/>
        <v>1</v>
      </c>
      <c r="W70">
        <f t="shared" si="45"/>
        <v>0</v>
      </c>
      <c r="X70">
        <f t="shared" si="69"/>
        <v>0</v>
      </c>
      <c r="Y70">
        <f t="shared" si="46"/>
        <v>0</v>
      </c>
      <c r="Z70">
        <f t="shared" si="47"/>
        <v>0</v>
      </c>
      <c r="AA70">
        <f t="shared" si="48"/>
        <v>0</v>
      </c>
      <c r="AB70" s="29">
        <f t="shared" si="49"/>
        <v>0.74178816089935007</v>
      </c>
      <c r="AC70" s="25">
        <f t="shared" si="50"/>
        <v>127.49804426656831</v>
      </c>
      <c r="AD70" s="29">
        <f t="shared" si="51"/>
        <v>1.0808524183153847</v>
      </c>
      <c r="AE70" s="25">
        <f t="shared" si="60"/>
        <v>13.243681724743192</v>
      </c>
      <c r="AF70" s="25">
        <f t="shared" si="52"/>
        <v>13.243681724743192</v>
      </c>
      <c r="AG70" s="25">
        <f>IF($A70&lt;0,0,IF(instatk="bs",(1.5+talSCallInstBon)*(MHavg+(ap+Z70-$Z$1)/APtoDPS*MHnorm+170)*(1+sa*0.1+0.04*opp+0.02*agg+Slayer4value-1),IF(instatk="hemo",Slayer4value*(MHavg+(ap+Z70-$Z$1)/APtoDPS*MHnorm)*(1.1+talSCallInstBon)+420*(1+raidcrit)*debuffon,IF(instatk="ss",(MHavg+(ap+Z70-$Z$1)/APtoDPS*MHnorm+98)*(1+sa*0.1+0.02*agg+Slayer4value-1),IF(instatk="v",(ohavg+(ap+Z70-$Z$1)/APtoDPS*OHnorm)*(1+sa*0.1)*(0.5+0.05*dws)+avipdam,Slayer4value*((1+0.04*opp)*(MHavg+101+(ap+Z70-$Z$1)/APtoDPS*MHnorm+(0.5+0.05*dws)*(ohavg+(ap+Z70-$Z$1)/APtoDPS*OHnorm)+101*(1+0.1*dws))*(1+0.5*IF(Talents!$O$18="Yes",1,0)))))))*(instactualhit+(1+((leth*0.06+2)-1)*(cfact-1))*instactualcrit)*fwfactor*AB70*instsec*(AF70/$AN$45))</f>
        <v>290.78918279358999</v>
      </c>
      <c r="AH70" s="25">
        <f t="shared" si="70"/>
        <v>0</v>
      </c>
      <c r="AI70" s="25">
        <f t="shared" si="71"/>
        <v>0</v>
      </c>
      <c r="AJ70" s="25">
        <f t="shared" si="72"/>
        <v>0</v>
      </c>
    </row>
    <row r="71" spans="1:36">
      <c r="A71">
        <f t="shared" si="53"/>
        <v>68</v>
      </c>
      <c r="B71">
        <f t="shared" si="61"/>
        <v>3</v>
      </c>
      <c r="C71">
        <f t="shared" si="39"/>
        <v>120</v>
      </c>
      <c r="D71">
        <f t="shared" si="54"/>
        <v>9</v>
      </c>
      <c r="E71">
        <f t="shared" si="73"/>
        <v>2</v>
      </c>
      <c r="F71">
        <f t="shared" si="40"/>
        <v>90</v>
      </c>
      <c r="G71">
        <f t="shared" si="55"/>
        <v>0</v>
      </c>
      <c r="H71">
        <f t="shared" si="62"/>
        <v>2</v>
      </c>
      <c r="I71">
        <f t="shared" si="41"/>
        <v>120</v>
      </c>
      <c r="J71">
        <f t="shared" si="56"/>
        <v>0</v>
      </c>
      <c r="K71">
        <f t="shared" si="63"/>
        <v>2</v>
      </c>
      <c r="L71">
        <f t="shared" si="42"/>
        <v>180</v>
      </c>
      <c r="M71">
        <f t="shared" si="57"/>
        <v>0</v>
      </c>
      <c r="N71">
        <f t="shared" si="64"/>
        <v>2</v>
      </c>
      <c r="O71">
        <f t="shared" si="43"/>
        <v>300</v>
      </c>
      <c r="P71">
        <f t="shared" si="65"/>
        <v>0</v>
      </c>
      <c r="Q71">
        <f t="shared" si="66"/>
        <v>2</v>
      </c>
      <c r="R71">
        <f t="shared" si="44"/>
        <v>300</v>
      </c>
      <c r="S71">
        <f t="shared" si="67"/>
        <v>0</v>
      </c>
      <c r="T71">
        <f t="shared" si="68"/>
        <v>-1</v>
      </c>
      <c r="U71">
        <f t="shared" si="58"/>
        <v>0</v>
      </c>
      <c r="V71">
        <f t="shared" si="59"/>
        <v>1</v>
      </c>
      <c r="W71">
        <f t="shared" si="45"/>
        <v>0</v>
      </c>
      <c r="X71">
        <f t="shared" si="69"/>
        <v>0</v>
      </c>
      <c r="Y71">
        <f t="shared" si="46"/>
        <v>0</v>
      </c>
      <c r="Z71">
        <f t="shared" si="47"/>
        <v>0</v>
      </c>
      <c r="AA71">
        <f t="shared" si="48"/>
        <v>0</v>
      </c>
      <c r="AB71" s="29">
        <f t="shared" si="49"/>
        <v>0.74178816089935007</v>
      </c>
      <c r="AC71" s="25">
        <f t="shared" si="50"/>
        <v>127.49804426656831</v>
      </c>
      <c r="AD71" s="29">
        <f t="shared" si="51"/>
        <v>1.0808524183153847</v>
      </c>
      <c r="AE71" s="25">
        <f t="shared" si="60"/>
        <v>13.243681724743192</v>
      </c>
      <c r="AF71" s="25">
        <f t="shared" si="52"/>
        <v>13.243681724743192</v>
      </c>
      <c r="AG71" s="25">
        <f>IF($A71&lt;0,0,IF(instatk="bs",(1.5+talSCallInstBon)*(MHavg+(ap+Z71-$Z$1)/APtoDPS*MHnorm+170)*(1+sa*0.1+0.04*opp+0.02*agg+Slayer4value-1),IF(instatk="hemo",Slayer4value*(MHavg+(ap+Z71-$Z$1)/APtoDPS*MHnorm)*(1.1+talSCallInstBon)+420*(1+raidcrit)*debuffon,IF(instatk="ss",(MHavg+(ap+Z71-$Z$1)/APtoDPS*MHnorm+98)*(1+sa*0.1+0.02*agg+Slayer4value-1),IF(instatk="v",(ohavg+(ap+Z71-$Z$1)/APtoDPS*OHnorm)*(1+sa*0.1)*(0.5+0.05*dws)+avipdam,Slayer4value*((1+0.04*opp)*(MHavg+101+(ap+Z71-$Z$1)/APtoDPS*MHnorm+(0.5+0.05*dws)*(ohavg+(ap+Z71-$Z$1)/APtoDPS*OHnorm)+101*(1+0.1*dws))*(1+0.5*IF(Talents!$O$18="Yes",1,0)))))))*(instactualhit+(1+((leth*0.06+2)-1)*(cfact-1))*instactualcrit)*fwfactor*AB71*instsec*(AF71/$AN$45))</f>
        <v>290.78918279358999</v>
      </c>
      <c r="AH71" s="25">
        <f t="shared" si="70"/>
        <v>0</v>
      </c>
      <c r="AI71" s="25">
        <f t="shared" si="71"/>
        <v>0</v>
      </c>
      <c r="AJ71" s="25">
        <f t="shared" si="72"/>
        <v>0</v>
      </c>
    </row>
    <row r="72" spans="1:36">
      <c r="A72">
        <f t="shared" si="53"/>
        <v>69</v>
      </c>
      <c r="B72">
        <f t="shared" si="61"/>
        <v>3</v>
      </c>
      <c r="C72">
        <f t="shared" si="39"/>
        <v>120</v>
      </c>
      <c r="D72">
        <f t="shared" si="54"/>
        <v>10</v>
      </c>
      <c r="E72">
        <f t="shared" si="73"/>
        <v>2</v>
      </c>
      <c r="F72">
        <f t="shared" si="40"/>
        <v>90</v>
      </c>
      <c r="G72">
        <f t="shared" si="55"/>
        <v>0</v>
      </c>
      <c r="H72">
        <f t="shared" si="62"/>
        <v>2</v>
      </c>
      <c r="I72">
        <f t="shared" si="41"/>
        <v>120</v>
      </c>
      <c r="J72">
        <f t="shared" si="56"/>
        <v>0</v>
      </c>
      <c r="K72">
        <f t="shared" si="63"/>
        <v>2</v>
      </c>
      <c r="L72">
        <f t="shared" si="42"/>
        <v>180</v>
      </c>
      <c r="M72">
        <f t="shared" si="57"/>
        <v>0</v>
      </c>
      <c r="N72">
        <f t="shared" si="64"/>
        <v>2</v>
      </c>
      <c r="O72">
        <f t="shared" si="43"/>
        <v>300</v>
      </c>
      <c r="P72">
        <f t="shared" si="65"/>
        <v>0</v>
      </c>
      <c r="Q72">
        <f t="shared" si="66"/>
        <v>2</v>
      </c>
      <c r="R72">
        <f t="shared" si="44"/>
        <v>300</v>
      </c>
      <c r="S72">
        <f t="shared" si="67"/>
        <v>0</v>
      </c>
      <c r="T72">
        <f t="shared" si="68"/>
        <v>-1</v>
      </c>
      <c r="U72">
        <f t="shared" si="58"/>
        <v>0</v>
      </c>
      <c r="V72">
        <f t="shared" si="59"/>
        <v>1</v>
      </c>
      <c r="W72">
        <f t="shared" si="45"/>
        <v>0</v>
      </c>
      <c r="X72">
        <f t="shared" si="69"/>
        <v>0</v>
      </c>
      <c r="Y72">
        <f t="shared" si="46"/>
        <v>0</v>
      </c>
      <c r="Z72">
        <f t="shared" si="47"/>
        <v>0</v>
      </c>
      <c r="AA72">
        <f t="shared" si="48"/>
        <v>0</v>
      </c>
      <c r="AB72" s="29">
        <f t="shared" si="49"/>
        <v>0.74178816089935007</v>
      </c>
      <c r="AC72" s="25">
        <f t="shared" si="50"/>
        <v>127.49804426656831</v>
      </c>
      <c r="AD72" s="29">
        <f t="shared" si="51"/>
        <v>1.0808524183153847</v>
      </c>
      <c r="AE72" s="25">
        <f t="shared" si="60"/>
        <v>13.243681724743192</v>
      </c>
      <c r="AF72" s="25">
        <f t="shared" si="52"/>
        <v>13.243681724743192</v>
      </c>
      <c r="AG72" s="25">
        <f>IF($A72&lt;0,0,IF(instatk="bs",(1.5+talSCallInstBon)*(MHavg+(ap+Z72-$Z$1)/APtoDPS*MHnorm+170)*(1+sa*0.1+0.04*opp+0.02*agg+Slayer4value-1),IF(instatk="hemo",Slayer4value*(MHavg+(ap+Z72-$Z$1)/APtoDPS*MHnorm)*(1.1+talSCallInstBon)+420*(1+raidcrit)*debuffon,IF(instatk="ss",(MHavg+(ap+Z72-$Z$1)/APtoDPS*MHnorm+98)*(1+sa*0.1+0.02*agg+Slayer4value-1),IF(instatk="v",(ohavg+(ap+Z72-$Z$1)/APtoDPS*OHnorm)*(1+sa*0.1)*(0.5+0.05*dws)+avipdam,Slayer4value*((1+0.04*opp)*(MHavg+101+(ap+Z72-$Z$1)/APtoDPS*MHnorm+(0.5+0.05*dws)*(ohavg+(ap+Z72-$Z$1)/APtoDPS*OHnorm)+101*(1+0.1*dws))*(1+0.5*IF(Talents!$O$18="Yes",1,0)))))))*(instactualhit+(1+((leth*0.06+2)-1)*(cfact-1))*instactualcrit)*fwfactor*AB72*instsec*(AF72/$AN$45))</f>
        <v>290.78918279358999</v>
      </c>
      <c r="AH72" s="25">
        <f t="shared" si="70"/>
        <v>0</v>
      </c>
      <c r="AI72" s="25">
        <f t="shared" si="71"/>
        <v>0</v>
      </c>
      <c r="AJ72" s="25">
        <f t="shared" si="72"/>
        <v>0</v>
      </c>
    </row>
    <row r="73" spans="1:36">
      <c r="A73">
        <f t="shared" si="53"/>
        <v>70</v>
      </c>
      <c r="B73">
        <f t="shared" si="61"/>
        <v>3</v>
      </c>
      <c r="C73">
        <f t="shared" si="39"/>
        <v>120</v>
      </c>
      <c r="D73">
        <f t="shared" si="54"/>
        <v>11</v>
      </c>
      <c r="E73">
        <f t="shared" si="73"/>
        <v>2</v>
      </c>
      <c r="F73">
        <f t="shared" si="40"/>
        <v>90</v>
      </c>
      <c r="G73">
        <f t="shared" si="55"/>
        <v>0</v>
      </c>
      <c r="H73">
        <f t="shared" si="62"/>
        <v>2</v>
      </c>
      <c r="I73">
        <f t="shared" si="41"/>
        <v>120</v>
      </c>
      <c r="J73">
        <f t="shared" si="56"/>
        <v>0</v>
      </c>
      <c r="K73">
        <f t="shared" si="63"/>
        <v>2</v>
      </c>
      <c r="L73">
        <f t="shared" si="42"/>
        <v>180</v>
      </c>
      <c r="M73">
        <f t="shared" si="57"/>
        <v>0</v>
      </c>
      <c r="N73">
        <f t="shared" si="64"/>
        <v>2</v>
      </c>
      <c r="O73">
        <f t="shared" si="43"/>
        <v>300</v>
      </c>
      <c r="P73">
        <f t="shared" si="65"/>
        <v>0</v>
      </c>
      <c r="Q73">
        <f t="shared" si="66"/>
        <v>2</v>
      </c>
      <c r="R73">
        <f t="shared" si="44"/>
        <v>300</v>
      </c>
      <c r="S73">
        <f t="shared" si="67"/>
        <v>0</v>
      </c>
      <c r="T73">
        <f t="shared" si="68"/>
        <v>-1</v>
      </c>
      <c r="U73">
        <f t="shared" si="58"/>
        <v>0</v>
      </c>
      <c r="V73">
        <f t="shared" si="59"/>
        <v>1</v>
      </c>
      <c r="W73">
        <f t="shared" si="45"/>
        <v>0</v>
      </c>
      <c r="X73">
        <f t="shared" si="69"/>
        <v>0</v>
      </c>
      <c r="Y73">
        <f t="shared" si="46"/>
        <v>0</v>
      </c>
      <c r="Z73">
        <f t="shared" si="47"/>
        <v>0</v>
      </c>
      <c r="AA73">
        <f t="shared" si="48"/>
        <v>0</v>
      </c>
      <c r="AB73" s="29">
        <f t="shared" si="49"/>
        <v>0.74178816089935007</v>
      </c>
      <c r="AC73" s="25">
        <f t="shared" si="50"/>
        <v>127.49804426656831</v>
      </c>
      <c r="AD73" s="29">
        <f t="shared" si="51"/>
        <v>1.0808524183153847</v>
      </c>
      <c r="AE73" s="25">
        <f t="shared" si="60"/>
        <v>13.243681724743192</v>
      </c>
      <c r="AF73" s="25">
        <f t="shared" si="52"/>
        <v>13.243681724743192</v>
      </c>
      <c r="AG73" s="25">
        <f>IF($A73&lt;0,0,IF(instatk="bs",(1.5+talSCallInstBon)*(MHavg+(ap+Z73-$Z$1)/APtoDPS*MHnorm+170)*(1+sa*0.1+0.04*opp+0.02*agg+Slayer4value-1),IF(instatk="hemo",Slayer4value*(MHavg+(ap+Z73-$Z$1)/APtoDPS*MHnorm)*(1.1+talSCallInstBon)+420*(1+raidcrit)*debuffon,IF(instatk="ss",(MHavg+(ap+Z73-$Z$1)/APtoDPS*MHnorm+98)*(1+sa*0.1+0.02*agg+Slayer4value-1),IF(instatk="v",(ohavg+(ap+Z73-$Z$1)/APtoDPS*OHnorm)*(1+sa*0.1)*(0.5+0.05*dws)+avipdam,Slayer4value*((1+0.04*opp)*(MHavg+101+(ap+Z73-$Z$1)/APtoDPS*MHnorm+(0.5+0.05*dws)*(ohavg+(ap+Z73-$Z$1)/APtoDPS*OHnorm)+101*(1+0.1*dws))*(1+0.5*IF(Talents!$O$18="Yes",1,0)))))))*(instactualhit+(1+((leth*0.06+2)-1)*(cfact-1))*instactualcrit)*fwfactor*AB73*instsec*(AF73/$AN$45))</f>
        <v>290.78918279358999</v>
      </c>
      <c r="AH73" s="25">
        <f t="shared" si="70"/>
        <v>0</v>
      </c>
      <c r="AI73" s="25">
        <f t="shared" si="71"/>
        <v>0</v>
      </c>
      <c r="AJ73" s="25">
        <f t="shared" si="72"/>
        <v>0</v>
      </c>
    </row>
    <row r="74" spans="1:36">
      <c r="A74">
        <f t="shared" si="53"/>
        <v>71</v>
      </c>
      <c r="B74">
        <f t="shared" si="61"/>
        <v>3</v>
      </c>
      <c r="C74">
        <f t="shared" si="39"/>
        <v>120</v>
      </c>
      <c r="D74">
        <f t="shared" si="54"/>
        <v>12</v>
      </c>
      <c r="E74">
        <f t="shared" si="73"/>
        <v>2</v>
      </c>
      <c r="F74">
        <f t="shared" si="40"/>
        <v>90</v>
      </c>
      <c r="G74">
        <f t="shared" si="55"/>
        <v>0</v>
      </c>
      <c r="H74">
        <f t="shared" si="62"/>
        <v>2</v>
      </c>
      <c r="I74">
        <f t="shared" si="41"/>
        <v>120</v>
      </c>
      <c r="J74">
        <f t="shared" si="56"/>
        <v>0</v>
      </c>
      <c r="K74">
        <f t="shared" si="63"/>
        <v>2</v>
      </c>
      <c r="L74">
        <f t="shared" si="42"/>
        <v>180</v>
      </c>
      <c r="M74">
        <f t="shared" si="57"/>
        <v>0</v>
      </c>
      <c r="N74">
        <f t="shared" si="64"/>
        <v>2</v>
      </c>
      <c r="O74">
        <f t="shared" si="43"/>
        <v>300</v>
      </c>
      <c r="P74">
        <f t="shared" si="65"/>
        <v>0</v>
      </c>
      <c r="Q74">
        <f t="shared" si="66"/>
        <v>2</v>
      </c>
      <c r="R74">
        <f t="shared" si="44"/>
        <v>300</v>
      </c>
      <c r="S74">
        <f t="shared" si="67"/>
        <v>0</v>
      </c>
      <c r="T74">
        <f t="shared" si="68"/>
        <v>-1</v>
      </c>
      <c r="U74">
        <f t="shared" si="58"/>
        <v>0</v>
      </c>
      <c r="V74">
        <f t="shared" si="59"/>
        <v>1</v>
      </c>
      <c r="W74">
        <f t="shared" si="45"/>
        <v>0</v>
      </c>
      <c r="X74">
        <f t="shared" si="69"/>
        <v>0</v>
      </c>
      <c r="Y74">
        <f t="shared" si="46"/>
        <v>0</v>
      </c>
      <c r="Z74">
        <f t="shared" si="47"/>
        <v>0</v>
      </c>
      <c r="AA74">
        <f t="shared" si="48"/>
        <v>0</v>
      </c>
      <c r="AB74" s="29">
        <f t="shared" si="49"/>
        <v>0.74178816089935007</v>
      </c>
      <c r="AC74" s="25">
        <f t="shared" si="50"/>
        <v>127.49804426656831</v>
      </c>
      <c r="AD74" s="29">
        <f t="shared" si="51"/>
        <v>1.0808524183153847</v>
      </c>
      <c r="AE74" s="25">
        <f t="shared" si="60"/>
        <v>13.243681724743192</v>
      </c>
      <c r="AF74" s="25">
        <f t="shared" si="52"/>
        <v>13.243681724743192</v>
      </c>
      <c r="AG74" s="25">
        <f>IF($A74&lt;0,0,IF(instatk="bs",(1.5+talSCallInstBon)*(MHavg+(ap+Z74-$Z$1)/APtoDPS*MHnorm+170)*(1+sa*0.1+0.04*opp+0.02*agg+Slayer4value-1),IF(instatk="hemo",Slayer4value*(MHavg+(ap+Z74-$Z$1)/APtoDPS*MHnorm)*(1.1+talSCallInstBon)+420*(1+raidcrit)*debuffon,IF(instatk="ss",(MHavg+(ap+Z74-$Z$1)/APtoDPS*MHnorm+98)*(1+sa*0.1+0.02*agg+Slayer4value-1),IF(instatk="v",(ohavg+(ap+Z74-$Z$1)/APtoDPS*OHnorm)*(1+sa*0.1)*(0.5+0.05*dws)+avipdam,Slayer4value*((1+0.04*opp)*(MHavg+101+(ap+Z74-$Z$1)/APtoDPS*MHnorm+(0.5+0.05*dws)*(ohavg+(ap+Z74-$Z$1)/APtoDPS*OHnorm)+101*(1+0.1*dws))*(1+0.5*IF(Talents!$O$18="Yes",1,0)))))))*(instactualhit+(1+((leth*0.06+2)-1)*(cfact-1))*instactualcrit)*fwfactor*AB74*instsec*(AF74/$AN$45))</f>
        <v>290.78918279358999</v>
      </c>
      <c r="AH74" s="25">
        <f t="shared" si="70"/>
        <v>0</v>
      </c>
      <c r="AI74" s="25">
        <f t="shared" si="71"/>
        <v>0</v>
      </c>
      <c r="AJ74" s="25">
        <f t="shared" si="72"/>
        <v>0</v>
      </c>
    </row>
    <row r="75" spans="1:36">
      <c r="A75">
        <f t="shared" si="53"/>
        <v>72</v>
      </c>
      <c r="B75">
        <f t="shared" si="61"/>
        <v>3</v>
      </c>
      <c r="C75">
        <f t="shared" si="39"/>
        <v>120</v>
      </c>
      <c r="D75">
        <f t="shared" si="54"/>
        <v>13</v>
      </c>
      <c r="E75">
        <f t="shared" si="73"/>
        <v>2</v>
      </c>
      <c r="F75">
        <f t="shared" si="40"/>
        <v>90</v>
      </c>
      <c r="G75">
        <f t="shared" si="55"/>
        <v>0</v>
      </c>
      <c r="H75">
        <f t="shared" si="62"/>
        <v>2</v>
      </c>
      <c r="I75">
        <f t="shared" si="41"/>
        <v>120</v>
      </c>
      <c r="J75">
        <f t="shared" si="56"/>
        <v>0</v>
      </c>
      <c r="K75">
        <f t="shared" si="63"/>
        <v>2</v>
      </c>
      <c r="L75">
        <f t="shared" si="42"/>
        <v>180</v>
      </c>
      <c r="M75">
        <f t="shared" si="57"/>
        <v>0</v>
      </c>
      <c r="N75">
        <f t="shared" si="64"/>
        <v>2</v>
      </c>
      <c r="O75">
        <f t="shared" si="43"/>
        <v>300</v>
      </c>
      <c r="P75">
        <f t="shared" si="65"/>
        <v>0</v>
      </c>
      <c r="Q75">
        <f t="shared" si="66"/>
        <v>2</v>
      </c>
      <c r="R75">
        <f t="shared" si="44"/>
        <v>300</v>
      </c>
      <c r="S75">
        <f t="shared" si="67"/>
        <v>0</v>
      </c>
      <c r="T75">
        <f t="shared" si="68"/>
        <v>-1</v>
      </c>
      <c r="U75">
        <f t="shared" si="58"/>
        <v>0</v>
      </c>
      <c r="V75">
        <f t="shared" si="59"/>
        <v>1</v>
      </c>
      <c r="W75">
        <f t="shared" si="45"/>
        <v>0</v>
      </c>
      <c r="X75">
        <f t="shared" si="69"/>
        <v>0</v>
      </c>
      <c r="Y75">
        <f t="shared" si="46"/>
        <v>0</v>
      </c>
      <c r="Z75">
        <f t="shared" si="47"/>
        <v>0</v>
      </c>
      <c r="AA75">
        <f t="shared" si="48"/>
        <v>0</v>
      </c>
      <c r="AB75" s="29">
        <f t="shared" si="49"/>
        <v>0.74178816089935007</v>
      </c>
      <c r="AC75" s="25">
        <f t="shared" si="50"/>
        <v>127.49804426656831</v>
      </c>
      <c r="AD75" s="29">
        <f t="shared" si="51"/>
        <v>1.0808524183153847</v>
      </c>
      <c r="AE75" s="25">
        <f t="shared" si="60"/>
        <v>13.243681724743192</v>
      </c>
      <c r="AF75" s="25">
        <f t="shared" si="52"/>
        <v>13.243681724743192</v>
      </c>
      <c r="AG75" s="25">
        <f>IF($A75&lt;0,0,IF(instatk="bs",(1.5+talSCallInstBon)*(MHavg+(ap+Z75-$Z$1)/APtoDPS*MHnorm+170)*(1+sa*0.1+0.04*opp+0.02*agg+Slayer4value-1),IF(instatk="hemo",Slayer4value*(MHavg+(ap+Z75-$Z$1)/APtoDPS*MHnorm)*(1.1+talSCallInstBon)+420*(1+raidcrit)*debuffon,IF(instatk="ss",(MHavg+(ap+Z75-$Z$1)/APtoDPS*MHnorm+98)*(1+sa*0.1+0.02*agg+Slayer4value-1),IF(instatk="v",(ohavg+(ap+Z75-$Z$1)/APtoDPS*OHnorm)*(1+sa*0.1)*(0.5+0.05*dws)+avipdam,Slayer4value*((1+0.04*opp)*(MHavg+101+(ap+Z75-$Z$1)/APtoDPS*MHnorm+(0.5+0.05*dws)*(ohavg+(ap+Z75-$Z$1)/APtoDPS*OHnorm)+101*(1+0.1*dws))*(1+0.5*IF(Talents!$O$18="Yes",1,0)))))))*(instactualhit+(1+((leth*0.06+2)-1)*(cfact-1))*instactualcrit)*fwfactor*AB75*instsec*(AF75/$AN$45))</f>
        <v>290.78918279358999</v>
      </c>
      <c r="AH75" s="25">
        <f t="shared" si="70"/>
        <v>0</v>
      </c>
      <c r="AI75" s="25">
        <f t="shared" si="71"/>
        <v>0</v>
      </c>
      <c r="AJ75" s="25">
        <f t="shared" si="72"/>
        <v>0</v>
      </c>
    </row>
    <row r="76" spans="1:36">
      <c r="A76">
        <f t="shared" si="53"/>
        <v>73</v>
      </c>
      <c r="B76">
        <f t="shared" si="61"/>
        <v>3</v>
      </c>
      <c r="C76">
        <f t="shared" si="39"/>
        <v>120</v>
      </c>
      <c r="D76">
        <f t="shared" si="54"/>
        <v>14</v>
      </c>
      <c r="E76">
        <f t="shared" si="73"/>
        <v>2</v>
      </c>
      <c r="F76">
        <f t="shared" si="40"/>
        <v>90</v>
      </c>
      <c r="G76">
        <f t="shared" si="55"/>
        <v>0</v>
      </c>
      <c r="H76">
        <f t="shared" si="62"/>
        <v>2</v>
      </c>
      <c r="I76">
        <f t="shared" si="41"/>
        <v>120</v>
      </c>
      <c r="J76">
        <f t="shared" si="56"/>
        <v>0</v>
      </c>
      <c r="K76">
        <f t="shared" si="63"/>
        <v>2</v>
      </c>
      <c r="L76">
        <f t="shared" si="42"/>
        <v>180</v>
      </c>
      <c r="M76">
        <f t="shared" si="57"/>
        <v>0</v>
      </c>
      <c r="N76">
        <f t="shared" si="64"/>
        <v>2</v>
      </c>
      <c r="O76">
        <f t="shared" si="43"/>
        <v>300</v>
      </c>
      <c r="P76">
        <f t="shared" si="65"/>
        <v>0</v>
      </c>
      <c r="Q76">
        <f t="shared" si="66"/>
        <v>2</v>
      </c>
      <c r="R76">
        <f t="shared" si="44"/>
        <v>300</v>
      </c>
      <c r="S76">
        <f t="shared" si="67"/>
        <v>0</v>
      </c>
      <c r="T76">
        <f t="shared" si="68"/>
        <v>-1</v>
      </c>
      <c r="U76">
        <f t="shared" si="58"/>
        <v>0</v>
      </c>
      <c r="V76">
        <f t="shared" si="59"/>
        <v>1</v>
      </c>
      <c r="W76">
        <f t="shared" si="45"/>
        <v>0</v>
      </c>
      <c r="X76">
        <f t="shared" si="69"/>
        <v>0</v>
      </c>
      <c r="Y76">
        <f t="shared" si="46"/>
        <v>0</v>
      </c>
      <c r="Z76">
        <f t="shared" si="47"/>
        <v>0</v>
      </c>
      <c r="AA76">
        <f t="shared" si="48"/>
        <v>0</v>
      </c>
      <c r="AB76" s="29">
        <f t="shared" si="49"/>
        <v>0.74178816089935007</v>
      </c>
      <c r="AC76" s="25">
        <f t="shared" si="50"/>
        <v>127.49804426656831</v>
      </c>
      <c r="AD76" s="29">
        <f t="shared" si="51"/>
        <v>1.0808524183153847</v>
      </c>
      <c r="AE76" s="25">
        <f t="shared" si="60"/>
        <v>13.243681724743192</v>
      </c>
      <c r="AF76" s="25">
        <f t="shared" si="52"/>
        <v>13.243681724743192</v>
      </c>
      <c r="AG76" s="25">
        <f>IF($A76&lt;0,0,IF(instatk="bs",(1.5+talSCallInstBon)*(MHavg+(ap+Z76-$Z$1)/APtoDPS*MHnorm+170)*(1+sa*0.1+0.04*opp+0.02*agg+Slayer4value-1),IF(instatk="hemo",Slayer4value*(MHavg+(ap+Z76-$Z$1)/APtoDPS*MHnorm)*(1.1+talSCallInstBon)+420*(1+raidcrit)*debuffon,IF(instatk="ss",(MHavg+(ap+Z76-$Z$1)/APtoDPS*MHnorm+98)*(1+sa*0.1+0.02*agg+Slayer4value-1),IF(instatk="v",(ohavg+(ap+Z76-$Z$1)/APtoDPS*OHnorm)*(1+sa*0.1)*(0.5+0.05*dws)+avipdam,Slayer4value*((1+0.04*opp)*(MHavg+101+(ap+Z76-$Z$1)/APtoDPS*MHnorm+(0.5+0.05*dws)*(ohavg+(ap+Z76-$Z$1)/APtoDPS*OHnorm)+101*(1+0.1*dws))*(1+0.5*IF(Talents!$O$18="Yes",1,0)))))))*(instactualhit+(1+((leth*0.06+2)-1)*(cfact-1))*instactualcrit)*fwfactor*AB76*instsec*(AF76/$AN$45))</f>
        <v>290.78918279358999</v>
      </c>
      <c r="AH76" s="25">
        <f t="shared" si="70"/>
        <v>0</v>
      </c>
      <c r="AI76" s="25">
        <f t="shared" si="71"/>
        <v>0</v>
      </c>
      <c r="AJ76" s="25">
        <f t="shared" si="72"/>
        <v>0</v>
      </c>
    </row>
    <row r="77" spans="1:36">
      <c r="A77">
        <f t="shared" si="53"/>
        <v>74</v>
      </c>
      <c r="B77">
        <f t="shared" si="61"/>
        <v>3</v>
      </c>
      <c r="C77">
        <f t="shared" si="39"/>
        <v>120</v>
      </c>
      <c r="D77">
        <f t="shared" si="54"/>
        <v>15</v>
      </c>
      <c r="E77">
        <f t="shared" si="73"/>
        <v>2</v>
      </c>
      <c r="F77">
        <f t="shared" si="40"/>
        <v>90</v>
      </c>
      <c r="G77">
        <f t="shared" si="55"/>
        <v>0</v>
      </c>
      <c r="H77">
        <f t="shared" si="62"/>
        <v>2</v>
      </c>
      <c r="I77">
        <f t="shared" si="41"/>
        <v>120</v>
      </c>
      <c r="J77">
        <f t="shared" si="56"/>
        <v>0</v>
      </c>
      <c r="K77">
        <f t="shared" si="63"/>
        <v>2</v>
      </c>
      <c r="L77">
        <f t="shared" si="42"/>
        <v>180</v>
      </c>
      <c r="M77">
        <f t="shared" si="57"/>
        <v>0</v>
      </c>
      <c r="N77">
        <f t="shared" si="64"/>
        <v>2</v>
      </c>
      <c r="O77">
        <f t="shared" si="43"/>
        <v>300</v>
      </c>
      <c r="P77">
        <f t="shared" si="65"/>
        <v>0</v>
      </c>
      <c r="Q77">
        <f t="shared" si="66"/>
        <v>2</v>
      </c>
      <c r="R77">
        <f t="shared" si="44"/>
        <v>300</v>
      </c>
      <c r="S77">
        <f t="shared" si="67"/>
        <v>0</v>
      </c>
      <c r="T77">
        <f t="shared" si="68"/>
        <v>-1</v>
      </c>
      <c r="U77">
        <f t="shared" si="58"/>
        <v>0</v>
      </c>
      <c r="V77">
        <f t="shared" si="59"/>
        <v>1</v>
      </c>
      <c r="W77">
        <f t="shared" si="45"/>
        <v>0</v>
      </c>
      <c r="X77">
        <f t="shared" si="69"/>
        <v>0</v>
      </c>
      <c r="Y77">
        <f t="shared" si="46"/>
        <v>0</v>
      </c>
      <c r="Z77">
        <f t="shared" si="47"/>
        <v>0</v>
      </c>
      <c r="AA77">
        <f t="shared" si="48"/>
        <v>0</v>
      </c>
      <c r="AB77" s="29">
        <f t="shared" si="49"/>
        <v>0.74178816089935007</v>
      </c>
      <c r="AC77" s="25">
        <f t="shared" si="50"/>
        <v>127.49804426656831</v>
      </c>
      <c r="AD77" s="29">
        <f t="shared" si="51"/>
        <v>1.0808524183153847</v>
      </c>
      <c r="AE77" s="25">
        <f t="shared" si="60"/>
        <v>13.243681724743192</v>
      </c>
      <c r="AF77" s="25">
        <f t="shared" si="52"/>
        <v>13.243681724743192</v>
      </c>
      <c r="AG77" s="25">
        <f>IF($A77&lt;0,0,IF(instatk="bs",(1.5+talSCallInstBon)*(MHavg+(ap+Z77-$Z$1)/APtoDPS*MHnorm+170)*(1+sa*0.1+0.04*opp+0.02*agg+Slayer4value-1),IF(instatk="hemo",Slayer4value*(MHavg+(ap+Z77-$Z$1)/APtoDPS*MHnorm)*(1.1+talSCallInstBon)+420*(1+raidcrit)*debuffon,IF(instatk="ss",(MHavg+(ap+Z77-$Z$1)/APtoDPS*MHnorm+98)*(1+sa*0.1+0.02*agg+Slayer4value-1),IF(instatk="v",(ohavg+(ap+Z77-$Z$1)/APtoDPS*OHnorm)*(1+sa*0.1)*(0.5+0.05*dws)+avipdam,Slayer4value*((1+0.04*opp)*(MHavg+101+(ap+Z77-$Z$1)/APtoDPS*MHnorm+(0.5+0.05*dws)*(ohavg+(ap+Z77-$Z$1)/APtoDPS*OHnorm)+101*(1+0.1*dws))*(1+0.5*IF(Talents!$O$18="Yes",1,0)))))))*(instactualhit+(1+((leth*0.06+2)-1)*(cfact-1))*instactualcrit)*fwfactor*AB77*instsec*(AF77/$AN$45))</f>
        <v>290.78918279358999</v>
      </c>
      <c r="AH77" s="25">
        <f t="shared" si="70"/>
        <v>0</v>
      </c>
      <c r="AI77" s="25">
        <f t="shared" si="71"/>
        <v>0</v>
      </c>
      <c r="AJ77" s="25">
        <f t="shared" si="72"/>
        <v>0</v>
      </c>
    </row>
    <row r="78" spans="1:36">
      <c r="A78">
        <f t="shared" si="53"/>
        <v>75</v>
      </c>
      <c r="B78">
        <f t="shared" si="61"/>
        <v>3</v>
      </c>
      <c r="C78">
        <f t="shared" si="39"/>
        <v>120</v>
      </c>
      <c r="D78">
        <f t="shared" si="54"/>
        <v>16</v>
      </c>
      <c r="E78">
        <f t="shared" si="73"/>
        <v>2</v>
      </c>
      <c r="F78">
        <f t="shared" si="40"/>
        <v>90</v>
      </c>
      <c r="G78">
        <f t="shared" si="55"/>
        <v>0</v>
      </c>
      <c r="H78">
        <f t="shared" si="62"/>
        <v>2</v>
      </c>
      <c r="I78">
        <f t="shared" si="41"/>
        <v>120</v>
      </c>
      <c r="J78">
        <f t="shared" si="56"/>
        <v>0</v>
      </c>
      <c r="K78">
        <f t="shared" si="63"/>
        <v>2</v>
      </c>
      <c r="L78">
        <f t="shared" si="42"/>
        <v>180</v>
      </c>
      <c r="M78">
        <f t="shared" si="57"/>
        <v>0</v>
      </c>
      <c r="N78">
        <f t="shared" si="64"/>
        <v>2</v>
      </c>
      <c r="O78">
        <f t="shared" si="43"/>
        <v>300</v>
      </c>
      <c r="P78">
        <f t="shared" si="65"/>
        <v>0</v>
      </c>
      <c r="Q78">
        <f t="shared" si="66"/>
        <v>2</v>
      </c>
      <c r="R78">
        <f t="shared" si="44"/>
        <v>300</v>
      </c>
      <c r="S78">
        <f t="shared" si="67"/>
        <v>0</v>
      </c>
      <c r="T78">
        <f t="shared" si="68"/>
        <v>-1</v>
      </c>
      <c r="U78">
        <f t="shared" si="58"/>
        <v>0</v>
      </c>
      <c r="V78">
        <f t="shared" si="59"/>
        <v>1</v>
      </c>
      <c r="W78">
        <f t="shared" si="45"/>
        <v>0</v>
      </c>
      <c r="X78">
        <f t="shared" si="69"/>
        <v>0</v>
      </c>
      <c r="Y78">
        <f t="shared" si="46"/>
        <v>0</v>
      </c>
      <c r="Z78">
        <f t="shared" si="47"/>
        <v>0</v>
      </c>
      <c r="AA78">
        <f t="shared" si="48"/>
        <v>0</v>
      </c>
      <c r="AB78" s="29">
        <f t="shared" si="49"/>
        <v>0.74178816089935007</v>
      </c>
      <c r="AC78" s="25">
        <f t="shared" si="50"/>
        <v>127.49804426656831</v>
      </c>
      <c r="AD78" s="29">
        <f t="shared" si="51"/>
        <v>1.0808524183153847</v>
      </c>
      <c r="AE78" s="25">
        <f t="shared" si="60"/>
        <v>13.243681724743192</v>
      </c>
      <c r="AF78" s="25">
        <f t="shared" si="52"/>
        <v>13.243681724743192</v>
      </c>
      <c r="AG78" s="25">
        <f>IF($A78&lt;0,0,IF(instatk="bs",(1.5+talSCallInstBon)*(MHavg+(ap+Z78-$Z$1)/APtoDPS*MHnorm+170)*(1+sa*0.1+0.04*opp+0.02*agg+Slayer4value-1),IF(instatk="hemo",Slayer4value*(MHavg+(ap+Z78-$Z$1)/APtoDPS*MHnorm)*(1.1+talSCallInstBon)+420*(1+raidcrit)*debuffon,IF(instatk="ss",(MHavg+(ap+Z78-$Z$1)/APtoDPS*MHnorm+98)*(1+sa*0.1+0.02*agg+Slayer4value-1),IF(instatk="v",(ohavg+(ap+Z78-$Z$1)/APtoDPS*OHnorm)*(1+sa*0.1)*(0.5+0.05*dws)+avipdam,Slayer4value*((1+0.04*opp)*(MHavg+101+(ap+Z78-$Z$1)/APtoDPS*MHnorm+(0.5+0.05*dws)*(ohavg+(ap+Z78-$Z$1)/APtoDPS*OHnorm)+101*(1+0.1*dws))*(1+0.5*IF(Talents!$O$18="Yes",1,0)))))))*(instactualhit+(1+((leth*0.06+2)-1)*(cfact-1))*instactualcrit)*fwfactor*AB78*instsec*(AF78/$AN$45))</f>
        <v>290.78918279358999</v>
      </c>
      <c r="AH78" s="25">
        <f t="shared" si="70"/>
        <v>0</v>
      </c>
      <c r="AI78" s="25">
        <f t="shared" si="71"/>
        <v>0</v>
      </c>
      <c r="AJ78" s="25">
        <f t="shared" si="72"/>
        <v>0</v>
      </c>
    </row>
    <row r="79" spans="1:36">
      <c r="A79">
        <f t="shared" si="53"/>
        <v>76</v>
      </c>
      <c r="B79">
        <f t="shared" si="61"/>
        <v>3</v>
      </c>
      <c r="C79">
        <f t="shared" si="39"/>
        <v>120</v>
      </c>
      <c r="D79">
        <f t="shared" si="54"/>
        <v>17</v>
      </c>
      <c r="E79">
        <f t="shared" si="73"/>
        <v>2</v>
      </c>
      <c r="F79">
        <f t="shared" si="40"/>
        <v>90</v>
      </c>
      <c r="G79">
        <f t="shared" si="55"/>
        <v>0</v>
      </c>
      <c r="H79">
        <f t="shared" si="62"/>
        <v>2</v>
      </c>
      <c r="I79">
        <f t="shared" si="41"/>
        <v>120</v>
      </c>
      <c r="J79">
        <f t="shared" si="56"/>
        <v>0</v>
      </c>
      <c r="K79">
        <f t="shared" si="63"/>
        <v>2</v>
      </c>
      <c r="L79">
        <f t="shared" si="42"/>
        <v>180</v>
      </c>
      <c r="M79">
        <f t="shared" si="57"/>
        <v>0</v>
      </c>
      <c r="N79">
        <f t="shared" si="64"/>
        <v>2</v>
      </c>
      <c r="O79">
        <f t="shared" si="43"/>
        <v>300</v>
      </c>
      <c r="P79">
        <f t="shared" si="65"/>
        <v>0</v>
      </c>
      <c r="Q79">
        <f t="shared" si="66"/>
        <v>2</v>
      </c>
      <c r="R79">
        <f t="shared" si="44"/>
        <v>300</v>
      </c>
      <c r="S79">
        <f t="shared" si="67"/>
        <v>0</v>
      </c>
      <c r="T79">
        <f t="shared" si="68"/>
        <v>-1</v>
      </c>
      <c r="U79">
        <f t="shared" si="58"/>
        <v>0</v>
      </c>
      <c r="V79">
        <f t="shared" si="59"/>
        <v>1</v>
      </c>
      <c r="W79">
        <f t="shared" si="45"/>
        <v>0</v>
      </c>
      <c r="X79">
        <f t="shared" si="69"/>
        <v>0</v>
      </c>
      <c r="Y79">
        <f t="shared" si="46"/>
        <v>0</v>
      </c>
      <c r="Z79">
        <f t="shared" si="47"/>
        <v>0</v>
      </c>
      <c r="AA79">
        <f t="shared" si="48"/>
        <v>0</v>
      </c>
      <c r="AB79" s="29">
        <f t="shared" si="49"/>
        <v>0.74178816089935007</v>
      </c>
      <c r="AC79" s="25">
        <f t="shared" si="50"/>
        <v>127.49804426656831</v>
      </c>
      <c r="AD79" s="29">
        <f t="shared" si="51"/>
        <v>1.0808524183153847</v>
      </c>
      <c r="AE79" s="25">
        <f t="shared" si="60"/>
        <v>13.243681724743192</v>
      </c>
      <c r="AF79" s="25">
        <f t="shared" si="52"/>
        <v>13.243681724743192</v>
      </c>
      <c r="AG79" s="25">
        <f>IF($A79&lt;0,0,IF(instatk="bs",(1.5+talSCallInstBon)*(MHavg+(ap+Z79-$Z$1)/APtoDPS*MHnorm+170)*(1+sa*0.1+0.04*opp+0.02*agg+Slayer4value-1),IF(instatk="hemo",Slayer4value*(MHavg+(ap+Z79-$Z$1)/APtoDPS*MHnorm)*(1.1+talSCallInstBon)+420*(1+raidcrit)*debuffon,IF(instatk="ss",(MHavg+(ap+Z79-$Z$1)/APtoDPS*MHnorm+98)*(1+sa*0.1+0.02*agg+Slayer4value-1),IF(instatk="v",(ohavg+(ap+Z79-$Z$1)/APtoDPS*OHnorm)*(1+sa*0.1)*(0.5+0.05*dws)+avipdam,Slayer4value*((1+0.04*opp)*(MHavg+101+(ap+Z79-$Z$1)/APtoDPS*MHnorm+(0.5+0.05*dws)*(ohavg+(ap+Z79-$Z$1)/APtoDPS*OHnorm)+101*(1+0.1*dws))*(1+0.5*IF(Talents!$O$18="Yes",1,0)))))))*(instactualhit+(1+((leth*0.06+2)-1)*(cfact-1))*instactualcrit)*fwfactor*AB79*instsec*(AF79/$AN$45))</f>
        <v>290.78918279358999</v>
      </c>
      <c r="AH79" s="25">
        <f t="shared" si="70"/>
        <v>0</v>
      </c>
      <c r="AI79" s="25">
        <f t="shared" si="71"/>
        <v>0</v>
      </c>
      <c r="AJ79" s="25">
        <f t="shared" si="72"/>
        <v>0</v>
      </c>
    </row>
    <row r="80" spans="1:36">
      <c r="A80">
        <f t="shared" si="53"/>
        <v>77</v>
      </c>
      <c r="B80">
        <f t="shared" si="61"/>
        <v>3</v>
      </c>
      <c r="C80">
        <f t="shared" si="39"/>
        <v>120</v>
      </c>
      <c r="D80">
        <f t="shared" si="54"/>
        <v>18</v>
      </c>
      <c r="E80">
        <f t="shared" si="73"/>
        <v>2</v>
      </c>
      <c r="F80">
        <f t="shared" si="40"/>
        <v>90</v>
      </c>
      <c r="G80">
        <f t="shared" si="55"/>
        <v>0</v>
      </c>
      <c r="H80">
        <f t="shared" si="62"/>
        <v>2</v>
      </c>
      <c r="I80">
        <f t="shared" si="41"/>
        <v>120</v>
      </c>
      <c r="J80">
        <f t="shared" si="56"/>
        <v>0</v>
      </c>
      <c r="K80">
        <f t="shared" si="63"/>
        <v>2</v>
      </c>
      <c r="L80">
        <f t="shared" si="42"/>
        <v>180</v>
      </c>
      <c r="M80">
        <f t="shared" si="57"/>
        <v>0</v>
      </c>
      <c r="N80">
        <f t="shared" si="64"/>
        <v>2</v>
      </c>
      <c r="O80">
        <f t="shared" si="43"/>
        <v>300</v>
      </c>
      <c r="P80">
        <f t="shared" si="65"/>
        <v>0</v>
      </c>
      <c r="Q80">
        <f t="shared" si="66"/>
        <v>2</v>
      </c>
      <c r="R80">
        <f t="shared" si="44"/>
        <v>300</v>
      </c>
      <c r="S80">
        <f t="shared" si="67"/>
        <v>0</v>
      </c>
      <c r="T80">
        <f t="shared" si="68"/>
        <v>-1</v>
      </c>
      <c r="U80">
        <f t="shared" si="58"/>
        <v>0</v>
      </c>
      <c r="V80">
        <f t="shared" si="59"/>
        <v>1</v>
      </c>
      <c r="W80">
        <f t="shared" si="45"/>
        <v>0</v>
      </c>
      <c r="X80">
        <f t="shared" si="69"/>
        <v>0</v>
      </c>
      <c r="Y80">
        <f t="shared" si="46"/>
        <v>0</v>
      </c>
      <c r="Z80">
        <f t="shared" si="47"/>
        <v>0</v>
      </c>
      <c r="AA80">
        <f t="shared" si="48"/>
        <v>0</v>
      </c>
      <c r="AB80" s="29">
        <f t="shared" si="49"/>
        <v>0.74178816089935007</v>
      </c>
      <c r="AC80" s="25">
        <f t="shared" si="50"/>
        <v>127.49804426656831</v>
      </c>
      <c r="AD80" s="29">
        <f t="shared" si="51"/>
        <v>1.0808524183153847</v>
      </c>
      <c r="AE80" s="25">
        <f t="shared" si="60"/>
        <v>13.243681724743192</v>
      </c>
      <c r="AF80" s="25">
        <f t="shared" si="52"/>
        <v>13.243681724743192</v>
      </c>
      <c r="AG80" s="25">
        <f>IF($A80&lt;0,0,IF(instatk="bs",(1.5+talSCallInstBon)*(MHavg+(ap+Z80-$Z$1)/APtoDPS*MHnorm+170)*(1+sa*0.1+0.04*opp+0.02*agg+Slayer4value-1),IF(instatk="hemo",Slayer4value*(MHavg+(ap+Z80-$Z$1)/APtoDPS*MHnorm)*(1.1+talSCallInstBon)+420*(1+raidcrit)*debuffon,IF(instatk="ss",(MHavg+(ap+Z80-$Z$1)/APtoDPS*MHnorm+98)*(1+sa*0.1+0.02*agg+Slayer4value-1),IF(instatk="v",(ohavg+(ap+Z80-$Z$1)/APtoDPS*OHnorm)*(1+sa*0.1)*(0.5+0.05*dws)+avipdam,Slayer4value*((1+0.04*opp)*(MHavg+101+(ap+Z80-$Z$1)/APtoDPS*MHnorm+(0.5+0.05*dws)*(ohavg+(ap+Z80-$Z$1)/APtoDPS*OHnorm)+101*(1+0.1*dws))*(1+0.5*IF(Talents!$O$18="Yes",1,0)))))))*(instactualhit+(1+((leth*0.06+2)-1)*(cfact-1))*instactualcrit)*fwfactor*AB80*instsec*(AF80/$AN$45))</f>
        <v>290.78918279358999</v>
      </c>
      <c r="AH80" s="25">
        <f t="shared" si="70"/>
        <v>0</v>
      </c>
      <c r="AI80" s="25">
        <f t="shared" si="71"/>
        <v>0</v>
      </c>
      <c r="AJ80" s="25">
        <f t="shared" si="72"/>
        <v>0</v>
      </c>
    </row>
    <row r="81" spans="1:36">
      <c r="A81">
        <f t="shared" si="53"/>
        <v>78</v>
      </c>
      <c r="B81">
        <f t="shared" si="61"/>
        <v>3</v>
      </c>
      <c r="C81">
        <f t="shared" si="39"/>
        <v>120</v>
      </c>
      <c r="D81">
        <f t="shared" si="54"/>
        <v>19</v>
      </c>
      <c r="E81">
        <f t="shared" si="73"/>
        <v>2</v>
      </c>
      <c r="F81">
        <f t="shared" si="40"/>
        <v>90</v>
      </c>
      <c r="G81">
        <f t="shared" si="55"/>
        <v>0</v>
      </c>
      <c r="H81">
        <f t="shared" si="62"/>
        <v>2</v>
      </c>
      <c r="I81">
        <f t="shared" si="41"/>
        <v>120</v>
      </c>
      <c r="J81">
        <f t="shared" si="56"/>
        <v>0</v>
      </c>
      <c r="K81">
        <f t="shared" si="63"/>
        <v>2</v>
      </c>
      <c r="L81">
        <f t="shared" si="42"/>
        <v>180</v>
      </c>
      <c r="M81">
        <f t="shared" si="57"/>
        <v>0</v>
      </c>
      <c r="N81">
        <f t="shared" si="64"/>
        <v>2</v>
      </c>
      <c r="O81">
        <f t="shared" si="43"/>
        <v>300</v>
      </c>
      <c r="P81">
        <f t="shared" si="65"/>
        <v>0</v>
      </c>
      <c r="Q81">
        <f t="shared" si="66"/>
        <v>2</v>
      </c>
      <c r="R81">
        <f t="shared" si="44"/>
        <v>300</v>
      </c>
      <c r="S81">
        <f t="shared" si="67"/>
        <v>0</v>
      </c>
      <c r="T81">
        <f t="shared" si="68"/>
        <v>-1</v>
      </c>
      <c r="U81">
        <f t="shared" si="58"/>
        <v>0</v>
      </c>
      <c r="V81">
        <f t="shared" si="59"/>
        <v>1</v>
      </c>
      <c r="W81">
        <f t="shared" si="45"/>
        <v>0</v>
      </c>
      <c r="X81">
        <f t="shared" si="69"/>
        <v>0</v>
      </c>
      <c r="Y81">
        <f t="shared" si="46"/>
        <v>0</v>
      </c>
      <c r="Z81">
        <f t="shared" si="47"/>
        <v>0</v>
      </c>
      <c r="AA81">
        <f t="shared" si="48"/>
        <v>0</v>
      </c>
      <c r="AB81" s="29">
        <f t="shared" si="49"/>
        <v>0.74178816089935007</v>
      </c>
      <c r="AC81" s="25">
        <f t="shared" si="50"/>
        <v>127.49804426656831</v>
      </c>
      <c r="AD81" s="29">
        <f t="shared" si="51"/>
        <v>1.0808524183153847</v>
      </c>
      <c r="AE81" s="25">
        <f t="shared" si="60"/>
        <v>13.243681724743192</v>
      </c>
      <c r="AF81" s="25">
        <f t="shared" si="52"/>
        <v>13.243681724743192</v>
      </c>
      <c r="AG81" s="25">
        <f>IF($A81&lt;0,0,IF(instatk="bs",(1.5+talSCallInstBon)*(MHavg+(ap+Z81-$Z$1)/APtoDPS*MHnorm+170)*(1+sa*0.1+0.04*opp+0.02*agg+Slayer4value-1),IF(instatk="hemo",Slayer4value*(MHavg+(ap+Z81-$Z$1)/APtoDPS*MHnorm)*(1.1+talSCallInstBon)+420*(1+raidcrit)*debuffon,IF(instatk="ss",(MHavg+(ap+Z81-$Z$1)/APtoDPS*MHnorm+98)*(1+sa*0.1+0.02*agg+Slayer4value-1),IF(instatk="v",(ohavg+(ap+Z81-$Z$1)/APtoDPS*OHnorm)*(1+sa*0.1)*(0.5+0.05*dws)+avipdam,Slayer4value*((1+0.04*opp)*(MHavg+101+(ap+Z81-$Z$1)/APtoDPS*MHnorm+(0.5+0.05*dws)*(ohavg+(ap+Z81-$Z$1)/APtoDPS*OHnorm)+101*(1+0.1*dws))*(1+0.5*IF(Talents!$O$18="Yes",1,0)))))))*(instactualhit+(1+((leth*0.06+2)-1)*(cfact-1))*instactualcrit)*fwfactor*AB81*instsec*(AF81/$AN$45))</f>
        <v>290.78918279358999</v>
      </c>
      <c r="AH81" s="25">
        <f t="shared" si="70"/>
        <v>0</v>
      </c>
      <c r="AI81" s="25">
        <f t="shared" si="71"/>
        <v>0</v>
      </c>
      <c r="AJ81" s="25">
        <f t="shared" si="72"/>
        <v>0</v>
      </c>
    </row>
    <row r="82" spans="1:36">
      <c r="A82">
        <f t="shared" si="53"/>
        <v>79</v>
      </c>
      <c r="B82">
        <f t="shared" si="61"/>
        <v>3</v>
      </c>
      <c r="C82">
        <f t="shared" si="39"/>
        <v>120</v>
      </c>
      <c r="D82">
        <f t="shared" si="54"/>
        <v>20</v>
      </c>
      <c r="E82">
        <f t="shared" si="73"/>
        <v>2</v>
      </c>
      <c r="F82">
        <f t="shared" si="40"/>
        <v>90</v>
      </c>
      <c r="G82">
        <f t="shared" si="55"/>
        <v>0</v>
      </c>
      <c r="H82">
        <f t="shared" si="62"/>
        <v>2</v>
      </c>
      <c r="I82">
        <f t="shared" si="41"/>
        <v>120</v>
      </c>
      <c r="J82">
        <f t="shared" si="56"/>
        <v>0</v>
      </c>
      <c r="K82">
        <f t="shared" si="63"/>
        <v>2</v>
      </c>
      <c r="L82">
        <f t="shared" si="42"/>
        <v>180</v>
      </c>
      <c r="M82">
        <f t="shared" si="57"/>
        <v>0</v>
      </c>
      <c r="N82">
        <f t="shared" si="64"/>
        <v>2</v>
      </c>
      <c r="O82">
        <f t="shared" si="43"/>
        <v>300</v>
      </c>
      <c r="P82">
        <f t="shared" si="65"/>
        <v>0</v>
      </c>
      <c r="Q82">
        <f t="shared" si="66"/>
        <v>2</v>
      </c>
      <c r="R82">
        <f t="shared" si="44"/>
        <v>300</v>
      </c>
      <c r="S82">
        <f t="shared" si="67"/>
        <v>0</v>
      </c>
      <c r="T82">
        <f t="shared" si="68"/>
        <v>-1</v>
      </c>
      <c r="U82">
        <f t="shared" si="58"/>
        <v>0</v>
      </c>
      <c r="V82">
        <f t="shared" si="59"/>
        <v>1</v>
      </c>
      <c r="W82">
        <f t="shared" si="45"/>
        <v>0</v>
      </c>
      <c r="X82">
        <f t="shared" si="69"/>
        <v>0</v>
      </c>
      <c r="Y82">
        <f t="shared" si="46"/>
        <v>0</v>
      </c>
      <c r="Z82">
        <f t="shared" si="47"/>
        <v>0</v>
      </c>
      <c r="AA82">
        <f t="shared" si="48"/>
        <v>0</v>
      </c>
      <c r="AB82" s="29">
        <f t="shared" si="49"/>
        <v>0.74178816089935007</v>
      </c>
      <c r="AC82" s="25">
        <f t="shared" si="50"/>
        <v>127.49804426656831</v>
      </c>
      <c r="AD82" s="29">
        <f t="shared" si="51"/>
        <v>1.0808524183153847</v>
      </c>
      <c r="AE82" s="25">
        <f t="shared" si="60"/>
        <v>13.243681724743192</v>
      </c>
      <c r="AF82" s="25">
        <f t="shared" si="52"/>
        <v>13.243681724743192</v>
      </c>
      <c r="AG82" s="25">
        <f>IF($A82&lt;0,0,IF(instatk="bs",(1.5+talSCallInstBon)*(MHavg+(ap+Z82-$Z$1)/APtoDPS*MHnorm+170)*(1+sa*0.1+0.04*opp+0.02*agg+Slayer4value-1),IF(instatk="hemo",Slayer4value*(MHavg+(ap+Z82-$Z$1)/APtoDPS*MHnorm)*(1.1+talSCallInstBon)+420*(1+raidcrit)*debuffon,IF(instatk="ss",(MHavg+(ap+Z82-$Z$1)/APtoDPS*MHnorm+98)*(1+sa*0.1+0.02*agg+Slayer4value-1),IF(instatk="v",(ohavg+(ap+Z82-$Z$1)/APtoDPS*OHnorm)*(1+sa*0.1)*(0.5+0.05*dws)+avipdam,Slayer4value*((1+0.04*opp)*(MHavg+101+(ap+Z82-$Z$1)/APtoDPS*MHnorm+(0.5+0.05*dws)*(ohavg+(ap+Z82-$Z$1)/APtoDPS*OHnorm)+101*(1+0.1*dws))*(1+0.5*IF(Talents!$O$18="Yes",1,0)))))))*(instactualhit+(1+((leth*0.06+2)-1)*(cfact-1))*instactualcrit)*fwfactor*AB82*instsec*(AF82/$AN$45))</f>
        <v>290.78918279358999</v>
      </c>
      <c r="AH82" s="25">
        <f t="shared" si="70"/>
        <v>0</v>
      </c>
      <c r="AI82" s="25">
        <f t="shared" si="71"/>
        <v>0</v>
      </c>
      <c r="AJ82" s="25">
        <f t="shared" si="72"/>
        <v>0</v>
      </c>
    </row>
    <row r="83" spans="1:36">
      <c r="A83">
        <f t="shared" si="53"/>
        <v>80</v>
      </c>
      <c r="B83">
        <f t="shared" si="61"/>
        <v>3</v>
      </c>
      <c r="C83">
        <f t="shared" si="39"/>
        <v>120</v>
      </c>
      <c r="D83">
        <f t="shared" si="54"/>
        <v>21</v>
      </c>
      <c r="E83">
        <f t="shared" si="73"/>
        <v>2</v>
      </c>
      <c r="F83">
        <f t="shared" si="40"/>
        <v>90</v>
      </c>
      <c r="G83">
        <f t="shared" si="55"/>
        <v>0</v>
      </c>
      <c r="H83">
        <f t="shared" si="62"/>
        <v>2</v>
      </c>
      <c r="I83">
        <f t="shared" si="41"/>
        <v>120</v>
      </c>
      <c r="J83">
        <f t="shared" si="56"/>
        <v>0</v>
      </c>
      <c r="K83">
        <f t="shared" si="63"/>
        <v>2</v>
      </c>
      <c r="L83">
        <f t="shared" si="42"/>
        <v>180</v>
      </c>
      <c r="M83">
        <f t="shared" si="57"/>
        <v>0</v>
      </c>
      <c r="N83">
        <f t="shared" si="64"/>
        <v>2</v>
      </c>
      <c r="O83">
        <f t="shared" si="43"/>
        <v>300</v>
      </c>
      <c r="P83">
        <f t="shared" si="65"/>
        <v>0</v>
      </c>
      <c r="Q83">
        <f t="shared" si="66"/>
        <v>2</v>
      </c>
      <c r="R83">
        <f t="shared" si="44"/>
        <v>300</v>
      </c>
      <c r="S83">
        <f t="shared" si="67"/>
        <v>0</v>
      </c>
      <c r="T83">
        <f t="shared" si="68"/>
        <v>-1</v>
      </c>
      <c r="U83">
        <f t="shared" si="58"/>
        <v>0</v>
      </c>
      <c r="V83">
        <f t="shared" si="59"/>
        <v>1</v>
      </c>
      <c r="W83">
        <f t="shared" si="45"/>
        <v>0</v>
      </c>
      <c r="X83">
        <f t="shared" si="69"/>
        <v>0</v>
      </c>
      <c r="Y83">
        <f t="shared" si="46"/>
        <v>0</v>
      </c>
      <c r="Z83">
        <f t="shared" si="47"/>
        <v>0</v>
      </c>
      <c r="AA83">
        <f t="shared" si="48"/>
        <v>0</v>
      </c>
      <c r="AB83" s="29">
        <f t="shared" si="49"/>
        <v>0.74178816089935007</v>
      </c>
      <c r="AC83" s="25">
        <f t="shared" si="50"/>
        <v>127.49804426656831</v>
      </c>
      <c r="AD83" s="29">
        <f t="shared" si="51"/>
        <v>1.0808524183153847</v>
      </c>
      <c r="AE83" s="25">
        <f t="shared" si="60"/>
        <v>13.243681724743192</v>
      </c>
      <c r="AF83" s="25">
        <f t="shared" si="52"/>
        <v>13.243681724743192</v>
      </c>
      <c r="AG83" s="25">
        <f>IF($A83&lt;0,0,IF(instatk="bs",(1.5+talSCallInstBon)*(MHavg+(ap+Z83-$Z$1)/APtoDPS*MHnorm+170)*(1+sa*0.1+0.04*opp+0.02*agg+Slayer4value-1),IF(instatk="hemo",Slayer4value*(MHavg+(ap+Z83-$Z$1)/APtoDPS*MHnorm)*(1.1+talSCallInstBon)+420*(1+raidcrit)*debuffon,IF(instatk="ss",(MHavg+(ap+Z83-$Z$1)/APtoDPS*MHnorm+98)*(1+sa*0.1+0.02*agg+Slayer4value-1),IF(instatk="v",(ohavg+(ap+Z83-$Z$1)/APtoDPS*OHnorm)*(1+sa*0.1)*(0.5+0.05*dws)+avipdam,Slayer4value*((1+0.04*opp)*(MHavg+101+(ap+Z83-$Z$1)/APtoDPS*MHnorm+(0.5+0.05*dws)*(ohavg+(ap+Z83-$Z$1)/APtoDPS*OHnorm)+101*(1+0.1*dws))*(1+0.5*IF(Talents!$O$18="Yes",1,0)))))))*(instactualhit+(1+((leth*0.06+2)-1)*(cfact-1))*instactualcrit)*fwfactor*AB83*instsec*(AF83/$AN$45))</f>
        <v>290.78918279358999</v>
      </c>
      <c r="AH83" s="25">
        <f t="shared" si="70"/>
        <v>0</v>
      </c>
      <c r="AI83" s="25">
        <f t="shared" si="71"/>
        <v>0</v>
      </c>
      <c r="AJ83" s="25">
        <f t="shared" si="72"/>
        <v>0</v>
      </c>
    </row>
    <row r="84" spans="1:36">
      <c r="A84">
        <f t="shared" si="53"/>
        <v>81</v>
      </c>
      <c r="B84">
        <f t="shared" si="61"/>
        <v>3</v>
      </c>
      <c r="C84">
        <f t="shared" si="39"/>
        <v>120</v>
      </c>
      <c r="D84">
        <f t="shared" si="54"/>
        <v>22</v>
      </c>
      <c r="E84">
        <f t="shared" si="73"/>
        <v>2</v>
      </c>
      <c r="F84">
        <f t="shared" si="40"/>
        <v>90</v>
      </c>
      <c r="G84">
        <f t="shared" si="55"/>
        <v>0</v>
      </c>
      <c r="H84">
        <f t="shared" si="62"/>
        <v>2</v>
      </c>
      <c r="I84">
        <f t="shared" si="41"/>
        <v>120</v>
      </c>
      <c r="J84">
        <f t="shared" si="56"/>
        <v>0</v>
      </c>
      <c r="K84">
        <f t="shared" si="63"/>
        <v>2</v>
      </c>
      <c r="L84">
        <f t="shared" si="42"/>
        <v>180</v>
      </c>
      <c r="M84">
        <f t="shared" si="57"/>
        <v>0</v>
      </c>
      <c r="N84">
        <f t="shared" si="64"/>
        <v>2</v>
      </c>
      <c r="O84">
        <f t="shared" si="43"/>
        <v>300</v>
      </c>
      <c r="P84">
        <f t="shared" si="65"/>
        <v>0</v>
      </c>
      <c r="Q84">
        <f t="shared" si="66"/>
        <v>2</v>
      </c>
      <c r="R84">
        <f t="shared" si="44"/>
        <v>300</v>
      </c>
      <c r="S84">
        <f t="shared" si="67"/>
        <v>0</v>
      </c>
      <c r="T84">
        <f t="shared" si="68"/>
        <v>-1</v>
      </c>
      <c r="U84">
        <f t="shared" si="58"/>
        <v>0</v>
      </c>
      <c r="V84">
        <f t="shared" si="59"/>
        <v>1</v>
      </c>
      <c r="W84">
        <f t="shared" si="45"/>
        <v>0</v>
      </c>
      <c r="X84">
        <f t="shared" si="69"/>
        <v>0</v>
      </c>
      <c r="Y84">
        <f t="shared" si="46"/>
        <v>0</v>
      </c>
      <c r="Z84">
        <f t="shared" si="47"/>
        <v>0</v>
      </c>
      <c r="AA84">
        <f t="shared" si="48"/>
        <v>0</v>
      </c>
      <c r="AB84" s="29">
        <f t="shared" si="49"/>
        <v>0.74178816089935007</v>
      </c>
      <c r="AC84" s="25">
        <f t="shared" si="50"/>
        <v>127.49804426656831</v>
      </c>
      <c r="AD84" s="29">
        <f t="shared" si="51"/>
        <v>1.0808524183153847</v>
      </c>
      <c r="AE84" s="25">
        <f t="shared" si="60"/>
        <v>13.243681724743192</v>
      </c>
      <c r="AF84" s="25">
        <f t="shared" si="52"/>
        <v>13.243681724743192</v>
      </c>
      <c r="AG84" s="25">
        <f>IF($A84&lt;0,0,IF(instatk="bs",(1.5+talSCallInstBon)*(MHavg+(ap+Z84-$Z$1)/APtoDPS*MHnorm+170)*(1+sa*0.1+0.04*opp+0.02*agg+Slayer4value-1),IF(instatk="hemo",Slayer4value*(MHavg+(ap+Z84-$Z$1)/APtoDPS*MHnorm)*(1.1+talSCallInstBon)+420*(1+raidcrit)*debuffon,IF(instatk="ss",(MHavg+(ap+Z84-$Z$1)/APtoDPS*MHnorm+98)*(1+sa*0.1+0.02*agg+Slayer4value-1),IF(instatk="v",(ohavg+(ap+Z84-$Z$1)/APtoDPS*OHnorm)*(1+sa*0.1)*(0.5+0.05*dws)+avipdam,Slayer4value*((1+0.04*opp)*(MHavg+101+(ap+Z84-$Z$1)/APtoDPS*MHnorm+(0.5+0.05*dws)*(ohavg+(ap+Z84-$Z$1)/APtoDPS*OHnorm)+101*(1+0.1*dws))*(1+0.5*IF(Talents!$O$18="Yes",1,0)))))))*(instactualhit+(1+((leth*0.06+2)-1)*(cfact-1))*instactualcrit)*fwfactor*AB84*instsec*(AF84/$AN$45))</f>
        <v>290.78918279358999</v>
      </c>
      <c r="AH84" s="25">
        <f t="shared" si="70"/>
        <v>0</v>
      </c>
      <c r="AI84" s="25">
        <f t="shared" si="71"/>
        <v>0</v>
      </c>
      <c r="AJ84" s="25">
        <f t="shared" si="72"/>
        <v>0</v>
      </c>
    </row>
    <row r="85" spans="1:36">
      <c r="A85">
        <f t="shared" si="53"/>
        <v>82</v>
      </c>
      <c r="B85">
        <f t="shared" si="61"/>
        <v>3</v>
      </c>
      <c r="C85">
        <f t="shared" si="39"/>
        <v>120</v>
      </c>
      <c r="D85">
        <f t="shared" si="54"/>
        <v>23</v>
      </c>
      <c r="E85">
        <f t="shared" si="73"/>
        <v>2</v>
      </c>
      <c r="F85">
        <f t="shared" si="40"/>
        <v>90</v>
      </c>
      <c r="G85">
        <f t="shared" si="55"/>
        <v>0</v>
      </c>
      <c r="H85">
        <f t="shared" si="62"/>
        <v>2</v>
      </c>
      <c r="I85">
        <f t="shared" si="41"/>
        <v>120</v>
      </c>
      <c r="J85">
        <f t="shared" si="56"/>
        <v>0</v>
      </c>
      <c r="K85">
        <f t="shared" si="63"/>
        <v>2</v>
      </c>
      <c r="L85">
        <f t="shared" si="42"/>
        <v>180</v>
      </c>
      <c r="M85">
        <f t="shared" si="57"/>
        <v>0</v>
      </c>
      <c r="N85">
        <f t="shared" si="64"/>
        <v>2</v>
      </c>
      <c r="O85">
        <f t="shared" si="43"/>
        <v>300</v>
      </c>
      <c r="P85">
        <f t="shared" si="65"/>
        <v>0</v>
      </c>
      <c r="Q85">
        <f t="shared" si="66"/>
        <v>2</v>
      </c>
      <c r="R85">
        <f t="shared" si="44"/>
        <v>300</v>
      </c>
      <c r="S85">
        <f t="shared" si="67"/>
        <v>0</v>
      </c>
      <c r="T85">
        <f t="shared" si="68"/>
        <v>-1</v>
      </c>
      <c r="U85">
        <f t="shared" si="58"/>
        <v>0</v>
      </c>
      <c r="V85">
        <f t="shared" si="59"/>
        <v>1</v>
      </c>
      <c r="W85">
        <f t="shared" si="45"/>
        <v>0</v>
      </c>
      <c r="X85">
        <f t="shared" si="69"/>
        <v>0</v>
      </c>
      <c r="Y85">
        <f t="shared" si="46"/>
        <v>0</v>
      </c>
      <c r="Z85">
        <f t="shared" si="47"/>
        <v>0</v>
      </c>
      <c r="AA85">
        <f t="shared" si="48"/>
        <v>0</v>
      </c>
      <c r="AB85" s="29">
        <f t="shared" si="49"/>
        <v>0.74178816089935007</v>
      </c>
      <c r="AC85" s="25">
        <f t="shared" si="50"/>
        <v>127.49804426656831</v>
      </c>
      <c r="AD85" s="29">
        <f t="shared" si="51"/>
        <v>1.0808524183153847</v>
      </c>
      <c r="AE85" s="25">
        <f t="shared" si="60"/>
        <v>13.243681724743192</v>
      </c>
      <c r="AF85" s="25">
        <f t="shared" si="52"/>
        <v>13.243681724743192</v>
      </c>
      <c r="AG85" s="25">
        <f>IF($A85&lt;0,0,IF(instatk="bs",(1.5+talSCallInstBon)*(MHavg+(ap+Z85-$Z$1)/APtoDPS*MHnorm+170)*(1+sa*0.1+0.04*opp+0.02*agg+Slayer4value-1),IF(instatk="hemo",Slayer4value*(MHavg+(ap+Z85-$Z$1)/APtoDPS*MHnorm)*(1.1+talSCallInstBon)+420*(1+raidcrit)*debuffon,IF(instatk="ss",(MHavg+(ap+Z85-$Z$1)/APtoDPS*MHnorm+98)*(1+sa*0.1+0.02*agg+Slayer4value-1),IF(instatk="v",(ohavg+(ap+Z85-$Z$1)/APtoDPS*OHnorm)*(1+sa*0.1)*(0.5+0.05*dws)+avipdam,Slayer4value*((1+0.04*opp)*(MHavg+101+(ap+Z85-$Z$1)/APtoDPS*MHnorm+(0.5+0.05*dws)*(ohavg+(ap+Z85-$Z$1)/APtoDPS*OHnorm)+101*(1+0.1*dws))*(1+0.5*IF(Talents!$O$18="Yes",1,0)))))))*(instactualhit+(1+((leth*0.06+2)-1)*(cfact-1))*instactualcrit)*fwfactor*AB85*instsec*(AF85/$AN$45))</f>
        <v>290.78918279358999</v>
      </c>
      <c r="AH85" s="25">
        <f t="shared" si="70"/>
        <v>0</v>
      </c>
      <c r="AI85" s="25">
        <f t="shared" si="71"/>
        <v>0</v>
      </c>
      <c r="AJ85" s="25">
        <f t="shared" si="72"/>
        <v>0</v>
      </c>
    </row>
    <row r="86" spans="1:36">
      <c r="A86">
        <f t="shared" si="53"/>
        <v>83</v>
      </c>
      <c r="B86">
        <f t="shared" si="61"/>
        <v>3</v>
      </c>
      <c r="C86">
        <f t="shared" si="39"/>
        <v>120</v>
      </c>
      <c r="D86">
        <f t="shared" si="54"/>
        <v>24</v>
      </c>
      <c r="E86">
        <f t="shared" si="73"/>
        <v>2</v>
      </c>
      <c r="F86">
        <f t="shared" si="40"/>
        <v>90</v>
      </c>
      <c r="G86">
        <f t="shared" si="55"/>
        <v>0</v>
      </c>
      <c r="H86">
        <f t="shared" si="62"/>
        <v>2</v>
      </c>
      <c r="I86">
        <f t="shared" si="41"/>
        <v>120</v>
      </c>
      <c r="J86">
        <f t="shared" si="56"/>
        <v>0</v>
      </c>
      <c r="K86">
        <f t="shared" si="63"/>
        <v>2</v>
      </c>
      <c r="L86">
        <f t="shared" si="42"/>
        <v>180</v>
      </c>
      <c r="M86">
        <f t="shared" si="57"/>
        <v>0</v>
      </c>
      <c r="N86">
        <f t="shared" si="64"/>
        <v>2</v>
      </c>
      <c r="O86">
        <f t="shared" si="43"/>
        <v>300</v>
      </c>
      <c r="P86">
        <f t="shared" si="65"/>
        <v>0</v>
      </c>
      <c r="Q86">
        <f t="shared" si="66"/>
        <v>2</v>
      </c>
      <c r="R86">
        <f t="shared" si="44"/>
        <v>300</v>
      </c>
      <c r="S86">
        <f t="shared" si="67"/>
        <v>0</v>
      </c>
      <c r="T86">
        <f t="shared" si="68"/>
        <v>-1</v>
      </c>
      <c r="U86">
        <f t="shared" si="58"/>
        <v>0</v>
      </c>
      <c r="V86">
        <f t="shared" si="59"/>
        <v>1</v>
      </c>
      <c r="W86">
        <f t="shared" si="45"/>
        <v>0</v>
      </c>
      <c r="X86">
        <f t="shared" si="69"/>
        <v>0</v>
      </c>
      <c r="Y86">
        <f t="shared" si="46"/>
        <v>0</v>
      </c>
      <c r="Z86">
        <f t="shared" si="47"/>
        <v>0</v>
      </c>
      <c r="AA86">
        <f t="shared" si="48"/>
        <v>0</v>
      </c>
      <c r="AB86" s="29">
        <f t="shared" si="49"/>
        <v>0.74178816089935007</v>
      </c>
      <c r="AC86" s="25">
        <f t="shared" si="50"/>
        <v>127.49804426656831</v>
      </c>
      <c r="AD86" s="29">
        <f t="shared" si="51"/>
        <v>1.0808524183153847</v>
      </c>
      <c r="AE86" s="25">
        <f t="shared" si="60"/>
        <v>13.243681724743192</v>
      </c>
      <c r="AF86" s="25">
        <f t="shared" si="52"/>
        <v>13.243681724743192</v>
      </c>
      <c r="AG86" s="25">
        <f>IF($A86&lt;0,0,IF(instatk="bs",(1.5+talSCallInstBon)*(MHavg+(ap+Z86-$Z$1)/APtoDPS*MHnorm+170)*(1+sa*0.1+0.04*opp+0.02*agg+Slayer4value-1),IF(instatk="hemo",Slayer4value*(MHavg+(ap+Z86-$Z$1)/APtoDPS*MHnorm)*(1.1+talSCallInstBon)+420*(1+raidcrit)*debuffon,IF(instatk="ss",(MHavg+(ap+Z86-$Z$1)/APtoDPS*MHnorm+98)*(1+sa*0.1+0.02*agg+Slayer4value-1),IF(instatk="v",(ohavg+(ap+Z86-$Z$1)/APtoDPS*OHnorm)*(1+sa*0.1)*(0.5+0.05*dws)+avipdam,Slayer4value*((1+0.04*opp)*(MHavg+101+(ap+Z86-$Z$1)/APtoDPS*MHnorm+(0.5+0.05*dws)*(ohavg+(ap+Z86-$Z$1)/APtoDPS*OHnorm)+101*(1+0.1*dws))*(1+0.5*IF(Talents!$O$18="Yes",1,0)))))))*(instactualhit+(1+((leth*0.06+2)-1)*(cfact-1))*instactualcrit)*fwfactor*AB86*instsec*(AF86/$AN$45))</f>
        <v>290.78918279358999</v>
      </c>
      <c r="AH86" s="25">
        <f t="shared" si="70"/>
        <v>0</v>
      </c>
      <c r="AI86" s="25">
        <f t="shared" si="71"/>
        <v>0</v>
      </c>
      <c r="AJ86" s="25">
        <f t="shared" si="72"/>
        <v>0</v>
      </c>
    </row>
    <row r="87" spans="1:36">
      <c r="A87">
        <f t="shared" si="53"/>
        <v>84</v>
      </c>
      <c r="B87">
        <f t="shared" si="61"/>
        <v>3</v>
      </c>
      <c r="C87">
        <f t="shared" si="39"/>
        <v>120</v>
      </c>
      <c r="D87">
        <f t="shared" si="54"/>
        <v>25</v>
      </c>
      <c r="E87">
        <f t="shared" si="73"/>
        <v>2</v>
      </c>
      <c r="F87">
        <f t="shared" si="40"/>
        <v>90</v>
      </c>
      <c r="G87">
        <f t="shared" si="55"/>
        <v>0</v>
      </c>
      <c r="H87">
        <f t="shared" si="62"/>
        <v>2</v>
      </c>
      <c r="I87">
        <f t="shared" si="41"/>
        <v>120</v>
      </c>
      <c r="J87">
        <f t="shared" si="56"/>
        <v>0</v>
      </c>
      <c r="K87">
        <f t="shared" si="63"/>
        <v>2</v>
      </c>
      <c r="L87">
        <f t="shared" si="42"/>
        <v>180</v>
      </c>
      <c r="M87">
        <f t="shared" si="57"/>
        <v>0</v>
      </c>
      <c r="N87">
        <f t="shared" si="64"/>
        <v>2</v>
      </c>
      <c r="O87">
        <f t="shared" si="43"/>
        <v>300</v>
      </c>
      <c r="P87">
        <f t="shared" si="65"/>
        <v>0</v>
      </c>
      <c r="Q87">
        <f t="shared" si="66"/>
        <v>2</v>
      </c>
      <c r="R87">
        <f t="shared" si="44"/>
        <v>300</v>
      </c>
      <c r="S87">
        <f t="shared" si="67"/>
        <v>0</v>
      </c>
      <c r="T87">
        <f t="shared" si="68"/>
        <v>-1</v>
      </c>
      <c r="U87">
        <f t="shared" si="58"/>
        <v>0</v>
      </c>
      <c r="V87">
        <f t="shared" si="59"/>
        <v>1</v>
      </c>
      <c r="W87">
        <f t="shared" si="45"/>
        <v>0</v>
      </c>
      <c r="X87">
        <f t="shared" si="69"/>
        <v>0</v>
      </c>
      <c r="Y87">
        <f t="shared" si="46"/>
        <v>0</v>
      </c>
      <c r="Z87">
        <f t="shared" si="47"/>
        <v>0</v>
      </c>
      <c r="AA87">
        <f t="shared" si="48"/>
        <v>0</v>
      </c>
      <c r="AB87" s="29">
        <f t="shared" si="49"/>
        <v>0.74178816089935007</v>
      </c>
      <c r="AC87" s="25">
        <f t="shared" si="50"/>
        <v>127.49804426656831</v>
      </c>
      <c r="AD87" s="29">
        <f t="shared" si="51"/>
        <v>1.0808524183153847</v>
      </c>
      <c r="AE87" s="25">
        <f t="shared" si="60"/>
        <v>13.243681724743192</v>
      </c>
      <c r="AF87" s="25">
        <f t="shared" si="52"/>
        <v>13.243681724743192</v>
      </c>
      <c r="AG87" s="25">
        <f>IF($A87&lt;0,0,IF(instatk="bs",(1.5+talSCallInstBon)*(MHavg+(ap+Z87-$Z$1)/APtoDPS*MHnorm+170)*(1+sa*0.1+0.04*opp+0.02*agg+Slayer4value-1),IF(instatk="hemo",Slayer4value*(MHavg+(ap+Z87-$Z$1)/APtoDPS*MHnorm)*(1.1+talSCallInstBon)+420*(1+raidcrit)*debuffon,IF(instatk="ss",(MHavg+(ap+Z87-$Z$1)/APtoDPS*MHnorm+98)*(1+sa*0.1+0.02*agg+Slayer4value-1),IF(instatk="v",(ohavg+(ap+Z87-$Z$1)/APtoDPS*OHnorm)*(1+sa*0.1)*(0.5+0.05*dws)+avipdam,Slayer4value*((1+0.04*opp)*(MHavg+101+(ap+Z87-$Z$1)/APtoDPS*MHnorm+(0.5+0.05*dws)*(ohavg+(ap+Z87-$Z$1)/APtoDPS*OHnorm)+101*(1+0.1*dws))*(1+0.5*IF(Talents!$O$18="Yes",1,0)))))))*(instactualhit+(1+((leth*0.06+2)-1)*(cfact-1))*instactualcrit)*fwfactor*AB87*instsec*(AF87/$AN$45))</f>
        <v>290.78918279358999</v>
      </c>
      <c r="AH87" s="25">
        <f t="shared" si="70"/>
        <v>0</v>
      </c>
      <c r="AI87" s="25">
        <f t="shared" si="71"/>
        <v>0</v>
      </c>
      <c r="AJ87" s="25">
        <f t="shared" si="72"/>
        <v>0</v>
      </c>
    </row>
    <row r="88" spans="1:36">
      <c r="A88">
        <f t="shared" si="53"/>
        <v>85</v>
      </c>
      <c r="B88">
        <f t="shared" si="61"/>
        <v>3</v>
      </c>
      <c r="C88">
        <f t="shared" si="39"/>
        <v>120</v>
      </c>
      <c r="D88">
        <f t="shared" si="54"/>
        <v>26</v>
      </c>
      <c r="E88">
        <f t="shared" si="73"/>
        <v>2</v>
      </c>
      <c r="F88">
        <f t="shared" si="40"/>
        <v>90</v>
      </c>
      <c r="G88">
        <f t="shared" si="55"/>
        <v>0</v>
      </c>
      <c r="H88">
        <f t="shared" si="62"/>
        <v>2</v>
      </c>
      <c r="I88">
        <f t="shared" si="41"/>
        <v>120</v>
      </c>
      <c r="J88">
        <f t="shared" si="56"/>
        <v>0</v>
      </c>
      <c r="K88">
        <f t="shared" si="63"/>
        <v>2</v>
      </c>
      <c r="L88">
        <f t="shared" si="42"/>
        <v>180</v>
      </c>
      <c r="M88">
        <f t="shared" si="57"/>
        <v>0</v>
      </c>
      <c r="N88">
        <f t="shared" si="64"/>
        <v>2</v>
      </c>
      <c r="O88">
        <f t="shared" si="43"/>
        <v>300</v>
      </c>
      <c r="P88">
        <f t="shared" si="65"/>
        <v>0</v>
      </c>
      <c r="Q88">
        <f t="shared" si="66"/>
        <v>2</v>
      </c>
      <c r="R88">
        <f t="shared" si="44"/>
        <v>300</v>
      </c>
      <c r="S88">
        <f t="shared" si="67"/>
        <v>0</v>
      </c>
      <c r="T88">
        <f t="shared" si="68"/>
        <v>-1</v>
      </c>
      <c r="U88">
        <f t="shared" si="58"/>
        <v>0</v>
      </c>
      <c r="V88">
        <f t="shared" si="59"/>
        <v>1</v>
      </c>
      <c r="W88">
        <f t="shared" si="45"/>
        <v>0</v>
      </c>
      <c r="X88">
        <f t="shared" si="69"/>
        <v>0</v>
      </c>
      <c r="Y88">
        <f t="shared" si="46"/>
        <v>0</v>
      </c>
      <c r="Z88">
        <f t="shared" si="47"/>
        <v>0</v>
      </c>
      <c r="AA88">
        <f t="shared" si="48"/>
        <v>0</v>
      </c>
      <c r="AB88" s="29">
        <f t="shared" si="49"/>
        <v>0.74178816089935007</v>
      </c>
      <c r="AC88" s="25">
        <f t="shared" si="50"/>
        <v>127.49804426656831</v>
      </c>
      <c r="AD88" s="29">
        <f t="shared" si="51"/>
        <v>1.0808524183153847</v>
      </c>
      <c r="AE88" s="25">
        <f t="shared" si="60"/>
        <v>13.243681724743192</v>
      </c>
      <c r="AF88" s="25">
        <f t="shared" si="52"/>
        <v>13.243681724743192</v>
      </c>
      <c r="AG88" s="25">
        <f>IF($A88&lt;0,0,IF(instatk="bs",(1.5+talSCallInstBon)*(MHavg+(ap+Z88-$Z$1)/APtoDPS*MHnorm+170)*(1+sa*0.1+0.04*opp+0.02*agg+Slayer4value-1),IF(instatk="hemo",Slayer4value*(MHavg+(ap+Z88-$Z$1)/APtoDPS*MHnorm)*(1.1+talSCallInstBon)+420*(1+raidcrit)*debuffon,IF(instatk="ss",(MHavg+(ap+Z88-$Z$1)/APtoDPS*MHnorm+98)*(1+sa*0.1+0.02*agg+Slayer4value-1),IF(instatk="v",(ohavg+(ap+Z88-$Z$1)/APtoDPS*OHnorm)*(1+sa*0.1)*(0.5+0.05*dws)+avipdam,Slayer4value*((1+0.04*opp)*(MHavg+101+(ap+Z88-$Z$1)/APtoDPS*MHnorm+(0.5+0.05*dws)*(ohavg+(ap+Z88-$Z$1)/APtoDPS*OHnorm)+101*(1+0.1*dws))*(1+0.5*IF(Talents!$O$18="Yes",1,0)))))))*(instactualhit+(1+((leth*0.06+2)-1)*(cfact-1))*instactualcrit)*fwfactor*AB88*instsec*(AF88/$AN$45))</f>
        <v>290.78918279358999</v>
      </c>
      <c r="AH88" s="25">
        <f t="shared" si="70"/>
        <v>0</v>
      </c>
      <c r="AI88" s="25">
        <f t="shared" si="71"/>
        <v>0</v>
      </c>
      <c r="AJ88" s="25">
        <f t="shared" si="72"/>
        <v>0</v>
      </c>
    </row>
    <row r="89" spans="1:36">
      <c r="A89">
        <f t="shared" si="53"/>
        <v>86</v>
      </c>
      <c r="B89">
        <f t="shared" si="61"/>
        <v>3</v>
      </c>
      <c r="C89">
        <f t="shared" si="39"/>
        <v>120</v>
      </c>
      <c r="D89">
        <f t="shared" si="54"/>
        <v>27</v>
      </c>
      <c r="E89">
        <f t="shared" si="73"/>
        <v>2</v>
      </c>
      <c r="F89">
        <f t="shared" si="40"/>
        <v>90</v>
      </c>
      <c r="G89">
        <f t="shared" si="55"/>
        <v>0</v>
      </c>
      <c r="H89">
        <f t="shared" si="62"/>
        <v>2</v>
      </c>
      <c r="I89">
        <f t="shared" si="41"/>
        <v>120</v>
      </c>
      <c r="J89">
        <f t="shared" si="56"/>
        <v>0</v>
      </c>
      <c r="K89">
        <f t="shared" si="63"/>
        <v>2</v>
      </c>
      <c r="L89">
        <f t="shared" si="42"/>
        <v>180</v>
      </c>
      <c r="M89">
        <f t="shared" si="57"/>
        <v>0</v>
      </c>
      <c r="N89">
        <f t="shared" si="64"/>
        <v>2</v>
      </c>
      <c r="O89">
        <f t="shared" si="43"/>
        <v>300</v>
      </c>
      <c r="P89">
        <f t="shared" si="65"/>
        <v>0</v>
      </c>
      <c r="Q89">
        <f t="shared" si="66"/>
        <v>2</v>
      </c>
      <c r="R89">
        <f t="shared" si="44"/>
        <v>300</v>
      </c>
      <c r="S89">
        <f t="shared" si="67"/>
        <v>0</v>
      </c>
      <c r="T89">
        <f t="shared" si="68"/>
        <v>-1</v>
      </c>
      <c r="U89">
        <f t="shared" si="58"/>
        <v>0</v>
      </c>
      <c r="V89">
        <f t="shared" si="59"/>
        <v>1</v>
      </c>
      <c r="W89">
        <f t="shared" si="45"/>
        <v>0</v>
      </c>
      <c r="X89">
        <f t="shared" si="69"/>
        <v>0</v>
      </c>
      <c r="Y89">
        <f t="shared" si="46"/>
        <v>0</v>
      </c>
      <c r="Z89">
        <f t="shared" si="47"/>
        <v>0</v>
      </c>
      <c r="AA89">
        <f t="shared" si="48"/>
        <v>0</v>
      </c>
      <c r="AB89" s="29">
        <f t="shared" si="49"/>
        <v>0.74178816089935007</v>
      </c>
      <c r="AC89" s="25">
        <f t="shared" si="50"/>
        <v>127.49804426656831</v>
      </c>
      <c r="AD89" s="29">
        <f t="shared" si="51"/>
        <v>1.0808524183153847</v>
      </c>
      <c r="AE89" s="25">
        <f t="shared" si="60"/>
        <v>13.243681724743192</v>
      </c>
      <c r="AF89" s="25">
        <f t="shared" si="52"/>
        <v>13.243681724743192</v>
      </c>
      <c r="AG89" s="25">
        <f>IF($A89&lt;0,0,IF(instatk="bs",(1.5+talSCallInstBon)*(MHavg+(ap+Z89-$Z$1)/APtoDPS*MHnorm+170)*(1+sa*0.1+0.04*opp+0.02*agg+Slayer4value-1),IF(instatk="hemo",Slayer4value*(MHavg+(ap+Z89-$Z$1)/APtoDPS*MHnorm)*(1.1+talSCallInstBon)+420*(1+raidcrit)*debuffon,IF(instatk="ss",(MHavg+(ap+Z89-$Z$1)/APtoDPS*MHnorm+98)*(1+sa*0.1+0.02*agg+Slayer4value-1),IF(instatk="v",(ohavg+(ap+Z89-$Z$1)/APtoDPS*OHnorm)*(1+sa*0.1)*(0.5+0.05*dws)+avipdam,Slayer4value*((1+0.04*opp)*(MHavg+101+(ap+Z89-$Z$1)/APtoDPS*MHnorm+(0.5+0.05*dws)*(ohavg+(ap+Z89-$Z$1)/APtoDPS*OHnorm)+101*(1+0.1*dws))*(1+0.5*IF(Talents!$O$18="Yes",1,0)))))))*(instactualhit+(1+((leth*0.06+2)-1)*(cfact-1))*instactualcrit)*fwfactor*AB89*instsec*(AF89/$AN$45))</f>
        <v>290.78918279358999</v>
      </c>
      <c r="AH89" s="25">
        <f t="shared" si="70"/>
        <v>0</v>
      </c>
      <c r="AI89" s="25">
        <f t="shared" si="71"/>
        <v>0</v>
      </c>
      <c r="AJ89" s="25">
        <f t="shared" si="72"/>
        <v>0</v>
      </c>
    </row>
    <row r="90" spans="1:36">
      <c r="A90">
        <f t="shared" si="53"/>
        <v>87</v>
      </c>
      <c r="B90">
        <f t="shared" si="61"/>
        <v>3</v>
      </c>
      <c r="C90">
        <f t="shared" si="39"/>
        <v>120</v>
      </c>
      <c r="D90">
        <f t="shared" si="54"/>
        <v>28</v>
      </c>
      <c r="E90">
        <f t="shared" si="73"/>
        <v>2</v>
      </c>
      <c r="F90">
        <f t="shared" si="40"/>
        <v>90</v>
      </c>
      <c r="G90">
        <f t="shared" si="55"/>
        <v>0</v>
      </c>
      <c r="H90">
        <f t="shared" si="62"/>
        <v>2</v>
      </c>
      <c r="I90">
        <f t="shared" si="41"/>
        <v>120</v>
      </c>
      <c r="J90">
        <f t="shared" si="56"/>
        <v>0</v>
      </c>
      <c r="K90">
        <f t="shared" si="63"/>
        <v>2</v>
      </c>
      <c r="L90">
        <f t="shared" si="42"/>
        <v>180</v>
      </c>
      <c r="M90">
        <f t="shared" si="57"/>
        <v>0</v>
      </c>
      <c r="N90">
        <f t="shared" si="64"/>
        <v>2</v>
      </c>
      <c r="O90">
        <f t="shared" si="43"/>
        <v>300</v>
      </c>
      <c r="P90">
        <f t="shared" si="65"/>
        <v>0</v>
      </c>
      <c r="Q90">
        <f t="shared" si="66"/>
        <v>2</v>
      </c>
      <c r="R90">
        <f t="shared" si="44"/>
        <v>300</v>
      </c>
      <c r="S90">
        <f t="shared" si="67"/>
        <v>0</v>
      </c>
      <c r="T90">
        <f t="shared" si="68"/>
        <v>-1</v>
      </c>
      <c r="U90">
        <f t="shared" si="58"/>
        <v>0</v>
      </c>
      <c r="V90">
        <f t="shared" si="59"/>
        <v>1</v>
      </c>
      <c r="W90">
        <f t="shared" si="45"/>
        <v>0</v>
      </c>
      <c r="X90">
        <f t="shared" si="69"/>
        <v>0</v>
      </c>
      <c r="Y90">
        <f t="shared" si="46"/>
        <v>0</v>
      </c>
      <c r="Z90">
        <f t="shared" si="47"/>
        <v>0</v>
      </c>
      <c r="AA90">
        <f t="shared" si="48"/>
        <v>0</v>
      </c>
      <c r="AB90" s="29">
        <f t="shared" si="49"/>
        <v>0.74178816089935007</v>
      </c>
      <c r="AC90" s="25">
        <f t="shared" si="50"/>
        <v>127.49804426656831</v>
      </c>
      <c r="AD90" s="29">
        <f t="shared" si="51"/>
        <v>1.0808524183153847</v>
      </c>
      <c r="AE90" s="25">
        <f t="shared" si="60"/>
        <v>13.243681724743192</v>
      </c>
      <c r="AF90" s="25">
        <f t="shared" si="52"/>
        <v>13.243681724743192</v>
      </c>
      <c r="AG90" s="25">
        <f>IF($A90&lt;0,0,IF(instatk="bs",(1.5+talSCallInstBon)*(MHavg+(ap+Z90-$Z$1)/APtoDPS*MHnorm+170)*(1+sa*0.1+0.04*opp+0.02*agg+Slayer4value-1),IF(instatk="hemo",Slayer4value*(MHavg+(ap+Z90-$Z$1)/APtoDPS*MHnorm)*(1.1+talSCallInstBon)+420*(1+raidcrit)*debuffon,IF(instatk="ss",(MHavg+(ap+Z90-$Z$1)/APtoDPS*MHnorm+98)*(1+sa*0.1+0.02*agg+Slayer4value-1),IF(instatk="v",(ohavg+(ap+Z90-$Z$1)/APtoDPS*OHnorm)*(1+sa*0.1)*(0.5+0.05*dws)+avipdam,Slayer4value*((1+0.04*opp)*(MHavg+101+(ap+Z90-$Z$1)/APtoDPS*MHnorm+(0.5+0.05*dws)*(ohavg+(ap+Z90-$Z$1)/APtoDPS*OHnorm)+101*(1+0.1*dws))*(1+0.5*IF(Talents!$O$18="Yes",1,0)))))))*(instactualhit+(1+((leth*0.06+2)-1)*(cfact-1))*instactualcrit)*fwfactor*AB90*instsec*(AF90/$AN$45))</f>
        <v>290.78918279358999</v>
      </c>
      <c r="AH90" s="25">
        <f t="shared" si="70"/>
        <v>0</v>
      </c>
      <c r="AI90" s="25">
        <f t="shared" si="71"/>
        <v>0</v>
      </c>
      <c r="AJ90" s="25">
        <f t="shared" si="72"/>
        <v>0</v>
      </c>
    </row>
    <row r="91" spans="1:36">
      <c r="A91">
        <f t="shared" si="53"/>
        <v>88</v>
      </c>
      <c r="B91">
        <f t="shared" si="61"/>
        <v>3</v>
      </c>
      <c r="C91">
        <f t="shared" si="39"/>
        <v>120</v>
      </c>
      <c r="D91">
        <f t="shared" si="54"/>
        <v>29</v>
      </c>
      <c r="E91">
        <f t="shared" si="73"/>
        <v>2</v>
      </c>
      <c r="F91">
        <f t="shared" si="40"/>
        <v>90</v>
      </c>
      <c r="G91">
        <f t="shared" si="55"/>
        <v>0</v>
      </c>
      <c r="H91">
        <f t="shared" si="62"/>
        <v>2</v>
      </c>
      <c r="I91">
        <f t="shared" si="41"/>
        <v>120</v>
      </c>
      <c r="J91">
        <f t="shared" si="56"/>
        <v>0</v>
      </c>
      <c r="K91">
        <f t="shared" si="63"/>
        <v>2</v>
      </c>
      <c r="L91">
        <f t="shared" si="42"/>
        <v>180</v>
      </c>
      <c r="M91">
        <f t="shared" si="57"/>
        <v>0</v>
      </c>
      <c r="N91">
        <f t="shared" si="64"/>
        <v>2</v>
      </c>
      <c r="O91">
        <f t="shared" si="43"/>
        <v>300</v>
      </c>
      <c r="P91">
        <f t="shared" si="65"/>
        <v>0</v>
      </c>
      <c r="Q91">
        <f t="shared" si="66"/>
        <v>2</v>
      </c>
      <c r="R91">
        <f t="shared" si="44"/>
        <v>300</v>
      </c>
      <c r="S91">
        <f t="shared" si="67"/>
        <v>0</v>
      </c>
      <c r="T91">
        <f t="shared" si="68"/>
        <v>-1</v>
      </c>
      <c r="U91">
        <f t="shared" si="58"/>
        <v>0</v>
      </c>
      <c r="V91">
        <f t="shared" si="59"/>
        <v>1</v>
      </c>
      <c r="W91">
        <f t="shared" si="45"/>
        <v>0</v>
      </c>
      <c r="X91">
        <f t="shared" si="69"/>
        <v>0</v>
      </c>
      <c r="Y91">
        <f t="shared" si="46"/>
        <v>0</v>
      </c>
      <c r="Z91">
        <f t="shared" si="47"/>
        <v>0</v>
      </c>
      <c r="AA91">
        <f t="shared" si="48"/>
        <v>0</v>
      </c>
      <c r="AB91" s="29">
        <f t="shared" si="49"/>
        <v>0.74178816089935007</v>
      </c>
      <c r="AC91" s="25">
        <f t="shared" si="50"/>
        <v>127.49804426656831</v>
      </c>
      <c r="AD91" s="29">
        <f t="shared" si="51"/>
        <v>1.0808524183153847</v>
      </c>
      <c r="AE91" s="25">
        <f t="shared" si="60"/>
        <v>13.243681724743192</v>
      </c>
      <c r="AF91" s="25">
        <f t="shared" si="52"/>
        <v>13.243681724743192</v>
      </c>
      <c r="AG91" s="25">
        <f>IF($A91&lt;0,0,IF(instatk="bs",(1.5+talSCallInstBon)*(MHavg+(ap+Z91-$Z$1)/APtoDPS*MHnorm+170)*(1+sa*0.1+0.04*opp+0.02*agg+Slayer4value-1),IF(instatk="hemo",Slayer4value*(MHavg+(ap+Z91-$Z$1)/APtoDPS*MHnorm)*(1.1+talSCallInstBon)+420*(1+raidcrit)*debuffon,IF(instatk="ss",(MHavg+(ap+Z91-$Z$1)/APtoDPS*MHnorm+98)*(1+sa*0.1+0.02*agg+Slayer4value-1),IF(instatk="v",(ohavg+(ap+Z91-$Z$1)/APtoDPS*OHnorm)*(1+sa*0.1)*(0.5+0.05*dws)+avipdam,Slayer4value*((1+0.04*opp)*(MHavg+101+(ap+Z91-$Z$1)/APtoDPS*MHnorm+(0.5+0.05*dws)*(ohavg+(ap+Z91-$Z$1)/APtoDPS*OHnorm)+101*(1+0.1*dws))*(1+0.5*IF(Talents!$O$18="Yes",1,0)))))))*(instactualhit+(1+((leth*0.06+2)-1)*(cfact-1))*instactualcrit)*fwfactor*AB91*instsec*(AF91/$AN$45))</f>
        <v>290.78918279358999</v>
      </c>
      <c r="AH91" s="25">
        <f t="shared" si="70"/>
        <v>0</v>
      </c>
      <c r="AI91" s="25">
        <f t="shared" si="71"/>
        <v>0</v>
      </c>
      <c r="AJ91" s="25">
        <f t="shared" si="72"/>
        <v>0</v>
      </c>
    </row>
    <row r="92" spans="1:36">
      <c r="A92">
        <f t="shared" si="53"/>
        <v>89</v>
      </c>
      <c r="B92">
        <f t="shared" si="61"/>
        <v>3</v>
      </c>
      <c r="C92">
        <f t="shared" si="39"/>
        <v>120</v>
      </c>
      <c r="D92">
        <f t="shared" si="54"/>
        <v>30</v>
      </c>
      <c r="E92">
        <f t="shared" si="73"/>
        <v>2</v>
      </c>
      <c r="F92">
        <f t="shared" si="40"/>
        <v>90</v>
      </c>
      <c r="G92">
        <f t="shared" si="55"/>
        <v>0</v>
      </c>
      <c r="H92">
        <f t="shared" si="62"/>
        <v>2</v>
      </c>
      <c r="I92">
        <f t="shared" si="41"/>
        <v>120</v>
      </c>
      <c r="J92">
        <f t="shared" si="56"/>
        <v>0</v>
      </c>
      <c r="K92">
        <f t="shared" si="63"/>
        <v>2</v>
      </c>
      <c r="L92">
        <f t="shared" si="42"/>
        <v>180</v>
      </c>
      <c r="M92">
        <f t="shared" si="57"/>
        <v>0</v>
      </c>
      <c r="N92">
        <f t="shared" si="64"/>
        <v>2</v>
      </c>
      <c r="O92">
        <f t="shared" si="43"/>
        <v>300</v>
      </c>
      <c r="P92">
        <f t="shared" si="65"/>
        <v>0</v>
      </c>
      <c r="Q92">
        <f t="shared" si="66"/>
        <v>2</v>
      </c>
      <c r="R92">
        <f t="shared" si="44"/>
        <v>300</v>
      </c>
      <c r="S92">
        <f t="shared" si="67"/>
        <v>0</v>
      </c>
      <c r="T92">
        <f t="shared" si="68"/>
        <v>-1</v>
      </c>
      <c r="U92">
        <f t="shared" si="58"/>
        <v>0</v>
      </c>
      <c r="V92">
        <f t="shared" si="59"/>
        <v>1</v>
      </c>
      <c r="W92">
        <f t="shared" si="45"/>
        <v>0</v>
      </c>
      <c r="X92">
        <f t="shared" si="69"/>
        <v>0</v>
      </c>
      <c r="Y92">
        <f t="shared" si="46"/>
        <v>0</v>
      </c>
      <c r="Z92">
        <f t="shared" si="47"/>
        <v>0</v>
      </c>
      <c r="AA92">
        <f t="shared" si="48"/>
        <v>0</v>
      </c>
      <c r="AB92" s="29">
        <f t="shared" si="49"/>
        <v>0.74178816089935007</v>
      </c>
      <c r="AC92" s="25">
        <f t="shared" si="50"/>
        <v>127.49804426656831</v>
      </c>
      <c r="AD92" s="29">
        <f t="shared" si="51"/>
        <v>1.0808524183153847</v>
      </c>
      <c r="AE92" s="25">
        <f t="shared" si="60"/>
        <v>13.243681724743192</v>
      </c>
      <c r="AF92" s="25">
        <f t="shared" si="52"/>
        <v>13.243681724743192</v>
      </c>
      <c r="AG92" s="25">
        <f>IF($A92&lt;0,0,IF(instatk="bs",(1.5+talSCallInstBon)*(MHavg+(ap+Z92-$Z$1)/APtoDPS*MHnorm+170)*(1+sa*0.1+0.04*opp+0.02*agg+Slayer4value-1),IF(instatk="hemo",Slayer4value*(MHavg+(ap+Z92-$Z$1)/APtoDPS*MHnorm)*(1.1+talSCallInstBon)+420*(1+raidcrit)*debuffon,IF(instatk="ss",(MHavg+(ap+Z92-$Z$1)/APtoDPS*MHnorm+98)*(1+sa*0.1+0.02*agg+Slayer4value-1),IF(instatk="v",(ohavg+(ap+Z92-$Z$1)/APtoDPS*OHnorm)*(1+sa*0.1)*(0.5+0.05*dws)+avipdam,Slayer4value*((1+0.04*opp)*(MHavg+101+(ap+Z92-$Z$1)/APtoDPS*MHnorm+(0.5+0.05*dws)*(ohavg+(ap+Z92-$Z$1)/APtoDPS*OHnorm)+101*(1+0.1*dws))*(1+0.5*IF(Talents!$O$18="Yes",1,0)))))))*(instactualhit+(1+((leth*0.06+2)-1)*(cfact-1))*instactualcrit)*fwfactor*AB92*instsec*(AF92/$AN$45))</f>
        <v>290.78918279358999</v>
      </c>
      <c r="AH92" s="25">
        <f t="shared" si="70"/>
        <v>0</v>
      </c>
      <c r="AI92" s="25">
        <f t="shared" si="71"/>
        <v>0</v>
      </c>
      <c r="AJ92" s="25">
        <f t="shared" si="72"/>
        <v>0</v>
      </c>
    </row>
    <row r="93" spans="1:36">
      <c r="A93">
        <f t="shared" si="53"/>
        <v>90</v>
      </c>
      <c r="B93">
        <f t="shared" si="61"/>
        <v>3</v>
      </c>
      <c r="C93">
        <f t="shared" si="39"/>
        <v>120</v>
      </c>
      <c r="D93">
        <f t="shared" si="54"/>
        <v>0</v>
      </c>
      <c r="E93">
        <f t="shared" si="73"/>
        <v>2</v>
      </c>
      <c r="F93">
        <f t="shared" si="40"/>
        <v>90</v>
      </c>
      <c r="G93">
        <f t="shared" si="55"/>
        <v>1</v>
      </c>
      <c r="H93">
        <f t="shared" si="62"/>
        <v>2</v>
      </c>
      <c r="I93">
        <f t="shared" si="41"/>
        <v>120</v>
      </c>
      <c r="J93">
        <f t="shared" si="56"/>
        <v>0</v>
      </c>
      <c r="K93">
        <f t="shared" si="63"/>
        <v>2</v>
      </c>
      <c r="L93">
        <f t="shared" si="42"/>
        <v>180</v>
      </c>
      <c r="M93">
        <f t="shared" si="57"/>
        <v>0</v>
      </c>
      <c r="N93">
        <f t="shared" si="64"/>
        <v>2</v>
      </c>
      <c r="O93">
        <f t="shared" si="43"/>
        <v>300</v>
      </c>
      <c r="P93">
        <f t="shared" si="65"/>
        <v>0</v>
      </c>
      <c r="Q93">
        <f t="shared" si="66"/>
        <v>2</v>
      </c>
      <c r="R93">
        <f t="shared" si="44"/>
        <v>300</v>
      </c>
      <c r="S93">
        <f t="shared" si="67"/>
        <v>0</v>
      </c>
      <c r="T93">
        <f t="shared" si="68"/>
        <v>-1</v>
      </c>
      <c r="U93">
        <f t="shared" si="58"/>
        <v>0</v>
      </c>
      <c r="V93">
        <f t="shared" si="59"/>
        <v>1</v>
      </c>
      <c r="W93">
        <f t="shared" si="45"/>
        <v>0</v>
      </c>
      <c r="X93">
        <f t="shared" si="69"/>
        <v>0</v>
      </c>
      <c r="Y93">
        <f t="shared" si="46"/>
        <v>0</v>
      </c>
      <c r="Z93">
        <f t="shared" si="47"/>
        <v>0</v>
      </c>
      <c r="AA93">
        <f t="shared" si="48"/>
        <v>0</v>
      </c>
      <c r="AB93" s="29">
        <f t="shared" si="49"/>
        <v>0.74178816089935007</v>
      </c>
      <c r="AC93" s="25">
        <f t="shared" si="50"/>
        <v>127.49804426656831</v>
      </c>
      <c r="AD93" s="29">
        <f t="shared" si="51"/>
        <v>1.0808524183153847</v>
      </c>
      <c r="AE93" s="25">
        <f t="shared" si="60"/>
        <v>13.243681724743192</v>
      </c>
      <c r="AF93" s="25">
        <f t="shared" si="52"/>
        <v>13.243681724743192</v>
      </c>
      <c r="AG93" s="25">
        <f>IF($A93&lt;0,0,IF(instatk="bs",(1.5+talSCallInstBon)*(MHavg+(ap+Z93-$Z$1)/APtoDPS*MHnorm+170)*(1+sa*0.1+0.04*opp+0.02*agg+Slayer4value-1),IF(instatk="hemo",Slayer4value*(MHavg+(ap+Z93-$Z$1)/APtoDPS*MHnorm)*(1.1+talSCallInstBon)+420*(1+raidcrit)*debuffon,IF(instatk="ss",(MHavg+(ap+Z93-$Z$1)/APtoDPS*MHnorm+98)*(1+sa*0.1+0.02*agg+Slayer4value-1),IF(instatk="v",(ohavg+(ap+Z93-$Z$1)/APtoDPS*OHnorm)*(1+sa*0.1)*(0.5+0.05*dws)+avipdam,Slayer4value*((1+0.04*opp)*(MHavg+101+(ap+Z93-$Z$1)/APtoDPS*MHnorm+(0.5+0.05*dws)*(ohavg+(ap+Z93-$Z$1)/APtoDPS*OHnorm)+101*(1+0.1*dws))*(1+0.5*IF(Talents!$O$18="Yes",1,0)))))))*(instactualhit+(1+((leth*0.06+2)-1)*(cfact-1))*instactualcrit)*fwfactor*AB93*instsec*(AF93/$AN$45))</f>
        <v>290.78918279358999</v>
      </c>
      <c r="AH93" s="25">
        <f t="shared" si="70"/>
        <v>0</v>
      </c>
      <c r="AI93" s="25">
        <f t="shared" si="71"/>
        <v>0</v>
      </c>
      <c r="AJ93" s="25">
        <f t="shared" si="72"/>
        <v>0</v>
      </c>
    </row>
    <row r="94" spans="1:36">
      <c r="A94">
        <f t="shared" si="53"/>
        <v>91</v>
      </c>
      <c r="B94">
        <f t="shared" si="61"/>
        <v>3</v>
      </c>
      <c r="C94">
        <f t="shared" si="39"/>
        <v>120</v>
      </c>
      <c r="D94">
        <f t="shared" si="54"/>
        <v>0</v>
      </c>
      <c r="E94">
        <f t="shared" si="73"/>
        <v>3</v>
      </c>
      <c r="F94">
        <f t="shared" si="40"/>
        <v>180</v>
      </c>
      <c r="G94">
        <f t="shared" si="55"/>
        <v>2</v>
      </c>
      <c r="H94">
        <f t="shared" si="62"/>
        <v>2</v>
      </c>
      <c r="I94">
        <f t="shared" si="41"/>
        <v>120</v>
      </c>
      <c r="J94">
        <f t="shared" si="56"/>
        <v>0</v>
      </c>
      <c r="K94">
        <f t="shared" si="63"/>
        <v>2</v>
      </c>
      <c r="L94">
        <f t="shared" si="42"/>
        <v>180</v>
      </c>
      <c r="M94">
        <f t="shared" si="57"/>
        <v>0</v>
      </c>
      <c r="N94">
        <f t="shared" si="64"/>
        <v>2</v>
      </c>
      <c r="O94">
        <f t="shared" si="43"/>
        <v>300</v>
      </c>
      <c r="P94">
        <f t="shared" si="65"/>
        <v>0</v>
      </c>
      <c r="Q94">
        <f t="shared" si="66"/>
        <v>2</v>
      </c>
      <c r="R94">
        <f t="shared" si="44"/>
        <v>300</v>
      </c>
      <c r="S94">
        <f t="shared" si="67"/>
        <v>0</v>
      </c>
      <c r="T94">
        <f t="shared" si="68"/>
        <v>-1</v>
      </c>
      <c r="U94">
        <f t="shared" si="58"/>
        <v>0</v>
      </c>
      <c r="V94">
        <f t="shared" si="59"/>
        <v>1</v>
      </c>
      <c r="W94">
        <f t="shared" si="45"/>
        <v>0</v>
      </c>
      <c r="X94">
        <f t="shared" si="69"/>
        <v>0</v>
      </c>
      <c r="Y94">
        <f t="shared" si="46"/>
        <v>0</v>
      </c>
      <c r="Z94">
        <f t="shared" si="47"/>
        <v>0</v>
      </c>
      <c r="AA94">
        <f t="shared" si="48"/>
        <v>0</v>
      </c>
      <c r="AB94" s="29">
        <f t="shared" si="49"/>
        <v>0.74178816089935007</v>
      </c>
      <c r="AC94" s="25">
        <f t="shared" si="50"/>
        <v>127.49804426656831</v>
      </c>
      <c r="AD94" s="29">
        <f t="shared" si="51"/>
        <v>1.0808524183153847</v>
      </c>
      <c r="AE94" s="25">
        <f t="shared" si="60"/>
        <v>13.243681724743192</v>
      </c>
      <c r="AF94" s="25">
        <f t="shared" si="52"/>
        <v>13.243681724743192</v>
      </c>
      <c r="AG94" s="25">
        <f>IF($A94&lt;0,0,IF(instatk="bs",(1.5+talSCallInstBon)*(MHavg+(ap+Z94-$Z$1)/APtoDPS*MHnorm+170)*(1+sa*0.1+0.04*opp+0.02*agg+Slayer4value-1),IF(instatk="hemo",Slayer4value*(MHavg+(ap+Z94-$Z$1)/APtoDPS*MHnorm)*(1.1+talSCallInstBon)+420*(1+raidcrit)*debuffon,IF(instatk="ss",(MHavg+(ap+Z94-$Z$1)/APtoDPS*MHnorm+98)*(1+sa*0.1+0.02*agg+Slayer4value-1),IF(instatk="v",(ohavg+(ap+Z94-$Z$1)/APtoDPS*OHnorm)*(1+sa*0.1)*(0.5+0.05*dws)+avipdam,Slayer4value*((1+0.04*opp)*(MHavg+101+(ap+Z94-$Z$1)/APtoDPS*MHnorm+(0.5+0.05*dws)*(ohavg+(ap+Z94-$Z$1)/APtoDPS*OHnorm)+101*(1+0.1*dws))*(1+0.5*IF(Talents!$O$18="Yes",1,0)))))))*(instactualhit+(1+((leth*0.06+2)-1)*(cfact-1))*instactualcrit)*fwfactor*AB94*instsec*(AF94/$AN$45))</f>
        <v>290.78918279358999</v>
      </c>
      <c r="AH94" s="25">
        <f t="shared" si="70"/>
        <v>0</v>
      </c>
      <c r="AI94" s="25">
        <f t="shared" si="71"/>
        <v>0</v>
      </c>
      <c r="AJ94" s="25">
        <f t="shared" si="72"/>
        <v>0</v>
      </c>
    </row>
    <row r="95" spans="1:36">
      <c r="A95">
        <f t="shared" si="53"/>
        <v>92</v>
      </c>
      <c r="B95">
        <f t="shared" si="61"/>
        <v>3</v>
      </c>
      <c r="C95">
        <f t="shared" si="39"/>
        <v>120</v>
      </c>
      <c r="D95">
        <f t="shared" si="54"/>
        <v>0</v>
      </c>
      <c r="E95">
        <f t="shared" si="73"/>
        <v>3</v>
      </c>
      <c r="F95">
        <f t="shared" si="40"/>
        <v>180</v>
      </c>
      <c r="G95">
        <f t="shared" si="55"/>
        <v>3</v>
      </c>
      <c r="H95">
        <f t="shared" si="62"/>
        <v>2</v>
      </c>
      <c r="I95">
        <f t="shared" si="41"/>
        <v>120</v>
      </c>
      <c r="J95">
        <f t="shared" si="56"/>
        <v>0</v>
      </c>
      <c r="K95">
        <f t="shared" si="63"/>
        <v>2</v>
      </c>
      <c r="L95">
        <f t="shared" si="42"/>
        <v>180</v>
      </c>
      <c r="M95">
        <f t="shared" si="57"/>
        <v>0</v>
      </c>
      <c r="N95">
        <f t="shared" si="64"/>
        <v>2</v>
      </c>
      <c r="O95">
        <f t="shared" si="43"/>
        <v>300</v>
      </c>
      <c r="P95">
        <f t="shared" si="65"/>
        <v>0</v>
      </c>
      <c r="Q95">
        <f t="shared" si="66"/>
        <v>2</v>
      </c>
      <c r="R95">
        <f t="shared" si="44"/>
        <v>300</v>
      </c>
      <c r="S95">
        <f t="shared" si="67"/>
        <v>0</v>
      </c>
      <c r="T95">
        <f t="shared" si="68"/>
        <v>-1</v>
      </c>
      <c r="U95">
        <f t="shared" si="58"/>
        <v>0</v>
      </c>
      <c r="V95">
        <f t="shared" si="59"/>
        <v>1</v>
      </c>
      <c r="W95">
        <f t="shared" si="45"/>
        <v>0</v>
      </c>
      <c r="X95">
        <f t="shared" si="69"/>
        <v>0</v>
      </c>
      <c r="Y95">
        <f t="shared" si="46"/>
        <v>0</v>
      </c>
      <c r="Z95">
        <f t="shared" si="47"/>
        <v>0</v>
      </c>
      <c r="AA95">
        <f t="shared" si="48"/>
        <v>0</v>
      </c>
      <c r="AB95" s="29">
        <f t="shared" si="49"/>
        <v>0.74178816089935007</v>
      </c>
      <c r="AC95" s="25">
        <f t="shared" si="50"/>
        <v>127.49804426656831</v>
      </c>
      <c r="AD95" s="29">
        <f t="shared" si="51"/>
        <v>1.0808524183153847</v>
      </c>
      <c r="AE95" s="25">
        <f t="shared" si="60"/>
        <v>13.243681724743192</v>
      </c>
      <c r="AF95" s="25">
        <f t="shared" si="52"/>
        <v>13.243681724743192</v>
      </c>
      <c r="AG95" s="25">
        <f>IF($A95&lt;0,0,IF(instatk="bs",(1.5+talSCallInstBon)*(MHavg+(ap+Z95-$Z$1)/APtoDPS*MHnorm+170)*(1+sa*0.1+0.04*opp+0.02*agg+Slayer4value-1),IF(instatk="hemo",Slayer4value*(MHavg+(ap+Z95-$Z$1)/APtoDPS*MHnorm)*(1.1+talSCallInstBon)+420*(1+raidcrit)*debuffon,IF(instatk="ss",(MHavg+(ap+Z95-$Z$1)/APtoDPS*MHnorm+98)*(1+sa*0.1+0.02*agg+Slayer4value-1),IF(instatk="v",(ohavg+(ap+Z95-$Z$1)/APtoDPS*OHnorm)*(1+sa*0.1)*(0.5+0.05*dws)+avipdam,Slayer4value*((1+0.04*opp)*(MHavg+101+(ap+Z95-$Z$1)/APtoDPS*MHnorm+(0.5+0.05*dws)*(ohavg+(ap+Z95-$Z$1)/APtoDPS*OHnorm)+101*(1+0.1*dws))*(1+0.5*IF(Talents!$O$18="Yes",1,0)))))))*(instactualhit+(1+((leth*0.06+2)-1)*(cfact-1))*instactualcrit)*fwfactor*AB95*instsec*(AF95/$AN$45))</f>
        <v>290.78918279358999</v>
      </c>
      <c r="AH95" s="25">
        <f t="shared" si="70"/>
        <v>0</v>
      </c>
      <c r="AI95" s="25">
        <f t="shared" si="71"/>
        <v>0</v>
      </c>
      <c r="AJ95" s="25">
        <f t="shared" si="72"/>
        <v>0</v>
      </c>
    </row>
    <row r="96" spans="1:36">
      <c r="A96">
        <f t="shared" si="53"/>
        <v>93</v>
      </c>
      <c r="B96">
        <f t="shared" si="61"/>
        <v>3</v>
      </c>
      <c r="C96">
        <f t="shared" si="39"/>
        <v>120</v>
      </c>
      <c r="D96">
        <f t="shared" si="54"/>
        <v>0</v>
      </c>
      <c r="E96">
        <f t="shared" si="73"/>
        <v>3</v>
      </c>
      <c r="F96">
        <f t="shared" si="40"/>
        <v>180</v>
      </c>
      <c r="G96">
        <f t="shared" si="55"/>
        <v>4</v>
      </c>
      <c r="H96">
        <f t="shared" si="62"/>
        <v>2</v>
      </c>
      <c r="I96">
        <f t="shared" si="41"/>
        <v>120</v>
      </c>
      <c r="J96">
        <f t="shared" si="56"/>
        <v>0</v>
      </c>
      <c r="K96">
        <f t="shared" si="63"/>
        <v>2</v>
      </c>
      <c r="L96">
        <f t="shared" si="42"/>
        <v>180</v>
      </c>
      <c r="M96">
        <f t="shared" si="57"/>
        <v>0</v>
      </c>
      <c r="N96">
        <f t="shared" si="64"/>
        <v>2</v>
      </c>
      <c r="O96">
        <f t="shared" si="43"/>
        <v>300</v>
      </c>
      <c r="P96">
        <f t="shared" si="65"/>
        <v>0</v>
      </c>
      <c r="Q96">
        <f t="shared" si="66"/>
        <v>2</v>
      </c>
      <c r="R96">
        <f t="shared" si="44"/>
        <v>300</v>
      </c>
      <c r="S96">
        <f t="shared" si="67"/>
        <v>0</v>
      </c>
      <c r="T96">
        <f t="shared" si="68"/>
        <v>-1</v>
      </c>
      <c r="U96">
        <f t="shared" si="58"/>
        <v>0</v>
      </c>
      <c r="V96">
        <f t="shared" si="59"/>
        <v>1</v>
      </c>
      <c r="W96">
        <f t="shared" si="45"/>
        <v>0</v>
      </c>
      <c r="X96">
        <f t="shared" si="69"/>
        <v>0</v>
      </c>
      <c r="Y96">
        <f t="shared" si="46"/>
        <v>0</v>
      </c>
      <c r="Z96">
        <f t="shared" si="47"/>
        <v>0</v>
      </c>
      <c r="AA96">
        <f t="shared" si="48"/>
        <v>0</v>
      </c>
      <c r="AB96" s="29">
        <f t="shared" si="49"/>
        <v>0.74178816089935007</v>
      </c>
      <c r="AC96" s="25">
        <f t="shared" si="50"/>
        <v>127.49804426656831</v>
      </c>
      <c r="AD96" s="29">
        <f t="shared" si="51"/>
        <v>1.0808524183153847</v>
      </c>
      <c r="AE96" s="25">
        <f t="shared" si="60"/>
        <v>13.243681724743192</v>
      </c>
      <c r="AF96" s="25">
        <f t="shared" si="52"/>
        <v>13.243681724743192</v>
      </c>
      <c r="AG96" s="25">
        <f>IF($A96&lt;0,0,IF(instatk="bs",(1.5+talSCallInstBon)*(MHavg+(ap+Z96-$Z$1)/APtoDPS*MHnorm+170)*(1+sa*0.1+0.04*opp+0.02*agg+Slayer4value-1),IF(instatk="hemo",Slayer4value*(MHavg+(ap+Z96-$Z$1)/APtoDPS*MHnorm)*(1.1+talSCallInstBon)+420*(1+raidcrit)*debuffon,IF(instatk="ss",(MHavg+(ap+Z96-$Z$1)/APtoDPS*MHnorm+98)*(1+sa*0.1+0.02*agg+Slayer4value-1),IF(instatk="v",(ohavg+(ap+Z96-$Z$1)/APtoDPS*OHnorm)*(1+sa*0.1)*(0.5+0.05*dws)+avipdam,Slayer4value*((1+0.04*opp)*(MHavg+101+(ap+Z96-$Z$1)/APtoDPS*MHnorm+(0.5+0.05*dws)*(ohavg+(ap+Z96-$Z$1)/APtoDPS*OHnorm)+101*(1+0.1*dws))*(1+0.5*IF(Talents!$O$18="Yes",1,0)))))))*(instactualhit+(1+((leth*0.06+2)-1)*(cfact-1))*instactualcrit)*fwfactor*AB96*instsec*(AF96/$AN$45))</f>
        <v>290.78918279358999</v>
      </c>
      <c r="AH96" s="25">
        <f t="shared" si="70"/>
        <v>0</v>
      </c>
      <c r="AI96" s="25">
        <f t="shared" si="71"/>
        <v>0</v>
      </c>
      <c r="AJ96" s="25">
        <f t="shared" si="72"/>
        <v>0</v>
      </c>
    </row>
    <row r="97" spans="1:36">
      <c r="A97">
        <f t="shared" si="53"/>
        <v>94</v>
      </c>
      <c r="B97">
        <f t="shared" si="61"/>
        <v>3</v>
      </c>
      <c r="C97">
        <f t="shared" si="39"/>
        <v>120</v>
      </c>
      <c r="D97">
        <f t="shared" si="54"/>
        <v>0</v>
      </c>
      <c r="E97">
        <f t="shared" si="73"/>
        <v>3</v>
      </c>
      <c r="F97">
        <f t="shared" si="40"/>
        <v>180</v>
      </c>
      <c r="G97">
        <f t="shared" si="55"/>
        <v>5</v>
      </c>
      <c r="H97">
        <f t="shared" si="62"/>
        <v>2</v>
      </c>
      <c r="I97">
        <f t="shared" si="41"/>
        <v>120</v>
      </c>
      <c r="J97">
        <f t="shared" si="56"/>
        <v>0</v>
      </c>
      <c r="K97">
        <f t="shared" si="63"/>
        <v>2</v>
      </c>
      <c r="L97">
        <f t="shared" si="42"/>
        <v>180</v>
      </c>
      <c r="M97">
        <f t="shared" si="57"/>
        <v>0</v>
      </c>
      <c r="N97">
        <f t="shared" si="64"/>
        <v>2</v>
      </c>
      <c r="O97">
        <f t="shared" si="43"/>
        <v>300</v>
      </c>
      <c r="P97">
        <f t="shared" si="65"/>
        <v>0</v>
      </c>
      <c r="Q97">
        <f t="shared" si="66"/>
        <v>2</v>
      </c>
      <c r="R97">
        <f t="shared" si="44"/>
        <v>300</v>
      </c>
      <c r="S97">
        <f t="shared" si="67"/>
        <v>0</v>
      </c>
      <c r="T97">
        <f t="shared" si="68"/>
        <v>-1</v>
      </c>
      <c r="U97">
        <f t="shared" si="58"/>
        <v>0</v>
      </c>
      <c r="V97">
        <f t="shared" si="59"/>
        <v>1</v>
      </c>
      <c r="W97">
        <f t="shared" si="45"/>
        <v>0</v>
      </c>
      <c r="X97">
        <f t="shared" si="69"/>
        <v>0</v>
      </c>
      <c r="Y97">
        <f t="shared" si="46"/>
        <v>0</v>
      </c>
      <c r="Z97">
        <f t="shared" si="47"/>
        <v>0</v>
      </c>
      <c r="AA97">
        <f t="shared" si="48"/>
        <v>0</v>
      </c>
      <c r="AB97" s="29">
        <f t="shared" si="49"/>
        <v>0.74178816089935007</v>
      </c>
      <c r="AC97" s="25">
        <f t="shared" si="50"/>
        <v>127.49804426656831</v>
      </c>
      <c r="AD97" s="29">
        <f t="shared" si="51"/>
        <v>1.0808524183153847</v>
      </c>
      <c r="AE97" s="25">
        <f t="shared" si="60"/>
        <v>13.243681724743192</v>
      </c>
      <c r="AF97" s="25">
        <f t="shared" si="52"/>
        <v>13.243681724743192</v>
      </c>
      <c r="AG97" s="25">
        <f>IF($A97&lt;0,0,IF(instatk="bs",(1.5+talSCallInstBon)*(MHavg+(ap+Z97-$Z$1)/APtoDPS*MHnorm+170)*(1+sa*0.1+0.04*opp+0.02*agg+Slayer4value-1),IF(instatk="hemo",Slayer4value*(MHavg+(ap+Z97-$Z$1)/APtoDPS*MHnorm)*(1.1+talSCallInstBon)+420*(1+raidcrit)*debuffon,IF(instatk="ss",(MHavg+(ap+Z97-$Z$1)/APtoDPS*MHnorm+98)*(1+sa*0.1+0.02*agg+Slayer4value-1),IF(instatk="v",(ohavg+(ap+Z97-$Z$1)/APtoDPS*OHnorm)*(1+sa*0.1)*(0.5+0.05*dws)+avipdam,Slayer4value*((1+0.04*opp)*(MHavg+101+(ap+Z97-$Z$1)/APtoDPS*MHnorm+(0.5+0.05*dws)*(ohavg+(ap+Z97-$Z$1)/APtoDPS*OHnorm)+101*(1+0.1*dws))*(1+0.5*IF(Talents!$O$18="Yes",1,0)))))))*(instactualhit+(1+((leth*0.06+2)-1)*(cfact-1))*instactualcrit)*fwfactor*AB97*instsec*(AF97/$AN$45))</f>
        <v>290.78918279358999</v>
      </c>
      <c r="AH97" s="25">
        <f t="shared" si="70"/>
        <v>0</v>
      </c>
      <c r="AI97" s="25">
        <f t="shared" si="71"/>
        <v>0</v>
      </c>
      <c r="AJ97" s="25">
        <f t="shared" si="72"/>
        <v>0</v>
      </c>
    </row>
    <row r="98" spans="1:36">
      <c r="A98">
        <f t="shared" si="53"/>
        <v>95</v>
      </c>
      <c r="B98">
        <f t="shared" si="61"/>
        <v>3</v>
      </c>
      <c r="C98">
        <f t="shared" si="39"/>
        <v>120</v>
      </c>
      <c r="D98">
        <f t="shared" si="54"/>
        <v>0</v>
      </c>
      <c r="E98">
        <f t="shared" si="73"/>
        <v>3</v>
      </c>
      <c r="F98">
        <f t="shared" si="40"/>
        <v>180</v>
      </c>
      <c r="G98">
        <f t="shared" si="55"/>
        <v>6</v>
      </c>
      <c r="H98">
        <f t="shared" si="62"/>
        <v>2</v>
      </c>
      <c r="I98">
        <f t="shared" si="41"/>
        <v>120</v>
      </c>
      <c r="J98">
        <f t="shared" si="56"/>
        <v>0</v>
      </c>
      <c r="K98">
        <f t="shared" si="63"/>
        <v>2</v>
      </c>
      <c r="L98">
        <f t="shared" si="42"/>
        <v>180</v>
      </c>
      <c r="M98">
        <f t="shared" si="57"/>
        <v>0</v>
      </c>
      <c r="N98">
        <f t="shared" si="64"/>
        <v>2</v>
      </c>
      <c r="O98">
        <f t="shared" si="43"/>
        <v>300</v>
      </c>
      <c r="P98">
        <f t="shared" si="65"/>
        <v>0</v>
      </c>
      <c r="Q98">
        <f t="shared" si="66"/>
        <v>2</v>
      </c>
      <c r="R98">
        <f t="shared" si="44"/>
        <v>300</v>
      </c>
      <c r="S98">
        <f t="shared" si="67"/>
        <v>0</v>
      </c>
      <c r="T98">
        <f t="shared" si="68"/>
        <v>-1</v>
      </c>
      <c r="U98">
        <f t="shared" si="58"/>
        <v>0</v>
      </c>
      <c r="V98">
        <f t="shared" si="59"/>
        <v>1</v>
      </c>
      <c r="W98">
        <f t="shared" si="45"/>
        <v>0</v>
      </c>
      <c r="X98">
        <f t="shared" si="69"/>
        <v>0</v>
      </c>
      <c r="Y98">
        <f t="shared" si="46"/>
        <v>0</v>
      </c>
      <c r="Z98">
        <f t="shared" si="47"/>
        <v>0</v>
      </c>
      <c r="AA98">
        <f t="shared" si="48"/>
        <v>0</v>
      </c>
      <c r="AB98" s="29">
        <f t="shared" si="49"/>
        <v>0.74178816089935007</v>
      </c>
      <c r="AC98" s="25">
        <f t="shared" si="50"/>
        <v>127.49804426656831</v>
      </c>
      <c r="AD98" s="29">
        <f t="shared" si="51"/>
        <v>1.0808524183153847</v>
      </c>
      <c r="AE98" s="25">
        <f t="shared" si="60"/>
        <v>13.243681724743192</v>
      </c>
      <c r="AF98" s="25">
        <f t="shared" si="52"/>
        <v>13.243681724743192</v>
      </c>
      <c r="AG98" s="25">
        <f>IF($A98&lt;0,0,IF(instatk="bs",(1.5+talSCallInstBon)*(MHavg+(ap+Z98-$Z$1)/APtoDPS*MHnorm+170)*(1+sa*0.1+0.04*opp+0.02*agg+Slayer4value-1),IF(instatk="hemo",Slayer4value*(MHavg+(ap+Z98-$Z$1)/APtoDPS*MHnorm)*(1.1+talSCallInstBon)+420*(1+raidcrit)*debuffon,IF(instatk="ss",(MHavg+(ap+Z98-$Z$1)/APtoDPS*MHnorm+98)*(1+sa*0.1+0.02*agg+Slayer4value-1),IF(instatk="v",(ohavg+(ap+Z98-$Z$1)/APtoDPS*OHnorm)*(1+sa*0.1)*(0.5+0.05*dws)+avipdam,Slayer4value*((1+0.04*opp)*(MHavg+101+(ap+Z98-$Z$1)/APtoDPS*MHnorm+(0.5+0.05*dws)*(ohavg+(ap+Z98-$Z$1)/APtoDPS*OHnorm)+101*(1+0.1*dws))*(1+0.5*IF(Talents!$O$18="Yes",1,0)))))))*(instactualhit+(1+((leth*0.06+2)-1)*(cfact-1))*instactualcrit)*fwfactor*AB98*instsec*(AF98/$AN$45))</f>
        <v>290.78918279358999</v>
      </c>
      <c r="AH98" s="25">
        <f t="shared" si="70"/>
        <v>0</v>
      </c>
      <c r="AI98" s="25">
        <f t="shared" si="71"/>
        <v>0</v>
      </c>
      <c r="AJ98" s="25">
        <f t="shared" si="72"/>
        <v>0</v>
      </c>
    </row>
    <row r="99" spans="1:36">
      <c r="A99">
        <f t="shared" si="53"/>
        <v>96</v>
      </c>
      <c r="B99">
        <f t="shared" si="61"/>
        <v>3</v>
      </c>
      <c r="C99">
        <f t="shared" si="39"/>
        <v>120</v>
      </c>
      <c r="D99">
        <f t="shared" si="54"/>
        <v>0</v>
      </c>
      <c r="E99">
        <f t="shared" si="73"/>
        <v>3</v>
      </c>
      <c r="F99">
        <f t="shared" si="40"/>
        <v>180</v>
      </c>
      <c r="G99">
        <f t="shared" si="55"/>
        <v>7</v>
      </c>
      <c r="H99">
        <f t="shared" si="62"/>
        <v>2</v>
      </c>
      <c r="I99">
        <f t="shared" si="41"/>
        <v>120</v>
      </c>
      <c r="J99">
        <f t="shared" si="56"/>
        <v>0</v>
      </c>
      <c r="K99">
        <f t="shared" si="63"/>
        <v>2</v>
      </c>
      <c r="L99">
        <f t="shared" si="42"/>
        <v>180</v>
      </c>
      <c r="M99">
        <f t="shared" si="57"/>
        <v>0</v>
      </c>
      <c r="N99">
        <f t="shared" si="64"/>
        <v>2</v>
      </c>
      <c r="O99">
        <f t="shared" si="43"/>
        <v>300</v>
      </c>
      <c r="P99">
        <f t="shared" si="65"/>
        <v>0</v>
      </c>
      <c r="Q99">
        <f t="shared" si="66"/>
        <v>2</v>
      </c>
      <c r="R99">
        <f t="shared" si="44"/>
        <v>300</v>
      </c>
      <c r="S99">
        <f t="shared" si="67"/>
        <v>0</v>
      </c>
      <c r="T99">
        <f t="shared" si="68"/>
        <v>-1</v>
      </c>
      <c r="U99">
        <f t="shared" si="58"/>
        <v>0</v>
      </c>
      <c r="V99">
        <f t="shared" si="59"/>
        <v>1</v>
      </c>
      <c r="W99">
        <f t="shared" si="45"/>
        <v>0</v>
      </c>
      <c r="X99">
        <f t="shared" si="69"/>
        <v>0</v>
      </c>
      <c r="Y99">
        <f t="shared" si="46"/>
        <v>0</v>
      </c>
      <c r="Z99">
        <f t="shared" si="47"/>
        <v>0</v>
      </c>
      <c r="AA99">
        <f t="shared" si="48"/>
        <v>0</v>
      </c>
      <c r="AB99" s="29">
        <f t="shared" si="49"/>
        <v>0.74178816089935007</v>
      </c>
      <c r="AC99" s="25">
        <f t="shared" si="50"/>
        <v>127.49804426656831</v>
      </c>
      <c r="AD99" s="29">
        <f t="shared" si="51"/>
        <v>1.0808524183153847</v>
      </c>
      <c r="AE99" s="25">
        <f t="shared" si="60"/>
        <v>13.243681724743192</v>
      </c>
      <c r="AF99" s="25">
        <f t="shared" si="52"/>
        <v>13.243681724743192</v>
      </c>
      <c r="AG99" s="25">
        <f>IF($A99&lt;0,0,IF(instatk="bs",(1.5+talSCallInstBon)*(MHavg+(ap+Z99-$Z$1)/APtoDPS*MHnorm+170)*(1+sa*0.1+0.04*opp+0.02*agg+Slayer4value-1),IF(instatk="hemo",Slayer4value*(MHavg+(ap+Z99-$Z$1)/APtoDPS*MHnorm)*(1.1+talSCallInstBon)+420*(1+raidcrit)*debuffon,IF(instatk="ss",(MHavg+(ap+Z99-$Z$1)/APtoDPS*MHnorm+98)*(1+sa*0.1+0.02*agg+Slayer4value-1),IF(instatk="v",(ohavg+(ap+Z99-$Z$1)/APtoDPS*OHnorm)*(1+sa*0.1)*(0.5+0.05*dws)+avipdam,Slayer4value*((1+0.04*opp)*(MHavg+101+(ap+Z99-$Z$1)/APtoDPS*MHnorm+(0.5+0.05*dws)*(ohavg+(ap+Z99-$Z$1)/APtoDPS*OHnorm)+101*(1+0.1*dws))*(1+0.5*IF(Talents!$O$18="Yes",1,0)))))))*(instactualhit+(1+((leth*0.06+2)-1)*(cfact-1))*instactualcrit)*fwfactor*AB99*instsec*(AF99/$AN$45))</f>
        <v>290.78918279358999</v>
      </c>
      <c r="AH99" s="25">
        <f t="shared" si="70"/>
        <v>0</v>
      </c>
      <c r="AI99" s="25">
        <f t="shared" si="71"/>
        <v>0</v>
      </c>
      <c r="AJ99" s="25">
        <f t="shared" si="72"/>
        <v>0</v>
      </c>
    </row>
    <row r="100" spans="1:36">
      <c r="A100">
        <f t="shared" si="53"/>
        <v>97</v>
      </c>
      <c r="B100">
        <f t="shared" si="61"/>
        <v>3</v>
      </c>
      <c r="C100">
        <f t="shared" si="39"/>
        <v>120</v>
      </c>
      <c r="D100">
        <f t="shared" si="54"/>
        <v>0</v>
      </c>
      <c r="E100">
        <f t="shared" si="73"/>
        <v>3</v>
      </c>
      <c r="F100">
        <f t="shared" si="40"/>
        <v>180</v>
      </c>
      <c r="G100">
        <f t="shared" si="55"/>
        <v>8</v>
      </c>
      <c r="H100">
        <f t="shared" si="62"/>
        <v>2</v>
      </c>
      <c r="I100">
        <f t="shared" si="41"/>
        <v>120</v>
      </c>
      <c r="J100">
        <f t="shared" si="56"/>
        <v>0</v>
      </c>
      <c r="K100">
        <f t="shared" si="63"/>
        <v>2</v>
      </c>
      <c r="L100">
        <f t="shared" si="42"/>
        <v>180</v>
      </c>
      <c r="M100">
        <f t="shared" si="57"/>
        <v>0</v>
      </c>
      <c r="N100">
        <f t="shared" si="64"/>
        <v>2</v>
      </c>
      <c r="O100">
        <f t="shared" si="43"/>
        <v>300</v>
      </c>
      <c r="P100">
        <f t="shared" si="65"/>
        <v>0</v>
      </c>
      <c r="Q100">
        <f t="shared" si="66"/>
        <v>2</v>
      </c>
      <c r="R100">
        <f t="shared" si="44"/>
        <v>300</v>
      </c>
      <c r="S100">
        <f t="shared" si="67"/>
        <v>0</v>
      </c>
      <c r="T100">
        <f t="shared" si="68"/>
        <v>-1</v>
      </c>
      <c r="U100">
        <f t="shared" si="58"/>
        <v>0</v>
      </c>
      <c r="V100">
        <f t="shared" si="59"/>
        <v>1</v>
      </c>
      <c r="W100">
        <f t="shared" si="45"/>
        <v>0</v>
      </c>
      <c r="X100">
        <f t="shared" si="69"/>
        <v>0</v>
      </c>
      <c r="Y100">
        <f t="shared" si="46"/>
        <v>0</v>
      </c>
      <c r="Z100">
        <f t="shared" si="47"/>
        <v>0</v>
      </c>
      <c r="AA100">
        <f t="shared" si="48"/>
        <v>0</v>
      </c>
      <c r="AB100" s="29">
        <f t="shared" si="49"/>
        <v>0.74178816089935007</v>
      </c>
      <c r="AC100" s="25">
        <f t="shared" si="50"/>
        <v>127.49804426656831</v>
      </c>
      <c r="AD100" s="29">
        <f t="shared" si="51"/>
        <v>1.0808524183153847</v>
      </c>
      <c r="AE100" s="25">
        <f t="shared" si="60"/>
        <v>13.243681724743192</v>
      </c>
      <c r="AF100" s="25">
        <f t="shared" si="52"/>
        <v>13.243681724743192</v>
      </c>
      <c r="AG100" s="25">
        <f>IF($A100&lt;0,0,IF(instatk="bs",(1.5+talSCallInstBon)*(MHavg+(ap+Z100-$Z$1)/APtoDPS*MHnorm+170)*(1+sa*0.1+0.04*opp+0.02*agg+Slayer4value-1),IF(instatk="hemo",Slayer4value*(MHavg+(ap+Z100-$Z$1)/APtoDPS*MHnorm)*(1.1+talSCallInstBon)+420*(1+raidcrit)*debuffon,IF(instatk="ss",(MHavg+(ap+Z100-$Z$1)/APtoDPS*MHnorm+98)*(1+sa*0.1+0.02*agg+Slayer4value-1),IF(instatk="v",(ohavg+(ap+Z100-$Z$1)/APtoDPS*OHnorm)*(1+sa*0.1)*(0.5+0.05*dws)+avipdam,Slayer4value*((1+0.04*opp)*(MHavg+101+(ap+Z100-$Z$1)/APtoDPS*MHnorm+(0.5+0.05*dws)*(ohavg+(ap+Z100-$Z$1)/APtoDPS*OHnorm)+101*(1+0.1*dws))*(1+0.5*IF(Talents!$O$18="Yes",1,0)))))))*(instactualhit+(1+((leth*0.06+2)-1)*(cfact-1))*instactualcrit)*fwfactor*AB100*instsec*(AF100/$AN$45))</f>
        <v>290.78918279358999</v>
      </c>
      <c r="AH100" s="25">
        <f t="shared" si="70"/>
        <v>0</v>
      </c>
      <c r="AI100" s="25">
        <f t="shared" si="71"/>
        <v>0</v>
      </c>
      <c r="AJ100" s="25">
        <f t="shared" si="72"/>
        <v>0</v>
      </c>
    </row>
    <row r="101" spans="1:36">
      <c r="A101">
        <f t="shared" si="53"/>
        <v>98</v>
      </c>
      <c r="B101">
        <f t="shared" si="61"/>
        <v>3</v>
      </c>
      <c r="C101">
        <f t="shared" si="39"/>
        <v>120</v>
      </c>
      <c r="D101">
        <f t="shared" si="54"/>
        <v>0</v>
      </c>
      <c r="E101">
        <f t="shared" si="73"/>
        <v>3</v>
      </c>
      <c r="F101">
        <f t="shared" si="40"/>
        <v>180</v>
      </c>
      <c r="G101">
        <f t="shared" si="55"/>
        <v>9</v>
      </c>
      <c r="H101">
        <f t="shared" si="62"/>
        <v>2</v>
      </c>
      <c r="I101">
        <f t="shared" si="41"/>
        <v>120</v>
      </c>
      <c r="J101">
        <f t="shared" si="56"/>
        <v>0</v>
      </c>
      <c r="K101">
        <f t="shared" si="63"/>
        <v>2</v>
      </c>
      <c r="L101">
        <f t="shared" si="42"/>
        <v>180</v>
      </c>
      <c r="M101">
        <f t="shared" si="57"/>
        <v>0</v>
      </c>
      <c r="N101">
        <f t="shared" si="64"/>
        <v>2</v>
      </c>
      <c r="O101">
        <f t="shared" si="43"/>
        <v>300</v>
      </c>
      <c r="P101">
        <f t="shared" si="65"/>
        <v>0</v>
      </c>
      <c r="Q101">
        <f t="shared" si="66"/>
        <v>2</v>
      </c>
      <c r="R101">
        <f t="shared" si="44"/>
        <v>300</v>
      </c>
      <c r="S101">
        <f t="shared" si="67"/>
        <v>0</v>
      </c>
      <c r="T101">
        <f t="shared" si="68"/>
        <v>-1</v>
      </c>
      <c r="U101">
        <f t="shared" si="58"/>
        <v>0</v>
      </c>
      <c r="V101">
        <f t="shared" si="59"/>
        <v>1</v>
      </c>
      <c r="W101">
        <f t="shared" si="45"/>
        <v>0</v>
      </c>
      <c r="X101">
        <f t="shared" si="69"/>
        <v>0</v>
      </c>
      <c r="Y101">
        <f t="shared" si="46"/>
        <v>0</v>
      </c>
      <c r="Z101">
        <f t="shared" si="47"/>
        <v>0</v>
      </c>
      <c r="AA101">
        <f t="shared" si="48"/>
        <v>0</v>
      </c>
      <c r="AB101" s="29">
        <f t="shared" si="49"/>
        <v>0.74178816089935007</v>
      </c>
      <c r="AC101" s="25">
        <f t="shared" si="50"/>
        <v>127.49804426656831</v>
      </c>
      <c r="AD101" s="29">
        <f t="shared" si="51"/>
        <v>1.0808524183153847</v>
      </c>
      <c r="AE101" s="25">
        <f t="shared" si="60"/>
        <v>13.243681724743192</v>
      </c>
      <c r="AF101" s="25">
        <f t="shared" si="52"/>
        <v>13.243681724743192</v>
      </c>
      <c r="AG101" s="25">
        <f>IF($A101&lt;0,0,IF(instatk="bs",(1.5+talSCallInstBon)*(MHavg+(ap+Z101-$Z$1)/APtoDPS*MHnorm+170)*(1+sa*0.1+0.04*opp+0.02*agg+Slayer4value-1),IF(instatk="hemo",Slayer4value*(MHavg+(ap+Z101-$Z$1)/APtoDPS*MHnorm)*(1.1+talSCallInstBon)+420*(1+raidcrit)*debuffon,IF(instatk="ss",(MHavg+(ap+Z101-$Z$1)/APtoDPS*MHnorm+98)*(1+sa*0.1+0.02*agg+Slayer4value-1),IF(instatk="v",(ohavg+(ap+Z101-$Z$1)/APtoDPS*OHnorm)*(1+sa*0.1)*(0.5+0.05*dws)+avipdam,Slayer4value*((1+0.04*opp)*(MHavg+101+(ap+Z101-$Z$1)/APtoDPS*MHnorm+(0.5+0.05*dws)*(ohavg+(ap+Z101-$Z$1)/APtoDPS*OHnorm)+101*(1+0.1*dws))*(1+0.5*IF(Talents!$O$18="Yes",1,0)))))))*(instactualhit+(1+((leth*0.06+2)-1)*(cfact-1))*instactualcrit)*fwfactor*AB101*instsec*(AF101/$AN$45))</f>
        <v>290.78918279358999</v>
      </c>
      <c r="AH101" s="25">
        <f t="shared" si="70"/>
        <v>0</v>
      </c>
      <c r="AI101" s="25">
        <f t="shared" si="71"/>
        <v>0</v>
      </c>
      <c r="AJ101" s="25">
        <f t="shared" si="72"/>
        <v>0</v>
      </c>
    </row>
    <row r="102" spans="1:36">
      <c r="A102">
        <f t="shared" si="53"/>
        <v>99</v>
      </c>
      <c r="B102">
        <f t="shared" si="61"/>
        <v>3</v>
      </c>
      <c r="C102">
        <f t="shared" si="39"/>
        <v>120</v>
      </c>
      <c r="D102">
        <f t="shared" si="54"/>
        <v>0</v>
      </c>
      <c r="E102">
        <f t="shared" si="73"/>
        <v>3</v>
      </c>
      <c r="F102">
        <f t="shared" si="40"/>
        <v>180</v>
      </c>
      <c r="G102">
        <f t="shared" si="55"/>
        <v>10</v>
      </c>
      <c r="H102">
        <f t="shared" si="62"/>
        <v>2</v>
      </c>
      <c r="I102">
        <f t="shared" si="41"/>
        <v>120</v>
      </c>
      <c r="J102">
        <f t="shared" si="56"/>
        <v>0</v>
      </c>
      <c r="K102">
        <f t="shared" si="63"/>
        <v>2</v>
      </c>
      <c r="L102">
        <f t="shared" si="42"/>
        <v>180</v>
      </c>
      <c r="M102">
        <f t="shared" si="57"/>
        <v>0</v>
      </c>
      <c r="N102">
        <f t="shared" si="64"/>
        <v>2</v>
      </c>
      <c r="O102">
        <f t="shared" si="43"/>
        <v>300</v>
      </c>
      <c r="P102">
        <f t="shared" si="65"/>
        <v>0</v>
      </c>
      <c r="Q102">
        <f t="shared" si="66"/>
        <v>2</v>
      </c>
      <c r="R102">
        <f t="shared" si="44"/>
        <v>300</v>
      </c>
      <c r="S102">
        <f t="shared" si="67"/>
        <v>0</v>
      </c>
      <c r="T102">
        <f t="shared" si="68"/>
        <v>-1</v>
      </c>
      <c r="U102">
        <f t="shared" si="58"/>
        <v>0</v>
      </c>
      <c r="V102">
        <f t="shared" si="59"/>
        <v>1</v>
      </c>
      <c r="W102">
        <f t="shared" si="45"/>
        <v>0</v>
      </c>
      <c r="X102">
        <f t="shared" si="69"/>
        <v>0</v>
      </c>
      <c r="Y102">
        <f t="shared" si="46"/>
        <v>0</v>
      </c>
      <c r="Z102">
        <f t="shared" si="47"/>
        <v>0</v>
      </c>
      <c r="AA102">
        <f t="shared" si="48"/>
        <v>0</v>
      </c>
      <c r="AB102" s="29">
        <f t="shared" si="49"/>
        <v>0.74178816089935007</v>
      </c>
      <c r="AC102" s="25">
        <f t="shared" si="50"/>
        <v>127.49804426656831</v>
      </c>
      <c r="AD102" s="29">
        <f t="shared" si="51"/>
        <v>1.0808524183153847</v>
      </c>
      <c r="AE102" s="25">
        <f t="shared" si="60"/>
        <v>13.243681724743192</v>
      </c>
      <c r="AF102" s="25">
        <f t="shared" si="52"/>
        <v>13.243681724743192</v>
      </c>
      <c r="AG102" s="25">
        <f>IF($A102&lt;0,0,IF(instatk="bs",(1.5+talSCallInstBon)*(MHavg+(ap+Z102-$Z$1)/APtoDPS*MHnorm+170)*(1+sa*0.1+0.04*opp+0.02*agg+Slayer4value-1),IF(instatk="hemo",Slayer4value*(MHavg+(ap+Z102-$Z$1)/APtoDPS*MHnorm)*(1.1+talSCallInstBon)+420*(1+raidcrit)*debuffon,IF(instatk="ss",(MHavg+(ap+Z102-$Z$1)/APtoDPS*MHnorm+98)*(1+sa*0.1+0.02*agg+Slayer4value-1),IF(instatk="v",(ohavg+(ap+Z102-$Z$1)/APtoDPS*OHnorm)*(1+sa*0.1)*(0.5+0.05*dws)+avipdam,Slayer4value*((1+0.04*opp)*(MHavg+101+(ap+Z102-$Z$1)/APtoDPS*MHnorm+(0.5+0.05*dws)*(ohavg+(ap+Z102-$Z$1)/APtoDPS*OHnorm)+101*(1+0.1*dws))*(1+0.5*IF(Talents!$O$18="Yes",1,0)))))))*(instactualhit+(1+((leth*0.06+2)-1)*(cfact-1))*instactualcrit)*fwfactor*AB102*instsec*(AF102/$AN$45))</f>
        <v>290.78918279358999</v>
      </c>
      <c r="AH102" s="25">
        <f t="shared" si="70"/>
        <v>0</v>
      </c>
      <c r="AI102" s="25">
        <f t="shared" si="71"/>
        <v>0</v>
      </c>
      <c r="AJ102" s="25">
        <f t="shared" si="72"/>
        <v>0</v>
      </c>
    </row>
    <row r="103" spans="1:36">
      <c r="A103">
        <f t="shared" si="53"/>
        <v>100</v>
      </c>
      <c r="B103">
        <f t="shared" si="61"/>
        <v>3</v>
      </c>
      <c r="C103">
        <f t="shared" si="39"/>
        <v>120</v>
      </c>
      <c r="D103">
        <f t="shared" si="54"/>
        <v>0</v>
      </c>
      <c r="E103">
        <f t="shared" si="73"/>
        <v>3</v>
      </c>
      <c r="F103">
        <f t="shared" si="40"/>
        <v>180</v>
      </c>
      <c r="G103">
        <f t="shared" si="55"/>
        <v>11</v>
      </c>
      <c r="H103">
        <f t="shared" si="62"/>
        <v>2</v>
      </c>
      <c r="I103">
        <f t="shared" si="41"/>
        <v>120</v>
      </c>
      <c r="J103">
        <f t="shared" si="56"/>
        <v>0</v>
      </c>
      <c r="K103">
        <f t="shared" si="63"/>
        <v>2</v>
      </c>
      <c r="L103">
        <f t="shared" si="42"/>
        <v>180</v>
      </c>
      <c r="M103">
        <f t="shared" si="57"/>
        <v>0</v>
      </c>
      <c r="N103">
        <f t="shared" si="64"/>
        <v>2</v>
      </c>
      <c r="O103">
        <f t="shared" si="43"/>
        <v>300</v>
      </c>
      <c r="P103">
        <f t="shared" si="65"/>
        <v>0</v>
      </c>
      <c r="Q103">
        <f t="shared" si="66"/>
        <v>2</v>
      </c>
      <c r="R103">
        <f t="shared" si="44"/>
        <v>300</v>
      </c>
      <c r="S103">
        <f t="shared" si="67"/>
        <v>0</v>
      </c>
      <c r="T103">
        <f t="shared" si="68"/>
        <v>-1</v>
      </c>
      <c r="U103">
        <f t="shared" si="58"/>
        <v>0</v>
      </c>
      <c r="V103">
        <f t="shared" si="59"/>
        <v>1</v>
      </c>
      <c r="W103">
        <f t="shared" si="45"/>
        <v>0</v>
      </c>
      <c r="X103">
        <f t="shared" si="69"/>
        <v>0</v>
      </c>
      <c r="Y103">
        <f t="shared" si="46"/>
        <v>0</v>
      </c>
      <c r="Z103">
        <f t="shared" si="47"/>
        <v>0</v>
      </c>
      <c r="AA103">
        <f t="shared" si="48"/>
        <v>0</v>
      </c>
      <c r="AB103" s="29">
        <f t="shared" si="49"/>
        <v>0.74178816089935007</v>
      </c>
      <c r="AC103" s="25">
        <f t="shared" si="50"/>
        <v>127.49804426656831</v>
      </c>
      <c r="AD103" s="29">
        <f t="shared" si="51"/>
        <v>1.0808524183153847</v>
      </c>
      <c r="AE103" s="25">
        <f t="shared" si="60"/>
        <v>13.243681724743192</v>
      </c>
      <c r="AF103" s="25">
        <f t="shared" si="52"/>
        <v>13.243681724743192</v>
      </c>
      <c r="AG103" s="25">
        <f>IF($A103&lt;0,0,IF(instatk="bs",(1.5+talSCallInstBon)*(MHavg+(ap+Z103-$Z$1)/APtoDPS*MHnorm+170)*(1+sa*0.1+0.04*opp+0.02*agg+Slayer4value-1),IF(instatk="hemo",Slayer4value*(MHavg+(ap+Z103-$Z$1)/APtoDPS*MHnorm)*(1.1+talSCallInstBon)+420*(1+raidcrit)*debuffon,IF(instatk="ss",(MHavg+(ap+Z103-$Z$1)/APtoDPS*MHnorm+98)*(1+sa*0.1+0.02*agg+Slayer4value-1),IF(instatk="v",(ohavg+(ap+Z103-$Z$1)/APtoDPS*OHnorm)*(1+sa*0.1)*(0.5+0.05*dws)+avipdam,Slayer4value*((1+0.04*opp)*(MHavg+101+(ap+Z103-$Z$1)/APtoDPS*MHnorm+(0.5+0.05*dws)*(ohavg+(ap+Z103-$Z$1)/APtoDPS*OHnorm)+101*(1+0.1*dws))*(1+0.5*IF(Talents!$O$18="Yes",1,0)))))))*(instactualhit+(1+((leth*0.06+2)-1)*(cfact-1))*instactualcrit)*fwfactor*AB103*instsec*(AF103/$AN$45))</f>
        <v>290.78918279358999</v>
      </c>
      <c r="AH103" s="25">
        <f t="shared" si="70"/>
        <v>0</v>
      </c>
      <c r="AI103" s="25">
        <f t="shared" si="71"/>
        <v>0</v>
      </c>
      <c r="AJ103" s="25">
        <f t="shared" si="72"/>
        <v>0</v>
      </c>
    </row>
    <row r="104" spans="1:36">
      <c r="A104">
        <f t="shared" si="53"/>
        <v>101</v>
      </c>
      <c r="B104">
        <f t="shared" si="61"/>
        <v>3</v>
      </c>
      <c r="C104">
        <f t="shared" si="39"/>
        <v>120</v>
      </c>
      <c r="D104">
        <f t="shared" si="54"/>
        <v>0</v>
      </c>
      <c r="E104">
        <f t="shared" si="73"/>
        <v>3</v>
      </c>
      <c r="F104">
        <f t="shared" si="40"/>
        <v>180</v>
      </c>
      <c r="G104">
        <f t="shared" si="55"/>
        <v>12</v>
      </c>
      <c r="H104">
        <f t="shared" si="62"/>
        <v>2</v>
      </c>
      <c r="I104">
        <f t="shared" si="41"/>
        <v>120</v>
      </c>
      <c r="J104">
        <f t="shared" si="56"/>
        <v>0</v>
      </c>
      <c r="K104">
        <f t="shared" si="63"/>
        <v>2</v>
      </c>
      <c r="L104">
        <f t="shared" si="42"/>
        <v>180</v>
      </c>
      <c r="M104">
        <f t="shared" si="57"/>
        <v>0</v>
      </c>
      <c r="N104">
        <f t="shared" si="64"/>
        <v>2</v>
      </c>
      <c r="O104">
        <f t="shared" si="43"/>
        <v>300</v>
      </c>
      <c r="P104">
        <f t="shared" si="65"/>
        <v>0</v>
      </c>
      <c r="Q104">
        <f t="shared" si="66"/>
        <v>2</v>
      </c>
      <c r="R104">
        <f t="shared" si="44"/>
        <v>300</v>
      </c>
      <c r="S104">
        <f t="shared" si="67"/>
        <v>0</v>
      </c>
      <c r="T104">
        <f t="shared" si="68"/>
        <v>-1</v>
      </c>
      <c r="U104">
        <f t="shared" si="58"/>
        <v>0</v>
      </c>
      <c r="V104">
        <f t="shared" si="59"/>
        <v>1</v>
      </c>
      <c r="W104">
        <f t="shared" si="45"/>
        <v>0</v>
      </c>
      <c r="X104">
        <f t="shared" si="69"/>
        <v>0</v>
      </c>
      <c r="Y104">
        <f t="shared" si="46"/>
        <v>0</v>
      </c>
      <c r="Z104">
        <f t="shared" si="47"/>
        <v>0</v>
      </c>
      <c r="AA104">
        <f t="shared" si="48"/>
        <v>0</v>
      </c>
      <c r="AB104" s="29">
        <f t="shared" si="49"/>
        <v>0.74178816089935007</v>
      </c>
      <c r="AC104" s="25">
        <f t="shared" si="50"/>
        <v>127.49804426656831</v>
      </c>
      <c r="AD104" s="29">
        <f t="shared" si="51"/>
        <v>1.0808524183153847</v>
      </c>
      <c r="AE104" s="25">
        <f t="shared" si="60"/>
        <v>13.243681724743192</v>
      </c>
      <c r="AF104" s="25">
        <f t="shared" si="52"/>
        <v>13.243681724743192</v>
      </c>
      <c r="AG104" s="25">
        <f>IF($A104&lt;0,0,IF(instatk="bs",(1.5+talSCallInstBon)*(MHavg+(ap+Z104-$Z$1)/APtoDPS*MHnorm+170)*(1+sa*0.1+0.04*opp+0.02*agg+Slayer4value-1),IF(instatk="hemo",Slayer4value*(MHavg+(ap+Z104-$Z$1)/APtoDPS*MHnorm)*(1.1+talSCallInstBon)+420*(1+raidcrit)*debuffon,IF(instatk="ss",(MHavg+(ap+Z104-$Z$1)/APtoDPS*MHnorm+98)*(1+sa*0.1+0.02*agg+Slayer4value-1),IF(instatk="v",(ohavg+(ap+Z104-$Z$1)/APtoDPS*OHnorm)*(1+sa*0.1)*(0.5+0.05*dws)+avipdam,Slayer4value*((1+0.04*opp)*(MHavg+101+(ap+Z104-$Z$1)/APtoDPS*MHnorm+(0.5+0.05*dws)*(ohavg+(ap+Z104-$Z$1)/APtoDPS*OHnorm)+101*(1+0.1*dws))*(1+0.5*IF(Talents!$O$18="Yes",1,0)))))))*(instactualhit+(1+((leth*0.06+2)-1)*(cfact-1))*instactualcrit)*fwfactor*AB104*instsec*(AF104/$AN$45))</f>
        <v>290.78918279358999</v>
      </c>
      <c r="AH104" s="25">
        <f t="shared" si="70"/>
        <v>0</v>
      </c>
      <c r="AI104" s="25">
        <f t="shared" si="71"/>
        <v>0</v>
      </c>
      <c r="AJ104" s="25">
        <f t="shared" si="72"/>
        <v>0</v>
      </c>
    </row>
    <row r="105" spans="1:36">
      <c r="A105">
        <f t="shared" si="53"/>
        <v>102</v>
      </c>
      <c r="B105">
        <f t="shared" si="61"/>
        <v>3</v>
      </c>
      <c r="C105">
        <f t="shared" si="39"/>
        <v>120</v>
      </c>
      <c r="D105">
        <f t="shared" si="54"/>
        <v>0</v>
      </c>
      <c r="E105">
        <f t="shared" si="73"/>
        <v>3</v>
      </c>
      <c r="F105">
        <f t="shared" si="40"/>
        <v>180</v>
      </c>
      <c r="G105">
        <f t="shared" si="55"/>
        <v>13</v>
      </c>
      <c r="H105">
        <f t="shared" si="62"/>
        <v>2</v>
      </c>
      <c r="I105">
        <f t="shared" si="41"/>
        <v>120</v>
      </c>
      <c r="J105">
        <f t="shared" si="56"/>
        <v>0</v>
      </c>
      <c r="K105">
        <f t="shared" si="63"/>
        <v>2</v>
      </c>
      <c r="L105">
        <f t="shared" si="42"/>
        <v>180</v>
      </c>
      <c r="M105">
        <f t="shared" si="57"/>
        <v>0</v>
      </c>
      <c r="N105">
        <f t="shared" si="64"/>
        <v>2</v>
      </c>
      <c r="O105">
        <f t="shared" si="43"/>
        <v>300</v>
      </c>
      <c r="P105">
        <f t="shared" si="65"/>
        <v>0</v>
      </c>
      <c r="Q105">
        <f t="shared" si="66"/>
        <v>2</v>
      </c>
      <c r="R105">
        <f t="shared" si="44"/>
        <v>300</v>
      </c>
      <c r="S105">
        <f t="shared" si="67"/>
        <v>0</v>
      </c>
      <c r="T105">
        <f t="shared" si="68"/>
        <v>-1</v>
      </c>
      <c r="U105">
        <f t="shared" si="58"/>
        <v>0</v>
      </c>
      <c r="V105">
        <f t="shared" si="59"/>
        <v>1</v>
      </c>
      <c r="W105">
        <f t="shared" si="45"/>
        <v>0</v>
      </c>
      <c r="X105">
        <f t="shared" si="69"/>
        <v>0</v>
      </c>
      <c r="Y105">
        <f t="shared" si="46"/>
        <v>0</v>
      </c>
      <c r="Z105">
        <f t="shared" si="47"/>
        <v>0</v>
      </c>
      <c r="AA105">
        <f t="shared" si="48"/>
        <v>0</v>
      </c>
      <c r="AB105" s="29">
        <f t="shared" si="49"/>
        <v>0.74178816089935007</v>
      </c>
      <c r="AC105" s="25">
        <f t="shared" si="50"/>
        <v>127.49804426656831</v>
      </c>
      <c r="AD105" s="29">
        <f t="shared" si="51"/>
        <v>1.0808524183153847</v>
      </c>
      <c r="AE105" s="25">
        <f t="shared" si="60"/>
        <v>13.243681724743192</v>
      </c>
      <c r="AF105" s="25">
        <f t="shared" si="52"/>
        <v>13.243681724743192</v>
      </c>
      <c r="AG105" s="25">
        <f>IF($A105&lt;0,0,IF(instatk="bs",(1.5+talSCallInstBon)*(MHavg+(ap+Z105-$Z$1)/APtoDPS*MHnorm+170)*(1+sa*0.1+0.04*opp+0.02*agg+Slayer4value-1),IF(instatk="hemo",Slayer4value*(MHavg+(ap+Z105-$Z$1)/APtoDPS*MHnorm)*(1.1+talSCallInstBon)+420*(1+raidcrit)*debuffon,IF(instatk="ss",(MHavg+(ap+Z105-$Z$1)/APtoDPS*MHnorm+98)*(1+sa*0.1+0.02*agg+Slayer4value-1),IF(instatk="v",(ohavg+(ap+Z105-$Z$1)/APtoDPS*OHnorm)*(1+sa*0.1)*(0.5+0.05*dws)+avipdam,Slayer4value*((1+0.04*opp)*(MHavg+101+(ap+Z105-$Z$1)/APtoDPS*MHnorm+(0.5+0.05*dws)*(ohavg+(ap+Z105-$Z$1)/APtoDPS*OHnorm)+101*(1+0.1*dws))*(1+0.5*IF(Talents!$O$18="Yes",1,0)))))))*(instactualhit+(1+((leth*0.06+2)-1)*(cfact-1))*instactualcrit)*fwfactor*AB105*instsec*(AF105/$AN$45))</f>
        <v>290.78918279358999</v>
      </c>
      <c r="AH105" s="25">
        <f t="shared" si="70"/>
        <v>0</v>
      </c>
      <c r="AI105" s="25">
        <f t="shared" si="71"/>
        <v>0</v>
      </c>
      <c r="AJ105" s="25">
        <f t="shared" si="72"/>
        <v>0</v>
      </c>
    </row>
    <row r="106" spans="1:36">
      <c r="A106">
        <f t="shared" si="53"/>
        <v>103</v>
      </c>
      <c r="B106">
        <f t="shared" si="61"/>
        <v>3</v>
      </c>
      <c r="C106">
        <f t="shared" si="39"/>
        <v>120</v>
      </c>
      <c r="D106">
        <f t="shared" si="54"/>
        <v>0</v>
      </c>
      <c r="E106">
        <f t="shared" si="73"/>
        <v>3</v>
      </c>
      <c r="F106">
        <f t="shared" si="40"/>
        <v>180</v>
      </c>
      <c r="G106">
        <f t="shared" si="55"/>
        <v>14</v>
      </c>
      <c r="H106">
        <f t="shared" si="62"/>
        <v>2</v>
      </c>
      <c r="I106">
        <f t="shared" si="41"/>
        <v>120</v>
      </c>
      <c r="J106">
        <f t="shared" si="56"/>
        <v>0</v>
      </c>
      <c r="K106">
        <f t="shared" si="63"/>
        <v>2</v>
      </c>
      <c r="L106">
        <f t="shared" si="42"/>
        <v>180</v>
      </c>
      <c r="M106">
        <f t="shared" si="57"/>
        <v>0</v>
      </c>
      <c r="N106">
        <f t="shared" si="64"/>
        <v>2</v>
      </c>
      <c r="O106">
        <f t="shared" si="43"/>
        <v>300</v>
      </c>
      <c r="P106">
        <f t="shared" si="65"/>
        <v>0</v>
      </c>
      <c r="Q106">
        <f t="shared" si="66"/>
        <v>2</v>
      </c>
      <c r="R106">
        <f t="shared" si="44"/>
        <v>300</v>
      </c>
      <c r="S106">
        <f t="shared" si="67"/>
        <v>0</v>
      </c>
      <c r="T106">
        <f t="shared" si="68"/>
        <v>-1</v>
      </c>
      <c r="U106">
        <f t="shared" si="58"/>
        <v>0</v>
      </c>
      <c r="V106">
        <f t="shared" si="59"/>
        <v>1</v>
      </c>
      <c r="W106">
        <f t="shared" si="45"/>
        <v>0</v>
      </c>
      <c r="X106">
        <f t="shared" si="69"/>
        <v>0</v>
      </c>
      <c r="Y106">
        <f t="shared" si="46"/>
        <v>0</v>
      </c>
      <c r="Z106">
        <f t="shared" si="47"/>
        <v>0</v>
      </c>
      <c r="AA106">
        <f t="shared" si="48"/>
        <v>0</v>
      </c>
      <c r="AB106" s="29">
        <f t="shared" si="49"/>
        <v>0.74178816089935007</v>
      </c>
      <c r="AC106" s="25">
        <f t="shared" si="50"/>
        <v>127.49804426656831</v>
      </c>
      <c r="AD106" s="29">
        <f t="shared" si="51"/>
        <v>1.0808524183153847</v>
      </c>
      <c r="AE106" s="25">
        <f t="shared" si="60"/>
        <v>13.243681724743192</v>
      </c>
      <c r="AF106" s="25">
        <f t="shared" si="52"/>
        <v>13.243681724743192</v>
      </c>
      <c r="AG106" s="25">
        <f>IF($A106&lt;0,0,IF(instatk="bs",(1.5+talSCallInstBon)*(MHavg+(ap+Z106-$Z$1)/APtoDPS*MHnorm+170)*(1+sa*0.1+0.04*opp+0.02*agg+Slayer4value-1),IF(instatk="hemo",Slayer4value*(MHavg+(ap+Z106-$Z$1)/APtoDPS*MHnorm)*(1.1+talSCallInstBon)+420*(1+raidcrit)*debuffon,IF(instatk="ss",(MHavg+(ap+Z106-$Z$1)/APtoDPS*MHnorm+98)*(1+sa*0.1+0.02*agg+Slayer4value-1),IF(instatk="v",(ohavg+(ap+Z106-$Z$1)/APtoDPS*OHnorm)*(1+sa*0.1)*(0.5+0.05*dws)+avipdam,Slayer4value*((1+0.04*opp)*(MHavg+101+(ap+Z106-$Z$1)/APtoDPS*MHnorm+(0.5+0.05*dws)*(ohavg+(ap+Z106-$Z$1)/APtoDPS*OHnorm)+101*(1+0.1*dws))*(1+0.5*IF(Talents!$O$18="Yes",1,0)))))))*(instactualhit+(1+((leth*0.06+2)-1)*(cfact-1))*instactualcrit)*fwfactor*AB106*instsec*(AF106/$AN$45))</f>
        <v>290.78918279358999</v>
      </c>
      <c r="AH106" s="25">
        <f t="shared" si="70"/>
        <v>0</v>
      </c>
      <c r="AI106" s="25">
        <f t="shared" si="71"/>
        <v>0</v>
      </c>
      <c r="AJ106" s="25">
        <f t="shared" si="72"/>
        <v>0</v>
      </c>
    </row>
    <row r="107" spans="1:36">
      <c r="A107">
        <f t="shared" si="53"/>
        <v>104</v>
      </c>
      <c r="B107">
        <f t="shared" si="61"/>
        <v>3</v>
      </c>
      <c r="C107">
        <f t="shared" si="39"/>
        <v>120</v>
      </c>
      <c r="D107">
        <f t="shared" si="54"/>
        <v>0</v>
      </c>
      <c r="E107">
        <f t="shared" si="73"/>
        <v>3</v>
      </c>
      <c r="F107">
        <f t="shared" si="40"/>
        <v>180</v>
      </c>
      <c r="G107">
        <f t="shared" si="55"/>
        <v>15</v>
      </c>
      <c r="H107">
        <f t="shared" si="62"/>
        <v>2</v>
      </c>
      <c r="I107">
        <f t="shared" si="41"/>
        <v>120</v>
      </c>
      <c r="J107">
        <f t="shared" si="56"/>
        <v>0</v>
      </c>
      <c r="K107">
        <f t="shared" si="63"/>
        <v>2</v>
      </c>
      <c r="L107">
        <f t="shared" si="42"/>
        <v>180</v>
      </c>
      <c r="M107">
        <f t="shared" si="57"/>
        <v>0</v>
      </c>
      <c r="N107">
        <f t="shared" si="64"/>
        <v>2</v>
      </c>
      <c r="O107">
        <f t="shared" si="43"/>
        <v>300</v>
      </c>
      <c r="P107">
        <f t="shared" si="65"/>
        <v>0</v>
      </c>
      <c r="Q107">
        <f t="shared" si="66"/>
        <v>2</v>
      </c>
      <c r="R107">
        <f t="shared" si="44"/>
        <v>300</v>
      </c>
      <c r="S107">
        <f t="shared" si="67"/>
        <v>0</v>
      </c>
      <c r="T107">
        <f t="shared" si="68"/>
        <v>-1</v>
      </c>
      <c r="U107">
        <f t="shared" si="58"/>
        <v>0</v>
      </c>
      <c r="V107">
        <f t="shared" si="59"/>
        <v>1</v>
      </c>
      <c r="W107">
        <f t="shared" si="45"/>
        <v>0</v>
      </c>
      <c r="X107">
        <f t="shared" si="69"/>
        <v>0</v>
      </c>
      <c r="Y107">
        <f t="shared" si="46"/>
        <v>0</v>
      </c>
      <c r="Z107">
        <f t="shared" si="47"/>
        <v>0</v>
      </c>
      <c r="AA107">
        <f t="shared" si="48"/>
        <v>0</v>
      </c>
      <c r="AB107" s="29">
        <f t="shared" si="49"/>
        <v>0.74178816089935007</v>
      </c>
      <c r="AC107" s="25">
        <f t="shared" si="50"/>
        <v>127.49804426656831</v>
      </c>
      <c r="AD107" s="29">
        <f t="shared" si="51"/>
        <v>1.0808524183153847</v>
      </c>
      <c r="AE107" s="25">
        <f t="shared" si="60"/>
        <v>13.243681724743192</v>
      </c>
      <c r="AF107" s="25">
        <f t="shared" si="52"/>
        <v>13.243681724743192</v>
      </c>
      <c r="AG107" s="25">
        <f>IF($A107&lt;0,0,IF(instatk="bs",(1.5+talSCallInstBon)*(MHavg+(ap+Z107-$Z$1)/APtoDPS*MHnorm+170)*(1+sa*0.1+0.04*opp+0.02*agg+Slayer4value-1),IF(instatk="hemo",Slayer4value*(MHavg+(ap+Z107-$Z$1)/APtoDPS*MHnorm)*(1.1+talSCallInstBon)+420*(1+raidcrit)*debuffon,IF(instatk="ss",(MHavg+(ap+Z107-$Z$1)/APtoDPS*MHnorm+98)*(1+sa*0.1+0.02*agg+Slayer4value-1),IF(instatk="v",(ohavg+(ap+Z107-$Z$1)/APtoDPS*OHnorm)*(1+sa*0.1)*(0.5+0.05*dws)+avipdam,Slayer4value*((1+0.04*opp)*(MHavg+101+(ap+Z107-$Z$1)/APtoDPS*MHnorm+(0.5+0.05*dws)*(ohavg+(ap+Z107-$Z$1)/APtoDPS*OHnorm)+101*(1+0.1*dws))*(1+0.5*IF(Talents!$O$18="Yes",1,0)))))))*(instactualhit+(1+((leth*0.06+2)-1)*(cfact-1))*instactualcrit)*fwfactor*AB107*instsec*(AF107/$AN$45))</f>
        <v>290.78918279358999</v>
      </c>
      <c r="AH107" s="25">
        <f t="shared" si="70"/>
        <v>0</v>
      </c>
      <c r="AI107" s="25">
        <f t="shared" si="71"/>
        <v>0</v>
      </c>
      <c r="AJ107" s="25">
        <f t="shared" si="72"/>
        <v>0</v>
      </c>
    </row>
    <row r="108" spans="1:36">
      <c r="A108">
        <f t="shared" si="53"/>
        <v>105</v>
      </c>
      <c r="B108">
        <f t="shared" si="61"/>
        <v>3</v>
      </c>
      <c r="C108">
        <f t="shared" si="39"/>
        <v>120</v>
      </c>
      <c r="D108">
        <f t="shared" si="54"/>
        <v>0</v>
      </c>
      <c r="E108">
        <f t="shared" si="73"/>
        <v>3</v>
      </c>
      <c r="F108">
        <f t="shared" si="40"/>
        <v>180</v>
      </c>
      <c r="G108">
        <f t="shared" si="55"/>
        <v>16</v>
      </c>
      <c r="H108">
        <f t="shared" si="62"/>
        <v>2</v>
      </c>
      <c r="I108">
        <f t="shared" si="41"/>
        <v>120</v>
      </c>
      <c r="J108">
        <f t="shared" si="56"/>
        <v>0</v>
      </c>
      <c r="K108">
        <f t="shared" si="63"/>
        <v>2</v>
      </c>
      <c r="L108">
        <f t="shared" si="42"/>
        <v>180</v>
      </c>
      <c r="M108">
        <f t="shared" si="57"/>
        <v>0</v>
      </c>
      <c r="N108">
        <f t="shared" si="64"/>
        <v>2</v>
      </c>
      <c r="O108">
        <f t="shared" si="43"/>
        <v>300</v>
      </c>
      <c r="P108">
        <f t="shared" si="65"/>
        <v>0</v>
      </c>
      <c r="Q108">
        <f t="shared" si="66"/>
        <v>2</v>
      </c>
      <c r="R108">
        <f t="shared" si="44"/>
        <v>300</v>
      </c>
      <c r="S108">
        <f t="shared" si="67"/>
        <v>0</v>
      </c>
      <c r="T108">
        <f t="shared" si="68"/>
        <v>-1</v>
      </c>
      <c r="U108">
        <f t="shared" si="58"/>
        <v>0</v>
      </c>
      <c r="V108">
        <f t="shared" si="59"/>
        <v>1</v>
      </c>
      <c r="W108">
        <f t="shared" si="45"/>
        <v>0</v>
      </c>
      <c r="X108">
        <f t="shared" si="69"/>
        <v>0</v>
      </c>
      <c r="Y108">
        <f t="shared" si="46"/>
        <v>0</v>
      </c>
      <c r="Z108">
        <f t="shared" si="47"/>
        <v>0</v>
      </c>
      <c r="AA108">
        <f t="shared" si="48"/>
        <v>0</v>
      </c>
      <c r="AB108" s="29">
        <f t="shared" si="49"/>
        <v>0.74178816089935007</v>
      </c>
      <c r="AC108" s="25">
        <f t="shared" si="50"/>
        <v>127.49804426656831</v>
      </c>
      <c r="AD108" s="29">
        <f t="shared" si="51"/>
        <v>1.0808524183153847</v>
      </c>
      <c r="AE108" s="25">
        <f t="shared" si="60"/>
        <v>13.243681724743192</v>
      </c>
      <c r="AF108" s="25">
        <f t="shared" si="52"/>
        <v>13.243681724743192</v>
      </c>
      <c r="AG108" s="25">
        <f>IF($A108&lt;0,0,IF(instatk="bs",(1.5+talSCallInstBon)*(MHavg+(ap+Z108-$Z$1)/APtoDPS*MHnorm+170)*(1+sa*0.1+0.04*opp+0.02*agg+Slayer4value-1),IF(instatk="hemo",Slayer4value*(MHavg+(ap+Z108-$Z$1)/APtoDPS*MHnorm)*(1.1+talSCallInstBon)+420*(1+raidcrit)*debuffon,IF(instatk="ss",(MHavg+(ap+Z108-$Z$1)/APtoDPS*MHnorm+98)*(1+sa*0.1+0.02*agg+Slayer4value-1),IF(instatk="v",(ohavg+(ap+Z108-$Z$1)/APtoDPS*OHnorm)*(1+sa*0.1)*(0.5+0.05*dws)+avipdam,Slayer4value*((1+0.04*opp)*(MHavg+101+(ap+Z108-$Z$1)/APtoDPS*MHnorm+(0.5+0.05*dws)*(ohavg+(ap+Z108-$Z$1)/APtoDPS*OHnorm)+101*(1+0.1*dws))*(1+0.5*IF(Talents!$O$18="Yes",1,0)))))))*(instactualhit+(1+((leth*0.06+2)-1)*(cfact-1))*instactualcrit)*fwfactor*AB108*instsec*(AF108/$AN$45))</f>
        <v>290.78918279358999</v>
      </c>
      <c r="AH108" s="25">
        <f t="shared" si="70"/>
        <v>0</v>
      </c>
      <c r="AI108" s="25">
        <f t="shared" si="71"/>
        <v>0</v>
      </c>
      <c r="AJ108" s="25">
        <f t="shared" si="72"/>
        <v>0</v>
      </c>
    </row>
    <row r="109" spans="1:36">
      <c r="A109">
        <f t="shared" si="53"/>
        <v>106</v>
      </c>
      <c r="B109">
        <f t="shared" si="61"/>
        <v>3</v>
      </c>
      <c r="C109">
        <f t="shared" si="39"/>
        <v>120</v>
      </c>
      <c r="D109">
        <f t="shared" si="54"/>
        <v>0</v>
      </c>
      <c r="E109">
        <f t="shared" si="73"/>
        <v>3</v>
      </c>
      <c r="F109">
        <f t="shared" si="40"/>
        <v>180</v>
      </c>
      <c r="G109">
        <f t="shared" si="55"/>
        <v>17</v>
      </c>
      <c r="H109">
        <f t="shared" si="62"/>
        <v>2</v>
      </c>
      <c r="I109">
        <f t="shared" si="41"/>
        <v>120</v>
      </c>
      <c r="J109">
        <f t="shared" si="56"/>
        <v>0</v>
      </c>
      <c r="K109">
        <f t="shared" si="63"/>
        <v>2</v>
      </c>
      <c r="L109">
        <f t="shared" si="42"/>
        <v>180</v>
      </c>
      <c r="M109">
        <f t="shared" si="57"/>
        <v>0</v>
      </c>
      <c r="N109">
        <f t="shared" si="64"/>
        <v>2</v>
      </c>
      <c r="O109">
        <f t="shared" si="43"/>
        <v>300</v>
      </c>
      <c r="P109">
        <f t="shared" si="65"/>
        <v>0</v>
      </c>
      <c r="Q109">
        <f t="shared" si="66"/>
        <v>2</v>
      </c>
      <c r="R109">
        <f t="shared" si="44"/>
        <v>300</v>
      </c>
      <c r="S109">
        <f t="shared" si="67"/>
        <v>0</v>
      </c>
      <c r="T109">
        <f t="shared" si="68"/>
        <v>-1</v>
      </c>
      <c r="U109">
        <f t="shared" si="58"/>
        <v>0</v>
      </c>
      <c r="V109">
        <f t="shared" si="59"/>
        <v>1</v>
      </c>
      <c r="W109">
        <f t="shared" si="45"/>
        <v>0</v>
      </c>
      <c r="X109">
        <f t="shared" si="69"/>
        <v>0</v>
      </c>
      <c r="Y109">
        <f t="shared" si="46"/>
        <v>0</v>
      </c>
      <c r="Z109">
        <f t="shared" si="47"/>
        <v>0</v>
      </c>
      <c r="AA109">
        <f t="shared" si="48"/>
        <v>0</v>
      </c>
      <c r="AB109" s="29">
        <f t="shared" si="49"/>
        <v>0.74178816089935007</v>
      </c>
      <c r="AC109" s="25">
        <f t="shared" si="50"/>
        <v>127.49804426656831</v>
      </c>
      <c r="AD109" s="29">
        <f t="shared" si="51"/>
        <v>1.0808524183153847</v>
      </c>
      <c r="AE109" s="25">
        <f t="shared" si="60"/>
        <v>13.243681724743192</v>
      </c>
      <c r="AF109" s="25">
        <f t="shared" si="52"/>
        <v>13.243681724743192</v>
      </c>
      <c r="AG109" s="25">
        <f>IF($A109&lt;0,0,IF(instatk="bs",(1.5+talSCallInstBon)*(MHavg+(ap+Z109-$Z$1)/APtoDPS*MHnorm+170)*(1+sa*0.1+0.04*opp+0.02*agg+Slayer4value-1),IF(instatk="hemo",Slayer4value*(MHavg+(ap+Z109-$Z$1)/APtoDPS*MHnorm)*(1.1+talSCallInstBon)+420*(1+raidcrit)*debuffon,IF(instatk="ss",(MHavg+(ap+Z109-$Z$1)/APtoDPS*MHnorm+98)*(1+sa*0.1+0.02*agg+Slayer4value-1),IF(instatk="v",(ohavg+(ap+Z109-$Z$1)/APtoDPS*OHnorm)*(1+sa*0.1)*(0.5+0.05*dws)+avipdam,Slayer4value*((1+0.04*opp)*(MHavg+101+(ap+Z109-$Z$1)/APtoDPS*MHnorm+(0.5+0.05*dws)*(ohavg+(ap+Z109-$Z$1)/APtoDPS*OHnorm)+101*(1+0.1*dws))*(1+0.5*IF(Talents!$O$18="Yes",1,0)))))))*(instactualhit+(1+((leth*0.06+2)-1)*(cfact-1))*instactualcrit)*fwfactor*AB109*instsec*(AF109/$AN$45))</f>
        <v>290.78918279358999</v>
      </c>
      <c r="AH109" s="25">
        <f t="shared" si="70"/>
        <v>0</v>
      </c>
      <c r="AI109" s="25">
        <f t="shared" si="71"/>
        <v>0</v>
      </c>
      <c r="AJ109" s="25">
        <f t="shared" si="72"/>
        <v>0</v>
      </c>
    </row>
    <row r="110" spans="1:36">
      <c r="A110">
        <f t="shared" si="53"/>
        <v>107</v>
      </c>
      <c r="B110">
        <f t="shared" si="61"/>
        <v>3</v>
      </c>
      <c r="C110">
        <f t="shared" si="39"/>
        <v>120</v>
      </c>
      <c r="D110">
        <f t="shared" si="54"/>
        <v>0</v>
      </c>
      <c r="E110">
        <f t="shared" si="73"/>
        <v>3</v>
      </c>
      <c r="F110">
        <f t="shared" si="40"/>
        <v>180</v>
      </c>
      <c r="G110">
        <f t="shared" si="55"/>
        <v>18</v>
      </c>
      <c r="H110">
        <f t="shared" si="62"/>
        <v>2</v>
      </c>
      <c r="I110">
        <f t="shared" si="41"/>
        <v>120</v>
      </c>
      <c r="J110">
        <f t="shared" si="56"/>
        <v>0</v>
      </c>
      <c r="K110">
        <f t="shared" si="63"/>
        <v>2</v>
      </c>
      <c r="L110">
        <f t="shared" si="42"/>
        <v>180</v>
      </c>
      <c r="M110">
        <f t="shared" si="57"/>
        <v>0</v>
      </c>
      <c r="N110">
        <f t="shared" si="64"/>
        <v>2</v>
      </c>
      <c r="O110">
        <f t="shared" si="43"/>
        <v>300</v>
      </c>
      <c r="P110">
        <f t="shared" si="65"/>
        <v>0</v>
      </c>
      <c r="Q110">
        <f t="shared" si="66"/>
        <v>2</v>
      </c>
      <c r="R110">
        <f t="shared" si="44"/>
        <v>300</v>
      </c>
      <c r="S110">
        <f t="shared" si="67"/>
        <v>0</v>
      </c>
      <c r="T110">
        <f t="shared" si="68"/>
        <v>-1</v>
      </c>
      <c r="U110">
        <f t="shared" si="58"/>
        <v>0</v>
      </c>
      <c r="V110">
        <f t="shared" si="59"/>
        <v>1</v>
      </c>
      <c r="W110">
        <f t="shared" si="45"/>
        <v>0</v>
      </c>
      <c r="X110">
        <f t="shared" si="69"/>
        <v>0</v>
      </c>
      <c r="Y110">
        <f t="shared" si="46"/>
        <v>0</v>
      </c>
      <c r="Z110">
        <f t="shared" si="47"/>
        <v>0</v>
      </c>
      <c r="AA110">
        <f t="shared" si="48"/>
        <v>0</v>
      </c>
      <c r="AB110" s="29">
        <f t="shared" si="49"/>
        <v>0.74178816089935007</v>
      </c>
      <c r="AC110" s="25">
        <f t="shared" si="50"/>
        <v>127.49804426656831</v>
      </c>
      <c r="AD110" s="29">
        <f t="shared" si="51"/>
        <v>1.0808524183153847</v>
      </c>
      <c r="AE110" s="25">
        <f t="shared" si="60"/>
        <v>13.243681724743192</v>
      </c>
      <c r="AF110" s="25">
        <f t="shared" si="52"/>
        <v>13.243681724743192</v>
      </c>
      <c r="AG110" s="25">
        <f>IF($A110&lt;0,0,IF(instatk="bs",(1.5+talSCallInstBon)*(MHavg+(ap+Z110-$Z$1)/APtoDPS*MHnorm+170)*(1+sa*0.1+0.04*opp+0.02*agg+Slayer4value-1),IF(instatk="hemo",Slayer4value*(MHavg+(ap+Z110-$Z$1)/APtoDPS*MHnorm)*(1.1+talSCallInstBon)+420*(1+raidcrit)*debuffon,IF(instatk="ss",(MHavg+(ap+Z110-$Z$1)/APtoDPS*MHnorm+98)*(1+sa*0.1+0.02*agg+Slayer4value-1),IF(instatk="v",(ohavg+(ap+Z110-$Z$1)/APtoDPS*OHnorm)*(1+sa*0.1)*(0.5+0.05*dws)+avipdam,Slayer4value*((1+0.04*opp)*(MHavg+101+(ap+Z110-$Z$1)/APtoDPS*MHnorm+(0.5+0.05*dws)*(ohavg+(ap+Z110-$Z$1)/APtoDPS*OHnorm)+101*(1+0.1*dws))*(1+0.5*IF(Talents!$O$18="Yes",1,0)))))))*(instactualhit+(1+((leth*0.06+2)-1)*(cfact-1))*instactualcrit)*fwfactor*AB110*instsec*(AF110/$AN$45))</f>
        <v>290.78918279358999</v>
      </c>
      <c r="AH110" s="25">
        <f t="shared" si="70"/>
        <v>0</v>
      </c>
      <c r="AI110" s="25">
        <f t="shared" si="71"/>
        <v>0</v>
      </c>
      <c r="AJ110" s="25">
        <f t="shared" si="72"/>
        <v>0</v>
      </c>
    </row>
    <row r="111" spans="1:36">
      <c r="A111">
        <f t="shared" si="53"/>
        <v>108</v>
      </c>
      <c r="B111">
        <f t="shared" si="61"/>
        <v>3</v>
      </c>
      <c r="C111">
        <f t="shared" si="39"/>
        <v>120</v>
      </c>
      <c r="D111">
        <f t="shared" si="54"/>
        <v>0</v>
      </c>
      <c r="E111">
        <f t="shared" si="73"/>
        <v>3</v>
      </c>
      <c r="F111">
        <f t="shared" si="40"/>
        <v>180</v>
      </c>
      <c r="G111">
        <f t="shared" si="55"/>
        <v>19</v>
      </c>
      <c r="H111">
        <f t="shared" si="62"/>
        <v>2</v>
      </c>
      <c r="I111">
        <f t="shared" si="41"/>
        <v>120</v>
      </c>
      <c r="J111">
        <f t="shared" si="56"/>
        <v>0</v>
      </c>
      <c r="K111">
        <f t="shared" si="63"/>
        <v>2</v>
      </c>
      <c r="L111">
        <f t="shared" si="42"/>
        <v>180</v>
      </c>
      <c r="M111">
        <f t="shared" si="57"/>
        <v>0</v>
      </c>
      <c r="N111">
        <f t="shared" si="64"/>
        <v>2</v>
      </c>
      <c r="O111">
        <f t="shared" si="43"/>
        <v>300</v>
      </c>
      <c r="P111">
        <f t="shared" si="65"/>
        <v>0</v>
      </c>
      <c r="Q111">
        <f t="shared" si="66"/>
        <v>2</v>
      </c>
      <c r="R111">
        <f t="shared" si="44"/>
        <v>300</v>
      </c>
      <c r="S111">
        <f t="shared" si="67"/>
        <v>0</v>
      </c>
      <c r="T111">
        <f t="shared" si="68"/>
        <v>-1</v>
      </c>
      <c r="U111">
        <f t="shared" si="58"/>
        <v>0</v>
      </c>
      <c r="V111">
        <f t="shared" si="59"/>
        <v>1</v>
      </c>
      <c r="W111">
        <f t="shared" si="45"/>
        <v>0</v>
      </c>
      <c r="X111">
        <f t="shared" si="69"/>
        <v>0</v>
      </c>
      <c r="Y111">
        <f t="shared" si="46"/>
        <v>0</v>
      </c>
      <c r="Z111">
        <f t="shared" si="47"/>
        <v>0</v>
      </c>
      <c r="AA111">
        <f t="shared" si="48"/>
        <v>0</v>
      </c>
      <c r="AB111" s="29">
        <f t="shared" si="49"/>
        <v>0.74178816089935007</v>
      </c>
      <c r="AC111" s="25">
        <f t="shared" si="50"/>
        <v>127.49804426656831</v>
      </c>
      <c r="AD111" s="29">
        <f t="shared" si="51"/>
        <v>1.0808524183153847</v>
      </c>
      <c r="AE111" s="25">
        <f t="shared" si="60"/>
        <v>13.243681724743192</v>
      </c>
      <c r="AF111" s="25">
        <f t="shared" si="52"/>
        <v>13.243681724743192</v>
      </c>
      <c r="AG111" s="25">
        <f>IF($A111&lt;0,0,IF(instatk="bs",(1.5+talSCallInstBon)*(MHavg+(ap+Z111-$Z$1)/APtoDPS*MHnorm+170)*(1+sa*0.1+0.04*opp+0.02*agg+Slayer4value-1),IF(instatk="hemo",Slayer4value*(MHavg+(ap+Z111-$Z$1)/APtoDPS*MHnorm)*(1.1+talSCallInstBon)+420*(1+raidcrit)*debuffon,IF(instatk="ss",(MHavg+(ap+Z111-$Z$1)/APtoDPS*MHnorm+98)*(1+sa*0.1+0.02*agg+Slayer4value-1),IF(instatk="v",(ohavg+(ap+Z111-$Z$1)/APtoDPS*OHnorm)*(1+sa*0.1)*(0.5+0.05*dws)+avipdam,Slayer4value*((1+0.04*opp)*(MHavg+101+(ap+Z111-$Z$1)/APtoDPS*MHnorm+(0.5+0.05*dws)*(ohavg+(ap+Z111-$Z$1)/APtoDPS*OHnorm)+101*(1+0.1*dws))*(1+0.5*IF(Talents!$O$18="Yes",1,0)))))))*(instactualhit+(1+((leth*0.06+2)-1)*(cfact-1))*instactualcrit)*fwfactor*AB111*instsec*(AF111/$AN$45))</f>
        <v>290.78918279358999</v>
      </c>
      <c r="AH111" s="25">
        <f t="shared" si="70"/>
        <v>0</v>
      </c>
      <c r="AI111" s="25">
        <f t="shared" si="71"/>
        <v>0</v>
      </c>
      <c r="AJ111" s="25">
        <f t="shared" si="72"/>
        <v>0</v>
      </c>
    </row>
    <row r="112" spans="1:36">
      <c r="A112">
        <f t="shared" si="53"/>
        <v>109</v>
      </c>
      <c r="B112">
        <f t="shared" si="61"/>
        <v>3</v>
      </c>
      <c r="C112">
        <f t="shared" si="39"/>
        <v>120</v>
      </c>
      <c r="D112">
        <f t="shared" si="54"/>
        <v>0</v>
      </c>
      <c r="E112">
        <f t="shared" si="73"/>
        <v>3</v>
      </c>
      <c r="F112">
        <f t="shared" si="40"/>
        <v>180</v>
      </c>
      <c r="G112">
        <f t="shared" si="55"/>
        <v>20</v>
      </c>
      <c r="H112">
        <f t="shared" si="62"/>
        <v>2</v>
      </c>
      <c r="I112">
        <f t="shared" si="41"/>
        <v>120</v>
      </c>
      <c r="J112">
        <f t="shared" si="56"/>
        <v>0</v>
      </c>
      <c r="K112">
        <f t="shared" si="63"/>
        <v>2</v>
      </c>
      <c r="L112">
        <f t="shared" si="42"/>
        <v>180</v>
      </c>
      <c r="M112">
        <f t="shared" si="57"/>
        <v>0</v>
      </c>
      <c r="N112">
        <f t="shared" si="64"/>
        <v>2</v>
      </c>
      <c r="O112">
        <f t="shared" si="43"/>
        <v>300</v>
      </c>
      <c r="P112">
        <f t="shared" si="65"/>
        <v>0</v>
      </c>
      <c r="Q112">
        <f t="shared" si="66"/>
        <v>2</v>
      </c>
      <c r="R112">
        <f t="shared" si="44"/>
        <v>300</v>
      </c>
      <c r="S112">
        <f t="shared" si="67"/>
        <v>0</v>
      </c>
      <c r="T112">
        <f t="shared" si="68"/>
        <v>-1</v>
      </c>
      <c r="U112">
        <f t="shared" si="58"/>
        <v>0</v>
      </c>
      <c r="V112">
        <f t="shared" si="59"/>
        <v>1</v>
      </c>
      <c r="W112">
        <f t="shared" si="45"/>
        <v>0</v>
      </c>
      <c r="X112">
        <f t="shared" si="69"/>
        <v>0</v>
      </c>
      <c r="Y112">
        <f t="shared" si="46"/>
        <v>0</v>
      </c>
      <c r="Z112">
        <f t="shared" si="47"/>
        <v>0</v>
      </c>
      <c r="AA112">
        <f t="shared" si="48"/>
        <v>0</v>
      </c>
      <c r="AB112" s="29">
        <f t="shared" si="49"/>
        <v>0.74178816089935007</v>
      </c>
      <c r="AC112" s="25">
        <f t="shared" si="50"/>
        <v>127.49804426656831</v>
      </c>
      <c r="AD112" s="29">
        <f t="shared" si="51"/>
        <v>1.0808524183153847</v>
      </c>
      <c r="AE112" s="25">
        <f t="shared" si="60"/>
        <v>13.243681724743192</v>
      </c>
      <c r="AF112" s="25">
        <f t="shared" si="52"/>
        <v>13.243681724743192</v>
      </c>
      <c r="AG112" s="25">
        <f>IF($A112&lt;0,0,IF(instatk="bs",(1.5+talSCallInstBon)*(MHavg+(ap+Z112-$Z$1)/APtoDPS*MHnorm+170)*(1+sa*0.1+0.04*opp+0.02*agg+Slayer4value-1),IF(instatk="hemo",Slayer4value*(MHavg+(ap+Z112-$Z$1)/APtoDPS*MHnorm)*(1.1+talSCallInstBon)+420*(1+raidcrit)*debuffon,IF(instatk="ss",(MHavg+(ap+Z112-$Z$1)/APtoDPS*MHnorm+98)*(1+sa*0.1+0.02*agg+Slayer4value-1),IF(instatk="v",(ohavg+(ap+Z112-$Z$1)/APtoDPS*OHnorm)*(1+sa*0.1)*(0.5+0.05*dws)+avipdam,Slayer4value*((1+0.04*opp)*(MHavg+101+(ap+Z112-$Z$1)/APtoDPS*MHnorm+(0.5+0.05*dws)*(ohavg+(ap+Z112-$Z$1)/APtoDPS*OHnorm)+101*(1+0.1*dws))*(1+0.5*IF(Talents!$O$18="Yes",1,0)))))))*(instactualhit+(1+((leth*0.06+2)-1)*(cfact-1))*instactualcrit)*fwfactor*AB112*instsec*(AF112/$AN$45))</f>
        <v>290.78918279358999</v>
      </c>
      <c r="AH112" s="25">
        <f t="shared" si="70"/>
        <v>0</v>
      </c>
      <c r="AI112" s="25">
        <f t="shared" si="71"/>
        <v>0</v>
      </c>
      <c r="AJ112" s="25">
        <f t="shared" si="72"/>
        <v>0</v>
      </c>
    </row>
    <row r="113" spans="1:36">
      <c r="A113">
        <f t="shared" si="53"/>
        <v>110</v>
      </c>
      <c r="B113">
        <f t="shared" si="61"/>
        <v>3</v>
      </c>
      <c r="C113">
        <f t="shared" si="39"/>
        <v>120</v>
      </c>
      <c r="D113">
        <f t="shared" si="54"/>
        <v>0</v>
      </c>
      <c r="E113">
        <f t="shared" si="73"/>
        <v>3</v>
      </c>
      <c r="F113">
        <f t="shared" si="40"/>
        <v>180</v>
      </c>
      <c r="G113">
        <f t="shared" si="55"/>
        <v>21</v>
      </c>
      <c r="H113">
        <f t="shared" si="62"/>
        <v>2</v>
      </c>
      <c r="I113">
        <f t="shared" si="41"/>
        <v>120</v>
      </c>
      <c r="J113">
        <f t="shared" si="56"/>
        <v>0</v>
      </c>
      <c r="K113">
        <f t="shared" si="63"/>
        <v>2</v>
      </c>
      <c r="L113">
        <f t="shared" si="42"/>
        <v>180</v>
      </c>
      <c r="M113">
        <f t="shared" si="57"/>
        <v>0</v>
      </c>
      <c r="N113">
        <f t="shared" si="64"/>
        <v>2</v>
      </c>
      <c r="O113">
        <f t="shared" si="43"/>
        <v>300</v>
      </c>
      <c r="P113">
        <f t="shared" si="65"/>
        <v>0</v>
      </c>
      <c r="Q113">
        <f t="shared" si="66"/>
        <v>2</v>
      </c>
      <c r="R113">
        <f t="shared" si="44"/>
        <v>300</v>
      </c>
      <c r="S113">
        <f t="shared" si="67"/>
        <v>0</v>
      </c>
      <c r="T113">
        <f t="shared" si="68"/>
        <v>-1</v>
      </c>
      <c r="U113">
        <f t="shared" si="58"/>
        <v>0</v>
      </c>
      <c r="V113">
        <f t="shared" si="59"/>
        <v>1</v>
      </c>
      <c r="W113">
        <f t="shared" si="45"/>
        <v>0</v>
      </c>
      <c r="X113">
        <f t="shared" si="69"/>
        <v>0</v>
      </c>
      <c r="Y113">
        <f t="shared" si="46"/>
        <v>0</v>
      </c>
      <c r="Z113">
        <f t="shared" si="47"/>
        <v>0</v>
      </c>
      <c r="AA113">
        <f t="shared" si="48"/>
        <v>0</v>
      </c>
      <c r="AB113" s="29">
        <f t="shared" si="49"/>
        <v>0.74178816089935007</v>
      </c>
      <c r="AC113" s="25">
        <f t="shared" si="50"/>
        <v>127.49804426656831</v>
      </c>
      <c r="AD113" s="29">
        <f t="shared" si="51"/>
        <v>1.0808524183153847</v>
      </c>
      <c r="AE113" s="25">
        <f t="shared" si="60"/>
        <v>13.243681724743192</v>
      </c>
      <c r="AF113" s="25">
        <f t="shared" si="52"/>
        <v>13.243681724743192</v>
      </c>
      <c r="AG113" s="25">
        <f>IF($A113&lt;0,0,IF(instatk="bs",(1.5+talSCallInstBon)*(MHavg+(ap+Z113-$Z$1)/APtoDPS*MHnorm+170)*(1+sa*0.1+0.04*opp+0.02*agg+Slayer4value-1),IF(instatk="hemo",Slayer4value*(MHavg+(ap+Z113-$Z$1)/APtoDPS*MHnorm)*(1.1+talSCallInstBon)+420*(1+raidcrit)*debuffon,IF(instatk="ss",(MHavg+(ap+Z113-$Z$1)/APtoDPS*MHnorm+98)*(1+sa*0.1+0.02*agg+Slayer4value-1),IF(instatk="v",(ohavg+(ap+Z113-$Z$1)/APtoDPS*OHnorm)*(1+sa*0.1)*(0.5+0.05*dws)+avipdam,Slayer4value*((1+0.04*opp)*(MHavg+101+(ap+Z113-$Z$1)/APtoDPS*MHnorm+(0.5+0.05*dws)*(ohavg+(ap+Z113-$Z$1)/APtoDPS*OHnorm)+101*(1+0.1*dws))*(1+0.5*IF(Talents!$O$18="Yes",1,0)))))))*(instactualhit+(1+((leth*0.06+2)-1)*(cfact-1))*instactualcrit)*fwfactor*AB113*instsec*(AF113/$AN$45))</f>
        <v>290.78918279358999</v>
      </c>
      <c r="AH113" s="25">
        <f t="shared" si="70"/>
        <v>0</v>
      </c>
      <c r="AI113" s="25">
        <f t="shared" si="71"/>
        <v>0</v>
      </c>
      <c r="AJ113" s="25">
        <f t="shared" si="72"/>
        <v>0</v>
      </c>
    </row>
    <row r="114" spans="1:36">
      <c r="A114">
        <f t="shared" si="53"/>
        <v>111</v>
      </c>
      <c r="B114">
        <f t="shared" si="61"/>
        <v>3</v>
      </c>
      <c r="C114">
        <f t="shared" si="39"/>
        <v>120</v>
      </c>
      <c r="D114">
        <f t="shared" si="54"/>
        <v>0</v>
      </c>
      <c r="E114">
        <f t="shared" si="73"/>
        <v>3</v>
      </c>
      <c r="F114">
        <f t="shared" si="40"/>
        <v>180</v>
      </c>
      <c r="G114">
        <f t="shared" si="55"/>
        <v>22</v>
      </c>
      <c r="H114">
        <f t="shared" si="62"/>
        <v>2</v>
      </c>
      <c r="I114">
        <f t="shared" si="41"/>
        <v>120</v>
      </c>
      <c r="J114">
        <f t="shared" si="56"/>
        <v>0</v>
      </c>
      <c r="K114">
        <f t="shared" si="63"/>
        <v>2</v>
      </c>
      <c r="L114">
        <f t="shared" si="42"/>
        <v>180</v>
      </c>
      <c r="M114">
        <f t="shared" si="57"/>
        <v>0</v>
      </c>
      <c r="N114">
        <f t="shared" si="64"/>
        <v>2</v>
      </c>
      <c r="O114">
        <f t="shared" si="43"/>
        <v>300</v>
      </c>
      <c r="P114">
        <f t="shared" si="65"/>
        <v>0</v>
      </c>
      <c r="Q114">
        <f t="shared" si="66"/>
        <v>2</v>
      </c>
      <c r="R114">
        <f t="shared" si="44"/>
        <v>300</v>
      </c>
      <c r="S114">
        <f t="shared" si="67"/>
        <v>0</v>
      </c>
      <c r="T114">
        <f t="shared" si="68"/>
        <v>-1</v>
      </c>
      <c r="U114">
        <f t="shared" si="58"/>
        <v>0</v>
      </c>
      <c r="V114">
        <f t="shared" si="59"/>
        <v>1</v>
      </c>
      <c r="W114">
        <f t="shared" si="45"/>
        <v>0</v>
      </c>
      <c r="X114">
        <f t="shared" si="69"/>
        <v>0</v>
      </c>
      <c r="Y114">
        <f t="shared" si="46"/>
        <v>0</v>
      </c>
      <c r="Z114">
        <f t="shared" si="47"/>
        <v>0</v>
      </c>
      <c r="AA114">
        <f t="shared" si="48"/>
        <v>0</v>
      </c>
      <c r="AB114" s="29">
        <f t="shared" si="49"/>
        <v>0.74178816089935007</v>
      </c>
      <c r="AC114" s="25">
        <f t="shared" si="50"/>
        <v>127.49804426656831</v>
      </c>
      <c r="AD114" s="29">
        <f t="shared" si="51"/>
        <v>1.0808524183153847</v>
      </c>
      <c r="AE114" s="25">
        <f t="shared" si="60"/>
        <v>13.243681724743192</v>
      </c>
      <c r="AF114" s="25">
        <f t="shared" si="52"/>
        <v>13.243681724743192</v>
      </c>
      <c r="AG114" s="25">
        <f>IF($A114&lt;0,0,IF(instatk="bs",(1.5+talSCallInstBon)*(MHavg+(ap+Z114-$Z$1)/APtoDPS*MHnorm+170)*(1+sa*0.1+0.04*opp+0.02*agg+Slayer4value-1),IF(instatk="hemo",Slayer4value*(MHavg+(ap+Z114-$Z$1)/APtoDPS*MHnorm)*(1.1+talSCallInstBon)+420*(1+raidcrit)*debuffon,IF(instatk="ss",(MHavg+(ap+Z114-$Z$1)/APtoDPS*MHnorm+98)*(1+sa*0.1+0.02*agg+Slayer4value-1),IF(instatk="v",(ohavg+(ap+Z114-$Z$1)/APtoDPS*OHnorm)*(1+sa*0.1)*(0.5+0.05*dws)+avipdam,Slayer4value*((1+0.04*opp)*(MHavg+101+(ap+Z114-$Z$1)/APtoDPS*MHnorm+(0.5+0.05*dws)*(ohavg+(ap+Z114-$Z$1)/APtoDPS*OHnorm)+101*(1+0.1*dws))*(1+0.5*IF(Talents!$O$18="Yes",1,0)))))))*(instactualhit+(1+((leth*0.06+2)-1)*(cfact-1))*instactualcrit)*fwfactor*AB114*instsec*(AF114/$AN$45))</f>
        <v>290.78918279358999</v>
      </c>
      <c r="AH114" s="25">
        <f t="shared" si="70"/>
        <v>0</v>
      </c>
      <c r="AI114" s="25">
        <f t="shared" si="71"/>
        <v>0</v>
      </c>
      <c r="AJ114" s="25">
        <f t="shared" si="72"/>
        <v>0</v>
      </c>
    </row>
    <row r="115" spans="1:36">
      <c r="A115">
        <f t="shared" si="53"/>
        <v>112</v>
      </c>
      <c r="B115">
        <f t="shared" si="61"/>
        <v>3</v>
      </c>
      <c r="C115">
        <f t="shared" si="39"/>
        <v>120</v>
      </c>
      <c r="D115">
        <f t="shared" si="54"/>
        <v>0</v>
      </c>
      <c r="E115">
        <f t="shared" si="73"/>
        <v>3</v>
      </c>
      <c r="F115">
        <f t="shared" si="40"/>
        <v>180</v>
      </c>
      <c r="G115">
        <f t="shared" si="55"/>
        <v>23</v>
      </c>
      <c r="H115">
        <f t="shared" si="62"/>
        <v>2</v>
      </c>
      <c r="I115">
        <f t="shared" si="41"/>
        <v>120</v>
      </c>
      <c r="J115">
        <f t="shared" si="56"/>
        <v>0</v>
      </c>
      <c r="K115">
        <f t="shared" si="63"/>
        <v>2</v>
      </c>
      <c r="L115">
        <f t="shared" si="42"/>
        <v>180</v>
      </c>
      <c r="M115">
        <f t="shared" si="57"/>
        <v>0</v>
      </c>
      <c r="N115">
        <f t="shared" si="64"/>
        <v>2</v>
      </c>
      <c r="O115">
        <f t="shared" si="43"/>
        <v>300</v>
      </c>
      <c r="P115">
        <f t="shared" si="65"/>
        <v>0</v>
      </c>
      <c r="Q115">
        <f t="shared" si="66"/>
        <v>2</v>
      </c>
      <c r="R115">
        <f t="shared" si="44"/>
        <v>300</v>
      </c>
      <c r="S115">
        <f t="shared" si="67"/>
        <v>0</v>
      </c>
      <c r="T115">
        <f t="shared" si="68"/>
        <v>-1</v>
      </c>
      <c r="U115">
        <f t="shared" si="58"/>
        <v>0</v>
      </c>
      <c r="V115">
        <f t="shared" si="59"/>
        <v>1</v>
      </c>
      <c r="W115">
        <f t="shared" si="45"/>
        <v>0</v>
      </c>
      <c r="X115">
        <f t="shared" si="69"/>
        <v>0</v>
      </c>
      <c r="Y115">
        <f t="shared" si="46"/>
        <v>0</v>
      </c>
      <c r="Z115">
        <f t="shared" si="47"/>
        <v>0</v>
      </c>
      <c r="AA115">
        <f t="shared" si="48"/>
        <v>0</v>
      </c>
      <c r="AB115" s="29">
        <f t="shared" si="49"/>
        <v>0.74178816089935007</v>
      </c>
      <c r="AC115" s="25">
        <f t="shared" si="50"/>
        <v>127.49804426656831</v>
      </c>
      <c r="AD115" s="29">
        <f t="shared" si="51"/>
        <v>1.0808524183153847</v>
      </c>
      <c r="AE115" s="25">
        <f t="shared" si="60"/>
        <v>13.243681724743192</v>
      </c>
      <c r="AF115" s="25">
        <f t="shared" si="52"/>
        <v>13.243681724743192</v>
      </c>
      <c r="AG115" s="25">
        <f>IF($A115&lt;0,0,IF(instatk="bs",(1.5+talSCallInstBon)*(MHavg+(ap+Z115-$Z$1)/APtoDPS*MHnorm+170)*(1+sa*0.1+0.04*opp+0.02*agg+Slayer4value-1),IF(instatk="hemo",Slayer4value*(MHavg+(ap+Z115-$Z$1)/APtoDPS*MHnorm)*(1.1+talSCallInstBon)+420*(1+raidcrit)*debuffon,IF(instatk="ss",(MHavg+(ap+Z115-$Z$1)/APtoDPS*MHnorm+98)*(1+sa*0.1+0.02*agg+Slayer4value-1),IF(instatk="v",(ohavg+(ap+Z115-$Z$1)/APtoDPS*OHnorm)*(1+sa*0.1)*(0.5+0.05*dws)+avipdam,Slayer4value*((1+0.04*opp)*(MHavg+101+(ap+Z115-$Z$1)/APtoDPS*MHnorm+(0.5+0.05*dws)*(ohavg+(ap+Z115-$Z$1)/APtoDPS*OHnorm)+101*(1+0.1*dws))*(1+0.5*IF(Talents!$O$18="Yes",1,0)))))))*(instactualhit+(1+((leth*0.06+2)-1)*(cfact-1))*instactualcrit)*fwfactor*AB115*instsec*(AF115/$AN$45))</f>
        <v>290.78918279358999</v>
      </c>
      <c r="AH115" s="25">
        <f t="shared" si="70"/>
        <v>0</v>
      </c>
      <c r="AI115" s="25">
        <f t="shared" si="71"/>
        <v>0</v>
      </c>
      <c r="AJ115" s="25">
        <f t="shared" si="72"/>
        <v>0</v>
      </c>
    </row>
    <row r="116" spans="1:36">
      <c r="A116">
        <f t="shared" si="53"/>
        <v>113</v>
      </c>
      <c r="B116">
        <f t="shared" si="61"/>
        <v>3</v>
      </c>
      <c r="C116">
        <f t="shared" si="39"/>
        <v>120</v>
      </c>
      <c r="D116">
        <f t="shared" si="54"/>
        <v>0</v>
      </c>
      <c r="E116">
        <f t="shared" si="73"/>
        <v>3</v>
      </c>
      <c r="F116">
        <f t="shared" si="40"/>
        <v>180</v>
      </c>
      <c r="G116">
        <f t="shared" si="55"/>
        <v>24</v>
      </c>
      <c r="H116">
        <f t="shared" si="62"/>
        <v>2</v>
      </c>
      <c r="I116">
        <f t="shared" si="41"/>
        <v>120</v>
      </c>
      <c r="J116">
        <f t="shared" si="56"/>
        <v>0</v>
      </c>
      <c r="K116">
        <f t="shared" si="63"/>
        <v>2</v>
      </c>
      <c r="L116">
        <f t="shared" si="42"/>
        <v>180</v>
      </c>
      <c r="M116">
        <f t="shared" si="57"/>
        <v>0</v>
      </c>
      <c r="N116">
        <f t="shared" si="64"/>
        <v>2</v>
      </c>
      <c r="O116">
        <f t="shared" si="43"/>
        <v>300</v>
      </c>
      <c r="P116">
        <f t="shared" si="65"/>
        <v>0</v>
      </c>
      <c r="Q116">
        <f t="shared" si="66"/>
        <v>2</v>
      </c>
      <c r="R116">
        <f t="shared" si="44"/>
        <v>300</v>
      </c>
      <c r="S116">
        <f t="shared" si="67"/>
        <v>0</v>
      </c>
      <c r="T116">
        <f t="shared" si="68"/>
        <v>-1</v>
      </c>
      <c r="U116">
        <f t="shared" si="58"/>
        <v>0</v>
      </c>
      <c r="V116">
        <f t="shared" si="59"/>
        <v>1</v>
      </c>
      <c r="W116">
        <f t="shared" si="45"/>
        <v>0</v>
      </c>
      <c r="X116">
        <f t="shared" si="69"/>
        <v>0</v>
      </c>
      <c r="Y116">
        <f t="shared" si="46"/>
        <v>0</v>
      </c>
      <c r="Z116">
        <f t="shared" si="47"/>
        <v>0</v>
      </c>
      <c r="AA116">
        <f t="shared" si="48"/>
        <v>0</v>
      </c>
      <c r="AB116" s="29">
        <f t="shared" si="49"/>
        <v>0.74178816089935007</v>
      </c>
      <c r="AC116" s="25">
        <f t="shared" si="50"/>
        <v>127.49804426656831</v>
      </c>
      <c r="AD116" s="29">
        <f t="shared" si="51"/>
        <v>1.0808524183153847</v>
      </c>
      <c r="AE116" s="25">
        <f t="shared" si="60"/>
        <v>13.243681724743192</v>
      </c>
      <c r="AF116" s="25">
        <f t="shared" si="52"/>
        <v>13.243681724743192</v>
      </c>
      <c r="AG116" s="25">
        <f>IF($A116&lt;0,0,IF(instatk="bs",(1.5+talSCallInstBon)*(MHavg+(ap+Z116-$Z$1)/APtoDPS*MHnorm+170)*(1+sa*0.1+0.04*opp+0.02*agg+Slayer4value-1),IF(instatk="hemo",Slayer4value*(MHavg+(ap+Z116-$Z$1)/APtoDPS*MHnorm)*(1.1+talSCallInstBon)+420*(1+raidcrit)*debuffon,IF(instatk="ss",(MHavg+(ap+Z116-$Z$1)/APtoDPS*MHnorm+98)*(1+sa*0.1+0.02*agg+Slayer4value-1),IF(instatk="v",(ohavg+(ap+Z116-$Z$1)/APtoDPS*OHnorm)*(1+sa*0.1)*(0.5+0.05*dws)+avipdam,Slayer4value*((1+0.04*opp)*(MHavg+101+(ap+Z116-$Z$1)/APtoDPS*MHnorm+(0.5+0.05*dws)*(ohavg+(ap+Z116-$Z$1)/APtoDPS*OHnorm)+101*(1+0.1*dws))*(1+0.5*IF(Talents!$O$18="Yes",1,0)))))))*(instactualhit+(1+((leth*0.06+2)-1)*(cfact-1))*instactualcrit)*fwfactor*AB116*instsec*(AF116/$AN$45))</f>
        <v>290.78918279358999</v>
      </c>
      <c r="AH116" s="25">
        <f t="shared" si="70"/>
        <v>0</v>
      </c>
      <c r="AI116" s="25">
        <f t="shared" si="71"/>
        <v>0</v>
      </c>
      <c r="AJ116" s="25">
        <f t="shared" si="72"/>
        <v>0</v>
      </c>
    </row>
    <row r="117" spans="1:36">
      <c r="A117">
        <f t="shared" si="53"/>
        <v>114</v>
      </c>
      <c r="B117">
        <f t="shared" si="61"/>
        <v>3</v>
      </c>
      <c r="C117">
        <f t="shared" si="39"/>
        <v>120</v>
      </c>
      <c r="D117">
        <f t="shared" si="54"/>
        <v>0</v>
      </c>
      <c r="E117">
        <f t="shared" si="73"/>
        <v>3</v>
      </c>
      <c r="F117">
        <f t="shared" si="40"/>
        <v>180</v>
      </c>
      <c r="G117">
        <f t="shared" si="55"/>
        <v>25</v>
      </c>
      <c r="H117">
        <f t="shared" si="62"/>
        <v>2</v>
      </c>
      <c r="I117">
        <f t="shared" si="41"/>
        <v>120</v>
      </c>
      <c r="J117">
        <f t="shared" si="56"/>
        <v>0</v>
      </c>
      <c r="K117">
        <f t="shared" si="63"/>
        <v>2</v>
      </c>
      <c r="L117">
        <f t="shared" si="42"/>
        <v>180</v>
      </c>
      <c r="M117">
        <f t="shared" si="57"/>
        <v>0</v>
      </c>
      <c r="N117">
        <f t="shared" si="64"/>
        <v>2</v>
      </c>
      <c r="O117">
        <f t="shared" si="43"/>
        <v>300</v>
      </c>
      <c r="P117">
        <f t="shared" si="65"/>
        <v>0</v>
      </c>
      <c r="Q117">
        <f t="shared" si="66"/>
        <v>2</v>
      </c>
      <c r="R117">
        <f t="shared" si="44"/>
        <v>300</v>
      </c>
      <c r="S117">
        <f t="shared" si="67"/>
        <v>0</v>
      </c>
      <c r="T117">
        <f t="shared" si="68"/>
        <v>-1</v>
      </c>
      <c r="U117">
        <f t="shared" si="58"/>
        <v>0</v>
      </c>
      <c r="V117">
        <f t="shared" si="59"/>
        <v>1</v>
      </c>
      <c r="W117">
        <f t="shared" si="45"/>
        <v>0</v>
      </c>
      <c r="X117">
        <f t="shared" si="69"/>
        <v>0</v>
      </c>
      <c r="Y117">
        <f t="shared" si="46"/>
        <v>0</v>
      </c>
      <c r="Z117">
        <f t="shared" si="47"/>
        <v>0</v>
      </c>
      <c r="AA117">
        <f t="shared" si="48"/>
        <v>0</v>
      </c>
      <c r="AB117" s="29">
        <f t="shared" si="49"/>
        <v>0.74178816089935007</v>
      </c>
      <c r="AC117" s="25">
        <f t="shared" si="50"/>
        <v>127.49804426656831</v>
      </c>
      <c r="AD117" s="29">
        <f t="shared" si="51"/>
        <v>1.0808524183153847</v>
      </c>
      <c r="AE117" s="25">
        <f t="shared" si="60"/>
        <v>13.243681724743192</v>
      </c>
      <c r="AF117" s="25">
        <f t="shared" si="52"/>
        <v>13.243681724743192</v>
      </c>
      <c r="AG117" s="25">
        <f>IF($A117&lt;0,0,IF(instatk="bs",(1.5+talSCallInstBon)*(MHavg+(ap+Z117-$Z$1)/APtoDPS*MHnorm+170)*(1+sa*0.1+0.04*opp+0.02*agg+Slayer4value-1),IF(instatk="hemo",Slayer4value*(MHavg+(ap+Z117-$Z$1)/APtoDPS*MHnorm)*(1.1+talSCallInstBon)+420*(1+raidcrit)*debuffon,IF(instatk="ss",(MHavg+(ap+Z117-$Z$1)/APtoDPS*MHnorm+98)*(1+sa*0.1+0.02*agg+Slayer4value-1),IF(instatk="v",(ohavg+(ap+Z117-$Z$1)/APtoDPS*OHnorm)*(1+sa*0.1)*(0.5+0.05*dws)+avipdam,Slayer4value*((1+0.04*opp)*(MHavg+101+(ap+Z117-$Z$1)/APtoDPS*MHnorm+(0.5+0.05*dws)*(ohavg+(ap+Z117-$Z$1)/APtoDPS*OHnorm)+101*(1+0.1*dws))*(1+0.5*IF(Talents!$O$18="Yes",1,0)))))))*(instactualhit+(1+((leth*0.06+2)-1)*(cfact-1))*instactualcrit)*fwfactor*AB117*instsec*(AF117/$AN$45))</f>
        <v>290.78918279358999</v>
      </c>
      <c r="AH117" s="25">
        <f t="shared" si="70"/>
        <v>0</v>
      </c>
      <c r="AI117" s="25">
        <f t="shared" si="71"/>
        <v>0</v>
      </c>
      <c r="AJ117" s="25">
        <f t="shared" si="72"/>
        <v>0</v>
      </c>
    </row>
    <row r="118" spans="1:36">
      <c r="A118">
        <f t="shared" si="53"/>
        <v>115</v>
      </c>
      <c r="B118">
        <f t="shared" si="61"/>
        <v>3</v>
      </c>
      <c r="C118">
        <f t="shared" si="39"/>
        <v>120</v>
      </c>
      <c r="D118">
        <f t="shared" si="54"/>
        <v>0</v>
      </c>
      <c r="E118">
        <f t="shared" si="73"/>
        <v>3</v>
      </c>
      <c r="F118">
        <f t="shared" si="40"/>
        <v>180</v>
      </c>
      <c r="G118">
        <f t="shared" si="55"/>
        <v>26</v>
      </c>
      <c r="H118">
        <f t="shared" si="62"/>
        <v>2</v>
      </c>
      <c r="I118">
        <f t="shared" si="41"/>
        <v>120</v>
      </c>
      <c r="J118">
        <f t="shared" si="56"/>
        <v>0</v>
      </c>
      <c r="K118">
        <f t="shared" si="63"/>
        <v>2</v>
      </c>
      <c r="L118">
        <f t="shared" si="42"/>
        <v>180</v>
      </c>
      <c r="M118">
        <f t="shared" si="57"/>
        <v>0</v>
      </c>
      <c r="N118">
        <f t="shared" si="64"/>
        <v>2</v>
      </c>
      <c r="O118">
        <f t="shared" si="43"/>
        <v>300</v>
      </c>
      <c r="P118">
        <f t="shared" si="65"/>
        <v>0</v>
      </c>
      <c r="Q118">
        <f t="shared" si="66"/>
        <v>2</v>
      </c>
      <c r="R118">
        <f t="shared" si="44"/>
        <v>300</v>
      </c>
      <c r="S118">
        <f t="shared" si="67"/>
        <v>0</v>
      </c>
      <c r="T118">
        <f t="shared" si="68"/>
        <v>-1</v>
      </c>
      <c r="U118">
        <f t="shared" si="58"/>
        <v>0</v>
      </c>
      <c r="V118">
        <f t="shared" si="59"/>
        <v>1</v>
      </c>
      <c r="W118">
        <f t="shared" si="45"/>
        <v>0</v>
      </c>
      <c r="X118">
        <f t="shared" si="69"/>
        <v>0</v>
      </c>
      <c r="Y118">
        <f t="shared" si="46"/>
        <v>0</v>
      </c>
      <c r="Z118">
        <f t="shared" si="47"/>
        <v>0</v>
      </c>
      <c r="AA118">
        <f t="shared" si="48"/>
        <v>0</v>
      </c>
      <c r="AB118" s="29">
        <f t="shared" si="49"/>
        <v>0.74178816089935007</v>
      </c>
      <c r="AC118" s="25">
        <f t="shared" si="50"/>
        <v>127.49804426656831</v>
      </c>
      <c r="AD118" s="29">
        <f t="shared" si="51"/>
        <v>1.0808524183153847</v>
      </c>
      <c r="AE118" s="25">
        <f t="shared" si="60"/>
        <v>13.243681724743192</v>
      </c>
      <c r="AF118" s="25">
        <f t="shared" si="52"/>
        <v>13.243681724743192</v>
      </c>
      <c r="AG118" s="25">
        <f>IF($A118&lt;0,0,IF(instatk="bs",(1.5+talSCallInstBon)*(MHavg+(ap+Z118-$Z$1)/APtoDPS*MHnorm+170)*(1+sa*0.1+0.04*opp+0.02*agg+Slayer4value-1),IF(instatk="hemo",Slayer4value*(MHavg+(ap+Z118-$Z$1)/APtoDPS*MHnorm)*(1.1+talSCallInstBon)+420*(1+raidcrit)*debuffon,IF(instatk="ss",(MHavg+(ap+Z118-$Z$1)/APtoDPS*MHnorm+98)*(1+sa*0.1+0.02*agg+Slayer4value-1),IF(instatk="v",(ohavg+(ap+Z118-$Z$1)/APtoDPS*OHnorm)*(1+sa*0.1)*(0.5+0.05*dws)+avipdam,Slayer4value*((1+0.04*opp)*(MHavg+101+(ap+Z118-$Z$1)/APtoDPS*MHnorm+(0.5+0.05*dws)*(ohavg+(ap+Z118-$Z$1)/APtoDPS*OHnorm)+101*(1+0.1*dws))*(1+0.5*IF(Talents!$O$18="Yes",1,0)))))))*(instactualhit+(1+((leth*0.06+2)-1)*(cfact-1))*instactualcrit)*fwfactor*AB118*instsec*(AF118/$AN$45))</f>
        <v>290.78918279358999</v>
      </c>
      <c r="AH118" s="25">
        <f t="shared" si="70"/>
        <v>0</v>
      </c>
      <c r="AI118" s="25">
        <f t="shared" si="71"/>
        <v>0</v>
      </c>
      <c r="AJ118" s="25">
        <f t="shared" si="72"/>
        <v>0</v>
      </c>
    </row>
    <row r="119" spans="1:36">
      <c r="A119">
        <f t="shared" si="53"/>
        <v>116</v>
      </c>
      <c r="B119">
        <f t="shared" si="61"/>
        <v>3</v>
      </c>
      <c r="C119">
        <f t="shared" si="39"/>
        <v>120</v>
      </c>
      <c r="D119">
        <f t="shared" si="54"/>
        <v>0</v>
      </c>
      <c r="E119">
        <f t="shared" si="73"/>
        <v>3</v>
      </c>
      <c r="F119">
        <f t="shared" si="40"/>
        <v>180</v>
      </c>
      <c r="G119">
        <f t="shared" si="55"/>
        <v>27</v>
      </c>
      <c r="H119">
        <f t="shared" si="62"/>
        <v>2</v>
      </c>
      <c r="I119">
        <f t="shared" si="41"/>
        <v>120</v>
      </c>
      <c r="J119">
        <f t="shared" si="56"/>
        <v>0</v>
      </c>
      <c r="K119">
        <f t="shared" si="63"/>
        <v>2</v>
      </c>
      <c r="L119">
        <f t="shared" si="42"/>
        <v>180</v>
      </c>
      <c r="M119">
        <f t="shared" si="57"/>
        <v>0</v>
      </c>
      <c r="N119">
        <f t="shared" si="64"/>
        <v>2</v>
      </c>
      <c r="O119">
        <f t="shared" si="43"/>
        <v>300</v>
      </c>
      <c r="P119">
        <f t="shared" si="65"/>
        <v>0</v>
      </c>
      <c r="Q119">
        <f t="shared" si="66"/>
        <v>2</v>
      </c>
      <c r="R119">
        <f t="shared" si="44"/>
        <v>300</v>
      </c>
      <c r="S119">
        <f t="shared" si="67"/>
        <v>0</v>
      </c>
      <c r="T119">
        <f t="shared" si="68"/>
        <v>-1</v>
      </c>
      <c r="U119">
        <f t="shared" si="58"/>
        <v>0</v>
      </c>
      <c r="V119">
        <f t="shared" si="59"/>
        <v>1</v>
      </c>
      <c r="W119">
        <f t="shared" si="45"/>
        <v>0</v>
      </c>
      <c r="X119">
        <f t="shared" si="69"/>
        <v>0</v>
      </c>
      <c r="Y119">
        <f t="shared" si="46"/>
        <v>0</v>
      </c>
      <c r="Z119">
        <f t="shared" si="47"/>
        <v>0</v>
      </c>
      <c r="AA119">
        <f t="shared" si="48"/>
        <v>0</v>
      </c>
      <c r="AB119" s="29">
        <f t="shared" si="49"/>
        <v>0.74178816089935007</v>
      </c>
      <c r="AC119" s="25">
        <f t="shared" si="50"/>
        <v>127.49804426656831</v>
      </c>
      <c r="AD119" s="29">
        <f t="shared" si="51"/>
        <v>1.0808524183153847</v>
      </c>
      <c r="AE119" s="25">
        <f t="shared" si="60"/>
        <v>13.243681724743192</v>
      </c>
      <c r="AF119" s="25">
        <f t="shared" si="52"/>
        <v>13.243681724743192</v>
      </c>
      <c r="AG119" s="25">
        <f>IF($A119&lt;0,0,IF(instatk="bs",(1.5+talSCallInstBon)*(MHavg+(ap+Z119-$Z$1)/APtoDPS*MHnorm+170)*(1+sa*0.1+0.04*opp+0.02*agg+Slayer4value-1),IF(instatk="hemo",Slayer4value*(MHavg+(ap+Z119-$Z$1)/APtoDPS*MHnorm)*(1.1+talSCallInstBon)+420*(1+raidcrit)*debuffon,IF(instatk="ss",(MHavg+(ap+Z119-$Z$1)/APtoDPS*MHnorm+98)*(1+sa*0.1+0.02*agg+Slayer4value-1),IF(instatk="v",(ohavg+(ap+Z119-$Z$1)/APtoDPS*OHnorm)*(1+sa*0.1)*(0.5+0.05*dws)+avipdam,Slayer4value*((1+0.04*opp)*(MHavg+101+(ap+Z119-$Z$1)/APtoDPS*MHnorm+(0.5+0.05*dws)*(ohavg+(ap+Z119-$Z$1)/APtoDPS*OHnorm)+101*(1+0.1*dws))*(1+0.5*IF(Talents!$O$18="Yes",1,0)))))))*(instactualhit+(1+((leth*0.06+2)-1)*(cfact-1))*instactualcrit)*fwfactor*AB119*instsec*(AF119/$AN$45))</f>
        <v>290.78918279358999</v>
      </c>
      <c r="AH119" s="25">
        <f t="shared" si="70"/>
        <v>0</v>
      </c>
      <c r="AI119" s="25">
        <f t="shared" si="71"/>
        <v>0</v>
      </c>
      <c r="AJ119" s="25">
        <f t="shared" si="72"/>
        <v>0</v>
      </c>
    </row>
    <row r="120" spans="1:36">
      <c r="A120">
        <f t="shared" si="53"/>
        <v>117</v>
      </c>
      <c r="B120">
        <f t="shared" si="61"/>
        <v>3</v>
      </c>
      <c r="C120">
        <f t="shared" si="39"/>
        <v>120</v>
      </c>
      <c r="D120">
        <f t="shared" si="54"/>
        <v>0</v>
      </c>
      <c r="E120">
        <f t="shared" si="73"/>
        <v>3</v>
      </c>
      <c r="F120">
        <f t="shared" si="40"/>
        <v>180</v>
      </c>
      <c r="G120">
        <f t="shared" si="55"/>
        <v>28</v>
      </c>
      <c r="H120">
        <f t="shared" si="62"/>
        <v>2</v>
      </c>
      <c r="I120">
        <f t="shared" si="41"/>
        <v>120</v>
      </c>
      <c r="J120">
        <f t="shared" si="56"/>
        <v>0</v>
      </c>
      <c r="K120">
        <f t="shared" si="63"/>
        <v>2</v>
      </c>
      <c r="L120">
        <f t="shared" si="42"/>
        <v>180</v>
      </c>
      <c r="M120">
        <f t="shared" si="57"/>
        <v>0</v>
      </c>
      <c r="N120">
        <f t="shared" si="64"/>
        <v>2</v>
      </c>
      <c r="O120">
        <f t="shared" si="43"/>
        <v>300</v>
      </c>
      <c r="P120">
        <f t="shared" si="65"/>
        <v>0</v>
      </c>
      <c r="Q120">
        <f t="shared" si="66"/>
        <v>2</v>
      </c>
      <c r="R120">
        <f t="shared" si="44"/>
        <v>300</v>
      </c>
      <c r="S120">
        <f t="shared" si="67"/>
        <v>0</v>
      </c>
      <c r="T120">
        <f t="shared" si="68"/>
        <v>-1</v>
      </c>
      <c r="U120">
        <f t="shared" si="58"/>
        <v>0</v>
      </c>
      <c r="V120">
        <f t="shared" si="59"/>
        <v>1</v>
      </c>
      <c r="W120">
        <f t="shared" si="45"/>
        <v>0</v>
      </c>
      <c r="X120">
        <f t="shared" si="69"/>
        <v>0</v>
      </c>
      <c r="Y120">
        <f t="shared" si="46"/>
        <v>0</v>
      </c>
      <c r="Z120">
        <f t="shared" si="47"/>
        <v>0</v>
      </c>
      <c r="AA120">
        <f t="shared" si="48"/>
        <v>0</v>
      </c>
      <c r="AB120" s="29">
        <f t="shared" si="49"/>
        <v>0.74178816089935007</v>
      </c>
      <c r="AC120" s="25">
        <f t="shared" si="50"/>
        <v>127.49804426656831</v>
      </c>
      <c r="AD120" s="29">
        <f t="shared" si="51"/>
        <v>1.0808524183153847</v>
      </c>
      <c r="AE120" s="25">
        <f t="shared" si="60"/>
        <v>13.243681724743192</v>
      </c>
      <c r="AF120" s="25">
        <f t="shared" si="52"/>
        <v>13.243681724743192</v>
      </c>
      <c r="AG120" s="25">
        <f>IF($A120&lt;0,0,IF(instatk="bs",(1.5+talSCallInstBon)*(MHavg+(ap+Z120-$Z$1)/APtoDPS*MHnorm+170)*(1+sa*0.1+0.04*opp+0.02*agg+Slayer4value-1),IF(instatk="hemo",Slayer4value*(MHavg+(ap+Z120-$Z$1)/APtoDPS*MHnorm)*(1.1+talSCallInstBon)+420*(1+raidcrit)*debuffon,IF(instatk="ss",(MHavg+(ap+Z120-$Z$1)/APtoDPS*MHnorm+98)*(1+sa*0.1+0.02*agg+Slayer4value-1),IF(instatk="v",(ohavg+(ap+Z120-$Z$1)/APtoDPS*OHnorm)*(1+sa*0.1)*(0.5+0.05*dws)+avipdam,Slayer4value*((1+0.04*opp)*(MHavg+101+(ap+Z120-$Z$1)/APtoDPS*MHnorm+(0.5+0.05*dws)*(ohavg+(ap+Z120-$Z$1)/APtoDPS*OHnorm)+101*(1+0.1*dws))*(1+0.5*IF(Talents!$O$18="Yes",1,0)))))))*(instactualhit+(1+((leth*0.06+2)-1)*(cfact-1))*instactualcrit)*fwfactor*AB120*instsec*(AF120/$AN$45))</f>
        <v>290.78918279358999</v>
      </c>
      <c r="AH120" s="25">
        <f t="shared" si="70"/>
        <v>0</v>
      </c>
      <c r="AI120" s="25">
        <f t="shared" si="71"/>
        <v>0</v>
      </c>
      <c r="AJ120" s="25">
        <f t="shared" si="72"/>
        <v>0</v>
      </c>
    </row>
    <row r="121" spans="1:36">
      <c r="A121">
        <f t="shared" si="53"/>
        <v>118</v>
      </c>
      <c r="B121">
        <f t="shared" si="61"/>
        <v>3</v>
      </c>
      <c r="C121">
        <f t="shared" si="39"/>
        <v>120</v>
      </c>
      <c r="D121">
        <f t="shared" si="54"/>
        <v>0</v>
      </c>
      <c r="E121">
        <f t="shared" si="73"/>
        <v>3</v>
      </c>
      <c r="F121">
        <f t="shared" si="40"/>
        <v>180</v>
      </c>
      <c r="G121">
        <f t="shared" si="55"/>
        <v>29</v>
      </c>
      <c r="H121">
        <f t="shared" si="62"/>
        <v>2</v>
      </c>
      <c r="I121">
        <f t="shared" si="41"/>
        <v>120</v>
      </c>
      <c r="J121">
        <f t="shared" si="56"/>
        <v>0</v>
      </c>
      <c r="K121">
        <f t="shared" si="63"/>
        <v>2</v>
      </c>
      <c r="L121">
        <f t="shared" si="42"/>
        <v>180</v>
      </c>
      <c r="M121">
        <f t="shared" si="57"/>
        <v>0</v>
      </c>
      <c r="N121">
        <f t="shared" si="64"/>
        <v>2</v>
      </c>
      <c r="O121">
        <f t="shared" si="43"/>
        <v>300</v>
      </c>
      <c r="P121">
        <f t="shared" si="65"/>
        <v>0</v>
      </c>
      <c r="Q121">
        <f t="shared" si="66"/>
        <v>2</v>
      </c>
      <c r="R121">
        <f t="shared" si="44"/>
        <v>300</v>
      </c>
      <c r="S121">
        <f t="shared" si="67"/>
        <v>0</v>
      </c>
      <c r="T121">
        <f t="shared" si="68"/>
        <v>-1</v>
      </c>
      <c r="U121">
        <f t="shared" si="58"/>
        <v>0</v>
      </c>
      <c r="V121">
        <f t="shared" si="59"/>
        <v>1</v>
      </c>
      <c r="W121">
        <f t="shared" si="45"/>
        <v>0</v>
      </c>
      <c r="X121">
        <f t="shared" si="69"/>
        <v>0</v>
      </c>
      <c r="Y121">
        <f t="shared" si="46"/>
        <v>0</v>
      </c>
      <c r="Z121">
        <f t="shared" si="47"/>
        <v>0</v>
      </c>
      <c r="AA121">
        <f t="shared" si="48"/>
        <v>0</v>
      </c>
      <c r="AB121" s="29">
        <f t="shared" si="49"/>
        <v>0.74178816089935007</v>
      </c>
      <c r="AC121" s="25">
        <f t="shared" si="50"/>
        <v>127.49804426656831</v>
      </c>
      <c r="AD121" s="29">
        <f t="shared" si="51"/>
        <v>1.0808524183153847</v>
      </c>
      <c r="AE121" s="25">
        <f t="shared" si="60"/>
        <v>13.243681724743192</v>
      </c>
      <c r="AF121" s="25">
        <f t="shared" si="52"/>
        <v>13.243681724743192</v>
      </c>
      <c r="AG121" s="25">
        <f>IF($A121&lt;0,0,IF(instatk="bs",(1.5+talSCallInstBon)*(MHavg+(ap+Z121-$Z$1)/APtoDPS*MHnorm+170)*(1+sa*0.1+0.04*opp+0.02*agg+Slayer4value-1),IF(instatk="hemo",Slayer4value*(MHavg+(ap+Z121-$Z$1)/APtoDPS*MHnorm)*(1.1+talSCallInstBon)+420*(1+raidcrit)*debuffon,IF(instatk="ss",(MHavg+(ap+Z121-$Z$1)/APtoDPS*MHnorm+98)*(1+sa*0.1+0.02*agg+Slayer4value-1),IF(instatk="v",(ohavg+(ap+Z121-$Z$1)/APtoDPS*OHnorm)*(1+sa*0.1)*(0.5+0.05*dws)+avipdam,Slayer4value*((1+0.04*opp)*(MHavg+101+(ap+Z121-$Z$1)/APtoDPS*MHnorm+(0.5+0.05*dws)*(ohavg+(ap+Z121-$Z$1)/APtoDPS*OHnorm)+101*(1+0.1*dws))*(1+0.5*IF(Talents!$O$18="Yes",1,0)))))))*(instactualhit+(1+((leth*0.06+2)-1)*(cfact-1))*instactualcrit)*fwfactor*AB121*instsec*(AF121/$AN$45))</f>
        <v>290.78918279358999</v>
      </c>
      <c r="AH121" s="25">
        <f t="shared" si="70"/>
        <v>0</v>
      </c>
      <c r="AI121" s="25">
        <f t="shared" si="71"/>
        <v>0</v>
      </c>
      <c r="AJ121" s="25">
        <f t="shared" si="72"/>
        <v>0</v>
      </c>
    </row>
    <row r="122" spans="1:36">
      <c r="A122">
        <f t="shared" si="53"/>
        <v>119</v>
      </c>
      <c r="B122">
        <f t="shared" si="61"/>
        <v>3</v>
      </c>
      <c r="C122">
        <f t="shared" si="39"/>
        <v>120</v>
      </c>
      <c r="D122">
        <f t="shared" si="54"/>
        <v>0</v>
      </c>
      <c r="E122">
        <f t="shared" si="73"/>
        <v>3</v>
      </c>
      <c r="F122">
        <f t="shared" si="40"/>
        <v>180</v>
      </c>
      <c r="G122">
        <f t="shared" si="55"/>
        <v>30</v>
      </c>
      <c r="H122">
        <f t="shared" si="62"/>
        <v>2</v>
      </c>
      <c r="I122">
        <f t="shared" si="41"/>
        <v>120</v>
      </c>
      <c r="J122">
        <f t="shared" si="56"/>
        <v>0</v>
      </c>
      <c r="K122">
        <f t="shared" si="63"/>
        <v>2</v>
      </c>
      <c r="L122">
        <f t="shared" si="42"/>
        <v>180</v>
      </c>
      <c r="M122">
        <f t="shared" si="57"/>
        <v>0</v>
      </c>
      <c r="N122">
        <f t="shared" si="64"/>
        <v>2</v>
      </c>
      <c r="O122">
        <f t="shared" si="43"/>
        <v>300</v>
      </c>
      <c r="P122">
        <f t="shared" si="65"/>
        <v>0</v>
      </c>
      <c r="Q122">
        <f t="shared" si="66"/>
        <v>2</v>
      </c>
      <c r="R122">
        <f t="shared" si="44"/>
        <v>300</v>
      </c>
      <c r="S122">
        <f t="shared" si="67"/>
        <v>0</v>
      </c>
      <c r="T122">
        <f t="shared" si="68"/>
        <v>-1</v>
      </c>
      <c r="U122">
        <f t="shared" si="58"/>
        <v>0</v>
      </c>
      <c r="V122">
        <f t="shared" si="59"/>
        <v>1</v>
      </c>
      <c r="W122">
        <f t="shared" si="45"/>
        <v>0</v>
      </c>
      <c r="X122">
        <f t="shared" si="69"/>
        <v>0</v>
      </c>
      <c r="Y122">
        <f t="shared" si="46"/>
        <v>0</v>
      </c>
      <c r="Z122">
        <f t="shared" si="47"/>
        <v>0</v>
      </c>
      <c r="AA122">
        <f t="shared" si="48"/>
        <v>0</v>
      </c>
      <c r="AB122" s="29">
        <f t="shared" si="49"/>
        <v>0.74178816089935007</v>
      </c>
      <c r="AC122" s="25">
        <f t="shared" si="50"/>
        <v>127.49804426656831</v>
      </c>
      <c r="AD122" s="29">
        <f t="shared" si="51"/>
        <v>1.0808524183153847</v>
      </c>
      <c r="AE122" s="25">
        <f t="shared" si="60"/>
        <v>13.243681724743192</v>
      </c>
      <c r="AF122" s="25">
        <f t="shared" si="52"/>
        <v>13.243681724743192</v>
      </c>
      <c r="AG122" s="25">
        <f>IF($A122&lt;0,0,IF(instatk="bs",(1.5+talSCallInstBon)*(MHavg+(ap+Z122-$Z$1)/APtoDPS*MHnorm+170)*(1+sa*0.1+0.04*opp+0.02*agg+Slayer4value-1),IF(instatk="hemo",Slayer4value*(MHavg+(ap+Z122-$Z$1)/APtoDPS*MHnorm)*(1.1+talSCallInstBon)+420*(1+raidcrit)*debuffon,IF(instatk="ss",(MHavg+(ap+Z122-$Z$1)/APtoDPS*MHnorm+98)*(1+sa*0.1+0.02*agg+Slayer4value-1),IF(instatk="v",(ohavg+(ap+Z122-$Z$1)/APtoDPS*OHnorm)*(1+sa*0.1)*(0.5+0.05*dws)+avipdam,Slayer4value*((1+0.04*opp)*(MHavg+101+(ap+Z122-$Z$1)/APtoDPS*MHnorm+(0.5+0.05*dws)*(ohavg+(ap+Z122-$Z$1)/APtoDPS*OHnorm)+101*(1+0.1*dws))*(1+0.5*IF(Talents!$O$18="Yes",1,0)))))))*(instactualhit+(1+((leth*0.06+2)-1)*(cfact-1))*instactualcrit)*fwfactor*AB122*instsec*(AF122/$AN$45))</f>
        <v>290.78918279358999</v>
      </c>
      <c r="AH122" s="25">
        <f t="shared" si="70"/>
        <v>0</v>
      </c>
      <c r="AI122" s="25">
        <f t="shared" si="71"/>
        <v>0</v>
      </c>
      <c r="AJ122" s="25">
        <f t="shared" si="72"/>
        <v>0</v>
      </c>
    </row>
    <row r="123" spans="1:36">
      <c r="A123">
        <f t="shared" si="53"/>
        <v>120</v>
      </c>
      <c r="B123">
        <f t="shared" si="61"/>
        <v>3</v>
      </c>
      <c r="C123">
        <f t="shared" si="39"/>
        <v>120</v>
      </c>
      <c r="D123">
        <f t="shared" si="54"/>
        <v>1</v>
      </c>
      <c r="E123">
        <f t="shared" si="73"/>
        <v>3</v>
      </c>
      <c r="F123">
        <f t="shared" si="40"/>
        <v>180</v>
      </c>
      <c r="G123">
        <f t="shared" si="55"/>
        <v>0</v>
      </c>
      <c r="H123">
        <f t="shared" si="62"/>
        <v>2</v>
      </c>
      <c r="I123">
        <f t="shared" si="41"/>
        <v>120</v>
      </c>
      <c r="J123">
        <f t="shared" si="56"/>
        <v>1</v>
      </c>
      <c r="K123">
        <f t="shared" si="63"/>
        <v>2</v>
      </c>
      <c r="L123">
        <f t="shared" si="42"/>
        <v>180</v>
      </c>
      <c r="M123">
        <f t="shared" si="57"/>
        <v>0</v>
      </c>
      <c r="N123">
        <f t="shared" si="64"/>
        <v>2</v>
      </c>
      <c r="O123">
        <f t="shared" si="43"/>
        <v>300</v>
      </c>
      <c r="P123">
        <f t="shared" si="65"/>
        <v>0</v>
      </c>
      <c r="Q123">
        <f t="shared" si="66"/>
        <v>2</v>
      </c>
      <c r="R123">
        <f t="shared" si="44"/>
        <v>300</v>
      </c>
      <c r="S123">
        <f t="shared" si="67"/>
        <v>0</v>
      </c>
      <c r="T123">
        <f t="shared" si="68"/>
        <v>-1</v>
      </c>
      <c r="U123">
        <f t="shared" si="58"/>
        <v>0</v>
      </c>
      <c r="V123">
        <f t="shared" si="59"/>
        <v>1</v>
      </c>
      <c r="W123">
        <f t="shared" si="45"/>
        <v>0</v>
      </c>
      <c r="X123">
        <f t="shared" si="69"/>
        <v>0</v>
      </c>
      <c r="Y123">
        <f t="shared" si="46"/>
        <v>0</v>
      </c>
      <c r="Z123">
        <f t="shared" si="47"/>
        <v>278</v>
      </c>
      <c r="AA123">
        <f t="shared" si="48"/>
        <v>0</v>
      </c>
      <c r="AB123" s="29">
        <f t="shared" si="49"/>
        <v>0.74178816089935007</v>
      </c>
      <c r="AC123" s="25">
        <f t="shared" si="50"/>
        <v>607.49804426656829</v>
      </c>
      <c r="AD123" s="29">
        <f t="shared" si="51"/>
        <v>1.6622911946613885</v>
      </c>
      <c r="AE123" s="25">
        <f t="shared" si="60"/>
        <v>-11.756318275256808</v>
      </c>
      <c r="AF123" s="25">
        <f t="shared" si="52"/>
        <v>-11.756318275256808</v>
      </c>
      <c r="AG123" s="25">
        <f>IF($A123&lt;0,0,IF(instatk="bs",(1.5+talSCallInstBon)*(MHavg+(ap+Z123-$Z$1)/APtoDPS*MHnorm+170)*(1+sa*0.1+0.04*opp+0.02*agg+Slayer4value-1),IF(instatk="hemo",Slayer4value*(MHavg+(ap+Z123-$Z$1)/APtoDPS*MHnorm)*(1.1+talSCallInstBon)+420*(1+raidcrit)*debuffon,IF(instatk="ss",(MHavg+(ap+Z123-$Z$1)/APtoDPS*MHnorm+98)*(1+sa*0.1+0.02*agg+Slayer4value-1),IF(instatk="v",(ohavg+(ap+Z123-$Z$1)/APtoDPS*OHnorm)*(1+sa*0.1)*(0.5+0.05*dws)+avipdam,Slayer4value*((1+0.04*opp)*(MHavg+101+(ap+Z123-$Z$1)/APtoDPS*MHnorm+(0.5+0.05*dws)*(ohavg+(ap+Z123-$Z$1)/APtoDPS*OHnorm)+101*(1+0.1*dws))*(1+0.5*IF(Talents!$O$18="Yes",1,0)))))))*(instactualhit+(1+((leth*0.06+2)-1)*(cfact-1))*instactualcrit)*fwfactor*AB123*instsec*(AF123/$AN$45))</f>
        <v>-272.80074649840844</v>
      </c>
      <c r="AH123" s="25">
        <f t="shared" si="70"/>
        <v>11.756318275256808</v>
      </c>
      <c r="AI123" s="25">
        <f t="shared" si="71"/>
        <v>11.756318275256808</v>
      </c>
      <c r="AJ123" s="25">
        <f t="shared" si="72"/>
        <v>11.756318275256808</v>
      </c>
    </row>
    <row r="124" spans="1:36">
      <c r="A124">
        <f t="shared" si="53"/>
        <v>121</v>
      </c>
      <c r="B124">
        <f t="shared" si="61"/>
        <v>4</v>
      </c>
      <c r="C124">
        <f t="shared" si="39"/>
        <v>180</v>
      </c>
      <c r="D124">
        <f t="shared" si="54"/>
        <v>2</v>
      </c>
      <c r="E124">
        <f t="shared" si="73"/>
        <v>3</v>
      </c>
      <c r="F124">
        <f t="shared" si="40"/>
        <v>180</v>
      </c>
      <c r="G124">
        <f t="shared" si="55"/>
        <v>0</v>
      </c>
      <c r="H124">
        <f t="shared" si="62"/>
        <v>3</v>
      </c>
      <c r="I124">
        <f t="shared" si="41"/>
        <v>240</v>
      </c>
      <c r="J124">
        <f t="shared" si="56"/>
        <v>2</v>
      </c>
      <c r="K124">
        <f t="shared" si="63"/>
        <v>2</v>
      </c>
      <c r="L124">
        <f t="shared" si="42"/>
        <v>180</v>
      </c>
      <c r="M124">
        <f t="shared" si="57"/>
        <v>0</v>
      </c>
      <c r="N124">
        <f t="shared" si="64"/>
        <v>2</v>
      </c>
      <c r="O124">
        <f t="shared" si="43"/>
        <v>300</v>
      </c>
      <c r="P124">
        <f t="shared" si="65"/>
        <v>0</v>
      </c>
      <c r="Q124">
        <f t="shared" si="66"/>
        <v>2</v>
      </c>
      <c r="R124">
        <f t="shared" si="44"/>
        <v>300</v>
      </c>
      <c r="S124">
        <f t="shared" si="67"/>
        <v>0</v>
      </c>
      <c r="T124">
        <f t="shared" si="68"/>
        <v>-1</v>
      </c>
      <c r="U124">
        <f t="shared" si="58"/>
        <v>0</v>
      </c>
      <c r="V124">
        <f t="shared" si="59"/>
        <v>1</v>
      </c>
      <c r="W124">
        <f t="shared" si="45"/>
        <v>0</v>
      </c>
      <c r="X124">
        <f t="shared" si="69"/>
        <v>0</v>
      </c>
      <c r="Y124">
        <f t="shared" si="46"/>
        <v>0</v>
      </c>
      <c r="Z124">
        <f t="shared" si="47"/>
        <v>278</v>
      </c>
      <c r="AA124">
        <f t="shared" si="48"/>
        <v>0</v>
      </c>
      <c r="AB124" s="29">
        <f t="shared" si="49"/>
        <v>0.74178816089935007</v>
      </c>
      <c r="AC124" s="25">
        <f t="shared" si="50"/>
        <v>607.49804426656829</v>
      </c>
      <c r="AD124" s="29">
        <f t="shared" si="51"/>
        <v>1.6622911946613885</v>
      </c>
      <c r="AE124" s="25">
        <f t="shared" si="60"/>
        <v>13.243681724743192</v>
      </c>
      <c r="AF124" s="25">
        <f t="shared" si="52"/>
        <v>13.243681724743192</v>
      </c>
      <c r="AG124" s="25">
        <f>IF($A124&lt;0,0,IF(instatk="bs",(1.5+talSCallInstBon)*(MHavg+(ap+Z124-$Z$1)/APtoDPS*MHnorm+170)*(1+sa*0.1+0.04*opp+0.02*agg+Slayer4value-1),IF(instatk="hemo",Slayer4value*(MHavg+(ap+Z124-$Z$1)/APtoDPS*MHnorm)*(1.1+talSCallInstBon)+420*(1+raidcrit)*debuffon,IF(instatk="ss",(MHavg+(ap+Z124-$Z$1)/APtoDPS*MHnorm+98)*(1+sa*0.1+0.02*agg+Slayer4value-1),IF(instatk="v",(ohavg+(ap+Z124-$Z$1)/APtoDPS*OHnorm)*(1+sa*0.1)*(0.5+0.05*dws)+avipdam,Slayer4value*((1+0.04*opp)*(MHavg+101+(ap+Z124-$Z$1)/APtoDPS*MHnorm+(0.5+0.05*dws)*(ohavg+(ap+Z124-$Z$1)/APtoDPS*OHnorm)+101*(1+0.1*dws))*(1+0.5*IF(Talents!$O$18="Yes",1,0)))))))*(instactualhit+(1+((leth*0.06+2)-1)*(cfact-1))*instactualcrit)*fwfactor*AB124*instsec*(AF124/$AN$45))</f>
        <v>307.31443095592368</v>
      </c>
      <c r="AH124" s="25">
        <f t="shared" si="70"/>
        <v>0</v>
      </c>
      <c r="AI124" s="25">
        <f t="shared" si="71"/>
        <v>0</v>
      </c>
      <c r="AJ124" s="25">
        <f t="shared" si="72"/>
        <v>0</v>
      </c>
    </row>
    <row r="125" spans="1:36">
      <c r="A125">
        <f t="shared" si="53"/>
        <v>122</v>
      </c>
      <c r="B125">
        <f t="shared" si="61"/>
        <v>4</v>
      </c>
      <c r="C125">
        <f t="shared" si="39"/>
        <v>180</v>
      </c>
      <c r="D125">
        <f t="shared" si="54"/>
        <v>3</v>
      </c>
      <c r="E125">
        <f t="shared" si="73"/>
        <v>3</v>
      </c>
      <c r="F125">
        <f t="shared" si="40"/>
        <v>180</v>
      </c>
      <c r="G125">
        <f t="shared" si="55"/>
        <v>0</v>
      </c>
      <c r="H125">
        <f t="shared" si="62"/>
        <v>3</v>
      </c>
      <c r="I125">
        <f t="shared" si="41"/>
        <v>240</v>
      </c>
      <c r="J125">
        <f t="shared" si="56"/>
        <v>3</v>
      </c>
      <c r="K125">
        <f t="shared" si="63"/>
        <v>2</v>
      </c>
      <c r="L125">
        <f t="shared" si="42"/>
        <v>180</v>
      </c>
      <c r="M125">
        <f t="shared" si="57"/>
        <v>0</v>
      </c>
      <c r="N125">
        <f t="shared" si="64"/>
        <v>2</v>
      </c>
      <c r="O125">
        <f t="shared" si="43"/>
        <v>300</v>
      </c>
      <c r="P125">
        <f t="shared" si="65"/>
        <v>0</v>
      </c>
      <c r="Q125">
        <f t="shared" si="66"/>
        <v>2</v>
      </c>
      <c r="R125">
        <f t="shared" si="44"/>
        <v>300</v>
      </c>
      <c r="S125">
        <f t="shared" si="67"/>
        <v>0</v>
      </c>
      <c r="T125">
        <f t="shared" si="68"/>
        <v>-1</v>
      </c>
      <c r="U125">
        <f t="shared" si="58"/>
        <v>0</v>
      </c>
      <c r="V125">
        <f t="shared" si="59"/>
        <v>1</v>
      </c>
      <c r="W125">
        <f t="shared" si="45"/>
        <v>0</v>
      </c>
      <c r="X125">
        <f t="shared" si="69"/>
        <v>0</v>
      </c>
      <c r="Y125">
        <f t="shared" si="46"/>
        <v>0</v>
      </c>
      <c r="Z125">
        <f t="shared" si="47"/>
        <v>278</v>
      </c>
      <c r="AA125">
        <f t="shared" si="48"/>
        <v>0</v>
      </c>
      <c r="AB125" s="29">
        <f t="shared" si="49"/>
        <v>0.74178816089935007</v>
      </c>
      <c r="AC125" s="25">
        <f t="shared" si="50"/>
        <v>607.49804426656829</v>
      </c>
      <c r="AD125" s="29">
        <f t="shared" si="51"/>
        <v>1.6622911946613885</v>
      </c>
      <c r="AE125" s="25">
        <f t="shared" si="60"/>
        <v>13.243681724743192</v>
      </c>
      <c r="AF125" s="25">
        <f t="shared" si="52"/>
        <v>13.243681724743192</v>
      </c>
      <c r="AG125" s="25">
        <f>IF($A125&lt;0,0,IF(instatk="bs",(1.5+talSCallInstBon)*(MHavg+(ap+Z125-$Z$1)/APtoDPS*MHnorm+170)*(1+sa*0.1+0.04*opp+0.02*agg+Slayer4value-1),IF(instatk="hemo",Slayer4value*(MHavg+(ap+Z125-$Z$1)/APtoDPS*MHnorm)*(1.1+talSCallInstBon)+420*(1+raidcrit)*debuffon,IF(instatk="ss",(MHavg+(ap+Z125-$Z$1)/APtoDPS*MHnorm+98)*(1+sa*0.1+0.02*agg+Slayer4value-1),IF(instatk="v",(ohavg+(ap+Z125-$Z$1)/APtoDPS*OHnorm)*(1+sa*0.1)*(0.5+0.05*dws)+avipdam,Slayer4value*((1+0.04*opp)*(MHavg+101+(ap+Z125-$Z$1)/APtoDPS*MHnorm+(0.5+0.05*dws)*(ohavg+(ap+Z125-$Z$1)/APtoDPS*OHnorm)+101*(1+0.1*dws))*(1+0.5*IF(Talents!$O$18="Yes",1,0)))))))*(instactualhit+(1+((leth*0.06+2)-1)*(cfact-1))*instactualcrit)*fwfactor*AB125*instsec*(AF125/$AN$45))</f>
        <v>307.31443095592368</v>
      </c>
      <c r="AH125" s="25">
        <f t="shared" si="70"/>
        <v>0</v>
      </c>
      <c r="AI125" s="25">
        <f t="shared" si="71"/>
        <v>0</v>
      </c>
      <c r="AJ125" s="25">
        <f t="shared" si="72"/>
        <v>0</v>
      </c>
    </row>
    <row r="126" spans="1:36">
      <c r="A126">
        <f t="shared" si="53"/>
        <v>123</v>
      </c>
      <c r="B126">
        <f t="shared" si="61"/>
        <v>4</v>
      </c>
      <c r="C126">
        <f t="shared" si="39"/>
        <v>180</v>
      </c>
      <c r="D126">
        <f t="shared" si="54"/>
        <v>4</v>
      </c>
      <c r="E126">
        <f t="shared" si="73"/>
        <v>3</v>
      </c>
      <c r="F126">
        <f t="shared" si="40"/>
        <v>180</v>
      </c>
      <c r="G126">
        <f t="shared" si="55"/>
        <v>0</v>
      </c>
      <c r="H126">
        <f t="shared" si="62"/>
        <v>3</v>
      </c>
      <c r="I126">
        <f t="shared" si="41"/>
        <v>240</v>
      </c>
      <c r="J126">
        <f t="shared" si="56"/>
        <v>4</v>
      </c>
      <c r="K126">
        <f t="shared" si="63"/>
        <v>2</v>
      </c>
      <c r="L126">
        <f t="shared" si="42"/>
        <v>180</v>
      </c>
      <c r="M126">
        <f t="shared" si="57"/>
        <v>0</v>
      </c>
      <c r="N126">
        <f t="shared" si="64"/>
        <v>2</v>
      </c>
      <c r="O126">
        <f t="shared" si="43"/>
        <v>300</v>
      </c>
      <c r="P126">
        <f t="shared" si="65"/>
        <v>0</v>
      </c>
      <c r="Q126">
        <f t="shared" si="66"/>
        <v>2</v>
      </c>
      <c r="R126">
        <f t="shared" si="44"/>
        <v>300</v>
      </c>
      <c r="S126">
        <f t="shared" si="67"/>
        <v>0</v>
      </c>
      <c r="T126">
        <f t="shared" si="68"/>
        <v>-1</v>
      </c>
      <c r="U126">
        <f t="shared" si="58"/>
        <v>0</v>
      </c>
      <c r="V126">
        <f t="shared" si="59"/>
        <v>1</v>
      </c>
      <c r="W126">
        <f t="shared" si="45"/>
        <v>0</v>
      </c>
      <c r="X126">
        <f t="shared" si="69"/>
        <v>0</v>
      </c>
      <c r="Y126">
        <f t="shared" si="46"/>
        <v>0</v>
      </c>
      <c r="Z126">
        <f t="shared" si="47"/>
        <v>278</v>
      </c>
      <c r="AA126">
        <f t="shared" si="48"/>
        <v>0</v>
      </c>
      <c r="AB126" s="29">
        <f t="shared" si="49"/>
        <v>0.74178816089935007</v>
      </c>
      <c r="AC126" s="25">
        <f t="shared" si="50"/>
        <v>607.49804426656829</v>
      </c>
      <c r="AD126" s="29">
        <f t="shared" si="51"/>
        <v>1.6622911946613885</v>
      </c>
      <c r="AE126" s="25">
        <f t="shared" si="60"/>
        <v>13.243681724743192</v>
      </c>
      <c r="AF126" s="25">
        <f t="shared" si="52"/>
        <v>13.243681724743192</v>
      </c>
      <c r="AG126" s="25">
        <f>IF($A126&lt;0,0,IF(instatk="bs",(1.5+talSCallInstBon)*(MHavg+(ap+Z126-$Z$1)/APtoDPS*MHnorm+170)*(1+sa*0.1+0.04*opp+0.02*agg+Slayer4value-1),IF(instatk="hemo",Slayer4value*(MHavg+(ap+Z126-$Z$1)/APtoDPS*MHnorm)*(1.1+talSCallInstBon)+420*(1+raidcrit)*debuffon,IF(instatk="ss",(MHavg+(ap+Z126-$Z$1)/APtoDPS*MHnorm+98)*(1+sa*0.1+0.02*agg+Slayer4value-1),IF(instatk="v",(ohavg+(ap+Z126-$Z$1)/APtoDPS*OHnorm)*(1+sa*0.1)*(0.5+0.05*dws)+avipdam,Slayer4value*((1+0.04*opp)*(MHavg+101+(ap+Z126-$Z$1)/APtoDPS*MHnorm+(0.5+0.05*dws)*(ohavg+(ap+Z126-$Z$1)/APtoDPS*OHnorm)+101*(1+0.1*dws))*(1+0.5*IF(Talents!$O$18="Yes",1,0)))))))*(instactualhit+(1+((leth*0.06+2)-1)*(cfact-1))*instactualcrit)*fwfactor*AB126*instsec*(AF126/$AN$45))</f>
        <v>307.31443095592368</v>
      </c>
      <c r="AH126" s="25">
        <f t="shared" si="70"/>
        <v>0</v>
      </c>
      <c r="AI126" s="25">
        <f t="shared" si="71"/>
        <v>0</v>
      </c>
      <c r="AJ126" s="25">
        <f t="shared" si="72"/>
        <v>0</v>
      </c>
    </row>
    <row r="127" spans="1:36">
      <c r="A127">
        <f t="shared" si="53"/>
        <v>124</v>
      </c>
      <c r="B127">
        <f t="shared" si="61"/>
        <v>4</v>
      </c>
      <c r="C127">
        <f t="shared" si="39"/>
        <v>180</v>
      </c>
      <c r="D127">
        <f t="shared" si="54"/>
        <v>5</v>
      </c>
      <c r="E127">
        <f t="shared" si="73"/>
        <v>3</v>
      </c>
      <c r="F127">
        <f t="shared" si="40"/>
        <v>180</v>
      </c>
      <c r="G127">
        <f t="shared" si="55"/>
        <v>0</v>
      </c>
      <c r="H127">
        <f t="shared" si="62"/>
        <v>3</v>
      </c>
      <c r="I127">
        <f t="shared" si="41"/>
        <v>240</v>
      </c>
      <c r="J127">
        <f t="shared" si="56"/>
        <v>5</v>
      </c>
      <c r="K127">
        <f t="shared" si="63"/>
        <v>2</v>
      </c>
      <c r="L127">
        <f t="shared" si="42"/>
        <v>180</v>
      </c>
      <c r="M127">
        <f t="shared" si="57"/>
        <v>0</v>
      </c>
      <c r="N127">
        <f t="shared" si="64"/>
        <v>2</v>
      </c>
      <c r="O127">
        <f t="shared" si="43"/>
        <v>300</v>
      </c>
      <c r="P127">
        <f t="shared" si="65"/>
        <v>0</v>
      </c>
      <c r="Q127">
        <f t="shared" si="66"/>
        <v>2</v>
      </c>
      <c r="R127">
        <f t="shared" si="44"/>
        <v>300</v>
      </c>
      <c r="S127">
        <f t="shared" si="67"/>
        <v>0</v>
      </c>
      <c r="T127">
        <f t="shared" si="68"/>
        <v>-1</v>
      </c>
      <c r="U127">
        <f t="shared" si="58"/>
        <v>0</v>
      </c>
      <c r="V127">
        <f t="shared" si="59"/>
        <v>1</v>
      </c>
      <c r="W127">
        <f t="shared" si="45"/>
        <v>0</v>
      </c>
      <c r="X127">
        <f t="shared" si="69"/>
        <v>0</v>
      </c>
      <c r="Y127">
        <f t="shared" si="46"/>
        <v>0</v>
      </c>
      <c r="Z127">
        <f t="shared" si="47"/>
        <v>278</v>
      </c>
      <c r="AA127">
        <f t="shared" si="48"/>
        <v>0</v>
      </c>
      <c r="AB127" s="29">
        <f t="shared" si="49"/>
        <v>0.74178816089935007</v>
      </c>
      <c r="AC127" s="25">
        <f t="shared" si="50"/>
        <v>607.49804426656829</v>
      </c>
      <c r="AD127" s="29">
        <f t="shared" si="51"/>
        <v>1.6622911946613885</v>
      </c>
      <c r="AE127" s="25">
        <f t="shared" si="60"/>
        <v>13.243681724743192</v>
      </c>
      <c r="AF127" s="25">
        <f t="shared" si="52"/>
        <v>13.243681724743192</v>
      </c>
      <c r="AG127" s="25">
        <f>IF($A127&lt;0,0,IF(instatk="bs",(1.5+talSCallInstBon)*(MHavg+(ap+Z127-$Z$1)/APtoDPS*MHnorm+170)*(1+sa*0.1+0.04*opp+0.02*agg+Slayer4value-1),IF(instatk="hemo",Slayer4value*(MHavg+(ap+Z127-$Z$1)/APtoDPS*MHnorm)*(1.1+talSCallInstBon)+420*(1+raidcrit)*debuffon,IF(instatk="ss",(MHavg+(ap+Z127-$Z$1)/APtoDPS*MHnorm+98)*(1+sa*0.1+0.02*agg+Slayer4value-1),IF(instatk="v",(ohavg+(ap+Z127-$Z$1)/APtoDPS*OHnorm)*(1+sa*0.1)*(0.5+0.05*dws)+avipdam,Slayer4value*((1+0.04*opp)*(MHavg+101+(ap+Z127-$Z$1)/APtoDPS*MHnorm+(0.5+0.05*dws)*(ohavg+(ap+Z127-$Z$1)/APtoDPS*OHnorm)+101*(1+0.1*dws))*(1+0.5*IF(Talents!$O$18="Yes",1,0)))))))*(instactualhit+(1+((leth*0.06+2)-1)*(cfact-1))*instactualcrit)*fwfactor*AB127*instsec*(AF127/$AN$45))</f>
        <v>307.31443095592368</v>
      </c>
      <c r="AH127" s="25">
        <f t="shared" si="70"/>
        <v>0</v>
      </c>
      <c r="AI127" s="25">
        <f t="shared" si="71"/>
        <v>0</v>
      </c>
      <c r="AJ127" s="25">
        <f t="shared" si="72"/>
        <v>0</v>
      </c>
    </row>
    <row r="128" spans="1:36">
      <c r="A128">
        <f t="shared" si="53"/>
        <v>125</v>
      </c>
      <c r="B128">
        <f t="shared" si="61"/>
        <v>4</v>
      </c>
      <c r="C128">
        <f t="shared" si="39"/>
        <v>180</v>
      </c>
      <c r="D128">
        <f t="shared" si="54"/>
        <v>6</v>
      </c>
      <c r="E128">
        <f t="shared" si="73"/>
        <v>3</v>
      </c>
      <c r="F128">
        <f t="shared" si="40"/>
        <v>180</v>
      </c>
      <c r="G128">
        <f t="shared" si="55"/>
        <v>0</v>
      </c>
      <c r="H128">
        <f t="shared" si="62"/>
        <v>3</v>
      </c>
      <c r="I128">
        <f t="shared" si="41"/>
        <v>240</v>
      </c>
      <c r="J128">
        <f t="shared" si="56"/>
        <v>6</v>
      </c>
      <c r="K128">
        <f t="shared" si="63"/>
        <v>2</v>
      </c>
      <c r="L128">
        <f t="shared" si="42"/>
        <v>180</v>
      </c>
      <c r="M128">
        <f t="shared" si="57"/>
        <v>0</v>
      </c>
      <c r="N128">
        <f t="shared" si="64"/>
        <v>2</v>
      </c>
      <c r="O128">
        <f t="shared" si="43"/>
        <v>300</v>
      </c>
      <c r="P128">
        <f t="shared" si="65"/>
        <v>0</v>
      </c>
      <c r="Q128">
        <f t="shared" si="66"/>
        <v>2</v>
      </c>
      <c r="R128">
        <f t="shared" si="44"/>
        <v>300</v>
      </c>
      <c r="S128">
        <f t="shared" si="67"/>
        <v>0</v>
      </c>
      <c r="T128">
        <f t="shared" si="68"/>
        <v>-1</v>
      </c>
      <c r="U128">
        <f t="shared" si="58"/>
        <v>0</v>
      </c>
      <c r="V128">
        <f t="shared" si="59"/>
        <v>1</v>
      </c>
      <c r="W128">
        <f t="shared" si="45"/>
        <v>0</v>
      </c>
      <c r="X128">
        <f t="shared" si="69"/>
        <v>0</v>
      </c>
      <c r="Y128">
        <f t="shared" si="46"/>
        <v>0</v>
      </c>
      <c r="Z128">
        <f t="shared" si="47"/>
        <v>278</v>
      </c>
      <c r="AA128">
        <f t="shared" si="48"/>
        <v>0</v>
      </c>
      <c r="AB128" s="29">
        <f t="shared" si="49"/>
        <v>0.74178816089935007</v>
      </c>
      <c r="AC128" s="25">
        <f t="shared" si="50"/>
        <v>607.49804426656829</v>
      </c>
      <c r="AD128" s="29">
        <f t="shared" si="51"/>
        <v>1.6622911946613885</v>
      </c>
      <c r="AE128" s="25">
        <f t="shared" si="60"/>
        <v>13.243681724743192</v>
      </c>
      <c r="AF128" s="25">
        <f t="shared" si="52"/>
        <v>13.243681724743192</v>
      </c>
      <c r="AG128" s="25">
        <f>IF($A128&lt;0,0,IF(instatk="bs",(1.5+talSCallInstBon)*(MHavg+(ap+Z128-$Z$1)/APtoDPS*MHnorm+170)*(1+sa*0.1+0.04*opp+0.02*agg+Slayer4value-1),IF(instatk="hemo",Slayer4value*(MHavg+(ap+Z128-$Z$1)/APtoDPS*MHnorm)*(1.1+talSCallInstBon)+420*(1+raidcrit)*debuffon,IF(instatk="ss",(MHavg+(ap+Z128-$Z$1)/APtoDPS*MHnorm+98)*(1+sa*0.1+0.02*agg+Slayer4value-1),IF(instatk="v",(ohavg+(ap+Z128-$Z$1)/APtoDPS*OHnorm)*(1+sa*0.1)*(0.5+0.05*dws)+avipdam,Slayer4value*((1+0.04*opp)*(MHavg+101+(ap+Z128-$Z$1)/APtoDPS*MHnorm+(0.5+0.05*dws)*(ohavg+(ap+Z128-$Z$1)/APtoDPS*OHnorm)+101*(1+0.1*dws))*(1+0.5*IF(Talents!$O$18="Yes",1,0)))))))*(instactualhit+(1+((leth*0.06+2)-1)*(cfact-1))*instactualcrit)*fwfactor*AB128*instsec*(AF128/$AN$45))</f>
        <v>307.31443095592368</v>
      </c>
      <c r="AH128" s="25">
        <f t="shared" si="70"/>
        <v>0</v>
      </c>
      <c r="AI128" s="25">
        <f t="shared" si="71"/>
        <v>0</v>
      </c>
      <c r="AJ128" s="25">
        <f t="shared" si="72"/>
        <v>0</v>
      </c>
    </row>
    <row r="129" spans="1:36">
      <c r="A129">
        <f t="shared" si="53"/>
        <v>126</v>
      </c>
      <c r="B129">
        <f t="shared" si="61"/>
        <v>4</v>
      </c>
      <c r="C129">
        <f t="shared" si="39"/>
        <v>180</v>
      </c>
      <c r="D129">
        <f t="shared" si="54"/>
        <v>7</v>
      </c>
      <c r="E129">
        <f t="shared" si="73"/>
        <v>3</v>
      </c>
      <c r="F129">
        <f t="shared" si="40"/>
        <v>180</v>
      </c>
      <c r="G129">
        <f t="shared" si="55"/>
        <v>0</v>
      </c>
      <c r="H129">
        <f t="shared" si="62"/>
        <v>3</v>
      </c>
      <c r="I129">
        <f t="shared" si="41"/>
        <v>240</v>
      </c>
      <c r="J129">
        <f t="shared" si="56"/>
        <v>7</v>
      </c>
      <c r="K129">
        <f t="shared" si="63"/>
        <v>2</v>
      </c>
      <c r="L129">
        <f t="shared" si="42"/>
        <v>180</v>
      </c>
      <c r="M129">
        <f t="shared" si="57"/>
        <v>0</v>
      </c>
      <c r="N129">
        <f t="shared" si="64"/>
        <v>2</v>
      </c>
      <c r="O129">
        <f t="shared" si="43"/>
        <v>300</v>
      </c>
      <c r="P129">
        <f t="shared" si="65"/>
        <v>0</v>
      </c>
      <c r="Q129">
        <f t="shared" si="66"/>
        <v>2</v>
      </c>
      <c r="R129">
        <f t="shared" si="44"/>
        <v>300</v>
      </c>
      <c r="S129">
        <f t="shared" si="67"/>
        <v>0</v>
      </c>
      <c r="T129">
        <f t="shared" si="68"/>
        <v>-1</v>
      </c>
      <c r="U129">
        <f t="shared" si="58"/>
        <v>0</v>
      </c>
      <c r="V129">
        <f t="shared" si="59"/>
        <v>1</v>
      </c>
      <c r="W129">
        <f t="shared" si="45"/>
        <v>0</v>
      </c>
      <c r="X129">
        <f t="shared" si="69"/>
        <v>0</v>
      </c>
      <c r="Y129">
        <f t="shared" si="46"/>
        <v>0</v>
      </c>
      <c r="Z129">
        <f t="shared" si="47"/>
        <v>278</v>
      </c>
      <c r="AA129">
        <f t="shared" si="48"/>
        <v>0</v>
      </c>
      <c r="AB129" s="29">
        <f t="shared" si="49"/>
        <v>0.74178816089935007</v>
      </c>
      <c r="AC129" s="25">
        <f t="shared" si="50"/>
        <v>607.49804426656829</v>
      </c>
      <c r="AD129" s="29">
        <f t="shared" si="51"/>
        <v>1.6622911946613885</v>
      </c>
      <c r="AE129" s="25">
        <f t="shared" si="60"/>
        <v>13.243681724743192</v>
      </c>
      <c r="AF129" s="25">
        <f t="shared" si="52"/>
        <v>13.243681724743192</v>
      </c>
      <c r="AG129" s="25">
        <f>IF($A129&lt;0,0,IF(instatk="bs",(1.5+talSCallInstBon)*(MHavg+(ap+Z129-$Z$1)/APtoDPS*MHnorm+170)*(1+sa*0.1+0.04*opp+0.02*agg+Slayer4value-1),IF(instatk="hemo",Slayer4value*(MHavg+(ap+Z129-$Z$1)/APtoDPS*MHnorm)*(1.1+talSCallInstBon)+420*(1+raidcrit)*debuffon,IF(instatk="ss",(MHavg+(ap+Z129-$Z$1)/APtoDPS*MHnorm+98)*(1+sa*0.1+0.02*agg+Slayer4value-1),IF(instatk="v",(ohavg+(ap+Z129-$Z$1)/APtoDPS*OHnorm)*(1+sa*0.1)*(0.5+0.05*dws)+avipdam,Slayer4value*((1+0.04*opp)*(MHavg+101+(ap+Z129-$Z$1)/APtoDPS*MHnorm+(0.5+0.05*dws)*(ohavg+(ap+Z129-$Z$1)/APtoDPS*OHnorm)+101*(1+0.1*dws))*(1+0.5*IF(Talents!$O$18="Yes",1,0)))))))*(instactualhit+(1+((leth*0.06+2)-1)*(cfact-1))*instactualcrit)*fwfactor*AB129*instsec*(AF129/$AN$45))</f>
        <v>307.31443095592368</v>
      </c>
      <c r="AH129" s="25">
        <f t="shared" si="70"/>
        <v>0</v>
      </c>
      <c r="AI129" s="25">
        <f t="shared" si="71"/>
        <v>0</v>
      </c>
      <c r="AJ129" s="25">
        <f t="shared" si="72"/>
        <v>0</v>
      </c>
    </row>
    <row r="130" spans="1:36">
      <c r="A130">
        <f t="shared" si="53"/>
        <v>127</v>
      </c>
      <c r="B130">
        <f t="shared" si="61"/>
        <v>4</v>
      </c>
      <c r="C130">
        <f t="shared" si="39"/>
        <v>180</v>
      </c>
      <c r="D130">
        <f t="shared" si="54"/>
        <v>8</v>
      </c>
      <c r="E130">
        <f t="shared" si="73"/>
        <v>3</v>
      </c>
      <c r="F130">
        <f t="shared" si="40"/>
        <v>180</v>
      </c>
      <c r="G130">
        <f t="shared" si="55"/>
        <v>0</v>
      </c>
      <c r="H130">
        <f t="shared" si="62"/>
        <v>3</v>
      </c>
      <c r="I130">
        <f t="shared" si="41"/>
        <v>240</v>
      </c>
      <c r="J130">
        <f t="shared" si="56"/>
        <v>8</v>
      </c>
      <c r="K130">
        <f t="shared" si="63"/>
        <v>2</v>
      </c>
      <c r="L130">
        <f t="shared" si="42"/>
        <v>180</v>
      </c>
      <c r="M130">
        <f t="shared" si="57"/>
        <v>0</v>
      </c>
      <c r="N130">
        <f t="shared" si="64"/>
        <v>2</v>
      </c>
      <c r="O130">
        <f t="shared" si="43"/>
        <v>300</v>
      </c>
      <c r="P130">
        <f t="shared" si="65"/>
        <v>0</v>
      </c>
      <c r="Q130">
        <f t="shared" si="66"/>
        <v>2</v>
      </c>
      <c r="R130">
        <f t="shared" si="44"/>
        <v>300</v>
      </c>
      <c r="S130">
        <f t="shared" si="67"/>
        <v>0</v>
      </c>
      <c r="T130">
        <f t="shared" si="68"/>
        <v>-1</v>
      </c>
      <c r="U130">
        <f t="shared" si="58"/>
        <v>0</v>
      </c>
      <c r="V130">
        <f t="shared" si="59"/>
        <v>1</v>
      </c>
      <c r="W130">
        <f t="shared" si="45"/>
        <v>0</v>
      </c>
      <c r="X130">
        <f t="shared" si="69"/>
        <v>0</v>
      </c>
      <c r="Y130">
        <f t="shared" si="46"/>
        <v>0</v>
      </c>
      <c r="Z130">
        <f t="shared" si="47"/>
        <v>278</v>
      </c>
      <c r="AA130">
        <f t="shared" si="48"/>
        <v>0</v>
      </c>
      <c r="AB130" s="29">
        <f t="shared" si="49"/>
        <v>0.74178816089935007</v>
      </c>
      <c r="AC130" s="25">
        <f t="shared" si="50"/>
        <v>607.49804426656829</v>
      </c>
      <c r="AD130" s="29">
        <f t="shared" si="51"/>
        <v>1.6622911946613885</v>
      </c>
      <c r="AE130" s="25">
        <f t="shared" si="60"/>
        <v>13.243681724743192</v>
      </c>
      <c r="AF130" s="25">
        <f t="shared" si="52"/>
        <v>13.243681724743192</v>
      </c>
      <c r="AG130" s="25">
        <f>IF($A130&lt;0,0,IF(instatk="bs",(1.5+talSCallInstBon)*(MHavg+(ap+Z130-$Z$1)/APtoDPS*MHnorm+170)*(1+sa*0.1+0.04*opp+0.02*agg+Slayer4value-1),IF(instatk="hemo",Slayer4value*(MHavg+(ap+Z130-$Z$1)/APtoDPS*MHnorm)*(1.1+talSCallInstBon)+420*(1+raidcrit)*debuffon,IF(instatk="ss",(MHavg+(ap+Z130-$Z$1)/APtoDPS*MHnorm+98)*(1+sa*0.1+0.02*agg+Slayer4value-1),IF(instatk="v",(ohavg+(ap+Z130-$Z$1)/APtoDPS*OHnorm)*(1+sa*0.1)*(0.5+0.05*dws)+avipdam,Slayer4value*((1+0.04*opp)*(MHavg+101+(ap+Z130-$Z$1)/APtoDPS*MHnorm+(0.5+0.05*dws)*(ohavg+(ap+Z130-$Z$1)/APtoDPS*OHnorm)+101*(1+0.1*dws))*(1+0.5*IF(Talents!$O$18="Yes",1,0)))))))*(instactualhit+(1+((leth*0.06+2)-1)*(cfact-1))*instactualcrit)*fwfactor*AB130*instsec*(AF130/$AN$45))</f>
        <v>307.31443095592368</v>
      </c>
      <c r="AH130" s="25">
        <f t="shared" si="70"/>
        <v>0</v>
      </c>
      <c r="AI130" s="25">
        <f t="shared" si="71"/>
        <v>0</v>
      </c>
      <c r="AJ130" s="25">
        <f t="shared" si="72"/>
        <v>0</v>
      </c>
    </row>
    <row r="131" spans="1:36">
      <c r="A131">
        <f t="shared" si="53"/>
        <v>128</v>
      </c>
      <c r="B131">
        <f t="shared" si="61"/>
        <v>4</v>
      </c>
      <c r="C131">
        <f t="shared" ref="C131:C194" si="74">IF(AND(cdspec60,cdspec60plus),CHOOSE($B131,cdspec601,cdspec602,cdspec603,cdspec604,cdspec605,cdspec606,cdspec607,cdspec608,cdspec609,cdspec6010),($B131-1)*60+IF(cdspec60,cdspec601,0))</f>
        <v>180</v>
      </c>
      <c r="D131">
        <f t="shared" si="54"/>
        <v>9</v>
      </c>
      <c r="E131">
        <f t="shared" si="73"/>
        <v>3</v>
      </c>
      <c r="F131">
        <f t="shared" ref="F131:F194" si="75">IF(AND(cdspec90,cdspec90plus),CHOOSE(E131,cdspec901,cdspec902,cdspec903,cdspec904,cdspec905,cdspec906),(E131-1)*IF(cdtreat90as120,120,90)+IF(cdspec90,cdspec901,0))</f>
        <v>180</v>
      </c>
      <c r="G131">
        <f t="shared" si="55"/>
        <v>0</v>
      </c>
      <c r="H131">
        <f t="shared" si="62"/>
        <v>3</v>
      </c>
      <c r="I131">
        <f t="shared" ref="I131:I194" si="76">IF(AND(cdspec120,cdspec120plus),CHOOSE(H131,cdspec1201,cdspec1202,cdspec1203,cdspec1204,cdspec1205),(H131-1)*120+IF(cdspec120,cdspec1201,0))</f>
        <v>240</v>
      </c>
      <c r="J131">
        <f t="shared" si="56"/>
        <v>9</v>
      </c>
      <c r="K131">
        <f t="shared" si="63"/>
        <v>2</v>
      </c>
      <c r="L131">
        <f t="shared" ref="L131:L194" si="77">IF(AND(cdspec180,cdspec180plus),CHOOSE(K131,cdspec1801,cdspec1802,cdspec1803,cdspec1804),(K131-1)*IF(cdtreat180as240,240,180)+IF(cdspec180,cdspec1801,0))</f>
        <v>180</v>
      </c>
      <c r="M131">
        <f t="shared" si="57"/>
        <v>0</v>
      </c>
      <c r="N131">
        <f t="shared" si="64"/>
        <v>2</v>
      </c>
      <c r="O131">
        <f t="shared" ref="O131:O194" si="78">IF(cdspecar,CHOOSE(N131,cdar1,cdar2),(N131-1)*300)</f>
        <v>300</v>
      </c>
      <c r="P131">
        <f t="shared" si="65"/>
        <v>0</v>
      </c>
      <c r="Q131">
        <f t="shared" si="66"/>
        <v>2</v>
      </c>
      <c r="R131">
        <f t="shared" ref="R131:R194" si="79">IF(cdspectea,CHOOSE(Q131,cdtea1,cdtea2),(Q131-1)*300)</f>
        <v>300</v>
      </c>
      <c r="S131">
        <f t="shared" si="67"/>
        <v>0</v>
      </c>
      <c r="T131">
        <f t="shared" si="68"/>
        <v>-1</v>
      </c>
      <c r="U131">
        <f t="shared" si="58"/>
        <v>0</v>
      </c>
      <c r="V131">
        <f t="shared" si="59"/>
        <v>1</v>
      </c>
      <c r="W131">
        <f t="shared" ref="W131:W194" si="80">IF(V131=0,-1,IF(cdspeclust,CHOOSE(V131,cdlust1,cdlust2,cdlust3,cdlust4,cdlust5,cdlust6,cdlust7,cdlust8,cdlust9,cdlust10,cdlust11,cdlust12,cdlust13,cdlust14,cdlust15),(V131-1)*120))</f>
        <v>0</v>
      </c>
      <c r="X131">
        <f t="shared" si="69"/>
        <v>0</v>
      </c>
      <c r="Y131">
        <f t="shared" ref="Y131:Y194" si="81">IF($A131&lt;0, 0, IF($J131=0, 0, $AO$16*($J131&lt;=$AT$16)-IF($AW$14, $AO$3*($J131&lt;=$AT$3)))+IF($U131=0, 0, $AO$3))</f>
        <v>0</v>
      </c>
      <c r="Z131">
        <f t="shared" ref="Z131:Z194" si="82">IF($A131&lt;0, 0, IF($D131=0, 0, $AP$6*($D131&lt;=$AT$6)-IF($AW$5, $AP$3*($D131&lt;=$AT$3)))+IF($G131=0, 0, ($AP$9+$AP$10+$AP$11+$AP$12)*($G131&lt;=$AT$9)-IF($AW$8, $AP$3*($G131&lt;=$AT$3)))+IF($J131=0, 0, ($AP$17+$AP$18+$AP$19+$AP$24)*($J131&lt;=$AT$17)+($AP$23+$AP$25+$AP$27)*($J131&lt;=$AT$23)+$AP$30*($J131&lt;=$AT$30)+$AP$21*ROUNDUP($J131/2,0)*($J131&lt;=$AT$21)-IF($AW$14, IF($AP$3=65,$AP$3*ROUNDUP($J131/2,0)*($J131&lt;=$AT$3),$AP$3*($J131&lt;=$AT$3))))+IF($M131=0, 0, $AP$34*($M131&lt;=$AT$34)-IF($AW$32, $AP$3*($M131&lt;=$AT$3)))+IF($U131=0, 0, IF($AP$3=65,$AP$3*ROUNDUP($U131/2,0),$AP$3)))</f>
        <v>278</v>
      </c>
      <c r="AA131">
        <f t="shared" ref="AA131:AA194" si="83">IF($A131&lt;0,0,IF($J131=0,0,$AQ$20*($J131&lt;=$AT$20)-IF($AW$14,$AQ$3*($J131&lt;=$AT$3)))+IF($M131=0,0,$AQ$33*($M131&lt;=$AT$33))+IF($U131=0,0,$AQ$3))</f>
        <v>0</v>
      </c>
      <c r="AB131" s="29">
        <f t="shared" ref="AB131:AB194" si="84">IF($A131&lt;0,0,1-MAX($AN$44-AA131,0)/(MAX($AN$44-AA131,0)+467.5*CharLevel-22167.5))</f>
        <v>0.74178816089935007</v>
      </c>
      <c r="AC131" s="25">
        <f t="shared" ref="AC131:AC194" si="85">IF($A131&lt;0,0,$AN$43+IF($J131=0, 0, $AR$15*($J131&lt;=$AT$15)+$AR$22*($J131&lt;=$AT$22)+$AR$28*($J131&lt;=$AT$28)+$AR$29*($J131&lt;=$AT$29)-IF($AW$14, $AR$3*($J131&lt;=$AT$3))))</f>
        <v>607.49804426656829</v>
      </c>
      <c r="AD131" s="29">
        <f t="shared" ref="AD131:AD194" si="86">IF($A131&lt;0,0,(1+$AC131/(hasterate*100))*(1+$AS$26/100*AND($J131&gt;0,$J131&lt;=$AT$26))*(1+$AS$35/100*AND($M131&gt;0,$M131&lt;=$AT$35))*(1+0.3*($X131&gt;0)))</f>
        <v>1.6622911946613885</v>
      </c>
      <c r="AE131" s="25">
        <f t="shared" si="60"/>
        <v>13.243681724743192</v>
      </c>
      <c r="AF131" s="25">
        <f t="shared" ref="AF131:AF194" si="87">MIN(instcost,AE131)</f>
        <v>13.243681724743192</v>
      </c>
      <c r="AG131" s="25">
        <f>IF($A131&lt;0,0,IF(instatk="bs",(1.5+talSCallInstBon)*(MHavg+(ap+Z131-$Z$1)/APtoDPS*MHnorm+170)*(1+sa*0.1+0.04*opp+0.02*agg+Slayer4value-1),IF(instatk="hemo",Slayer4value*(MHavg+(ap+Z131-$Z$1)/APtoDPS*MHnorm)*(1.1+talSCallInstBon)+420*(1+raidcrit)*debuffon,IF(instatk="ss",(MHavg+(ap+Z131-$Z$1)/APtoDPS*MHnorm+98)*(1+sa*0.1+0.02*agg+Slayer4value-1),IF(instatk="v",(ohavg+(ap+Z131-$Z$1)/APtoDPS*OHnorm)*(1+sa*0.1)*(0.5+0.05*dws)+avipdam,Slayer4value*((1+0.04*opp)*(MHavg+101+(ap+Z131-$Z$1)/APtoDPS*MHnorm+(0.5+0.05*dws)*(ohavg+(ap+Z131-$Z$1)/APtoDPS*OHnorm)+101*(1+0.1*dws))*(1+0.5*IF(Talents!$O$18="Yes",1,0)))))))*(instactualhit+(1+((leth*0.06+2)-1)*(cfact-1))*instactualcrit)*fwfactor*AB131*instsec*(AF131/$AN$45))</f>
        <v>307.31443095592368</v>
      </c>
      <c r="AH131" s="25">
        <f t="shared" si="70"/>
        <v>0</v>
      </c>
      <c r="AI131" s="25">
        <f t="shared" si="71"/>
        <v>0</v>
      </c>
      <c r="AJ131" s="25">
        <f t="shared" si="72"/>
        <v>0</v>
      </c>
    </row>
    <row r="132" spans="1:36">
      <c r="A132">
        <f t="shared" ref="A132:A195" si="88">IF(A131&lt;0,-1,IF(A131+1&gt;=time,-1,A131+1))</f>
        <v>129</v>
      </c>
      <c r="B132">
        <f t="shared" si="61"/>
        <v>4</v>
      </c>
      <c r="C132">
        <f t="shared" si="74"/>
        <v>180</v>
      </c>
      <c r="D132">
        <f t="shared" ref="D132:D195" si="89">IF($A132=$C132,1,IF(AND($D131&gt;0,$D131&lt;30),$D131+1,0))</f>
        <v>10</v>
      </c>
      <c r="E132">
        <f t="shared" si="73"/>
        <v>3</v>
      </c>
      <c r="F132">
        <f t="shared" si="75"/>
        <v>180</v>
      </c>
      <c r="G132">
        <f t="shared" ref="G132:G195" si="90">IF($A132=F132,1,IF(AND(G131&gt;0,G131&lt;30),G131+1,0))</f>
        <v>0</v>
      </c>
      <c r="H132">
        <f t="shared" si="62"/>
        <v>3</v>
      </c>
      <c r="I132">
        <f t="shared" si="76"/>
        <v>240</v>
      </c>
      <c r="J132">
        <f t="shared" ref="J132:J195" si="91">IF($A132=I132,1,IF(AND(J131&gt;0,J131&lt;30),J131+1,0))</f>
        <v>10</v>
      </c>
      <c r="K132">
        <f t="shared" si="63"/>
        <v>2</v>
      </c>
      <c r="L132">
        <f t="shared" si="77"/>
        <v>180</v>
      </c>
      <c r="M132">
        <f t="shared" ref="M132:M195" si="92">IF($A132=L132,1,IF(AND(M131&gt;0,M131&lt;30),M131+1,0))</f>
        <v>0</v>
      </c>
      <c r="N132">
        <f t="shared" si="64"/>
        <v>2</v>
      </c>
      <c r="O132">
        <f t="shared" si="78"/>
        <v>300</v>
      </c>
      <c r="P132">
        <f t="shared" si="65"/>
        <v>0</v>
      </c>
      <c r="Q132">
        <f t="shared" si="66"/>
        <v>2</v>
      </c>
      <c r="R132">
        <f t="shared" si="79"/>
        <v>300</v>
      </c>
      <c r="S132">
        <f t="shared" si="67"/>
        <v>0</v>
      </c>
      <c r="T132">
        <f t="shared" si="68"/>
        <v>-1</v>
      </c>
      <c r="U132">
        <f t="shared" ref="U132:U195" si="93">IF($A132=T132,1,IF(AND(U131&gt;0,U131&lt;$AT$3),U131+1,0))</f>
        <v>0</v>
      </c>
      <c r="V132">
        <f t="shared" ref="V132:V195" si="94">MIN(IF(X131=1,V131+1,V131),blustcount)</f>
        <v>1</v>
      </c>
      <c r="W132">
        <f t="shared" si="80"/>
        <v>0</v>
      </c>
      <c r="X132">
        <f t="shared" si="69"/>
        <v>0</v>
      </c>
      <c r="Y132">
        <f t="shared" si="81"/>
        <v>0</v>
      </c>
      <c r="Z132">
        <f t="shared" si="82"/>
        <v>278</v>
      </c>
      <c r="AA132">
        <f t="shared" si="83"/>
        <v>0</v>
      </c>
      <c r="AB132" s="29">
        <f t="shared" si="84"/>
        <v>0.74178816089935007</v>
      </c>
      <c r="AC132" s="25">
        <f t="shared" si="85"/>
        <v>607.49804426656829</v>
      </c>
      <c r="AD132" s="29">
        <f t="shared" si="86"/>
        <v>1.6622911946613885</v>
      </c>
      <c r="AE132" s="25">
        <f t="shared" ref="AE132:AE195" si="95">IF($A132&lt;0,0,$AN$45+IF($P132&gt;0,$AN$37*$AL$37,0)+$S132*(60-IF(CharLevel&gt;60,(CharLevel-60)*2,0))*$AL$38+IF($J132=1,$AL$26*-25+IF($AL$39, 30, 0),0)+IF($M132=1,$AL$35*-10,0)+IF(AE131&gt;instcost,AE131-instcost,0))</f>
        <v>13.243681724743192</v>
      </c>
      <c r="AF132" s="25">
        <f t="shared" si="87"/>
        <v>13.243681724743192</v>
      </c>
      <c r="AG132" s="25">
        <f>IF($A132&lt;0,0,IF(instatk="bs",(1.5+talSCallInstBon)*(MHavg+(ap+Z132-$Z$1)/APtoDPS*MHnorm+170)*(1+sa*0.1+0.04*opp+0.02*agg+Slayer4value-1),IF(instatk="hemo",Slayer4value*(MHavg+(ap+Z132-$Z$1)/APtoDPS*MHnorm)*(1.1+talSCallInstBon)+420*(1+raidcrit)*debuffon,IF(instatk="ss",(MHavg+(ap+Z132-$Z$1)/APtoDPS*MHnorm+98)*(1+sa*0.1+0.02*agg+Slayer4value-1),IF(instatk="v",(ohavg+(ap+Z132-$Z$1)/APtoDPS*OHnorm)*(1+sa*0.1)*(0.5+0.05*dws)+avipdam,Slayer4value*((1+0.04*opp)*(MHavg+101+(ap+Z132-$Z$1)/APtoDPS*MHnorm+(0.5+0.05*dws)*(ohavg+(ap+Z132-$Z$1)/APtoDPS*OHnorm)+101*(1+0.1*dws))*(1+0.5*IF(Talents!$O$18="Yes",1,0)))))))*(instactualhit+(1+((leth*0.06+2)-1)*(cfact-1))*instactualcrit)*fwfactor*AB132*instsec*(AF132/$AN$45))</f>
        <v>307.31443095592368</v>
      </c>
      <c r="AH132" s="25">
        <f t="shared" si="70"/>
        <v>0</v>
      </c>
      <c r="AI132" s="25">
        <f t="shared" si="71"/>
        <v>0</v>
      </c>
      <c r="AJ132" s="25">
        <f t="shared" si="72"/>
        <v>0</v>
      </c>
    </row>
    <row r="133" spans="1:36">
      <c r="A133">
        <f t="shared" si="88"/>
        <v>130</v>
      </c>
      <c r="B133">
        <f t="shared" ref="B133:B196" si="96">MIN(IF(D132=1,B132+1,B132),10)</f>
        <v>4</v>
      </c>
      <c r="C133">
        <f t="shared" si="74"/>
        <v>180</v>
      </c>
      <c r="D133">
        <f t="shared" si="89"/>
        <v>11</v>
      </c>
      <c r="E133">
        <f t="shared" si="73"/>
        <v>3</v>
      </c>
      <c r="F133">
        <f t="shared" si="75"/>
        <v>180</v>
      </c>
      <c r="G133">
        <f t="shared" si="90"/>
        <v>0</v>
      </c>
      <c r="H133">
        <f t="shared" ref="H133:H196" si="97">MIN(IF(J132=1,H132+1,H132),5)</f>
        <v>3</v>
      </c>
      <c r="I133">
        <f t="shared" si="76"/>
        <v>240</v>
      </c>
      <c r="J133">
        <f t="shared" si="91"/>
        <v>11</v>
      </c>
      <c r="K133">
        <f t="shared" ref="K133:K196" si="98">MIN(IF(M132=1,K132+1,K132),4)</f>
        <v>2</v>
      </c>
      <c r="L133">
        <f t="shared" si="77"/>
        <v>180</v>
      </c>
      <c r="M133">
        <f t="shared" si="92"/>
        <v>0</v>
      </c>
      <c r="N133">
        <f t="shared" ref="N133:N196" si="99">MIN(IF(P132=1,N132+1,N132),2)</f>
        <v>2</v>
      </c>
      <c r="O133">
        <f t="shared" si="78"/>
        <v>300</v>
      </c>
      <c r="P133">
        <f t="shared" ref="P133:P196" si="100">IF($A133=O133,1,IF(AND(P132&gt;0,P132&lt;15),P132+1,0))</f>
        <v>0</v>
      </c>
      <c r="Q133">
        <f t="shared" ref="Q133:Q196" si="101">MIN(IF(S132=1,Q132+1,Q132),2)</f>
        <v>2</v>
      </c>
      <c r="R133">
        <f t="shared" si="79"/>
        <v>300</v>
      </c>
      <c r="S133">
        <f t="shared" ref="S133:S196" si="102">IF($A133=R133,1,IF(AND(S132&gt;0,S132&lt;1),S132+1,0))</f>
        <v>0</v>
      </c>
      <c r="T133">
        <f t="shared" ref="T133:T196" si="103">IF($AU$3, IF(AND(T132&gt;IF($AV$5,C133,IF($AV$8,F133,IF($AV$14,I133,IF($AV$32,L133))))-$AT$3,T132&lt;IF($AV$5,C133,IF($AV$8,F133,IF($AV$14,I133,IF($AV$32,L133))))+$AU$3), IF($AV$5,C133,IF($AV$8,F133,IF($AV$14,I133,IF($AV$32,L133))))+$AU$3, T132)+IF(T132-A132=0, IF($AW$5,60,IF($AW$8,90,IF($AW$14,120,IF($AW$32,180))))), -1)</f>
        <v>-1</v>
      </c>
      <c r="U133">
        <f t="shared" si="93"/>
        <v>0</v>
      </c>
      <c r="V133">
        <f t="shared" si="94"/>
        <v>1</v>
      </c>
      <c r="W133">
        <f t="shared" si="80"/>
        <v>0</v>
      </c>
      <c r="X133">
        <f t="shared" ref="X133:X196" si="104">IF($A133=W133,1,IF(AND(X132&gt;0,X132&lt;40),X132+1,0))</f>
        <v>0</v>
      </c>
      <c r="Y133">
        <f t="shared" si="81"/>
        <v>0</v>
      </c>
      <c r="Z133">
        <f t="shared" si="82"/>
        <v>278</v>
      </c>
      <c r="AA133">
        <f t="shared" si="83"/>
        <v>0</v>
      </c>
      <c r="AB133" s="29">
        <f t="shared" si="84"/>
        <v>0.74178816089935007</v>
      </c>
      <c r="AC133" s="25">
        <f t="shared" si="85"/>
        <v>607.49804426656829</v>
      </c>
      <c r="AD133" s="29">
        <f t="shared" si="86"/>
        <v>1.6622911946613885</v>
      </c>
      <c r="AE133" s="25">
        <f t="shared" si="95"/>
        <v>13.243681724743192</v>
      </c>
      <c r="AF133" s="25">
        <f t="shared" si="87"/>
        <v>13.243681724743192</v>
      </c>
      <c r="AG133" s="25">
        <f>IF($A133&lt;0,0,IF(instatk="bs",(1.5+talSCallInstBon)*(MHavg+(ap+Z133-$Z$1)/APtoDPS*MHnorm+170)*(1+sa*0.1+0.04*opp+0.02*agg+Slayer4value-1),IF(instatk="hemo",Slayer4value*(MHavg+(ap+Z133-$Z$1)/APtoDPS*MHnorm)*(1.1+talSCallInstBon)+420*(1+raidcrit)*debuffon,IF(instatk="ss",(MHavg+(ap+Z133-$Z$1)/APtoDPS*MHnorm+98)*(1+sa*0.1+0.02*agg+Slayer4value-1),IF(instatk="v",(ohavg+(ap+Z133-$Z$1)/APtoDPS*OHnorm)*(1+sa*0.1)*(0.5+0.05*dws)+avipdam,Slayer4value*((1+0.04*opp)*(MHavg+101+(ap+Z133-$Z$1)/APtoDPS*MHnorm+(0.5+0.05*dws)*(ohavg+(ap+Z133-$Z$1)/APtoDPS*OHnorm)+101*(1+0.1*dws))*(1+0.5*IF(Talents!$O$18="Yes",1,0)))))))*(instactualhit+(1+((leth*0.06+2)-1)*(cfact-1))*instactualcrit)*fwfactor*AB133*instsec*(AF133/$AN$45))</f>
        <v>307.31443095592368</v>
      </c>
      <c r="AH133" s="25">
        <f t="shared" ref="AH133:AH196" si="105">IF(AH132-$AF133&lt;0,0,AH132-$AF133)</f>
        <v>0</v>
      </c>
      <c r="AI133" s="25">
        <f t="shared" ref="AI133:AI196" si="106">IF(AI132-AF133&lt;0,0,AI132-AF133)</f>
        <v>0</v>
      </c>
      <c r="AJ133" s="25">
        <f t="shared" ref="AJ133:AJ196" si="107">IF(AJ132-$AF133&lt;0,0,AJ132-$AF133)</f>
        <v>0</v>
      </c>
    </row>
    <row r="134" spans="1:36">
      <c r="A134">
        <f t="shared" si="88"/>
        <v>131</v>
      </c>
      <c r="B134">
        <f t="shared" si="96"/>
        <v>4</v>
      </c>
      <c r="C134">
        <f t="shared" si="74"/>
        <v>180</v>
      </c>
      <c r="D134">
        <f t="shared" si="89"/>
        <v>12</v>
      </c>
      <c r="E134">
        <f t="shared" ref="E134:E197" si="108">MIN(IF(G133=1,E133+1,E133),6)</f>
        <v>3</v>
      </c>
      <c r="F134">
        <f t="shared" si="75"/>
        <v>180</v>
      </c>
      <c r="G134">
        <f t="shared" si="90"/>
        <v>0</v>
      </c>
      <c r="H134">
        <f t="shared" si="97"/>
        <v>3</v>
      </c>
      <c r="I134">
        <f t="shared" si="76"/>
        <v>240</v>
      </c>
      <c r="J134">
        <f t="shared" si="91"/>
        <v>12</v>
      </c>
      <c r="K134">
        <f t="shared" si="98"/>
        <v>2</v>
      </c>
      <c r="L134">
        <f t="shared" si="77"/>
        <v>180</v>
      </c>
      <c r="M134">
        <f t="shared" si="92"/>
        <v>0</v>
      </c>
      <c r="N134">
        <f t="shared" si="99"/>
        <v>2</v>
      </c>
      <c r="O134">
        <f t="shared" si="78"/>
        <v>300</v>
      </c>
      <c r="P134">
        <f t="shared" si="100"/>
        <v>0</v>
      </c>
      <c r="Q134">
        <f t="shared" si="101"/>
        <v>2</v>
      </c>
      <c r="R134">
        <f t="shared" si="79"/>
        <v>300</v>
      </c>
      <c r="S134">
        <f t="shared" si="102"/>
        <v>0</v>
      </c>
      <c r="T134">
        <f t="shared" si="103"/>
        <v>-1</v>
      </c>
      <c r="U134">
        <f t="shared" si="93"/>
        <v>0</v>
      </c>
      <c r="V134">
        <f t="shared" si="94"/>
        <v>1</v>
      </c>
      <c r="W134">
        <f t="shared" si="80"/>
        <v>0</v>
      </c>
      <c r="X134">
        <f t="shared" si="104"/>
        <v>0</v>
      </c>
      <c r="Y134">
        <f t="shared" si="81"/>
        <v>0</v>
      </c>
      <c r="Z134">
        <f t="shared" si="82"/>
        <v>278</v>
      </c>
      <c r="AA134">
        <f t="shared" si="83"/>
        <v>0</v>
      </c>
      <c r="AB134" s="29">
        <f t="shared" si="84"/>
        <v>0.74178816089935007</v>
      </c>
      <c r="AC134" s="25">
        <f t="shared" si="85"/>
        <v>607.49804426656829</v>
      </c>
      <c r="AD134" s="29">
        <f t="shared" si="86"/>
        <v>1.6622911946613885</v>
      </c>
      <c r="AE134" s="25">
        <f t="shared" si="95"/>
        <v>13.243681724743192</v>
      </c>
      <c r="AF134" s="25">
        <f t="shared" si="87"/>
        <v>13.243681724743192</v>
      </c>
      <c r="AG134" s="25">
        <f>IF($A134&lt;0,0,IF(instatk="bs",(1.5+talSCallInstBon)*(MHavg+(ap+Z134-$Z$1)/APtoDPS*MHnorm+170)*(1+sa*0.1+0.04*opp+0.02*agg+Slayer4value-1),IF(instatk="hemo",Slayer4value*(MHavg+(ap+Z134-$Z$1)/APtoDPS*MHnorm)*(1.1+talSCallInstBon)+420*(1+raidcrit)*debuffon,IF(instatk="ss",(MHavg+(ap+Z134-$Z$1)/APtoDPS*MHnorm+98)*(1+sa*0.1+0.02*agg+Slayer4value-1),IF(instatk="v",(ohavg+(ap+Z134-$Z$1)/APtoDPS*OHnorm)*(1+sa*0.1)*(0.5+0.05*dws)+avipdam,Slayer4value*((1+0.04*opp)*(MHavg+101+(ap+Z134-$Z$1)/APtoDPS*MHnorm+(0.5+0.05*dws)*(ohavg+(ap+Z134-$Z$1)/APtoDPS*OHnorm)+101*(1+0.1*dws))*(1+0.5*IF(Talents!$O$18="Yes",1,0)))))))*(instactualhit+(1+((leth*0.06+2)-1)*(cfact-1))*instactualcrit)*fwfactor*AB134*instsec*(AF134/$AN$45))</f>
        <v>307.31443095592368</v>
      </c>
      <c r="AH134" s="25">
        <f t="shared" si="105"/>
        <v>0</v>
      </c>
      <c r="AI134" s="25">
        <f t="shared" si="106"/>
        <v>0</v>
      </c>
      <c r="AJ134" s="25">
        <f t="shared" si="107"/>
        <v>0</v>
      </c>
    </row>
    <row r="135" spans="1:36">
      <c r="A135">
        <f t="shared" si="88"/>
        <v>132</v>
      </c>
      <c r="B135">
        <f t="shared" si="96"/>
        <v>4</v>
      </c>
      <c r="C135">
        <f t="shared" si="74"/>
        <v>180</v>
      </c>
      <c r="D135">
        <f t="shared" si="89"/>
        <v>13</v>
      </c>
      <c r="E135">
        <f t="shared" si="108"/>
        <v>3</v>
      </c>
      <c r="F135">
        <f t="shared" si="75"/>
        <v>180</v>
      </c>
      <c r="G135">
        <f t="shared" si="90"/>
        <v>0</v>
      </c>
      <c r="H135">
        <f t="shared" si="97"/>
        <v>3</v>
      </c>
      <c r="I135">
        <f t="shared" si="76"/>
        <v>240</v>
      </c>
      <c r="J135">
        <f t="shared" si="91"/>
        <v>13</v>
      </c>
      <c r="K135">
        <f t="shared" si="98"/>
        <v>2</v>
      </c>
      <c r="L135">
        <f t="shared" si="77"/>
        <v>180</v>
      </c>
      <c r="M135">
        <f t="shared" si="92"/>
        <v>0</v>
      </c>
      <c r="N135">
        <f t="shared" si="99"/>
        <v>2</v>
      </c>
      <c r="O135">
        <f t="shared" si="78"/>
        <v>300</v>
      </c>
      <c r="P135">
        <f t="shared" si="100"/>
        <v>0</v>
      </c>
      <c r="Q135">
        <f t="shared" si="101"/>
        <v>2</v>
      </c>
      <c r="R135">
        <f t="shared" si="79"/>
        <v>300</v>
      </c>
      <c r="S135">
        <f t="shared" si="102"/>
        <v>0</v>
      </c>
      <c r="T135">
        <f t="shared" si="103"/>
        <v>-1</v>
      </c>
      <c r="U135">
        <f t="shared" si="93"/>
        <v>0</v>
      </c>
      <c r="V135">
        <f t="shared" si="94"/>
        <v>1</v>
      </c>
      <c r="W135">
        <f t="shared" si="80"/>
        <v>0</v>
      </c>
      <c r="X135">
        <f t="shared" si="104"/>
        <v>0</v>
      </c>
      <c r="Y135">
        <f t="shared" si="81"/>
        <v>0</v>
      </c>
      <c r="Z135">
        <f t="shared" si="82"/>
        <v>278</v>
      </c>
      <c r="AA135">
        <f t="shared" si="83"/>
        <v>0</v>
      </c>
      <c r="AB135" s="29">
        <f t="shared" si="84"/>
        <v>0.74178816089935007</v>
      </c>
      <c r="AC135" s="25">
        <f t="shared" si="85"/>
        <v>607.49804426656829</v>
      </c>
      <c r="AD135" s="29">
        <f t="shared" si="86"/>
        <v>1.6622911946613885</v>
      </c>
      <c r="AE135" s="25">
        <f t="shared" si="95"/>
        <v>13.243681724743192</v>
      </c>
      <c r="AF135" s="25">
        <f t="shared" si="87"/>
        <v>13.243681724743192</v>
      </c>
      <c r="AG135" s="25">
        <f>IF($A135&lt;0,0,IF(instatk="bs",(1.5+talSCallInstBon)*(MHavg+(ap+Z135-$Z$1)/APtoDPS*MHnorm+170)*(1+sa*0.1+0.04*opp+0.02*agg+Slayer4value-1),IF(instatk="hemo",Slayer4value*(MHavg+(ap+Z135-$Z$1)/APtoDPS*MHnorm)*(1.1+talSCallInstBon)+420*(1+raidcrit)*debuffon,IF(instatk="ss",(MHavg+(ap+Z135-$Z$1)/APtoDPS*MHnorm+98)*(1+sa*0.1+0.02*agg+Slayer4value-1),IF(instatk="v",(ohavg+(ap+Z135-$Z$1)/APtoDPS*OHnorm)*(1+sa*0.1)*(0.5+0.05*dws)+avipdam,Slayer4value*((1+0.04*opp)*(MHavg+101+(ap+Z135-$Z$1)/APtoDPS*MHnorm+(0.5+0.05*dws)*(ohavg+(ap+Z135-$Z$1)/APtoDPS*OHnorm)+101*(1+0.1*dws))*(1+0.5*IF(Talents!$O$18="Yes",1,0)))))))*(instactualhit+(1+((leth*0.06+2)-1)*(cfact-1))*instactualcrit)*fwfactor*AB135*instsec*(AF135/$AN$45))</f>
        <v>307.31443095592368</v>
      </c>
      <c r="AH135" s="25">
        <f t="shared" si="105"/>
        <v>0</v>
      </c>
      <c r="AI135" s="25">
        <f t="shared" si="106"/>
        <v>0</v>
      </c>
      <c r="AJ135" s="25">
        <f t="shared" si="107"/>
        <v>0</v>
      </c>
    </row>
    <row r="136" spans="1:36">
      <c r="A136">
        <f t="shared" si="88"/>
        <v>133</v>
      </c>
      <c r="B136">
        <f t="shared" si="96"/>
        <v>4</v>
      </c>
      <c r="C136">
        <f t="shared" si="74"/>
        <v>180</v>
      </c>
      <c r="D136">
        <f t="shared" si="89"/>
        <v>14</v>
      </c>
      <c r="E136">
        <f t="shared" si="108"/>
        <v>3</v>
      </c>
      <c r="F136">
        <f t="shared" si="75"/>
        <v>180</v>
      </c>
      <c r="G136">
        <f t="shared" si="90"/>
        <v>0</v>
      </c>
      <c r="H136">
        <f t="shared" si="97"/>
        <v>3</v>
      </c>
      <c r="I136">
        <f t="shared" si="76"/>
        <v>240</v>
      </c>
      <c r="J136">
        <f t="shared" si="91"/>
        <v>14</v>
      </c>
      <c r="K136">
        <f t="shared" si="98"/>
        <v>2</v>
      </c>
      <c r="L136">
        <f t="shared" si="77"/>
        <v>180</v>
      </c>
      <c r="M136">
        <f t="shared" si="92"/>
        <v>0</v>
      </c>
      <c r="N136">
        <f t="shared" si="99"/>
        <v>2</v>
      </c>
      <c r="O136">
        <f t="shared" si="78"/>
        <v>300</v>
      </c>
      <c r="P136">
        <f t="shared" si="100"/>
        <v>0</v>
      </c>
      <c r="Q136">
        <f t="shared" si="101"/>
        <v>2</v>
      </c>
      <c r="R136">
        <f t="shared" si="79"/>
        <v>300</v>
      </c>
      <c r="S136">
        <f t="shared" si="102"/>
        <v>0</v>
      </c>
      <c r="T136">
        <f t="shared" si="103"/>
        <v>-1</v>
      </c>
      <c r="U136">
        <f t="shared" si="93"/>
        <v>0</v>
      </c>
      <c r="V136">
        <f t="shared" si="94"/>
        <v>1</v>
      </c>
      <c r="W136">
        <f t="shared" si="80"/>
        <v>0</v>
      </c>
      <c r="X136">
        <f t="shared" si="104"/>
        <v>0</v>
      </c>
      <c r="Y136">
        <f t="shared" si="81"/>
        <v>0</v>
      </c>
      <c r="Z136">
        <f t="shared" si="82"/>
        <v>278</v>
      </c>
      <c r="AA136">
        <f t="shared" si="83"/>
        <v>0</v>
      </c>
      <c r="AB136" s="29">
        <f t="shared" si="84"/>
        <v>0.74178816089935007</v>
      </c>
      <c r="AC136" s="25">
        <f t="shared" si="85"/>
        <v>607.49804426656829</v>
      </c>
      <c r="AD136" s="29">
        <f t="shared" si="86"/>
        <v>1.6622911946613885</v>
      </c>
      <c r="AE136" s="25">
        <f t="shared" si="95"/>
        <v>13.243681724743192</v>
      </c>
      <c r="AF136" s="25">
        <f t="shared" si="87"/>
        <v>13.243681724743192</v>
      </c>
      <c r="AG136" s="25">
        <f>IF($A136&lt;0,0,IF(instatk="bs",(1.5+talSCallInstBon)*(MHavg+(ap+Z136-$Z$1)/APtoDPS*MHnorm+170)*(1+sa*0.1+0.04*opp+0.02*agg+Slayer4value-1),IF(instatk="hemo",Slayer4value*(MHavg+(ap+Z136-$Z$1)/APtoDPS*MHnorm)*(1.1+talSCallInstBon)+420*(1+raidcrit)*debuffon,IF(instatk="ss",(MHavg+(ap+Z136-$Z$1)/APtoDPS*MHnorm+98)*(1+sa*0.1+0.02*agg+Slayer4value-1),IF(instatk="v",(ohavg+(ap+Z136-$Z$1)/APtoDPS*OHnorm)*(1+sa*0.1)*(0.5+0.05*dws)+avipdam,Slayer4value*((1+0.04*opp)*(MHavg+101+(ap+Z136-$Z$1)/APtoDPS*MHnorm+(0.5+0.05*dws)*(ohavg+(ap+Z136-$Z$1)/APtoDPS*OHnorm)+101*(1+0.1*dws))*(1+0.5*IF(Talents!$O$18="Yes",1,0)))))))*(instactualhit+(1+((leth*0.06+2)-1)*(cfact-1))*instactualcrit)*fwfactor*AB136*instsec*(AF136/$AN$45))</f>
        <v>307.31443095592368</v>
      </c>
      <c r="AH136" s="25">
        <f t="shared" si="105"/>
        <v>0</v>
      </c>
      <c r="AI136" s="25">
        <f t="shared" si="106"/>
        <v>0</v>
      </c>
      <c r="AJ136" s="25">
        <f t="shared" si="107"/>
        <v>0</v>
      </c>
    </row>
    <row r="137" spans="1:36">
      <c r="A137">
        <f t="shared" si="88"/>
        <v>134</v>
      </c>
      <c r="B137">
        <f t="shared" si="96"/>
        <v>4</v>
      </c>
      <c r="C137">
        <f t="shared" si="74"/>
        <v>180</v>
      </c>
      <c r="D137">
        <f t="shared" si="89"/>
        <v>15</v>
      </c>
      <c r="E137">
        <f t="shared" si="108"/>
        <v>3</v>
      </c>
      <c r="F137">
        <f t="shared" si="75"/>
        <v>180</v>
      </c>
      <c r="G137">
        <f t="shared" si="90"/>
        <v>0</v>
      </c>
      <c r="H137">
        <f t="shared" si="97"/>
        <v>3</v>
      </c>
      <c r="I137">
        <f t="shared" si="76"/>
        <v>240</v>
      </c>
      <c r="J137">
        <f t="shared" si="91"/>
        <v>15</v>
      </c>
      <c r="K137">
        <f t="shared" si="98"/>
        <v>2</v>
      </c>
      <c r="L137">
        <f t="shared" si="77"/>
        <v>180</v>
      </c>
      <c r="M137">
        <f t="shared" si="92"/>
        <v>0</v>
      </c>
      <c r="N137">
        <f t="shared" si="99"/>
        <v>2</v>
      </c>
      <c r="O137">
        <f t="shared" si="78"/>
        <v>300</v>
      </c>
      <c r="P137">
        <f t="shared" si="100"/>
        <v>0</v>
      </c>
      <c r="Q137">
        <f t="shared" si="101"/>
        <v>2</v>
      </c>
      <c r="R137">
        <f t="shared" si="79"/>
        <v>300</v>
      </c>
      <c r="S137">
        <f t="shared" si="102"/>
        <v>0</v>
      </c>
      <c r="T137">
        <f t="shared" si="103"/>
        <v>-1</v>
      </c>
      <c r="U137">
        <f t="shared" si="93"/>
        <v>0</v>
      </c>
      <c r="V137">
        <f t="shared" si="94"/>
        <v>1</v>
      </c>
      <c r="W137">
        <f t="shared" si="80"/>
        <v>0</v>
      </c>
      <c r="X137">
        <f t="shared" si="104"/>
        <v>0</v>
      </c>
      <c r="Y137">
        <f t="shared" si="81"/>
        <v>0</v>
      </c>
      <c r="Z137">
        <f t="shared" si="82"/>
        <v>278</v>
      </c>
      <c r="AA137">
        <f t="shared" si="83"/>
        <v>0</v>
      </c>
      <c r="AB137" s="29">
        <f t="shared" si="84"/>
        <v>0.74178816089935007</v>
      </c>
      <c r="AC137" s="25">
        <f t="shared" si="85"/>
        <v>607.49804426656829</v>
      </c>
      <c r="AD137" s="29">
        <f t="shared" si="86"/>
        <v>1.6622911946613885</v>
      </c>
      <c r="AE137" s="25">
        <f t="shared" si="95"/>
        <v>13.243681724743192</v>
      </c>
      <c r="AF137" s="25">
        <f t="shared" si="87"/>
        <v>13.243681724743192</v>
      </c>
      <c r="AG137" s="25">
        <f>IF($A137&lt;0,0,IF(instatk="bs",(1.5+talSCallInstBon)*(MHavg+(ap+Z137-$Z$1)/APtoDPS*MHnorm+170)*(1+sa*0.1+0.04*opp+0.02*agg+Slayer4value-1),IF(instatk="hemo",Slayer4value*(MHavg+(ap+Z137-$Z$1)/APtoDPS*MHnorm)*(1.1+talSCallInstBon)+420*(1+raidcrit)*debuffon,IF(instatk="ss",(MHavg+(ap+Z137-$Z$1)/APtoDPS*MHnorm+98)*(1+sa*0.1+0.02*agg+Slayer4value-1),IF(instatk="v",(ohavg+(ap+Z137-$Z$1)/APtoDPS*OHnorm)*(1+sa*0.1)*(0.5+0.05*dws)+avipdam,Slayer4value*((1+0.04*opp)*(MHavg+101+(ap+Z137-$Z$1)/APtoDPS*MHnorm+(0.5+0.05*dws)*(ohavg+(ap+Z137-$Z$1)/APtoDPS*OHnorm)+101*(1+0.1*dws))*(1+0.5*IF(Talents!$O$18="Yes",1,0)))))))*(instactualhit+(1+((leth*0.06+2)-1)*(cfact-1))*instactualcrit)*fwfactor*AB137*instsec*(AF137/$AN$45))</f>
        <v>307.31443095592368</v>
      </c>
      <c r="AH137" s="25">
        <f t="shared" si="105"/>
        <v>0</v>
      </c>
      <c r="AI137" s="25">
        <f t="shared" si="106"/>
        <v>0</v>
      </c>
      <c r="AJ137" s="25">
        <f t="shared" si="107"/>
        <v>0</v>
      </c>
    </row>
    <row r="138" spans="1:36">
      <c r="A138">
        <f t="shared" si="88"/>
        <v>135</v>
      </c>
      <c r="B138">
        <f t="shared" si="96"/>
        <v>4</v>
      </c>
      <c r="C138">
        <f t="shared" si="74"/>
        <v>180</v>
      </c>
      <c r="D138">
        <f t="shared" si="89"/>
        <v>16</v>
      </c>
      <c r="E138">
        <f t="shared" si="108"/>
        <v>3</v>
      </c>
      <c r="F138">
        <f t="shared" si="75"/>
        <v>180</v>
      </c>
      <c r="G138">
        <f t="shared" si="90"/>
        <v>0</v>
      </c>
      <c r="H138">
        <f t="shared" si="97"/>
        <v>3</v>
      </c>
      <c r="I138">
        <f t="shared" si="76"/>
        <v>240</v>
      </c>
      <c r="J138">
        <f t="shared" si="91"/>
        <v>16</v>
      </c>
      <c r="K138">
        <f t="shared" si="98"/>
        <v>2</v>
      </c>
      <c r="L138">
        <f t="shared" si="77"/>
        <v>180</v>
      </c>
      <c r="M138">
        <f t="shared" si="92"/>
        <v>0</v>
      </c>
      <c r="N138">
        <f t="shared" si="99"/>
        <v>2</v>
      </c>
      <c r="O138">
        <f t="shared" si="78"/>
        <v>300</v>
      </c>
      <c r="P138">
        <f t="shared" si="100"/>
        <v>0</v>
      </c>
      <c r="Q138">
        <f t="shared" si="101"/>
        <v>2</v>
      </c>
      <c r="R138">
        <f t="shared" si="79"/>
        <v>300</v>
      </c>
      <c r="S138">
        <f t="shared" si="102"/>
        <v>0</v>
      </c>
      <c r="T138">
        <f t="shared" si="103"/>
        <v>-1</v>
      </c>
      <c r="U138">
        <f t="shared" si="93"/>
        <v>0</v>
      </c>
      <c r="V138">
        <f t="shared" si="94"/>
        <v>1</v>
      </c>
      <c r="W138">
        <f t="shared" si="80"/>
        <v>0</v>
      </c>
      <c r="X138">
        <f t="shared" si="104"/>
        <v>0</v>
      </c>
      <c r="Y138">
        <f t="shared" si="81"/>
        <v>0</v>
      </c>
      <c r="Z138">
        <f t="shared" si="82"/>
        <v>278</v>
      </c>
      <c r="AA138">
        <f t="shared" si="83"/>
        <v>0</v>
      </c>
      <c r="AB138" s="29">
        <f t="shared" si="84"/>
        <v>0.74178816089935007</v>
      </c>
      <c r="AC138" s="25">
        <f t="shared" si="85"/>
        <v>207.49804426656831</v>
      </c>
      <c r="AD138" s="29">
        <f t="shared" si="86"/>
        <v>1.1315841256324579</v>
      </c>
      <c r="AE138" s="25">
        <f t="shared" si="95"/>
        <v>13.243681724743192</v>
      </c>
      <c r="AF138" s="25">
        <f t="shared" si="87"/>
        <v>13.243681724743192</v>
      </c>
      <c r="AG138" s="25">
        <f>IF($A138&lt;0,0,IF(instatk="bs",(1.5+talSCallInstBon)*(MHavg+(ap+Z138-$Z$1)/APtoDPS*MHnorm+170)*(1+sa*0.1+0.04*opp+0.02*agg+Slayer4value-1),IF(instatk="hemo",Slayer4value*(MHavg+(ap+Z138-$Z$1)/APtoDPS*MHnorm)*(1.1+talSCallInstBon)+420*(1+raidcrit)*debuffon,IF(instatk="ss",(MHavg+(ap+Z138-$Z$1)/APtoDPS*MHnorm+98)*(1+sa*0.1+0.02*agg+Slayer4value-1),IF(instatk="v",(ohavg+(ap+Z138-$Z$1)/APtoDPS*OHnorm)*(1+sa*0.1)*(0.5+0.05*dws)+avipdam,Slayer4value*((1+0.04*opp)*(MHavg+101+(ap+Z138-$Z$1)/APtoDPS*MHnorm+(0.5+0.05*dws)*(ohavg+(ap+Z138-$Z$1)/APtoDPS*OHnorm)+101*(1+0.1*dws))*(1+0.5*IF(Talents!$O$18="Yes",1,0)))))))*(instactualhit+(1+((leth*0.06+2)-1)*(cfact-1))*instactualcrit)*fwfactor*AB138*instsec*(AF138/$AN$45))</f>
        <v>307.31443095592368</v>
      </c>
      <c r="AH138" s="25">
        <f t="shared" si="105"/>
        <v>0</v>
      </c>
      <c r="AI138" s="25">
        <f t="shared" si="106"/>
        <v>0</v>
      </c>
      <c r="AJ138" s="25">
        <f t="shared" si="107"/>
        <v>0</v>
      </c>
    </row>
    <row r="139" spans="1:36">
      <c r="A139">
        <f t="shared" si="88"/>
        <v>136</v>
      </c>
      <c r="B139">
        <f t="shared" si="96"/>
        <v>4</v>
      </c>
      <c r="C139">
        <f t="shared" si="74"/>
        <v>180</v>
      </c>
      <c r="D139">
        <f t="shared" si="89"/>
        <v>17</v>
      </c>
      <c r="E139">
        <f t="shared" si="108"/>
        <v>3</v>
      </c>
      <c r="F139">
        <f t="shared" si="75"/>
        <v>180</v>
      </c>
      <c r="G139">
        <f t="shared" si="90"/>
        <v>0</v>
      </c>
      <c r="H139">
        <f t="shared" si="97"/>
        <v>3</v>
      </c>
      <c r="I139">
        <f t="shared" si="76"/>
        <v>240</v>
      </c>
      <c r="J139">
        <f t="shared" si="91"/>
        <v>17</v>
      </c>
      <c r="K139">
        <f t="shared" si="98"/>
        <v>2</v>
      </c>
      <c r="L139">
        <f t="shared" si="77"/>
        <v>180</v>
      </c>
      <c r="M139">
        <f t="shared" si="92"/>
        <v>0</v>
      </c>
      <c r="N139">
        <f t="shared" si="99"/>
        <v>2</v>
      </c>
      <c r="O139">
        <f t="shared" si="78"/>
        <v>300</v>
      </c>
      <c r="P139">
        <f t="shared" si="100"/>
        <v>0</v>
      </c>
      <c r="Q139">
        <f t="shared" si="101"/>
        <v>2</v>
      </c>
      <c r="R139">
        <f t="shared" si="79"/>
        <v>300</v>
      </c>
      <c r="S139">
        <f t="shared" si="102"/>
        <v>0</v>
      </c>
      <c r="T139">
        <f t="shared" si="103"/>
        <v>-1</v>
      </c>
      <c r="U139">
        <f t="shared" si="93"/>
        <v>0</v>
      </c>
      <c r="V139">
        <f t="shared" si="94"/>
        <v>1</v>
      </c>
      <c r="W139">
        <f t="shared" si="80"/>
        <v>0</v>
      </c>
      <c r="X139">
        <f t="shared" si="104"/>
        <v>0</v>
      </c>
      <c r="Y139">
        <f t="shared" si="81"/>
        <v>0</v>
      </c>
      <c r="Z139">
        <f t="shared" si="82"/>
        <v>278</v>
      </c>
      <c r="AA139">
        <f t="shared" si="83"/>
        <v>0</v>
      </c>
      <c r="AB139" s="29">
        <f t="shared" si="84"/>
        <v>0.74178816089935007</v>
      </c>
      <c r="AC139" s="25">
        <f t="shared" si="85"/>
        <v>207.49804426656831</v>
      </c>
      <c r="AD139" s="29">
        <f t="shared" si="86"/>
        <v>1.1315841256324579</v>
      </c>
      <c r="AE139" s="25">
        <f t="shared" si="95"/>
        <v>13.243681724743192</v>
      </c>
      <c r="AF139" s="25">
        <f t="shared" si="87"/>
        <v>13.243681724743192</v>
      </c>
      <c r="AG139" s="25">
        <f>IF($A139&lt;0,0,IF(instatk="bs",(1.5+talSCallInstBon)*(MHavg+(ap+Z139-$Z$1)/APtoDPS*MHnorm+170)*(1+sa*0.1+0.04*opp+0.02*agg+Slayer4value-1),IF(instatk="hemo",Slayer4value*(MHavg+(ap+Z139-$Z$1)/APtoDPS*MHnorm)*(1.1+talSCallInstBon)+420*(1+raidcrit)*debuffon,IF(instatk="ss",(MHavg+(ap+Z139-$Z$1)/APtoDPS*MHnorm+98)*(1+sa*0.1+0.02*agg+Slayer4value-1),IF(instatk="v",(ohavg+(ap+Z139-$Z$1)/APtoDPS*OHnorm)*(1+sa*0.1)*(0.5+0.05*dws)+avipdam,Slayer4value*((1+0.04*opp)*(MHavg+101+(ap+Z139-$Z$1)/APtoDPS*MHnorm+(0.5+0.05*dws)*(ohavg+(ap+Z139-$Z$1)/APtoDPS*OHnorm)+101*(1+0.1*dws))*(1+0.5*IF(Talents!$O$18="Yes",1,0)))))))*(instactualhit+(1+((leth*0.06+2)-1)*(cfact-1))*instactualcrit)*fwfactor*AB139*instsec*(AF139/$AN$45))</f>
        <v>307.31443095592368</v>
      </c>
      <c r="AH139" s="25">
        <f t="shared" si="105"/>
        <v>0</v>
      </c>
      <c r="AI139" s="25">
        <f t="shared" si="106"/>
        <v>0</v>
      </c>
      <c r="AJ139" s="25">
        <f t="shared" si="107"/>
        <v>0</v>
      </c>
    </row>
    <row r="140" spans="1:36">
      <c r="A140">
        <f t="shared" si="88"/>
        <v>137</v>
      </c>
      <c r="B140">
        <f t="shared" si="96"/>
        <v>4</v>
      </c>
      <c r="C140">
        <f t="shared" si="74"/>
        <v>180</v>
      </c>
      <c r="D140">
        <f t="shared" si="89"/>
        <v>18</v>
      </c>
      <c r="E140">
        <f t="shared" si="108"/>
        <v>3</v>
      </c>
      <c r="F140">
        <f t="shared" si="75"/>
        <v>180</v>
      </c>
      <c r="G140">
        <f t="shared" si="90"/>
        <v>0</v>
      </c>
      <c r="H140">
        <f t="shared" si="97"/>
        <v>3</v>
      </c>
      <c r="I140">
        <f t="shared" si="76"/>
        <v>240</v>
      </c>
      <c r="J140">
        <f t="shared" si="91"/>
        <v>18</v>
      </c>
      <c r="K140">
        <f t="shared" si="98"/>
        <v>2</v>
      </c>
      <c r="L140">
        <f t="shared" si="77"/>
        <v>180</v>
      </c>
      <c r="M140">
        <f t="shared" si="92"/>
        <v>0</v>
      </c>
      <c r="N140">
        <f t="shared" si="99"/>
        <v>2</v>
      </c>
      <c r="O140">
        <f t="shared" si="78"/>
        <v>300</v>
      </c>
      <c r="P140">
        <f t="shared" si="100"/>
        <v>0</v>
      </c>
      <c r="Q140">
        <f t="shared" si="101"/>
        <v>2</v>
      </c>
      <c r="R140">
        <f t="shared" si="79"/>
        <v>300</v>
      </c>
      <c r="S140">
        <f t="shared" si="102"/>
        <v>0</v>
      </c>
      <c r="T140">
        <f t="shared" si="103"/>
        <v>-1</v>
      </c>
      <c r="U140">
        <f t="shared" si="93"/>
        <v>0</v>
      </c>
      <c r="V140">
        <f t="shared" si="94"/>
        <v>1</v>
      </c>
      <c r="W140">
        <f t="shared" si="80"/>
        <v>0</v>
      </c>
      <c r="X140">
        <f t="shared" si="104"/>
        <v>0</v>
      </c>
      <c r="Y140">
        <f t="shared" si="81"/>
        <v>0</v>
      </c>
      <c r="Z140">
        <f t="shared" si="82"/>
        <v>278</v>
      </c>
      <c r="AA140">
        <f t="shared" si="83"/>
        <v>0</v>
      </c>
      <c r="AB140" s="29">
        <f t="shared" si="84"/>
        <v>0.74178816089935007</v>
      </c>
      <c r="AC140" s="25">
        <f t="shared" si="85"/>
        <v>207.49804426656831</v>
      </c>
      <c r="AD140" s="29">
        <f t="shared" si="86"/>
        <v>1.1315841256324579</v>
      </c>
      <c r="AE140" s="25">
        <f t="shared" si="95"/>
        <v>13.243681724743192</v>
      </c>
      <c r="AF140" s="25">
        <f t="shared" si="87"/>
        <v>13.243681724743192</v>
      </c>
      <c r="AG140" s="25">
        <f>IF($A140&lt;0,0,IF(instatk="bs",(1.5+talSCallInstBon)*(MHavg+(ap+Z140-$Z$1)/APtoDPS*MHnorm+170)*(1+sa*0.1+0.04*opp+0.02*agg+Slayer4value-1),IF(instatk="hemo",Slayer4value*(MHavg+(ap+Z140-$Z$1)/APtoDPS*MHnorm)*(1.1+talSCallInstBon)+420*(1+raidcrit)*debuffon,IF(instatk="ss",(MHavg+(ap+Z140-$Z$1)/APtoDPS*MHnorm+98)*(1+sa*0.1+0.02*agg+Slayer4value-1),IF(instatk="v",(ohavg+(ap+Z140-$Z$1)/APtoDPS*OHnorm)*(1+sa*0.1)*(0.5+0.05*dws)+avipdam,Slayer4value*((1+0.04*opp)*(MHavg+101+(ap+Z140-$Z$1)/APtoDPS*MHnorm+(0.5+0.05*dws)*(ohavg+(ap+Z140-$Z$1)/APtoDPS*OHnorm)+101*(1+0.1*dws))*(1+0.5*IF(Talents!$O$18="Yes",1,0)))))))*(instactualhit+(1+((leth*0.06+2)-1)*(cfact-1))*instactualcrit)*fwfactor*AB140*instsec*(AF140/$AN$45))</f>
        <v>307.31443095592368</v>
      </c>
      <c r="AH140" s="25">
        <f t="shared" si="105"/>
        <v>0</v>
      </c>
      <c r="AI140" s="25">
        <f t="shared" si="106"/>
        <v>0</v>
      </c>
      <c r="AJ140" s="25">
        <f t="shared" si="107"/>
        <v>0</v>
      </c>
    </row>
    <row r="141" spans="1:36">
      <c r="A141">
        <f t="shared" si="88"/>
        <v>138</v>
      </c>
      <c r="B141">
        <f t="shared" si="96"/>
        <v>4</v>
      </c>
      <c r="C141">
        <f t="shared" si="74"/>
        <v>180</v>
      </c>
      <c r="D141">
        <f t="shared" si="89"/>
        <v>19</v>
      </c>
      <c r="E141">
        <f t="shared" si="108"/>
        <v>3</v>
      </c>
      <c r="F141">
        <f t="shared" si="75"/>
        <v>180</v>
      </c>
      <c r="G141">
        <f t="shared" si="90"/>
        <v>0</v>
      </c>
      <c r="H141">
        <f t="shared" si="97"/>
        <v>3</v>
      </c>
      <c r="I141">
        <f t="shared" si="76"/>
        <v>240</v>
      </c>
      <c r="J141">
        <f t="shared" si="91"/>
        <v>19</v>
      </c>
      <c r="K141">
        <f t="shared" si="98"/>
        <v>2</v>
      </c>
      <c r="L141">
        <f t="shared" si="77"/>
        <v>180</v>
      </c>
      <c r="M141">
        <f t="shared" si="92"/>
        <v>0</v>
      </c>
      <c r="N141">
        <f t="shared" si="99"/>
        <v>2</v>
      </c>
      <c r="O141">
        <f t="shared" si="78"/>
        <v>300</v>
      </c>
      <c r="P141">
        <f t="shared" si="100"/>
        <v>0</v>
      </c>
      <c r="Q141">
        <f t="shared" si="101"/>
        <v>2</v>
      </c>
      <c r="R141">
        <f t="shared" si="79"/>
        <v>300</v>
      </c>
      <c r="S141">
        <f t="shared" si="102"/>
        <v>0</v>
      </c>
      <c r="T141">
        <f t="shared" si="103"/>
        <v>-1</v>
      </c>
      <c r="U141">
        <f t="shared" si="93"/>
        <v>0</v>
      </c>
      <c r="V141">
        <f t="shared" si="94"/>
        <v>1</v>
      </c>
      <c r="W141">
        <f t="shared" si="80"/>
        <v>0</v>
      </c>
      <c r="X141">
        <f t="shared" si="104"/>
        <v>0</v>
      </c>
      <c r="Y141">
        <f t="shared" si="81"/>
        <v>0</v>
      </c>
      <c r="Z141">
        <f t="shared" si="82"/>
        <v>278</v>
      </c>
      <c r="AA141">
        <f t="shared" si="83"/>
        <v>0</v>
      </c>
      <c r="AB141" s="29">
        <f t="shared" si="84"/>
        <v>0.74178816089935007</v>
      </c>
      <c r="AC141" s="25">
        <f t="shared" si="85"/>
        <v>207.49804426656831</v>
      </c>
      <c r="AD141" s="29">
        <f t="shared" si="86"/>
        <v>1.1315841256324579</v>
      </c>
      <c r="AE141" s="25">
        <f t="shared" si="95"/>
        <v>13.243681724743192</v>
      </c>
      <c r="AF141" s="25">
        <f t="shared" si="87"/>
        <v>13.243681724743192</v>
      </c>
      <c r="AG141" s="25">
        <f>IF($A141&lt;0,0,IF(instatk="bs",(1.5+talSCallInstBon)*(MHavg+(ap+Z141-$Z$1)/APtoDPS*MHnorm+170)*(1+sa*0.1+0.04*opp+0.02*agg+Slayer4value-1),IF(instatk="hemo",Slayer4value*(MHavg+(ap+Z141-$Z$1)/APtoDPS*MHnorm)*(1.1+talSCallInstBon)+420*(1+raidcrit)*debuffon,IF(instatk="ss",(MHavg+(ap+Z141-$Z$1)/APtoDPS*MHnorm+98)*(1+sa*0.1+0.02*agg+Slayer4value-1),IF(instatk="v",(ohavg+(ap+Z141-$Z$1)/APtoDPS*OHnorm)*(1+sa*0.1)*(0.5+0.05*dws)+avipdam,Slayer4value*((1+0.04*opp)*(MHavg+101+(ap+Z141-$Z$1)/APtoDPS*MHnorm+(0.5+0.05*dws)*(ohavg+(ap+Z141-$Z$1)/APtoDPS*OHnorm)+101*(1+0.1*dws))*(1+0.5*IF(Talents!$O$18="Yes",1,0)))))))*(instactualhit+(1+((leth*0.06+2)-1)*(cfact-1))*instactualcrit)*fwfactor*AB141*instsec*(AF141/$AN$45))</f>
        <v>307.31443095592368</v>
      </c>
      <c r="AH141" s="25">
        <f t="shared" si="105"/>
        <v>0</v>
      </c>
      <c r="AI141" s="25">
        <f t="shared" si="106"/>
        <v>0</v>
      </c>
      <c r="AJ141" s="25">
        <f t="shared" si="107"/>
        <v>0</v>
      </c>
    </row>
    <row r="142" spans="1:36">
      <c r="A142">
        <f t="shared" si="88"/>
        <v>139</v>
      </c>
      <c r="B142">
        <f t="shared" si="96"/>
        <v>4</v>
      </c>
      <c r="C142">
        <f t="shared" si="74"/>
        <v>180</v>
      </c>
      <c r="D142">
        <f t="shared" si="89"/>
        <v>20</v>
      </c>
      <c r="E142">
        <f t="shared" si="108"/>
        <v>3</v>
      </c>
      <c r="F142">
        <f t="shared" si="75"/>
        <v>180</v>
      </c>
      <c r="G142">
        <f t="shared" si="90"/>
        <v>0</v>
      </c>
      <c r="H142">
        <f t="shared" si="97"/>
        <v>3</v>
      </c>
      <c r="I142">
        <f t="shared" si="76"/>
        <v>240</v>
      </c>
      <c r="J142">
        <f t="shared" si="91"/>
        <v>20</v>
      </c>
      <c r="K142">
        <f t="shared" si="98"/>
        <v>2</v>
      </c>
      <c r="L142">
        <f t="shared" si="77"/>
        <v>180</v>
      </c>
      <c r="M142">
        <f t="shared" si="92"/>
        <v>0</v>
      </c>
      <c r="N142">
        <f t="shared" si="99"/>
        <v>2</v>
      </c>
      <c r="O142">
        <f t="shared" si="78"/>
        <v>300</v>
      </c>
      <c r="P142">
        <f t="shared" si="100"/>
        <v>0</v>
      </c>
      <c r="Q142">
        <f t="shared" si="101"/>
        <v>2</v>
      </c>
      <c r="R142">
        <f t="shared" si="79"/>
        <v>300</v>
      </c>
      <c r="S142">
        <f t="shared" si="102"/>
        <v>0</v>
      </c>
      <c r="T142">
        <f t="shared" si="103"/>
        <v>-1</v>
      </c>
      <c r="U142">
        <f t="shared" si="93"/>
        <v>0</v>
      </c>
      <c r="V142">
        <f t="shared" si="94"/>
        <v>1</v>
      </c>
      <c r="W142">
        <f t="shared" si="80"/>
        <v>0</v>
      </c>
      <c r="X142">
        <f t="shared" si="104"/>
        <v>0</v>
      </c>
      <c r="Y142">
        <f t="shared" si="81"/>
        <v>0</v>
      </c>
      <c r="Z142">
        <f t="shared" si="82"/>
        <v>278</v>
      </c>
      <c r="AA142">
        <f t="shared" si="83"/>
        <v>0</v>
      </c>
      <c r="AB142" s="29">
        <f t="shared" si="84"/>
        <v>0.74178816089935007</v>
      </c>
      <c r="AC142" s="25">
        <f t="shared" si="85"/>
        <v>207.49804426656831</v>
      </c>
      <c r="AD142" s="29">
        <f t="shared" si="86"/>
        <v>1.1315841256324579</v>
      </c>
      <c r="AE142" s="25">
        <f t="shared" si="95"/>
        <v>13.243681724743192</v>
      </c>
      <c r="AF142" s="25">
        <f t="shared" si="87"/>
        <v>13.243681724743192</v>
      </c>
      <c r="AG142" s="25">
        <f>IF($A142&lt;0,0,IF(instatk="bs",(1.5+talSCallInstBon)*(MHavg+(ap+Z142-$Z$1)/APtoDPS*MHnorm+170)*(1+sa*0.1+0.04*opp+0.02*agg+Slayer4value-1),IF(instatk="hemo",Slayer4value*(MHavg+(ap+Z142-$Z$1)/APtoDPS*MHnorm)*(1.1+talSCallInstBon)+420*(1+raidcrit)*debuffon,IF(instatk="ss",(MHavg+(ap+Z142-$Z$1)/APtoDPS*MHnorm+98)*(1+sa*0.1+0.02*agg+Slayer4value-1),IF(instatk="v",(ohavg+(ap+Z142-$Z$1)/APtoDPS*OHnorm)*(1+sa*0.1)*(0.5+0.05*dws)+avipdam,Slayer4value*((1+0.04*opp)*(MHavg+101+(ap+Z142-$Z$1)/APtoDPS*MHnorm+(0.5+0.05*dws)*(ohavg+(ap+Z142-$Z$1)/APtoDPS*OHnorm)+101*(1+0.1*dws))*(1+0.5*IF(Talents!$O$18="Yes",1,0)))))))*(instactualhit+(1+((leth*0.06+2)-1)*(cfact-1))*instactualcrit)*fwfactor*AB142*instsec*(AF142/$AN$45))</f>
        <v>307.31443095592368</v>
      </c>
      <c r="AH142" s="25">
        <f t="shared" si="105"/>
        <v>0</v>
      </c>
      <c r="AI142" s="25">
        <f t="shared" si="106"/>
        <v>0</v>
      </c>
      <c r="AJ142" s="25">
        <f t="shared" si="107"/>
        <v>0</v>
      </c>
    </row>
    <row r="143" spans="1:36">
      <c r="A143">
        <f t="shared" si="88"/>
        <v>140</v>
      </c>
      <c r="B143">
        <f t="shared" si="96"/>
        <v>4</v>
      </c>
      <c r="C143">
        <f t="shared" si="74"/>
        <v>180</v>
      </c>
      <c r="D143">
        <f t="shared" si="89"/>
        <v>21</v>
      </c>
      <c r="E143">
        <f t="shared" si="108"/>
        <v>3</v>
      </c>
      <c r="F143">
        <f t="shared" si="75"/>
        <v>180</v>
      </c>
      <c r="G143">
        <f t="shared" si="90"/>
        <v>0</v>
      </c>
      <c r="H143">
        <f t="shared" si="97"/>
        <v>3</v>
      </c>
      <c r="I143">
        <f t="shared" si="76"/>
        <v>240</v>
      </c>
      <c r="J143">
        <f t="shared" si="91"/>
        <v>21</v>
      </c>
      <c r="K143">
        <f t="shared" si="98"/>
        <v>2</v>
      </c>
      <c r="L143">
        <f t="shared" si="77"/>
        <v>180</v>
      </c>
      <c r="M143">
        <f t="shared" si="92"/>
        <v>0</v>
      </c>
      <c r="N143">
        <f t="shared" si="99"/>
        <v>2</v>
      </c>
      <c r="O143">
        <f t="shared" si="78"/>
        <v>300</v>
      </c>
      <c r="P143">
        <f t="shared" si="100"/>
        <v>0</v>
      </c>
      <c r="Q143">
        <f t="shared" si="101"/>
        <v>2</v>
      </c>
      <c r="R143">
        <f t="shared" si="79"/>
        <v>300</v>
      </c>
      <c r="S143">
        <f t="shared" si="102"/>
        <v>0</v>
      </c>
      <c r="T143">
        <f t="shared" si="103"/>
        <v>-1</v>
      </c>
      <c r="U143">
        <f t="shared" si="93"/>
        <v>0</v>
      </c>
      <c r="V143">
        <f t="shared" si="94"/>
        <v>1</v>
      </c>
      <c r="W143">
        <f t="shared" si="80"/>
        <v>0</v>
      </c>
      <c r="X143">
        <f t="shared" si="104"/>
        <v>0</v>
      </c>
      <c r="Y143">
        <f t="shared" si="81"/>
        <v>0</v>
      </c>
      <c r="Z143">
        <f t="shared" si="82"/>
        <v>0</v>
      </c>
      <c r="AA143">
        <f t="shared" si="83"/>
        <v>0</v>
      </c>
      <c r="AB143" s="29">
        <f t="shared" si="84"/>
        <v>0.74178816089935007</v>
      </c>
      <c r="AC143" s="25">
        <f t="shared" si="85"/>
        <v>207.49804426656831</v>
      </c>
      <c r="AD143" s="29">
        <f t="shared" si="86"/>
        <v>1.1315841256324579</v>
      </c>
      <c r="AE143" s="25">
        <f t="shared" si="95"/>
        <v>13.243681724743192</v>
      </c>
      <c r="AF143" s="25">
        <f t="shared" si="87"/>
        <v>13.243681724743192</v>
      </c>
      <c r="AG143" s="25">
        <f>IF($A143&lt;0,0,IF(instatk="bs",(1.5+talSCallInstBon)*(MHavg+(ap+Z143-$Z$1)/APtoDPS*MHnorm+170)*(1+sa*0.1+0.04*opp+0.02*agg+Slayer4value-1),IF(instatk="hemo",Slayer4value*(MHavg+(ap+Z143-$Z$1)/APtoDPS*MHnorm)*(1.1+talSCallInstBon)+420*(1+raidcrit)*debuffon,IF(instatk="ss",(MHavg+(ap+Z143-$Z$1)/APtoDPS*MHnorm+98)*(1+sa*0.1+0.02*agg+Slayer4value-1),IF(instatk="v",(ohavg+(ap+Z143-$Z$1)/APtoDPS*OHnorm)*(1+sa*0.1)*(0.5+0.05*dws)+avipdam,Slayer4value*((1+0.04*opp)*(MHavg+101+(ap+Z143-$Z$1)/APtoDPS*MHnorm+(0.5+0.05*dws)*(ohavg+(ap+Z143-$Z$1)/APtoDPS*OHnorm)+101*(1+0.1*dws))*(1+0.5*IF(Talents!$O$18="Yes",1,0)))))))*(instactualhit+(1+((leth*0.06+2)-1)*(cfact-1))*instactualcrit)*fwfactor*AB143*instsec*(AF143/$AN$45))</f>
        <v>290.78918279358999</v>
      </c>
      <c r="AH143" s="25">
        <f t="shared" si="105"/>
        <v>0</v>
      </c>
      <c r="AI143" s="25">
        <f t="shared" si="106"/>
        <v>0</v>
      </c>
      <c r="AJ143" s="25">
        <f t="shared" si="107"/>
        <v>0</v>
      </c>
    </row>
    <row r="144" spans="1:36">
      <c r="A144">
        <f t="shared" si="88"/>
        <v>141</v>
      </c>
      <c r="B144">
        <f t="shared" si="96"/>
        <v>4</v>
      </c>
      <c r="C144">
        <f t="shared" si="74"/>
        <v>180</v>
      </c>
      <c r="D144">
        <f t="shared" si="89"/>
        <v>22</v>
      </c>
      <c r="E144">
        <f t="shared" si="108"/>
        <v>3</v>
      </c>
      <c r="F144">
        <f t="shared" si="75"/>
        <v>180</v>
      </c>
      <c r="G144">
        <f t="shared" si="90"/>
        <v>0</v>
      </c>
      <c r="H144">
        <f t="shared" si="97"/>
        <v>3</v>
      </c>
      <c r="I144">
        <f t="shared" si="76"/>
        <v>240</v>
      </c>
      <c r="J144">
        <f t="shared" si="91"/>
        <v>22</v>
      </c>
      <c r="K144">
        <f t="shared" si="98"/>
        <v>2</v>
      </c>
      <c r="L144">
        <f t="shared" si="77"/>
        <v>180</v>
      </c>
      <c r="M144">
        <f t="shared" si="92"/>
        <v>0</v>
      </c>
      <c r="N144">
        <f t="shared" si="99"/>
        <v>2</v>
      </c>
      <c r="O144">
        <f t="shared" si="78"/>
        <v>300</v>
      </c>
      <c r="P144">
        <f t="shared" si="100"/>
        <v>0</v>
      </c>
      <c r="Q144">
        <f t="shared" si="101"/>
        <v>2</v>
      </c>
      <c r="R144">
        <f t="shared" si="79"/>
        <v>300</v>
      </c>
      <c r="S144">
        <f t="shared" si="102"/>
        <v>0</v>
      </c>
      <c r="T144">
        <f t="shared" si="103"/>
        <v>-1</v>
      </c>
      <c r="U144">
        <f t="shared" si="93"/>
        <v>0</v>
      </c>
      <c r="V144">
        <f t="shared" si="94"/>
        <v>1</v>
      </c>
      <c r="W144">
        <f t="shared" si="80"/>
        <v>0</v>
      </c>
      <c r="X144">
        <f t="shared" si="104"/>
        <v>0</v>
      </c>
      <c r="Y144">
        <f t="shared" si="81"/>
        <v>0</v>
      </c>
      <c r="Z144">
        <f t="shared" si="82"/>
        <v>0</v>
      </c>
      <c r="AA144">
        <f t="shared" si="83"/>
        <v>0</v>
      </c>
      <c r="AB144" s="29">
        <f t="shared" si="84"/>
        <v>0.74178816089935007</v>
      </c>
      <c r="AC144" s="25">
        <f t="shared" si="85"/>
        <v>207.49804426656831</v>
      </c>
      <c r="AD144" s="29">
        <f t="shared" si="86"/>
        <v>1.1315841256324579</v>
      </c>
      <c r="AE144" s="25">
        <f t="shared" si="95"/>
        <v>13.243681724743192</v>
      </c>
      <c r="AF144" s="25">
        <f t="shared" si="87"/>
        <v>13.243681724743192</v>
      </c>
      <c r="AG144" s="25">
        <f>IF($A144&lt;0,0,IF(instatk="bs",(1.5+talSCallInstBon)*(MHavg+(ap+Z144-$Z$1)/APtoDPS*MHnorm+170)*(1+sa*0.1+0.04*opp+0.02*agg+Slayer4value-1),IF(instatk="hemo",Slayer4value*(MHavg+(ap+Z144-$Z$1)/APtoDPS*MHnorm)*(1.1+talSCallInstBon)+420*(1+raidcrit)*debuffon,IF(instatk="ss",(MHavg+(ap+Z144-$Z$1)/APtoDPS*MHnorm+98)*(1+sa*0.1+0.02*agg+Slayer4value-1),IF(instatk="v",(ohavg+(ap+Z144-$Z$1)/APtoDPS*OHnorm)*(1+sa*0.1)*(0.5+0.05*dws)+avipdam,Slayer4value*((1+0.04*opp)*(MHavg+101+(ap+Z144-$Z$1)/APtoDPS*MHnorm+(0.5+0.05*dws)*(ohavg+(ap+Z144-$Z$1)/APtoDPS*OHnorm)+101*(1+0.1*dws))*(1+0.5*IF(Talents!$O$18="Yes",1,0)))))))*(instactualhit+(1+((leth*0.06+2)-1)*(cfact-1))*instactualcrit)*fwfactor*AB144*instsec*(AF144/$AN$45))</f>
        <v>290.78918279358999</v>
      </c>
      <c r="AH144" s="25">
        <f t="shared" si="105"/>
        <v>0</v>
      </c>
      <c r="AI144" s="25">
        <f t="shared" si="106"/>
        <v>0</v>
      </c>
      <c r="AJ144" s="25">
        <f t="shared" si="107"/>
        <v>0</v>
      </c>
    </row>
    <row r="145" spans="1:36">
      <c r="A145">
        <f t="shared" si="88"/>
        <v>142</v>
      </c>
      <c r="B145">
        <f t="shared" si="96"/>
        <v>4</v>
      </c>
      <c r="C145">
        <f t="shared" si="74"/>
        <v>180</v>
      </c>
      <c r="D145">
        <f t="shared" si="89"/>
        <v>23</v>
      </c>
      <c r="E145">
        <f t="shared" si="108"/>
        <v>3</v>
      </c>
      <c r="F145">
        <f t="shared" si="75"/>
        <v>180</v>
      </c>
      <c r="G145">
        <f t="shared" si="90"/>
        <v>0</v>
      </c>
      <c r="H145">
        <f t="shared" si="97"/>
        <v>3</v>
      </c>
      <c r="I145">
        <f t="shared" si="76"/>
        <v>240</v>
      </c>
      <c r="J145">
        <f t="shared" si="91"/>
        <v>23</v>
      </c>
      <c r="K145">
        <f t="shared" si="98"/>
        <v>2</v>
      </c>
      <c r="L145">
        <f t="shared" si="77"/>
        <v>180</v>
      </c>
      <c r="M145">
        <f t="shared" si="92"/>
        <v>0</v>
      </c>
      <c r="N145">
        <f t="shared" si="99"/>
        <v>2</v>
      </c>
      <c r="O145">
        <f t="shared" si="78"/>
        <v>300</v>
      </c>
      <c r="P145">
        <f t="shared" si="100"/>
        <v>0</v>
      </c>
      <c r="Q145">
        <f t="shared" si="101"/>
        <v>2</v>
      </c>
      <c r="R145">
        <f t="shared" si="79"/>
        <v>300</v>
      </c>
      <c r="S145">
        <f t="shared" si="102"/>
        <v>0</v>
      </c>
      <c r="T145">
        <f t="shared" si="103"/>
        <v>-1</v>
      </c>
      <c r="U145">
        <f t="shared" si="93"/>
        <v>0</v>
      </c>
      <c r="V145">
        <f t="shared" si="94"/>
        <v>1</v>
      </c>
      <c r="W145">
        <f t="shared" si="80"/>
        <v>0</v>
      </c>
      <c r="X145">
        <f t="shared" si="104"/>
        <v>0</v>
      </c>
      <c r="Y145">
        <f t="shared" si="81"/>
        <v>0</v>
      </c>
      <c r="Z145">
        <f t="shared" si="82"/>
        <v>0</v>
      </c>
      <c r="AA145">
        <f t="shared" si="83"/>
        <v>0</v>
      </c>
      <c r="AB145" s="29">
        <f t="shared" si="84"/>
        <v>0.74178816089935007</v>
      </c>
      <c r="AC145" s="25">
        <f t="shared" si="85"/>
        <v>207.49804426656831</v>
      </c>
      <c r="AD145" s="29">
        <f t="shared" si="86"/>
        <v>1.1315841256324579</v>
      </c>
      <c r="AE145" s="25">
        <f t="shared" si="95"/>
        <v>13.243681724743192</v>
      </c>
      <c r="AF145" s="25">
        <f t="shared" si="87"/>
        <v>13.243681724743192</v>
      </c>
      <c r="AG145" s="25">
        <f>IF($A145&lt;0,0,IF(instatk="bs",(1.5+talSCallInstBon)*(MHavg+(ap+Z145-$Z$1)/APtoDPS*MHnorm+170)*(1+sa*0.1+0.04*opp+0.02*agg+Slayer4value-1),IF(instatk="hemo",Slayer4value*(MHavg+(ap+Z145-$Z$1)/APtoDPS*MHnorm)*(1.1+talSCallInstBon)+420*(1+raidcrit)*debuffon,IF(instatk="ss",(MHavg+(ap+Z145-$Z$1)/APtoDPS*MHnorm+98)*(1+sa*0.1+0.02*agg+Slayer4value-1),IF(instatk="v",(ohavg+(ap+Z145-$Z$1)/APtoDPS*OHnorm)*(1+sa*0.1)*(0.5+0.05*dws)+avipdam,Slayer4value*((1+0.04*opp)*(MHavg+101+(ap+Z145-$Z$1)/APtoDPS*MHnorm+(0.5+0.05*dws)*(ohavg+(ap+Z145-$Z$1)/APtoDPS*OHnorm)+101*(1+0.1*dws))*(1+0.5*IF(Talents!$O$18="Yes",1,0)))))))*(instactualhit+(1+((leth*0.06+2)-1)*(cfact-1))*instactualcrit)*fwfactor*AB145*instsec*(AF145/$AN$45))</f>
        <v>290.78918279358999</v>
      </c>
      <c r="AH145" s="25">
        <f t="shared" si="105"/>
        <v>0</v>
      </c>
      <c r="AI145" s="25">
        <f t="shared" si="106"/>
        <v>0</v>
      </c>
      <c r="AJ145" s="25">
        <f t="shared" si="107"/>
        <v>0</v>
      </c>
    </row>
    <row r="146" spans="1:36">
      <c r="A146">
        <f t="shared" si="88"/>
        <v>143</v>
      </c>
      <c r="B146">
        <f t="shared" si="96"/>
        <v>4</v>
      </c>
      <c r="C146">
        <f t="shared" si="74"/>
        <v>180</v>
      </c>
      <c r="D146">
        <f t="shared" si="89"/>
        <v>24</v>
      </c>
      <c r="E146">
        <f t="shared" si="108"/>
        <v>3</v>
      </c>
      <c r="F146">
        <f t="shared" si="75"/>
        <v>180</v>
      </c>
      <c r="G146">
        <f t="shared" si="90"/>
        <v>0</v>
      </c>
      <c r="H146">
        <f t="shared" si="97"/>
        <v>3</v>
      </c>
      <c r="I146">
        <f t="shared" si="76"/>
        <v>240</v>
      </c>
      <c r="J146">
        <f t="shared" si="91"/>
        <v>24</v>
      </c>
      <c r="K146">
        <f t="shared" si="98"/>
        <v>2</v>
      </c>
      <c r="L146">
        <f t="shared" si="77"/>
        <v>180</v>
      </c>
      <c r="M146">
        <f t="shared" si="92"/>
        <v>0</v>
      </c>
      <c r="N146">
        <f t="shared" si="99"/>
        <v>2</v>
      </c>
      <c r="O146">
        <f t="shared" si="78"/>
        <v>300</v>
      </c>
      <c r="P146">
        <f t="shared" si="100"/>
        <v>0</v>
      </c>
      <c r="Q146">
        <f t="shared" si="101"/>
        <v>2</v>
      </c>
      <c r="R146">
        <f t="shared" si="79"/>
        <v>300</v>
      </c>
      <c r="S146">
        <f t="shared" si="102"/>
        <v>0</v>
      </c>
      <c r="T146">
        <f t="shared" si="103"/>
        <v>-1</v>
      </c>
      <c r="U146">
        <f t="shared" si="93"/>
        <v>0</v>
      </c>
      <c r="V146">
        <f t="shared" si="94"/>
        <v>1</v>
      </c>
      <c r="W146">
        <f t="shared" si="80"/>
        <v>0</v>
      </c>
      <c r="X146">
        <f t="shared" si="104"/>
        <v>0</v>
      </c>
      <c r="Y146">
        <f t="shared" si="81"/>
        <v>0</v>
      </c>
      <c r="Z146">
        <f t="shared" si="82"/>
        <v>0</v>
      </c>
      <c r="AA146">
        <f t="shared" si="83"/>
        <v>0</v>
      </c>
      <c r="AB146" s="29">
        <f t="shared" si="84"/>
        <v>0.74178816089935007</v>
      </c>
      <c r="AC146" s="25">
        <f t="shared" si="85"/>
        <v>207.49804426656831</v>
      </c>
      <c r="AD146" s="29">
        <f t="shared" si="86"/>
        <v>1.1315841256324579</v>
      </c>
      <c r="AE146" s="25">
        <f t="shared" si="95"/>
        <v>13.243681724743192</v>
      </c>
      <c r="AF146" s="25">
        <f t="shared" si="87"/>
        <v>13.243681724743192</v>
      </c>
      <c r="AG146" s="25">
        <f>IF($A146&lt;0,0,IF(instatk="bs",(1.5+talSCallInstBon)*(MHavg+(ap+Z146-$Z$1)/APtoDPS*MHnorm+170)*(1+sa*0.1+0.04*opp+0.02*agg+Slayer4value-1),IF(instatk="hemo",Slayer4value*(MHavg+(ap+Z146-$Z$1)/APtoDPS*MHnorm)*(1.1+talSCallInstBon)+420*(1+raidcrit)*debuffon,IF(instatk="ss",(MHavg+(ap+Z146-$Z$1)/APtoDPS*MHnorm+98)*(1+sa*0.1+0.02*agg+Slayer4value-1),IF(instatk="v",(ohavg+(ap+Z146-$Z$1)/APtoDPS*OHnorm)*(1+sa*0.1)*(0.5+0.05*dws)+avipdam,Slayer4value*((1+0.04*opp)*(MHavg+101+(ap+Z146-$Z$1)/APtoDPS*MHnorm+(0.5+0.05*dws)*(ohavg+(ap+Z146-$Z$1)/APtoDPS*OHnorm)+101*(1+0.1*dws))*(1+0.5*IF(Talents!$O$18="Yes",1,0)))))))*(instactualhit+(1+((leth*0.06+2)-1)*(cfact-1))*instactualcrit)*fwfactor*AB146*instsec*(AF146/$AN$45))</f>
        <v>290.78918279358999</v>
      </c>
      <c r="AH146" s="25">
        <f t="shared" si="105"/>
        <v>0</v>
      </c>
      <c r="AI146" s="25">
        <f t="shared" si="106"/>
        <v>0</v>
      </c>
      <c r="AJ146" s="25">
        <f t="shared" si="107"/>
        <v>0</v>
      </c>
    </row>
    <row r="147" spans="1:36">
      <c r="A147">
        <f t="shared" si="88"/>
        <v>144</v>
      </c>
      <c r="B147">
        <f t="shared" si="96"/>
        <v>4</v>
      </c>
      <c r="C147">
        <f t="shared" si="74"/>
        <v>180</v>
      </c>
      <c r="D147">
        <f t="shared" si="89"/>
        <v>25</v>
      </c>
      <c r="E147">
        <f t="shared" si="108"/>
        <v>3</v>
      </c>
      <c r="F147">
        <f t="shared" si="75"/>
        <v>180</v>
      </c>
      <c r="G147">
        <f t="shared" si="90"/>
        <v>0</v>
      </c>
      <c r="H147">
        <f t="shared" si="97"/>
        <v>3</v>
      </c>
      <c r="I147">
        <f t="shared" si="76"/>
        <v>240</v>
      </c>
      <c r="J147">
        <f t="shared" si="91"/>
        <v>25</v>
      </c>
      <c r="K147">
        <f t="shared" si="98"/>
        <v>2</v>
      </c>
      <c r="L147">
        <f t="shared" si="77"/>
        <v>180</v>
      </c>
      <c r="M147">
        <f t="shared" si="92"/>
        <v>0</v>
      </c>
      <c r="N147">
        <f t="shared" si="99"/>
        <v>2</v>
      </c>
      <c r="O147">
        <f t="shared" si="78"/>
        <v>300</v>
      </c>
      <c r="P147">
        <f t="shared" si="100"/>
        <v>0</v>
      </c>
      <c r="Q147">
        <f t="shared" si="101"/>
        <v>2</v>
      </c>
      <c r="R147">
        <f t="shared" si="79"/>
        <v>300</v>
      </c>
      <c r="S147">
        <f t="shared" si="102"/>
        <v>0</v>
      </c>
      <c r="T147">
        <f t="shared" si="103"/>
        <v>-1</v>
      </c>
      <c r="U147">
        <f t="shared" si="93"/>
        <v>0</v>
      </c>
      <c r="V147">
        <f t="shared" si="94"/>
        <v>1</v>
      </c>
      <c r="W147">
        <f t="shared" si="80"/>
        <v>0</v>
      </c>
      <c r="X147">
        <f t="shared" si="104"/>
        <v>0</v>
      </c>
      <c r="Y147">
        <f t="shared" si="81"/>
        <v>0</v>
      </c>
      <c r="Z147">
        <f t="shared" si="82"/>
        <v>0</v>
      </c>
      <c r="AA147">
        <f t="shared" si="83"/>
        <v>0</v>
      </c>
      <c r="AB147" s="29">
        <f t="shared" si="84"/>
        <v>0.74178816089935007</v>
      </c>
      <c r="AC147" s="25">
        <f t="shared" si="85"/>
        <v>207.49804426656831</v>
      </c>
      <c r="AD147" s="29">
        <f t="shared" si="86"/>
        <v>1.1315841256324579</v>
      </c>
      <c r="AE147" s="25">
        <f t="shared" si="95"/>
        <v>13.243681724743192</v>
      </c>
      <c r="AF147" s="25">
        <f t="shared" si="87"/>
        <v>13.243681724743192</v>
      </c>
      <c r="AG147" s="25">
        <f>IF($A147&lt;0,0,IF(instatk="bs",(1.5+talSCallInstBon)*(MHavg+(ap+Z147-$Z$1)/APtoDPS*MHnorm+170)*(1+sa*0.1+0.04*opp+0.02*agg+Slayer4value-1),IF(instatk="hemo",Slayer4value*(MHavg+(ap+Z147-$Z$1)/APtoDPS*MHnorm)*(1.1+talSCallInstBon)+420*(1+raidcrit)*debuffon,IF(instatk="ss",(MHavg+(ap+Z147-$Z$1)/APtoDPS*MHnorm+98)*(1+sa*0.1+0.02*agg+Slayer4value-1),IF(instatk="v",(ohavg+(ap+Z147-$Z$1)/APtoDPS*OHnorm)*(1+sa*0.1)*(0.5+0.05*dws)+avipdam,Slayer4value*((1+0.04*opp)*(MHavg+101+(ap+Z147-$Z$1)/APtoDPS*MHnorm+(0.5+0.05*dws)*(ohavg+(ap+Z147-$Z$1)/APtoDPS*OHnorm)+101*(1+0.1*dws))*(1+0.5*IF(Talents!$O$18="Yes",1,0)))))))*(instactualhit+(1+((leth*0.06+2)-1)*(cfact-1))*instactualcrit)*fwfactor*AB147*instsec*(AF147/$AN$45))</f>
        <v>290.78918279358999</v>
      </c>
      <c r="AH147" s="25">
        <f t="shared" si="105"/>
        <v>0</v>
      </c>
      <c r="AI147" s="25">
        <f t="shared" si="106"/>
        <v>0</v>
      </c>
      <c r="AJ147" s="25">
        <f t="shared" si="107"/>
        <v>0</v>
      </c>
    </row>
    <row r="148" spans="1:36">
      <c r="A148">
        <f t="shared" si="88"/>
        <v>145</v>
      </c>
      <c r="B148">
        <f t="shared" si="96"/>
        <v>4</v>
      </c>
      <c r="C148">
        <f t="shared" si="74"/>
        <v>180</v>
      </c>
      <c r="D148">
        <f t="shared" si="89"/>
        <v>26</v>
      </c>
      <c r="E148">
        <f t="shared" si="108"/>
        <v>3</v>
      </c>
      <c r="F148">
        <f t="shared" si="75"/>
        <v>180</v>
      </c>
      <c r="G148">
        <f t="shared" si="90"/>
        <v>0</v>
      </c>
      <c r="H148">
        <f t="shared" si="97"/>
        <v>3</v>
      </c>
      <c r="I148">
        <f t="shared" si="76"/>
        <v>240</v>
      </c>
      <c r="J148">
        <f t="shared" si="91"/>
        <v>26</v>
      </c>
      <c r="K148">
        <f t="shared" si="98"/>
        <v>2</v>
      </c>
      <c r="L148">
        <f t="shared" si="77"/>
        <v>180</v>
      </c>
      <c r="M148">
        <f t="shared" si="92"/>
        <v>0</v>
      </c>
      <c r="N148">
        <f t="shared" si="99"/>
        <v>2</v>
      </c>
      <c r="O148">
        <f t="shared" si="78"/>
        <v>300</v>
      </c>
      <c r="P148">
        <f t="shared" si="100"/>
        <v>0</v>
      </c>
      <c r="Q148">
        <f t="shared" si="101"/>
        <v>2</v>
      </c>
      <c r="R148">
        <f t="shared" si="79"/>
        <v>300</v>
      </c>
      <c r="S148">
        <f t="shared" si="102"/>
        <v>0</v>
      </c>
      <c r="T148">
        <f t="shared" si="103"/>
        <v>-1</v>
      </c>
      <c r="U148">
        <f t="shared" si="93"/>
        <v>0</v>
      </c>
      <c r="V148">
        <f t="shared" si="94"/>
        <v>1</v>
      </c>
      <c r="W148">
        <f t="shared" si="80"/>
        <v>0</v>
      </c>
      <c r="X148">
        <f t="shared" si="104"/>
        <v>0</v>
      </c>
      <c r="Y148">
        <f t="shared" si="81"/>
        <v>0</v>
      </c>
      <c r="Z148">
        <f t="shared" si="82"/>
        <v>0</v>
      </c>
      <c r="AA148">
        <f t="shared" si="83"/>
        <v>0</v>
      </c>
      <c r="AB148" s="29">
        <f t="shared" si="84"/>
        <v>0.74178816089935007</v>
      </c>
      <c r="AC148" s="25">
        <f t="shared" si="85"/>
        <v>207.49804426656831</v>
      </c>
      <c r="AD148" s="29">
        <f t="shared" si="86"/>
        <v>1.1315841256324579</v>
      </c>
      <c r="AE148" s="25">
        <f t="shared" si="95"/>
        <v>13.243681724743192</v>
      </c>
      <c r="AF148" s="25">
        <f t="shared" si="87"/>
        <v>13.243681724743192</v>
      </c>
      <c r="AG148" s="25">
        <f>IF($A148&lt;0,0,IF(instatk="bs",(1.5+talSCallInstBon)*(MHavg+(ap+Z148-$Z$1)/APtoDPS*MHnorm+170)*(1+sa*0.1+0.04*opp+0.02*agg+Slayer4value-1),IF(instatk="hemo",Slayer4value*(MHavg+(ap+Z148-$Z$1)/APtoDPS*MHnorm)*(1.1+talSCallInstBon)+420*(1+raidcrit)*debuffon,IF(instatk="ss",(MHavg+(ap+Z148-$Z$1)/APtoDPS*MHnorm+98)*(1+sa*0.1+0.02*agg+Slayer4value-1),IF(instatk="v",(ohavg+(ap+Z148-$Z$1)/APtoDPS*OHnorm)*(1+sa*0.1)*(0.5+0.05*dws)+avipdam,Slayer4value*((1+0.04*opp)*(MHavg+101+(ap+Z148-$Z$1)/APtoDPS*MHnorm+(0.5+0.05*dws)*(ohavg+(ap+Z148-$Z$1)/APtoDPS*OHnorm)+101*(1+0.1*dws))*(1+0.5*IF(Talents!$O$18="Yes",1,0)))))))*(instactualhit+(1+((leth*0.06+2)-1)*(cfact-1))*instactualcrit)*fwfactor*AB148*instsec*(AF148/$AN$45))</f>
        <v>290.78918279358999</v>
      </c>
      <c r="AH148" s="25">
        <f t="shared" si="105"/>
        <v>0</v>
      </c>
      <c r="AI148" s="25">
        <f t="shared" si="106"/>
        <v>0</v>
      </c>
      <c r="AJ148" s="25">
        <f t="shared" si="107"/>
        <v>0</v>
      </c>
    </row>
    <row r="149" spans="1:36">
      <c r="A149">
        <f t="shared" si="88"/>
        <v>146</v>
      </c>
      <c r="B149">
        <f t="shared" si="96"/>
        <v>4</v>
      </c>
      <c r="C149">
        <f t="shared" si="74"/>
        <v>180</v>
      </c>
      <c r="D149">
        <f t="shared" si="89"/>
        <v>27</v>
      </c>
      <c r="E149">
        <f t="shared" si="108"/>
        <v>3</v>
      </c>
      <c r="F149">
        <f t="shared" si="75"/>
        <v>180</v>
      </c>
      <c r="G149">
        <f t="shared" si="90"/>
        <v>0</v>
      </c>
      <c r="H149">
        <f t="shared" si="97"/>
        <v>3</v>
      </c>
      <c r="I149">
        <f t="shared" si="76"/>
        <v>240</v>
      </c>
      <c r="J149">
        <f t="shared" si="91"/>
        <v>27</v>
      </c>
      <c r="K149">
        <f t="shared" si="98"/>
        <v>2</v>
      </c>
      <c r="L149">
        <f t="shared" si="77"/>
        <v>180</v>
      </c>
      <c r="M149">
        <f t="shared" si="92"/>
        <v>0</v>
      </c>
      <c r="N149">
        <f t="shared" si="99"/>
        <v>2</v>
      </c>
      <c r="O149">
        <f t="shared" si="78"/>
        <v>300</v>
      </c>
      <c r="P149">
        <f t="shared" si="100"/>
        <v>0</v>
      </c>
      <c r="Q149">
        <f t="shared" si="101"/>
        <v>2</v>
      </c>
      <c r="R149">
        <f t="shared" si="79"/>
        <v>300</v>
      </c>
      <c r="S149">
        <f t="shared" si="102"/>
        <v>0</v>
      </c>
      <c r="T149">
        <f t="shared" si="103"/>
        <v>-1</v>
      </c>
      <c r="U149">
        <f t="shared" si="93"/>
        <v>0</v>
      </c>
      <c r="V149">
        <f t="shared" si="94"/>
        <v>1</v>
      </c>
      <c r="W149">
        <f t="shared" si="80"/>
        <v>0</v>
      </c>
      <c r="X149">
        <f t="shared" si="104"/>
        <v>0</v>
      </c>
      <c r="Y149">
        <f t="shared" si="81"/>
        <v>0</v>
      </c>
      <c r="Z149">
        <f t="shared" si="82"/>
        <v>0</v>
      </c>
      <c r="AA149">
        <f t="shared" si="83"/>
        <v>0</v>
      </c>
      <c r="AB149" s="29">
        <f t="shared" si="84"/>
        <v>0.74178816089935007</v>
      </c>
      <c r="AC149" s="25">
        <f t="shared" si="85"/>
        <v>207.49804426656831</v>
      </c>
      <c r="AD149" s="29">
        <f t="shared" si="86"/>
        <v>1.1315841256324579</v>
      </c>
      <c r="AE149" s="25">
        <f t="shared" si="95"/>
        <v>13.243681724743192</v>
      </c>
      <c r="AF149" s="25">
        <f t="shared" si="87"/>
        <v>13.243681724743192</v>
      </c>
      <c r="AG149" s="25">
        <f>IF($A149&lt;0,0,IF(instatk="bs",(1.5+talSCallInstBon)*(MHavg+(ap+Z149-$Z$1)/APtoDPS*MHnorm+170)*(1+sa*0.1+0.04*opp+0.02*agg+Slayer4value-1),IF(instatk="hemo",Slayer4value*(MHavg+(ap+Z149-$Z$1)/APtoDPS*MHnorm)*(1.1+talSCallInstBon)+420*(1+raidcrit)*debuffon,IF(instatk="ss",(MHavg+(ap+Z149-$Z$1)/APtoDPS*MHnorm+98)*(1+sa*0.1+0.02*agg+Slayer4value-1),IF(instatk="v",(ohavg+(ap+Z149-$Z$1)/APtoDPS*OHnorm)*(1+sa*0.1)*(0.5+0.05*dws)+avipdam,Slayer4value*((1+0.04*opp)*(MHavg+101+(ap+Z149-$Z$1)/APtoDPS*MHnorm+(0.5+0.05*dws)*(ohavg+(ap+Z149-$Z$1)/APtoDPS*OHnorm)+101*(1+0.1*dws))*(1+0.5*IF(Talents!$O$18="Yes",1,0)))))))*(instactualhit+(1+((leth*0.06+2)-1)*(cfact-1))*instactualcrit)*fwfactor*AB149*instsec*(AF149/$AN$45))</f>
        <v>290.78918279358999</v>
      </c>
      <c r="AH149" s="25">
        <f t="shared" si="105"/>
        <v>0</v>
      </c>
      <c r="AI149" s="25">
        <f t="shared" si="106"/>
        <v>0</v>
      </c>
      <c r="AJ149" s="25">
        <f t="shared" si="107"/>
        <v>0</v>
      </c>
    </row>
    <row r="150" spans="1:36">
      <c r="A150">
        <f t="shared" si="88"/>
        <v>147</v>
      </c>
      <c r="B150">
        <f t="shared" si="96"/>
        <v>4</v>
      </c>
      <c r="C150">
        <f t="shared" si="74"/>
        <v>180</v>
      </c>
      <c r="D150">
        <f t="shared" si="89"/>
        <v>28</v>
      </c>
      <c r="E150">
        <f t="shared" si="108"/>
        <v>3</v>
      </c>
      <c r="F150">
        <f t="shared" si="75"/>
        <v>180</v>
      </c>
      <c r="G150">
        <f t="shared" si="90"/>
        <v>0</v>
      </c>
      <c r="H150">
        <f t="shared" si="97"/>
        <v>3</v>
      </c>
      <c r="I150">
        <f t="shared" si="76"/>
        <v>240</v>
      </c>
      <c r="J150">
        <f t="shared" si="91"/>
        <v>28</v>
      </c>
      <c r="K150">
        <f t="shared" si="98"/>
        <v>2</v>
      </c>
      <c r="L150">
        <f t="shared" si="77"/>
        <v>180</v>
      </c>
      <c r="M150">
        <f t="shared" si="92"/>
        <v>0</v>
      </c>
      <c r="N150">
        <f t="shared" si="99"/>
        <v>2</v>
      </c>
      <c r="O150">
        <f t="shared" si="78"/>
        <v>300</v>
      </c>
      <c r="P150">
        <f t="shared" si="100"/>
        <v>0</v>
      </c>
      <c r="Q150">
        <f t="shared" si="101"/>
        <v>2</v>
      </c>
      <c r="R150">
        <f t="shared" si="79"/>
        <v>300</v>
      </c>
      <c r="S150">
        <f t="shared" si="102"/>
        <v>0</v>
      </c>
      <c r="T150">
        <f t="shared" si="103"/>
        <v>-1</v>
      </c>
      <c r="U150">
        <f t="shared" si="93"/>
        <v>0</v>
      </c>
      <c r="V150">
        <f t="shared" si="94"/>
        <v>1</v>
      </c>
      <c r="W150">
        <f t="shared" si="80"/>
        <v>0</v>
      </c>
      <c r="X150">
        <f t="shared" si="104"/>
        <v>0</v>
      </c>
      <c r="Y150">
        <f t="shared" si="81"/>
        <v>0</v>
      </c>
      <c r="Z150">
        <f t="shared" si="82"/>
        <v>0</v>
      </c>
      <c r="AA150">
        <f t="shared" si="83"/>
        <v>0</v>
      </c>
      <c r="AB150" s="29">
        <f t="shared" si="84"/>
        <v>0.74178816089935007</v>
      </c>
      <c r="AC150" s="25">
        <f t="shared" si="85"/>
        <v>207.49804426656831</v>
      </c>
      <c r="AD150" s="29">
        <f t="shared" si="86"/>
        <v>1.1315841256324579</v>
      </c>
      <c r="AE150" s="25">
        <f t="shared" si="95"/>
        <v>13.243681724743192</v>
      </c>
      <c r="AF150" s="25">
        <f t="shared" si="87"/>
        <v>13.243681724743192</v>
      </c>
      <c r="AG150" s="25">
        <f>IF($A150&lt;0,0,IF(instatk="bs",(1.5+talSCallInstBon)*(MHavg+(ap+Z150-$Z$1)/APtoDPS*MHnorm+170)*(1+sa*0.1+0.04*opp+0.02*agg+Slayer4value-1),IF(instatk="hemo",Slayer4value*(MHavg+(ap+Z150-$Z$1)/APtoDPS*MHnorm)*(1.1+talSCallInstBon)+420*(1+raidcrit)*debuffon,IF(instatk="ss",(MHavg+(ap+Z150-$Z$1)/APtoDPS*MHnorm+98)*(1+sa*0.1+0.02*agg+Slayer4value-1),IF(instatk="v",(ohavg+(ap+Z150-$Z$1)/APtoDPS*OHnorm)*(1+sa*0.1)*(0.5+0.05*dws)+avipdam,Slayer4value*((1+0.04*opp)*(MHavg+101+(ap+Z150-$Z$1)/APtoDPS*MHnorm+(0.5+0.05*dws)*(ohavg+(ap+Z150-$Z$1)/APtoDPS*OHnorm)+101*(1+0.1*dws))*(1+0.5*IF(Talents!$O$18="Yes",1,0)))))))*(instactualhit+(1+((leth*0.06+2)-1)*(cfact-1))*instactualcrit)*fwfactor*AB150*instsec*(AF150/$AN$45))</f>
        <v>290.78918279358999</v>
      </c>
      <c r="AH150" s="25">
        <f t="shared" si="105"/>
        <v>0</v>
      </c>
      <c r="AI150" s="25">
        <f t="shared" si="106"/>
        <v>0</v>
      </c>
      <c r="AJ150" s="25">
        <f t="shared" si="107"/>
        <v>0</v>
      </c>
    </row>
    <row r="151" spans="1:36">
      <c r="A151">
        <f t="shared" si="88"/>
        <v>148</v>
      </c>
      <c r="B151">
        <f t="shared" si="96"/>
        <v>4</v>
      </c>
      <c r="C151">
        <f t="shared" si="74"/>
        <v>180</v>
      </c>
      <c r="D151">
        <f t="shared" si="89"/>
        <v>29</v>
      </c>
      <c r="E151">
        <f t="shared" si="108"/>
        <v>3</v>
      </c>
      <c r="F151">
        <f t="shared" si="75"/>
        <v>180</v>
      </c>
      <c r="G151">
        <f t="shared" si="90"/>
        <v>0</v>
      </c>
      <c r="H151">
        <f t="shared" si="97"/>
        <v>3</v>
      </c>
      <c r="I151">
        <f t="shared" si="76"/>
        <v>240</v>
      </c>
      <c r="J151">
        <f t="shared" si="91"/>
        <v>29</v>
      </c>
      <c r="K151">
        <f t="shared" si="98"/>
        <v>2</v>
      </c>
      <c r="L151">
        <f t="shared" si="77"/>
        <v>180</v>
      </c>
      <c r="M151">
        <f t="shared" si="92"/>
        <v>0</v>
      </c>
      <c r="N151">
        <f t="shared" si="99"/>
        <v>2</v>
      </c>
      <c r="O151">
        <f t="shared" si="78"/>
        <v>300</v>
      </c>
      <c r="P151">
        <f t="shared" si="100"/>
        <v>0</v>
      </c>
      <c r="Q151">
        <f t="shared" si="101"/>
        <v>2</v>
      </c>
      <c r="R151">
        <f t="shared" si="79"/>
        <v>300</v>
      </c>
      <c r="S151">
        <f t="shared" si="102"/>
        <v>0</v>
      </c>
      <c r="T151">
        <f t="shared" si="103"/>
        <v>-1</v>
      </c>
      <c r="U151">
        <f t="shared" si="93"/>
        <v>0</v>
      </c>
      <c r="V151">
        <f t="shared" si="94"/>
        <v>1</v>
      </c>
      <c r="W151">
        <f t="shared" si="80"/>
        <v>0</v>
      </c>
      <c r="X151">
        <f t="shared" si="104"/>
        <v>0</v>
      </c>
      <c r="Y151">
        <f t="shared" si="81"/>
        <v>0</v>
      </c>
      <c r="Z151">
        <f t="shared" si="82"/>
        <v>0</v>
      </c>
      <c r="AA151">
        <f t="shared" si="83"/>
        <v>0</v>
      </c>
      <c r="AB151" s="29">
        <f t="shared" si="84"/>
        <v>0.74178816089935007</v>
      </c>
      <c r="AC151" s="25">
        <f t="shared" si="85"/>
        <v>207.49804426656831</v>
      </c>
      <c r="AD151" s="29">
        <f t="shared" si="86"/>
        <v>1.1315841256324579</v>
      </c>
      <c r="AE151" s="25">
        <f t="shared" si="95"/>
        <v>13.243681724743192</v>
      </c>
      <c r="AF151" s="25">
        <f t="shared" si="87"/>
        <v>13.243681724743192</v>
      </c>
      <c r="AG151" s="25">
        <f>IF($A151&lt;0,0,IF(instatk="bs",(1.5+talSCallInstBon)*(MHavg+(ap+Z151-$Z$1)/APtoDPS*MHnorm+170)*(1+sa*0.1+0.04*opp+0.02*agg+Slayer4value-1),IF(instatk="hemo",Slayer4value*(MHavg+(ap+Z151-$Z$1)/APtoDPS*MHnorm)*(1.1+talSCallInstBon)+420*(1+raidcrit)*debuffon,IF(instatk="ss",(MHavg+(ap+Z151-$Z$1)/APtoDPS*MHnorm+98)*(1+sa*0.1+0.02*agg+Slayer4value-1),IF(instatk="v",(ohavg+(ap+Z151-$Z$1)/APtoDPS*OHnorm)*(1+sa*0.1)*(0.5+0.05*dws)+avipdam,Slayer4value*((1+0.04*opp)*(MHavg+101+(ap+Z151-$Z$1)/APtoDPS*MHnorm+(0.5+0.05*dws)*(ohavg+(ap+Z151-$Z$1)/APtoDPS*OHnorm)+101*(1+0.1*dws))*(1+0.5*IF(Talents!$O$18="Yes",1,0)))))))*(instactualhit+(1+((leth*0.06+2)-1)*(cfact-1))*instactualcrit)*fwfactor*AB151*instsec*(AF151/$AN$45))</f>
        <v>290.78918279358999</v>
      </c>
      <c r="AH151" s="25">
        <f t="shared" si="105"/>
        <v>0</v>
      </c>
      <c r="AI151" s="25">
        <f t="shared" si="106"/>
        <v>0</v>
      </c>
      <c r="AJ151" s="25">
        <f t="shared" si="107"/>
        <v>0</v>
      </c>
    </row>
    <row r="152" spans="1:36">
      <c r="A152">
        <f t="shared" si="88"/>
        <v>149</v>
      </c>
      <c r="B152">
        <f t="shared" si="96"/>
        <v>4</v>
      </c>
      <c r="C152">
        <f t="shared" si="74"/>
        <v>180</v>
      </c>
      <c r="D152">
        <f t="shared" si="89"/>
        <v>30</v>
      </c>
      <c r="E152">
        <f t="shared" si="108"/>
        <v>3</v>
      </c>
      <c r="F152">
        <f t="shared" si="75"/>
        <v>180</v>
      </c>
      <c r="G152">
        <f t="shared" si="90"/>
        <v>0</v>
      </c>
      <c r="H152">
        <f t="shared" si="97"/>
        <v>3</v>
      </c>
      <c r="I152">
        <f t="shared" si="76"/>
        <v>240</v>
      </c>
      <c r="J152">
        <f t="shared" si="91"/>
        <v>30</v>
      </c>
      <c r="K152">
        <f t="shared" si="98"/>
        <v>2</v>
      </c>
      <c r="L152">
        <f t="shared" si="77"/>
        <v>180</v>
      </c>
      <c r="M152">
        <f t="shared" si="92"/>
        <v>0</v>
      </c>
      <c r="N152">
        <f t="shared" si="99"/>
        <v>2</v>
      </c>
      <c r="O152">
        <f t="shared" si="78"/>
        <v>300</v>
      </c>
      <c r="P152">
        <f t="shared" si="100"/>
        <v>0</v>
      </c>
      <c r="Q152">
        <f t="shared" si="101"/>
        <v>2</v>
      </c>
      <c r="R152">
        <f t="shared" si="79"/>
        <v>300</v>
      </c>
      <c r="S152">
        <f t="shared" si="102"/>
        <v>0</v>
      </c>
      <c r="T152">
        <f t="shared" si="103"/>
        <v>-1</v>
      </c>
      <c r="U152">
        <f t="shared" si="93"/>
        <v>0</v>
      </c>
      <c r="V152">
        <f t="shared" si="94"/>
        <v>1</v>
      </c>
      <c r="W152">
        <f t="shared" si="80"/>
        <v>0</v>
      </c>
      <c r="X152">
        <f t="shared" si="104"/>
        <v>0</v>
      </c>
      <c r="Y152">
        <f t="shared" si="81"/>
        <v>0</v>
      </c>
      <c r="Z152">
        <f t="shared" si="82"/>
        <v>0</v>
      </c>
      <c r="AA152">
        <f t="shared" si="83"/>
        <v>0</v>
      </c>
      <c r="AB152" s="29">
        <f t="shared" si="84"/>
        <v>0.74178816089935007</v>
      </c>
      <c r="AC152" s="25">
        <f t="shared" si="85"/>
        <v>207.49804426656831</v>
      </c>
      <c r="AD152" s="29">
        <f t="shared" si="86"/>
        <v>1.1315841256324579</v>
      </c>
      <c r="AE152" s="25">
        <f t="shared" si="95"/>
        <v>13.243681724743192</v>
      </c>
      <c r="AF152" s="25">
        <f t="shared" si="87"/>
        <v>13.243681724743192</v>
      </c>
      <c r="AG152" s="25">
        <f>IF($A152&lt;0,0,IF(instatk="bs",(1.5+talSCallInstBon)*(MHavg+(ap+Z152-$Z$1)/APtoDPS*MHnorm+170)*(1+sa*0.1+0.04*opp+0.02*agg+Slayer4value-1),IF(instatk="hemo",Slayer4value*(MHavg+(ap+Z152-$Z$1)/APtoDPS*MHnorm)*(1.1+talSCallInstBon)+420*(1+raidcrit)*debuffon,IF(instatk="ss",(MHavg+(ap+Z152-$Z$1)/APtoDPS*MHnorm+98)*(1+sa*0.1+0.02*agg+Slayer4value-1),IF(instatk="v",(ohavg+(ap+Z152-$Z$1)/APtoDPS*OHnorm)*(1+sa*0.1)*(0.5+0.05*dws)+avipdam,Slayer4value*((1+0.04*opp)*(MHavg+101+(ap+Z152-$Z$1)/APtoDPS*MHnorm+(0.5+0.05*dws)*(ohavg+(ap+Z152-$Z$1)/APtoDPS*OHnorm)+101*(1+0.1*dws))*(1+0.5*IF(Talents!$O$18="Yes",1,0)))))))*(instactualhit+(1+((leth*0.06+2)-1)*(cfact-1))*instactualcrit)*fwfactor*AB152*instsec*(AF152/$AN$45))</f>
        <v>290.78918279358999</v>
      </c>
      <c r="AH152" s="25">
        <f t="shared" si="105"/>
        <v>0</v>
      </c>
      <c r="AI152" s="25">
        <f t="shared" si="106"/>
        <v>0</v>
      </c>
      <c r="AJ152" s="25">
        <f t="shared" si="107"/>
        <v>0</v>
      </c>
    </row>
    <row r="153" spans="1:36">
      <c r="A153">
        <f t="shared" si="88"/>
        <v>150</v>
      </c>
      <c r="B153">
        <f t="shared" si="96"/>
        <v>4</v>
      </c>
      <c r="C153">
        <f t="shared" si="74"/>
        <v>180</v>
      </c>
      <c r="D153">
        <f t="shared" si="89"/>
        <v>0</v>
      </c>
      <c r="E153">
        <f t="shared" si="108"/>
        <v>3</v>
      </c>
      <c r="F153">
        <f t="shared" si="75"/>
        <v>180</v>
      </c>
      <c r="G153">
        <f t="shared" si="90"/>
        <v>0</v>
      </c>
      <c r="H153">
        <f t="shared" si="97"/>
        <v>3</v>
      </c>
      <c r="I153">
        <f t="shared" si="76"/>
        <v>240</v>
      </c>
      <c r="J153">
        <f t="shared" si="91"/>
        <v>0</v>
      </c>
      <c r="K153">
        <f t="shared" si="98"/>
        <v>2</v>
      </c>
      <c r="L153">
        <f t="shared" si="77"/>
        <v>180</v>
      </c>
      <c r="M153">
        <f t="shared" si="92"/>
        <v>0</v>
      </c>
      <c r="N153">
        <f t="shared" si="99"/>
        <v>2</v>
      </c>
      <c r="O153">
        <f t="shared" si="78"/>
        <v>300</v>
      </c>
      <c r="P153">
        <f t="shared" si="100"/>
        <v>0</v>
      </c>
      <c r="Q153">
        <f t="shared" si="101"/>
        <v>2</v>
      </c>
      <c r="R153">
        <f t="shared" si="79"/>
        <v>300</v>
      </c>
      <c r="S153">
        <f t="shared" si="102"/>
        <v>0</v>
      </c>
      <c r="T153">
        <f t="shared" si="103"/>
        <v>-1</v>
      </c>
      <c r="U153">
        <f t="shared" si="93"/>
        <v>0</v>
      </c>
      <c r="V153">
        <f t="shared" si="94"/>
        <v>1</v>
      </c>
      <c r="W153">
        <f t="shared" si="80"/>
        <v>0</v>
      </c>
      <c r="X153">
        <f t="shared" si="104"/>
        <v>0</v>
      </c>
      <c r="Y153">
        <f t="shared" si="81"/>
        <v>0</v>
      </c>
      <c r="Z153">
        <f t="shared" si="82"/>
        <v>0</v>
      </c>
      <c r="AA153">
        <f t="shared" si="83"/>
        <v>0</v>
      </c>
      <c r="AB153" s="29">
        <f t="shared" si="84"/>
        <v>0.74178816089935007</v>
      </c>
      <c r="AC153" s="25">
        <f t="shared" si="85"/>
        <v>127.49804426656831</v>
      </c>
      <c r="AD153" s="29">
        <f t="shared" si="86"/>
        <v>1.0808524183153847</v>
      </c>
      <c r="AE153" s="25">
        <f t="shared" si="95"/>
        <v>13.243681724743192</v>
      </c>
      <c r="AF153" s="25">
        <f t="shared" si="87"/>
        <v>13.243681724743192</v>
      </c>
      <c r="AG153" s="25">
        <f>IF($A153&lt;0,0,IF(instatk="bs",(1.5+talSCallInstBon)*(MHavg+(ap+Z153-$Z$1)/APtoDPS*MHnorm+170)*(1+sa*0.1+0.04*opp+0.02*agg+Slayer4value-1),IF(instatk="hemo",Slayer4value*(MHavg+(ap+Z153-$Z$1)/APtoDPS*MHnorm)*(1.1+talSCallInstBon)+420*(1+raidcrit)*debuffon,IF(instatk="ss",(MHavg+(ap+Z153-$Z$1)/APtoDPS*MHnorm+98)*(1+sa*0.1+0.02*agg+Slayer4value-1),IF(instatk="v",(ohavg+(ap+Z153-$Z$1)/APtoDPS*OHnorm)*(1+sa*0.1)*(0.5+0.05*dws)+avipdam,Slayer4value*((1+0.04*opp)*(MHavg+101+(ap+Z153-$Z$1)/APtoDPS*MHnorm+(0.5+0.05*dws)*(ohavg+(ap+Z153-$Z$1)/APtoDPS*OHnorm)+101*(1+0.1*dws))*(1+0.5*IF(Talents!$O$18="Yes",1,0)))))))*(instactualhit+(1+((leth*0.06+2)-1)*(cfact-1))*instactualcrit)*fwfactor*AB153*instsec*(AF153/$AN$45))</f>
        <v>290.78918279358999</v>
      </c>
      <c r="AH153" s="25">
        <f t="shared" si="105"/>
        <v>0</v>
      </c>
      <c r="AI153" s="25">
        <f t="shared" si="106"/>
        <v>0</v>
      </c>
      <c r="AJ153" s="25">
        <f t="shared" si="107"/>
        <v>0</v>
      </c>
    </row>
    <row r="154" spans="1:36">
      <c r="A154">
        <f t="shared" si="88"/>
        <v>151</v>
      </c>
      <c r="B154">
        <f t="shared" si="96"/>
        <v>4</v>
      </c>
      <c r="C154">
        <f t="shared" si="74"/>
        <v>180</v>
      </c>
      <c r="D154">
        <f t="shared" si="89"/>
        <v>0</v>
      </c>
      <c r="E154">
        <f t="shared" si="108"/>
        <v>3</v>
      </c>
      <c r="F154">
        <f t="shared" si="75"/>
        <v>180</v>
      </c>
      <c r="G154">
        <f t="shared" si="90"/>
        <v>0</v>
      </c>
      <c r="H154">
        <f t="shared" si="97"/>
        <v>3</v>
      </c>
      <c r="I154">
        <f t="shared" si="76"/>
        <v>240</v>
      </c>
      <c r="J154">
        <f t="shared" si="91"/>
        <v>0</v>
      </c>
      <c r="K154">
        <f t="shared" si="98"/>
        <v>2</v>
      </c>
      <c r="L154">
        <f t="shared" si="77"/>
        <v>180</v>
      </c>
      <c r="M154">
        <f t="shared" si="92"/>
        <v>0</v>
      </c>
      <c r="N154">
        <f t="shared" si="99"/>
        <v>2</v>
      </c>
      <c r="O154">
        <f t="shared" si="78"/>
        <v>300</v>
      </c>
      <c r="P154">
        <f t="shared" si="100"/>
        <v>0</v>
      </c>
      <c r="Q154">
        <f t="shared" si="101"/>
        <v>2</v>
      </c>
      <c r="R154">
        <f t="shared" si="79"/>
        <v>300</v>
      </c>
      <c r="S154">
        <f t="shared" si="102"/>
        <v>0</v>
      </c>
      <c r="T154">
        <f t="shared" si="103"/>
        <v>-1</v>
      </c>
      <c r="U154">
        <f t="shared" si="93"/>
        <v>0</v>
      </c>
      <c r="V154">
        <f t="shared" si="94"/>
        <v>1</v>
      </c>
      <c r="W154">
        <f t="shared" si="80"/>
        <v>0</v>
      </c>
      <c r="X154">
        <f t="shared" si="104"/>
        <v>0</v>
      </c>
      <c r="Y154">
        <f t="shared" si="81"/>
        <v>0</v>
      </c>
      <c r="Z154">
        <f t="shared" si="82"/>
        <v>0</v>
      </c>
      <c r="AA154">
        <f t="shared" si="83"/>
        <v>0</v>
      </c>
      <c r="AB154" s="29">
        <f t="shared" si="84"/>
        <v>0.74178816089935007</v>
      </c>
      <c r="AC154" s="25">
        <f t="shared" si="85"/>
        <v>127.49804426656831</v>
      </c>
      <c r="AD154" s="29">
        <f t="shared" si="86"/>
        <v>1.0808524183153847</v>
      </c>
      <c r="AE154" s="25">
        <f t="shared" si="95"/>
        <v>13.243681724743192</v>
      </c>
      <c r="AF154" s="25">
        <f t="shared" si="87"/>
        <v>13.243681724743192</v>
      </c>
      <c r="AG154" s="25">
        <f>IF($A154&lt;0,0,IF(instatk="bs",(1.5+talSCallInstBon)*(MHavg+(ap+Z154-$Z$1)/APtoDPS*MHnorm+170)*(1+sa*0.1+0.04*opp+0.02*agg+Slayer4value-1),IF(instatk="hemo",Slayer4value*(MHavg+(ap+Z154-$Z$1)/APtoDPS*MHnorm)*(1.1+talSCallInstBon)+420*(1+raidcrit)*debuffon,IF(instatk="ss",(MHavg+(ap+Z154-$Z$1)/APtoDPS*MHnorm+98)*(1+sa*0.1+0.02*agg+Slayer4value-1),IF(instatk="v",(ohavg+(ap+Z154-$Z$1)/APtoDPS*OHnorm)*(1+sa*0.1)*(0.5+0.05*dws)+avipdam,Slayer4value*((1+0.04*opp)*(MHavg+101+(ap+Z154-$Z$1)/APtoDPS*MHnorm+(0.5+0.05*dws)*(ohavg+(ap+Z154-$Z$1)/APtoDPS*OHnorm)+101*(1+0.1*dws))*(1+0.5*IF(Talents!$O$18="Yes",1,0)))))))*(instactualhit+(1+((leth*0.06+2)-1)*(cfact-1))*instactualcrit)*fwfactor*AB154*instsec*(AF154/$AN$45))</f>
        <v>290.78918279358999</v>
      </c>
      <c r="AH154" s="25">
        <f t="shared" si="105"/>
        <v>0</v>
      </c>
      <c r="AI154" s="25">
        <f t="shared" si="106"/>
        <v>0</v>
      </c>
      <c r="AJ154" s="25">
        <f t="shared" si="107"/>
        <v>0</v>
      </c>
    </row>
    <row r="155" spans="1:36">
      <c r="A155">
        <f t="shared" si="88"/>
        <v>152</v>
      </c>
      <c r="B155">
        <f t="shared" si="96"/>
        <v>4</v>
      </c>
      <c r="C155">
        <f t="shared" si="74"/>
        <v>180</v>
      </c>
      <c r="D155">
        <f t="shared" si="89"/>
        <v>0</v>
      </c>
      <c r="E155">
        <f t="shared" si="108"/>
        <v>3</v>
      </c>
      <c r="F155">
        <f t="shared" si="75"/>
        <v>180</v>
      </c>
      <c r="G155">
        <f t="shared" si="90"/>
        <v>0</v>
      </c>
      <c r="H155">
        <f t="shared" si="97"/>
        <v>3</v>
      </c>
      <c r="I155">
        <f t="shared" si="76"/>
        <v>240</v>
      </c>
      <c r="J155">
        <f t="shared" si="91"/>
        <v>0</v>
      </c>
      <c r="K155">
        <f t="shared" si="98"/>
        <v>2</v>
      </c>
      <c r="L155">
        <f t="shared" si="77"/>
        <v>180</v>
      </c>
      <c r="M155">
        <f t="shared" si="92"/>
        <v>0</v>
      </c>
      <c r="N155">
        <f t="shared" si="99"/>
        <v>2</v>
      </c>
      <c r="O155">
        <f t="shared" si="78"/>
        <v>300</v>
      </c>
      <c r="P155">
        <f t="shared" si="100"/>
        <v>0</v>
      </c>
      <c r="Q155">
        <f t="shared" si="101"/>
        <v>2</v>
      </c>
      <c r="R155">
        <f t="shared" si="79"/>
        <v>300</v>
      </c>
      <c r="S155">
        <f t="shared" si="102"/>
        <v>0</v>
      </c>
      <c r="T155">
        <f t="shared" si="103"/>
        <v>-1</v>
      </c>
      <c r="U155">
        <f t="shared" si="93"/>
        <v>0</v>
      </c>
      <c r="V155">
        <f t="shared" si="94"/>
        <v>1</v>
      </c>
      <c r="W155">
        <f t="shared" si="80"/>
        <v>0</v>
      </c>
      <c r="X155">
        <f t="shared" si="104"/>
        <v>0</v>
      </c>
      <c r="Y155">
        <f t="shared" si="81"/>
        <v>0</v>
      </c>
      <c r="Z155">
        <f t="shared" si="82"/>
        <v>0</v>
      </c>
      <c r="AA155">
        <f t="shared" si="83"/>
        <v>0</v>
      </c>
      <c r="AB155" s="29">
        <f t="shared" si="84"/>
        <v>0.74178816089935007</v>
      </c>
      <c r="AC155" s="25">
        <f t="shared" si="85"/>
        <v>127.49804426656831</v>
      </c>
      <c r="AD155" s="29">
        <f t="shared" si="86"/>
        <v>1.0808524183153847</v>
      </c>
      <c r="AE155" s="25">
        <f t="shared" si="95"/>
        <v>13.243681724743192</v>
      </c>
      <c r="AF155" s="25">
        <f t="shared" si="87"/>
        <v>13.243681724743192</v>
      </c>
      <c r="AG155" s="25">
        <f>IF($A155&lt;0,0,IF(instatk="bs",(1.5+talSCallInstBon)*(MHavg+(ap+Z155-$Z$1)/APtoDPS*MHnorm+170)*(1+sa*0.1+0.04*opp+0.02*agg+Slayer4value-1),IF(instatk="hemo",Slayer4value*(MHavg+(ap+Z155-$Z$1)/APtoDPS*MHnorm)*(1.1+talSCallInstBon)+420*(1+raidcrit)*debuffon,IF(instatk="ss",(MHavg+(ap+Z155-$Z$1)/APtoDPS*MHnorm+98)*(1+sa*0.1+0.02*agg+Slayer4value-1),IF(instatk="v",(ohavg+(ap+Z155-$Z$1)/APtoDPS*OHnorm)*(1+sa*0.1)*(0.5+0.05*dws)+avipdam,Slayer4value*((1+0.04*opp)*(MHavg+101+(ap+Z155-$Z$1)/APtoDPS*MHnorm+(0.5+0.05*dws)*(ohavg+(ap+Z155-$Z$1)/APtoDPS*OHnorm)+101*(1+0.1*dws))*(1+0.5*IF(Talents!$O$18="Yes",1,0)))))))*(instactualhit+(1+((leth*0.06+2)-1)*(cfact-1))*instactualcrit)*fwfactor*AB155*instsec*(AF155/$AN$45))</f>
        <v>290.78918279358999</v>
      </c>
      <c r="AH155" s="25">
        <f t="shared" si="105"/>
        <v>0</v>
      </c>
      <c r="AI155" s="25">
        <f t="shared" si="106"/>
        <v>0</v>
      </c>
      <c r="AJ155" s="25">
        <f t="shared" si="107"/>
        <v>0</v>
      </c>
    </row>
    <row r="156" spans="1:36">
      <c r="A156">
        <f t="shared" si="88"/>
        <v>153</v>
      </c>
      <c r="B156">
        <f t="shared" si="96"/>
        <v>4</v>
      </c>
      <c r="C156">
        <f t="shared" si="74"/>
        <v>180</v>
      </c>
      <c r="D156">
        <f t="shared" si="89"/>
        <v>0</v>
      </c>
      <c r="E156">
        <f t="shared" si="108"/>
        <v>3</v>
      </c>
      <c r="F156">
        <f t="shared" si="75"/>
        <v>180</v>
      </c>
      <c r="G156">
        <f t="shared" si="90"/>
        <v>0</v>
      </c>
      <c r="H156">
        <f t="shared" si="97"/>
        <v>3</v>
      </c>
      <c r="I156">
        <f t="shared" si="76"/>
        <v>240</v>
      </c>
      <c r="J156">
        <f t="shared" si="91"/>
        <v>0</v>
      </c>
      <c r="K156">
        <f t="shared" si="98"/>
        <v>2</v>
      </c>
      <c r="L156">
        <f t="shared" si="77"/>
        <v>180</v>
      </c>
      <c r="M156">
        <f t="shared" si="92"/>
        <v>0</v>
      </c>
      <c r="N156">
        <f t="shared" si="99"/>
        <v>2</v>
      </c>
      <c r="O156">
        <f t="shared" si="78"/>
        <v>300</v>
      </c>
      <c r="P156">
        <f t="shared" si="100"/>
        <v>0</v>
      </c>
      <c r="Q156">
        <f t="shared" si="101"/>
        <v>2</v>
      </c>
      <c r="R156">
        <f t="shared" si="79"/>
        <v>300</v>
      </c>
      <c r="S156">
        <f t="shared" si="102"/>
        <v>0</v>
      </c>
      <c r="T156">
        <f t="shared" si="103"/>
        <v>-1</v>
      </c>
      <c r="U156">
        <f t="shared" si="93"/>
        <v>0</v>
      </c>
      <c r="V156">
        <f t="shared" si="94"/>
        <v>1</v>
      </c>
      <c r="W156">
        <f t="shared" si="80"/>
        <v>0</v>
      </c>
      <c r="X156">
        <f t="shared" si="104"/>
        <v>0</v>
      </c>
      <c r="Y156">
        <f t="shared" si="81"/>
        <v>0</v>
      </c>
      <c r="Z156">
        <f t="shared" si="82"/>
        <v>0</v>
      </c>
      <c r="AA156">
        <f t="shared" si="83"/>
        <v>0</v>
      </c>
      <c r="AB156" s="29">
        <f t="shared" si="84"/>
        <v>0.74178816089935007</v>
      </c>
      <c r="AC156" s="25">
        <f t="shared" si="85"/>
        <v>127.49804426656831</v>
      </c>
      <c r="AD156" s="29">
        <f t="shared" si="86"/>
        <v>1.0808524183153847</v>
      </c>
      <c r="AE156" s="25">
        <f t="shared" si="95"/>
        <v>13.243681724743192</v>
      </c>
      <c r="AF156" s="25">
        <f t="shared" si="87"/>
        <v>13.243681724743192</v>
      </c>
      <c r="AG156" s="25">
        <f>IF($A156&lt;0,0,IF(instatk="bs",(1.5+talSCallInstBon)*(MHavg+(ap+Z156-$Z$1)/APtoDPS*MHnorm+170)*(1+sa*0.1+0.04*opp+0.02*agg+Slayer4value-1),IF(instatk="hemo",Slayer4value*(MHavg+(ap+Z156-$Z$1)/APtoDPS*MHnorm)*(1.1+talSCallInstBon)+420*(1+raidcrit)*debuffon,IF(instatk="ss",(MHavg+(ap+Z156-$Z$1)/APtoDPS*MHnorm+98)*(1+sa*0.1+0.02*agg+Slayer4value-1),IF(instatk="v",(ohavg+(ap+Z156-$Z$1)/APtoDPS*OHnorm)*(1+sa*0.1)*(0.5+0.05*dws)+avipdam,Slayer4value*((1+0.04*opp)*(MHavg+101+(ap+Z156-$Z$1)/APtoDPS*MHnorm+(0.5+0.05*dws)*(ohavg+(ap+Z156-$Z$1)/APtoDPS*OHnorm)+101*(1+0.1*dws))*(1+0.5*IF(Talents!$O$18="Yes",1,0)))))))*(instactualhit+(1+((leth*0.06+2)-1)*(cfact-1))*instactualcrit)*fwfactor*AB156*instsec*(AF156/$AN$45))</f>
        <v>290.78918279358999</v>
      </c>
      <c r="AH156" s="25">
        <f t="shared" si="105"/>
        <v>0</v>
      </c>
      <c r="AI156" s="25">
        <f t="shared" si="106"/>
        <v>0</v>
      </c>
      <c r="AJ156" s="25">
        <f t="shared" si="107"/>
        <v>0</v>
      </c>
    </row>
    <row r="157" spans="1:36">
      <c r="A157">
        <f t="shared" si="88"/>
        <v>154</v>
      </c>
      <c r="B157">
        <f t="shared" si="96"/>
        <v>4</v>
      </c>
      <c r="C157">
        <f t="shared" si="74"/>
        <v>180</v>
      </c>
      <c r="D157">
        <f t="shared" si="89"/>
        <v>0</v>
      </c>
      <c r="E157">
        <f t="shared" si="108"/>
        <v>3</v>
      </c>
      <c r="F157">
        <f t="shared" si="75"/>
        <v>180</v>
      </c>
      <c r="G157">
        <f t="shared" si="90"/>
        <v>0</v>
      </c>
      <c r="H157">
        <f t="shared" si="97"/>
        <v>3</v>
      </c>
      <c r="I157">
        <f t="shared" si="76"/>
        <v>240</v>
      </c>
      <c r="J157">
        <f t="shared" si="91"/>
        <v>0</v>
      </c>
      <c r="K157">
        <f t="shared" si="98"/>
        <v>2</v>
      </c>
      <c r="L157">
        <f t="shared" si="77"/>
        <v>180</v>
      </c>
      <c r="M157">
        <f t="shared" si="92"/>
        <v>0</v>
      </c>
      <c r="N157">
        <f t="shared" si="99"/>
        <v>2</v>
      </c>
      <c r="O157">
        <f t="shared" si="78"/>
        <v>300</v>
      </c>
      <c r="P157">
        <f t="shared" si="100"/>
        <v>0</v>
      </c>
      <c r="Q157">
        <f t="shared" si="101"/>
        <v>2</v>
      </c>
      <c r="R157">
        <f t="shared" si="79"/>
        <v>300</v>
      </c>
      <c r="S157">
        <f t="shared" si="102"/>
        <v>0</v>
      </c>
      <c r="T157">
        <f t="shared" si="103"/>
        <v>-1</v>
      </c>
      <c r="U157">
        <f t="shared" si="93"/>
        <v>0</v>
      </c>
      <c r="V157">
        <f t="shared" si="94"/>
        <v>1</v>
      </c>
      <c r="W157">
        <f t="shared" si="80"/>
        <v>0</v>
      </c>
      <c r="X157">
        <f t="shared" si="104"/>
        <v>0</v>
      </c>
      <c r="Y157">
        <f t="shared" si="81"/>
        <v>0</v>
      </c>
      <c r="Z157">
        <f t="shared" si="82"/>
        <v>0</v>
      </c>
      <c r="AA157">
        <f t="shared" si="83"/>
        <v>0</v>
      </c>
      <c r="AB157" s="29">
        <f t="shared" si="84"/>
        <v>0.74178816089935007</v>
      </c>
      <c r="AC157" s="25">
        <f t="shared" si="85"/>
        <v>127.49804426656831</v>
      </c>
      <c r="AD157" s="29">
        <f t="shared" si="86"/>
        <v>1.0808524183153847</v>
      </c>
      <c r="AE157" s="25">
        <f t="shared" si="95"/>
        <v>13.243681724743192</v>
      </c>
      <c r="AF157" s="25">
        <f t="shared" si="87"/>
        <v>13.243681724743192</v>
      </c>
      <c r="AG157" s="25">
        <f>IF($A157&lt;0,0,IF(instatk="bs",(1.5+talSCallInstBon)*(MHavg+(ap+Z157-$Z$1)/APtoDPS*MHnorm+170)*(1+sa*0.1+0.04*opp+0.02*agg+Slayer4value-1),IF(instatk="hemo",Slayer4value*(MHavg+(ap+Z157-$Z$1)/APtoDPS*MHnorm)*(1.1+talSCallInstBon)+420*(1+raidcrit)*debuffon,IF(instatk="ss",(MHavg+(ap+Z157-$Z$1)/APtoDPS*MHnorm+98)*(1+sa*0.1+0.02*agg+Slayer4value-1),IF(instatk="v",(ohavg+(ap+Z157-$Z$1)/APtoDPS*OHnorm)*(1+sa*0.1)*(0.5+0.05*dws)+avipdam,Slayer4value*((1+0.04*opp)*(MHavg+101+(ap+Z157-$Z$1)/APtoDPS*MHnorm+(0.5+0.05*dws)*(ohavg+(ap+Z157-$Z$1)/APtoDPS*OHnorm)+101*(1+0.1*dws))*(1+0.5*IF(Talents!$O$18="Yes",1,0)))))))*(instactualhit+(1+((leth*0.06+2)-1)*(cfact-1))*instactualcrit)*fwfactor*AB157*instsec*(AF157/$AN$45))</f>
        <v>290.78918279358999</v>
      </c>
      <c r="AH157" s="25">
        <f t="shared" si="105"/>
        <v>0</v>
      </c>
      <c r="AI157" s="25">
        <f t="shared" si="106"/>
        <v>0</v>
      </c>
      <c r="AJ157" s="25">
        <f t="shared" si="107"/>
        <v>0</v>
      </c>
    </row>
    <row r="158" spans="1:36">
      <c r="A158">
        <f t="shared" si="88"/>
        <v>155</v>
      </c>
      <c r="B158">
        <f t="shared" si="96"/>
        <v>4</v>
      </c>
      <c r="C158">
        <f t="shared" si="74"/>
        <v>180</v>
      </c>
      <c r="D158">
        <f t="shared" si="89"/>
        <v>0</v>
      </c>
      <c r="E158">
        <f t="shared" si="108"/>
        <v>3</v>
      </c>
      <c r="F158">
        <f t="shared" si="75"/>
        <v>180</v>
      </c>
      <c r="G158">
        <f t="shared" si="90"/>
        <v>0</v>
      </c>
      <c r="H158">
        <f t="shared" si="97"/>
        <v>3</v>
      </c>
      <c r="I158">
        <f t="shared" si="76"/>
        <v>240</v>
      </c>
      <c r="J158">
        <f t="shared" si="91"/>
        <v>0</v>
      </c>
      <c r="K158">
        <f t="shared" si="98"/>
        <v>2</v>
      </c>
      <c r="L158">
        <f t="shared" si="77"/>
        <v>180</v>
      </c>
      <c r="M158">
        <f t="shared" si="92"/>
        <v>0</v>
      </c>
      <c r="N158">
        <f t="shared" si="99"/>
        <v>2</v>
      </c>
      <c r="O158">
        <f t="shared" si="78"/>
        <v>300</v>
      </c>
      <c r="P158">
        <f t="shared" si="100"/>
        <v>0</v>
      </c>
      <c r="Q158">
        <f t="shared" si="101"/>
        <v>2</v>
      </c>
      <c r="R158">
        <f t="shared" si="79"/>
        <v>300</v>
      </c>
      <c r="S158">
        <f t="shared" si="102"/>
        <v>0</v>
      </c>
      <c r="T158">
        <f t="shared" si="103"/>
        <v>-1</v>
      </c>
      <c r="U158">
        <f t="shared" si="93"/>
        <v>0</v>
      </c>
      <c r="V158">
        <f t="shared" si="94"/>
        <v>1</v>
      </c>
      <c r="W158">
        <f t="shared" si="80"/>
        <v>0</v>
      </c>
      <c r="X158">
        <f t="shared" si="104"/>
        <v>0</v>
      </c>
      <c r="Y158">
        <f t="shared" si="81"/>
        <v>0</v>
      </c>
      <c r="Z158">
        <f t="shared" si="82"/>
        <v>0</v>
      </c>
      <c r="AA158">
        <f t="shared" si="83"/>
        <v>0</v>
      </c>
      <c r="AB158" s="29">
        <f t="shared" si="84"/>
        <v>0.74178816089935007</v>
      </c>
      <c r="AC158" s="25">
        <f t="shared" si="85"/>
        <v>127.49804426656831</v>
      </c>
      <c r="AD158" s="29">
        <f t="shared" si="86"/>
        <v>1.0808524183153847</v>
      </c>
      <c r="AE158" s="25">
        <f t="shared" si="95"/>
        <v>13.243681724743192</v>
      </c>
      <c r="AF158" s="25">
        <f t="shared" si="87"/>
        <v>13.243681724743192</v>
      </c>
      <c r="AG158" s="25">
        <f>IF($A158&lt;0,0,IF(instatk="bs",(1.5+talSCallInstBon)*(MHavg+(ap+Z158-$Z$1)/APtoDPS*MHnorm+170)*(1+sa*0.1+0.04*opp+0.02*agg+Slayer4value-1),IF(instatk="hemo",Slayer4value*(MHavg+(ap+Z158-$Z$1)/APtoDPS*MHnorm)*(1.1+talSCallInstBon)+420*(1+raidcrit)*debuffon,IF(instatk="ss",(MHavg+(ap+Z158-$Z$1)/APtoDPS*MHnorm+98)*(1+sa*0.1+0.02*agg+Slayer4value-1),IF(instatk="v",(ohavg+(ap+Z158-$Z$1)/APtoDPS*OHnorm)*(1+sa*0.1)*(0.5+0.05*dws)+avipdam,Slayer4value*((1+0.04*opp)*(MHavg+101+(ap+Z158-$Z$1)/APtoDPS*MHnorm+(0.5+0.05*dws)*(ohavg+(ap+Z158-$Z$1)/APtoDPS*OHnorm)+101*(1+0.1*dws))*(1+0.5*IF(Talents!$O$18="Yes",1,0)))))))*(instactualhit+(1+((leth*0.06+2)-1)*(cfact-1))*instactualcrit)*fwfactor*AB158*instsec*(AF158/$AN$45))</f>
        <v>290.78918279358999</v>
      </c>
      <c r="AH158" s="25">
        <f t="shared" si="105"/>
        <v>0</v>
      </c>
      <c r="AI158" s="25">
        <f t="shared" si="106"/>
        <v>0</v>
      </c>
      <c r="AJ158" s="25">
        <f t="shared" si="107"/>
        <v>0</v>
      </c>
    </row>
    <row r="159" spans="1:36">
      <c r="A159">
        <f t="shared" si="88"/>
        <v>156</v>
      </c>
      <c r="B159">
        <f t="shared" si="96"/>
        <v>4</v>
      </c>
      <c r="C159">
        <f t="shared" si="74"/>
        <v>180</v>
      </c>
      <c r="D159">
        <f t="shared" si="89"/>
        <v>0</v>
      </c>
      <c r="E159">
        <f t="shared" si="108"/>
        <v>3</v>
      </c>
      <c r="F159">
        <f t="shared" si="75"/>
        <v>180</v>
      </c>
      <c r="G159">
        <f t="shared" si="90"/>
        <v>0</v>
      </c>
      <c r="H159">
        <f t="shared" si="97"/>
        <v>3</v>
      </c>
      <c r="I159">
        <f t="shared" si="76"/>
        <v>240</v>
      </c>
      <c r="J159">
        <f t="shared" si="91"/>
        <v>0</v>
      </c>
      <c r="K159">
        <f t="shared" si="98"/>
        <v>2</v>
      </c>
      <c r="L159">
        <f t="shared" si="77"/>
        <v>180</v>
      </c>
      <c r="M159">
        <f t="shared" si="92"/>
        <v>0</v>
      </c>
      <c r="N159">
        <f t="shared" si="99"/>
        <v>2</v>
      </c>
      <c r="O159">
        <f t="shared" si="78"/>
        <v>300</v>
      </c>
      <c r="P159">
        <f t="shared" si="100"/>
        <v>0</v>
      </c>
      <c r="Q159">
        <f t="shared" si="101"/>
        <v>2</v>
      </c>
      <c r="R159">
        <f t="shared" si="79"/>
        <v>300</v>
      </c>
      <c r="S159">
        <f t="shared" si="102"/>
        <v>0</v>
      </c>
      <c r="T159">
        <f t="shared" si="103"/>
        <v>-1</v>
      </c>
      <c r="U159">
        <f t="shared" si="93"/>
        <v>0</v>
      </c>
      <c r="V159">
        <f t="shared" si="94"/>
        <v>1</v>
      </c>
      <c r="W159">
        <f t="shared" si="80"/>
        <v>0</v>
      </c>
      <c r="X159">
        <f t="shared" si="104"/>
        <v>0</v>
      </c>
      <c r="Y159">
        <f t="shared" si="81"/>
        <v>0</v>
      </c>
      <c r="Z159">
        <f t="shared" si="82"/>
        <v>0</v>
      </c>
      <c r="AA159">
        <f t="shared" si="83"/>
        <v>0</v>
      </c>
      <c r="AB159" s="29">
        <f t="shared" si="84"/>
        <v>0.74178816089935007</v>
      </c>
      <c r="AC159" s="25">
        <f t="shared" si="85"/>
        <v>127.49804426656831</v>
      </c>
      <c r="AD159" s="29">
        <f t="shared" si="86"/>
        <v>1.0808524183153847</v>
      </c>
      <c r="AE159" s="25">
        <f t="shared" si="95"/>
        <v>13.243681724743192</v>
      </c>
      <c r="AF159" s="25">
        <f t="shared" si="87"/>
        <v>13.243681724743192</v>
      </c>
      <c r="AG159" s="25">
        <f>IF($A159&lt;0,0,IF(instatk="bs",(1.5+talSCallInstBon)*(MHavg+(ap+Z159-$Z$1)/APtoDPS*MHnorm+170)*(1+sa*0.1+0.04*opp+0.02*agg+Slayer4value-1),IF(instatk="hemo",Slayer4value*(MHavg+(ap+Z159-$Z$1)/APtoDPS*MHnorm)*(1.1+talSCallInstBon)+420*(1+raidcrit)*debuffon,IF(instatk="ss",(MHavg+(ap+Z159-$Z$1)/APtoDPS*MHnorm+98)*(1+sa*0.1+0.02*agg+Slayer4value-1),IF(instatk="v",(ohavg+(ap+Z159-$Z$1)/APtoDPS*OHnorm)*(1+sa*0.1)*(0.5+0.05*dws)+avipdam,Slayer4value*((1+0.04*opp)*(MHavg+101+(ap+Z159-$Z$1)/APtoDPS*MHnorm+(0.5+0.05*dws)*(ohavg+(ap+Z159-$Z$1)/APtoDPS*OHnorm)+101*(1+0.1*dws))*(1+0.5*IF(Talents!$O$18="Yes",1,0)))))))*(instactualhit+(1+((leth*0.06+2)-1)*(cfact-1))*instactualcrit)*fwfactor*AB159*instsec*(AF159/$AN$45))</f>
        <v>290.78918279358999</v>
      </c>
      <c r="AH159" s="25">
        <f t="shared" si="105"/>
        <v>0</v>
      </c>
      <c r="AI159" s="25">
        <f t="shared" si="106"/>
        <v>0</v>
      </c>
      <c r="AJ159" s="25">
        <f t="shared" si="107"/>
        <v>0</v>
      </c>
    </row>
    <row r="160" spans="1:36">
      <c r="A160">
        <f t="shared" si="88"/>
        <v>157</v>
      </c>
      <c r="B160">
        <f t="shared" si="96"/>
        <v>4</v>
      </c>
      <c r="C160">
        <f t="shared" si="74"/>
        <v>180</v>
      </c>
      <c r="D160">
        <f t="shared" si="89"/>
        <v>0</v>
      </c>
      <c r="E160">
        <f t="shared" si="108"/>
        <v>3</v>
      </c>
      <c r="F160">
        <f t="shared" si="75"/>
        <v>180</v>
      </c>
      <c r="G160">
        <f t="shared" si="90"/>
        <v>0</v>
      </c>
      <c r="H160">
        <f t="shared" si="97"/>
        <v>3</v>
      </c>
      <c r="I160">
        <f t="shared" si="76"/>
        <v>240</v>
      </c>
      <c r="J160">
        <f t="shared" si="91"/>
        <v>0</v>
      </c>
      <c r="K160">
        <f t="shared" si="98"/>
        <v>2</v>
      </c>
      <c r="L160">
        <f t="shared" si="77"/>
        <v>180</v>
      </c>
      <c r="M160">
        <f t="shared" si="92"/>
        <v>0</v>
      </c>
      <c r="N160">
        <f t="shared" si="99"/>
        <v>2</v>
      </c>
      <c r="O160">
        <f t="shared" si="78"/>
        <v>300</v>
      </c>
      <c r="P160">
        <f t="shared" si="100"/>
        <v>0</v>
      </c>
      <c r="Q160">
        <f t="shared" si="101"/>
        <v>2</v>
      </c>
      <c r="R160">
        <f t="shared" si="79"/>
        <v>300</v>
      </c>
      <c r="S160">
        <f t="shared" si="102"/>
        <v>0</v>
      </c>
      <c r="T160">
        <f t="shared" si="103"/>
        <v>-1</v>
      </c>
      <c r="U160">
        <f t="shared" si="93"/>
        <v>0</v>
      </c>
      <c r="V160">
        <f t="shared" si="94"/>
        <v>1</v>
      </c>
      <c r="W160">
        <f t="shared" si="80"/>
        <v>0</v>
      </c>
      <c r="X160">
        <f t="shared" si="104"/>
        <v>0</v>
      </c>
      <c r="Y160">
        <f t="shared" si="81"/>
        <v>0</v>
      </c>
      <c r="Z160">
        <f t="shared" si="82"/>
        <v>0</v>
      </c>
      <c r="AA160">
        <f t="shared" si="83"/>
        <v>0</v>
      </c>
      <c r="AB160" s="29">
        <f t="shared" si="84"/>
        <v>0.74178816089935007</v>
      </c>
      <c r="AC160" s="25">
        <f t="shared" si="85"/>
        <v>127.49804426656831</v>
      </c>
      <c r="AD160" s="29">
        <f t="shared" si="86"/>
        <v>1.0808524183153847</v>
      </c>
      <c r="AE160" s="25">
        <f t="shared" si="95"/>
        <v>13.243681724743192</v>
      </c>
      <c r="AF160" s="25">
        <f t="shared" si="87"/>
        <v>13.243681724743192</v>
      </c>
      <c r="AG160" s="25">
        <f>IF($A160&lt;0,0,IF(instatk="bs",(1.5+talSCallInstBon)*(MHavg+(ap+Z160-$Z$1)/APtoDPS*MHnorm+170)*(1+sa*0.1+0.04*opp+0.02*agg+Slayer4value-1),IF(instatk="hemo",Slayer4value*(MHavg+(ap+Z160-$Z$1)/APtoDPS*MHnorm)*(1.1+talSCallInstBon)+420*(1+raidcrit)*debuffon,IF(instatk="ss",(MHavg+(ap+Z160-$Z$1)/APtoDPS*MHnorm+98)*(1+sa*0.1+0.02*agg+Slayer4value-1),IF(instatk="v",(ohavg+(ap+Z160-$Z$1)/APtoDPS*OHnorm)*(1+sa*0.1)*(0.5+0.05*dws)+avipdam,Slayer4value*((1+0.04*opp)*(MHavg+101+(ap+Z160-$Z$1)/APtoDPS*MHnorm+(0.5+0.05*dws)*(ohavg+(ap+Z160-$Z$1)/APtoDPS*OHnorm)+101*(1+0.1*dws))*(1+0.5*IF(Talents!$O$18="Yes",1,0)))))))*(instactualhit+(1+((leth*0.06+2)-1)*(cfact-1))*instactualcrit)*fwfactor*AB160*instsec*(AF160/$AN$45))</f>
        <v>290.78918279358999</v>
      </c>
      <c r="AH160" s="25">
        <f t="shared" si="105"/>
        <v>0</v>
      </c>
      <c r="AI160" s="25">
        <f t="shared" si="106"/>
        <v>0</v>
      </c>
      <c r="AJ160" s="25">
        <f t="shared" si="107"/>
        <v>0</v>
      </c>
    </row>
    <row r="161" spans="1:36">
      <c r="A161">
        <f t="shared" si="88"/>
        <v>158</v>
      </c>
      <c r="B161">
        <f t="shared" si="96"/>
        <v>4</v>
      </c>
      <c r="C161">
        <f t="shared" si="74"/>
        <v>180</v>
      </c>
      <c r="D161">
        <f t="shared" si="89"/>
        <v>0</v>
      </c>
      <c r="E161">
        <f t="shared" si="108"/>
        <v>3</v>
      </c>
      <c r="F161">
        <f t="shared" si="75"/>
        <v>180</v>
      </c>
      <c r="G161">
        <f t="shared" si="90"/>
        <v>0</v>
      </c>
      <c r="H161">
        <f t="shared" si="97"/>
        <v>3</v>
      </c>
      <c r="I161">
        <f t="shared" si="76"/>
        <v>240</v>
      </c>
      <c r="J161">
        <f t="shared" si="91"/>
        <v>0</v>
      </c>
      <c r="K161">
        <f t="shared" si="98"/>
        <v>2</v>
      </c>
      <c r="L161">
        <f t="shared" si="77"/>
        <v>180</v>
      </c>
      <c r="M161">
        <f t="shared" si="92"/>
        <v>0</v>
      </c>
      <c r="N161">
        <f t="shared" si="99"/>
        <v>2</v>
      </c>
      <c r="O161">
        <f t="shared" si="78"/>
        <v>300</v>
      </c>
      <c r="P161">
        <f t="shared" si="100"/>
        <v>0</v>
      </c>
      <c r="Q161">
        <f t="shared" si="101"/>
        <v>2</v>
      </c>
      <c r="R161">
        <f t="shared" si="79"/>
        <v>300</v>
      </c>
      <c r="S161">
        <f t="shared" si="102"/>
        <v>0</v>
      </c>
      <c r="T161">
        <f t="shared" si="103"/>
        <v>-1</v>
      </c>
      <c r="U161">
        <f t="shared" si="93"/>
        <v>0</v>
      </c>
      <c r="V161">
        <f t="shared" si="94"/>
        <v>1</v>
      </c>
      <c r="W161">
        <f t="shared" si="80"/>
        <v>0</v>
      </c>
      <c r="X161">
        <f t="shared" si="104"/>
        <v>0</v>
      </c>
      <c r="Y161">
        <f t="shared" si="81"/>
        <v>0</v>
      </c>
      <c r="Z161">
        <f t="shared" si="82"/>
        <v>0</v>
      </c>
      <c r="AA161">
        <f t="shared" si="83"/>
        <v>0</v>
      </c>
      <c r="AB161" s="29">
        <f t="shared" si="84"/>
        <v>0.74178816089935007</v>
      </c>
      <c r="AC161" s="25">
        <f t="shared" si="85"/>
        <v>127.49804426656831</v>
      </c>
      <c r="AD161" s="29">
        <f t="shared" si="86"/>
        <v>1.0808524183153847</v>
      </c>
      <c r="AE161" s="25">
        <f t="shared" si="95"/>
        <v>13.243681724743192</v>
      </c>
      <c r="AF161" s="25">
        <f t="shared" si="87"/>
        <v>13.243681724743192</v>
      </c>
      <c r="AG161" s="25">
        <f>IF($A161&lt;0,0,IF(instatk="bs",(1.5+talSCallInstBon)*(MHavg+(ap+Z161-$Z$1)/APtoDPS*MHnorm+170)*(1+sa*0.1+0.04*opp+0.02*agg+Slayer4value-1),IF(instatk="hemo",Slayer4value*(MHavg+(ap+Z161-$Z$1)/APtoDPS*MHnorm)*(1.1+talSCallInstBon)+420*(1+raidcrit)*debuffon,IF(instatk="ss",(MHavg+(ap+Z161-$Z$1)/APtoDPS*MHnorm+98)*(1+sa*0.1+0.02*agg+Slayer4value-1),IF(instatk="v",(ohavg+(ap+Z161-$Z$1)/APtoDPS*OHnorm)*(1+sa*0.1)*(0.5+0.05*dws)+avipdam,Slayer4value*((1+0.04*opp)*(MHavg+101+(ap+Z161-$Z$1)/APtoDPS*MHnorm+(0.5+0.05*dws)*(ohavg+(ap+Z161-$Z$1)/APtoDPS*OHnorm)+101*(1+0.1*dws))*(1+0.5*IF(Talents!$O$18="Yes",1,0)))))))*(instactualhit+(1+((leth*0.06+2)-1)*(cfact-1))*instactualcrit)*fwfactor*AB161*instsec*(AF161/$AN$45))</f>
        <v>290.78918279358999</v>
      </c>
      <c r="AH161" s="25">
        <f t="shared" si="105"/>
        <v>0</v>
      </c>
      <c r="AI161" s="25">
        <f t="shared" si="106"/>
        <v>0</v>
      </c>
      <c r="AJ161" s="25">
        <f t="shared" si="107"/>
        <v>0</v>
      </c>
    </row>
    <row r="162" spans="1:36">
      <c r="A162">
        <f t="shared" si="88"/>
        <v>159</v>
      </c>
      <c r="B162">
        <f t="shared" si="96"/>
        <v>4</v>
      </c>
      <c r="C162">
        <f t="shared" si="74"/>
        <v>180</v>
      </c>
      <c r="D162">
        <f t="shared" si="89"/>
        <v>0</v>
      </c>
      <c r="E162">
        <f t="shared" si="108"/>
        <v>3</v>
      </c>
      <c r="F162">
        <f t="shared" si="75"/>
        <v>180</v>
      </c>
      <c r="G162">
        <f t="shared" si="90"/>
        <v>0</v>
      </c>
      <c r="H162">
        <f t="shared" si="97"/>
        <v>3</v>
      </c>
      <c r="I162">
        <f t="shared" si="76"/>
        <v>240</v>
      </c>
      <c r="J162">
        <f t="shared" si="91"/>
        <v>0</v>
      </c>
      <c r="K162">
        <f t="shared" si="98"/>
        <v>2</v>
      </c>
      <c r="L162">
        <f t="shared" si="77"/>
        <v>180</v>
      </c>
      <c r="M162">
        <f t="shared" si="92"/>
        <v>0</v>
      </c>
      <c r="N162">
        <f t="shared" si="99"/>
        <v>2</v>
      </c>
      <c r="O162">
        <f t="shared" si="78"/>
        <v>300</v>
      </c>
      <c r="P162">
        <f t="shared" si="100"/>
        <v>0</v>
      </c>
      <c r="Q162">
        <f t="shared" si="101"/>
        <v>2</v>
      </c>
      <c r="R162">
        <f t="shared" si="79"/>
        <v>300</v>
      </c>
      <c r="S162">
        <f t="shared" si="102"/>
        <v>0</v>
      </c>
      <c r="T162">
        <f t="shared" si="103"/>
        <v>-1</v>
      </c>
      <c r="U162">
        <f t="shared" si="93"/>
        <v>0</v>
      </c>
      <c r="V162">
        <f t="shared" si="94"/>
        <v>1</v>
      </c>
      <c r="W162">
        <f t="shared" si="80"/>
        <v>0</v>
      </c>
      <c r="X162">
        <f t="shared" si="104"/>
        <v>0</v>
      </c>
      <c r="Y162">
        <f t="shared" si="81"/>
        <v>0</v>
      </c>
      <c r="Z162">
        <f t="shared" si="82"/>
        <v>0</v>
      </c>
      <c r="AA162">
        <f t="shared" si="83"/>
        <v>0</v>
      </c>
      <c r="AB162" s="29">
        <f t="shared" si="84"/>
        <v>0.74178816089935007</v>
      </c>
      <c r="AC162" s="25">
        <f t="shared" si="85"/>
        <v>127.49804426656831</v>
      </c>
      <c r="AD162" s="29">
        <f t="shared" si="86"/>
        <v>1.0808524183153847</v>
      </c>
      <c r="AE162" s="25">
        <f t="shared" si="95"/>
        <v>13.243681724743192</v>
      </c>
      <c r="AF162" s="25">
        <f t="shared" si="87"/>
        <v>13.243681724743192</v>
      </c>
      <c r="AG162" s="25">
        <f>IF($A162&lt;0,0,IF(instatk="bs",(1.5+talSCallInstBon)*(MHavg+(ap+Z162-$Z$1)/APtoDPS*MHnorm+170)*(1+sa*0.1+0.04*opp+0.02*agg+Slayer4value-1),IF(instatk="hemo",Slayer4value*(MHavg+(ap+Z162-$Z$1)/APtoDPS*MHnorm)*(1.1+talSCallInstBon)+420*(1+raidcrit)*debuffon,IF(instatk="ss",(MHavg+(ap+Z162-$Z$1)/APtoDPS*MHnorm+98)*(1+sa*0.1+0.02*agg+Slayer4value-1),IF(instatk="v",(ohavg+(ap+Z162-$Z$1)/APtoDPS*OHnorm)*(1+sa*0.1)*(0.5+0.05*dws)+avipdam,Slayer4value*((1+0.04*opp)*(MHavg+101+(ap+Z162-$Z$1)/APtoDPS*MHnorm+(0.5+0.05*dws)*(ohavg+(ap+Z162-$Z$1)/APtoDPS*OHnorm)+101*(1+0.1*dws))*(1+0.5*IF(Talents!$O$18="Yes",1,0)))))))*(instactualhit+(1+((leth*0.06+2)-1)*(cfact-1))*instactualcrit)*fwfactor*AB162*instsec*(AF162/$AN$45))</f>
        <v>290.78918279358999</v>
      </c>
      <c r="AH162" s="25">
        <f t="shared" si="105"/>
        <v>0</v>
      </c>
      <c r="AI162" s="25">
        <f t="shared" si="106"/>
        <v>0</v>
      </c>
      <c r="AJ162" s="25">
        <f t="shared" si="107"/>
        <v>0</v>
      </c>
    </row>
    <row r="163" spans="1:36">
      <c r="A163">
        <f t="shared" si="88"/>
        <v>160</v>
      </c>
      <c r="B163">
        <f t="shared" si="96"/>
        <v>4</v>
      </c>
      <c r="C163">
        <f t="shared" si="74"/>
        <v>180</v>
      </c>
      <c r="D163">
        <f t="shared" si="89"/>
        <v>0</v>
      </c>
      <c r="E163">
        <f t="shared" si="108"/>
        <v>3</v>
      </c>
      <c r="F163">
        <f t="shared" si="75"/>
        <v>180</v>
      </c>
      <c r="G163">
        <f t="shared" si="90"/>
        <v>0</v>
      </c>
      <c r="H163">
        <f t="shared" si="97"/>
        <v>3</v>
      </c>
      <c r="I163">
        <f t="shared" si="76"/>
        <v>240</v>
      </c>
      <c r="J163">
        <f t="shared" si="91"/>
        <v>0</v>
      </c>
      <c r="K163">
        <f t="shared" si="98"/>
        <v>2</v>
      </c>
      <c r="L163">
        <f t="shared" si="77"/>
        <v>180</v>
      </c>
      <c r="M163">
        <f t="shared" si="92"/>
        <v>0</v>
      </c>
      <c r="N163">
        <f t="shared" si="99"/>
        <v>2</v>
      </c>
      <c r="O163">
        <f t="shared" si="78"/>
        <v>300</v>
      </c>
      <c r="P163">
        <f t="shared" si="100"/>
        <v>0</v>
      </c>
      <c r="Q163">
        <f t="shared" si="101"/>
        <v>2</v>
      </c>
      <c r="R163">
        <f t="shared" si="79"/>
        <v>300</v>
      </c>
      <c r="S163">
        <f t="shared" si="102"/>
        <v>0</v>
      </c>
      <c r="T163">
        <f t="shared" si="103"/>
        <v>-1</v>
      </c>
      <c r="U163">
        <f t="shared" si="93"/>
        <v>0</v>
      </c>
      <c r="V163">
        <f t="shared" si="94"/>
        <v>1</v>
      </c>
      <c r="W163">
        <f t="shared" si="80"/>
        <v>0</v>
      </c>
      <c r="X163">
        <f t="shared" si="104"/>
        <v>0</v>
      </c>
      <c r="Y163">
        <f t="shared" si="81"/>
        <v>0</v>
      </c>
      <c r="Z163">
        <f t="shared" si="82"/>
        <v>0</v>
      </c>
      <c r="AA163">
        <f t="shared" si="83"/>
        <v>0</v>
      </c>
      <c r="AB163" s="29">
        <f t="shared" si="84"/>
        <v>0.74178816089935007</v>
      </c>
      <c r="AC163" s="25">
        <f t="shared" si="85"/>
        <v>127.49804426656831</v>
      </c>
      <c r="AD163" s="29">
        <f t="shared" si="86"/>
        <v>1.0808524183153847</v>
      </c>
      <c r="AE163" s="25">
        <f t="shared" si="95"/>
        <v>13.243681724743192</v>
      </c>
      <c r="AF163" s="25">
        <f t="shared" si="87"/>
        <v>13.243681724743192</v>
      </c>
      <c r="AG163" s="25">
        <f>IF($A163&lt;0,0,IF(instatk="bs",(1.5+talSCallInstBon)*(MHavg+(ap+Z163-$Z$1)/APtoDPS*MHnorm+170)*(1+sa*0.1+0.04*opp+0.02*agg+Slayer4value-1),IF(instatk="hemo",Slayer4value*(MHavg+(ap+Z163-$Z$1)/APtoDPS*MHnorm)*(1.1+talSCallInstBon)+420*(1+raidcrit)*debuffon,IF(instatk="ss",(MHavg+(ap+Z163-$Z$1)/APtoDPS*MHnorm+98)*(1+sa*0.1+0.02*agg+Slayer4value-1),IF(instatk="v",(ohavg+(ap+Z163-$Z$1)/APtoDPS*OHnorm)*(1+sa*0.1)*(0.5+0.05*dws)+avipdam,Slayer4value*((1+0.04*opp)*(MHavg+101+(ap+Z163-$Z$1)/APtoDPS*MHnorm+(0.5+0.05*dws)*(ohavg+(ap+Z163-$Z$1)/APtoDPS*OHnorm)+101*(1+0.1*dws))*(1+0.5*IF(Talents!$O$18="Yes",1,0)))))))*(instactualhit+(1+((leth*0.06+2)-1)*(cfact-1))*instactualcrit)*fwfactor*AB163*instsec*(AF163/$AN$45))</f>
        <v>290.78918279358999</v>
      </c>
      <c r="AH163" s="25">
        <f t="shared" si="105"/>
        <v>0</v>
      </c>
      <c r="AI163" s="25">
        <f t="shared" si="106"/>
        <v>0</v>
      </c>
      <c r="AJ163" s="25">
        <f t="shared" si="107"/>
        <v>0</v>
      </c>
    </row>
    <row r="164" spans="1:36">
      <c r="A164">
        <f t="shared" si="88"/>
        <v>161</v>
      </c>
      <c r="B164">
        <f t="shared" si="96"/>
        <v>4</v>
      </c>
      <c r="C164">
        <f t="shared" si="74"/>
        <v>180</v>
      </c>
      <c r="D164">
        <f t="shared" si="89"/>
        <v>0</v>
      </c>
      <c r="E164">
        <f t="shared" si="108"/>
        <v>3</v>
      </c>
      <c r="F164">
        <f t="shared" si="75"/>
        <v>180</v>
      </c>
      <c r="G164">
        <f t="shared" si="90"/>
        <v>0</v>
      </c>
      <c r="H164">
        <f t="shared" si="97"/>
        <v>3</v>
      </c>
      <c r="I164">
        <f t="shared" si="76"/>
        <v>240</v>
      </c>
      <c r="J164">
        <f t="shared" si="91"/>
        <v>0</v>
      </c>
      <c r="K164">
        <f t="shared" si="98"/>
        <v>2</v>
      </c>
      <c r="L164">
        <f t="shared" si="77"/>
        <v>180</v>
      </c>
      <c r="M164">
        <f t="shared" si="92"/>
        <v>0</v>
      </c>
      <c r="N164">
        <f t="shared" si="99"/>
        <v>2</v>
      </c>
      <c r="O164">
        <f t="shared" si="78"/>
        <v>300</v>
      </c>
      <c r="P164">
        <f t="shared" si="100"/>
        <v>0</v>
      </c>
      <c r="Q164">
        <f t="shared" si="101"/>
        <v>2</v>
      </c>
      <c r="R164">
        <f t="shared" si="79"/>
        <v>300</v>
      </c>
      <c r="S164">
        <f t="shared" si="102"/>
        <v>0</v>
      </c>
      <c r="T164">
        <f t="shared" si="103"/>
        <v>-1</v>
      </c>
      <c r="U164">
        <f t="shared" si="93"/>
        <v>0</v>
      </c>
      <c r="V164">
        <f t="shared" si="94"/>
        <v>1</v>
      </c>
      <c r="W164">
        <f t="shared" si="80"/>
        <v>0</v>
      </c>
      <c r="X164">
        <f t="shared" si="104"/>
        <v>0</v>
      </c>
      <c r="Y164">
        <f t="shared" si="81"/>
        <v>0</v>
      </c>
      <c r="Z164">
        <f t="shared" si="82"/>
        <v>0</v>
      </c>
      <c r="AA164">
        <f t="shared" si="83"/>
        <v>0</v>
      </c>
      <c r="AB164" s="29">
        <f t="shared" si="84"/>
        <v>0.74178816089935007</v>
      </c>
      <c r="AC164" s="25">
        <f t="shared" si="85"/>
        <v>127.49804426656831</v>
      </c>
      <c r="AD164" s="29">
        <f t="shared" si="86"/>
        <v>1.0808524183153847</v>
      </c>
      <c r="AE164" s="25">
        <f t="shared" si="95"/>
        <v>13.243681724743192</v>
      </c>
      <c r="AF164" s="25">
        <f t="shared" si="87"/>
        <v>13.243681724743192</v>
      </c>
      <c r="AG164" s="25">
        <f>IF($A164&lt;0,0,IF(instatk="bs",(1.5+talSCallInstBon)*(MHavg+(ap+Z164-$Z$1)/APtoDPS*MHnorm+170)*(1+sa*0.1+0.04*opp+0.02*agg+Slayer4value-1),IF(instatk="hemo",Slayer4value*(MHavg+(ap+Z164-$Z$1)/APtoDPS*MHnorm)*(1.1+talSCallInstBon)+420*(1+raidcrit)*debuffon,IF(instatk="ss",(MHavg+(ap+Z164-$Z$1)/APtoDPS*MHnorm+98)*(1+sa*0.1+0.02*agg+Slayer4value-1),IF(instatk="v",(ohavg+(ap+Z164-$Z$1)/APtoDPS*OHnorm)*(1+sa*0.1)*(0.5+0.05*dws)+avipdam,Slayer4value*((1+0.04*opp)*(MHavg+101+(ap+Z164-$Z$1)/APtoDPS*MHnorm+(0.5+0.05*dws)*(ohavg+(ap+Z164-$Z$1)/APtoDPS*OHnorm)+101*(1+0.1*dws))*(1+0.5*IF(Talents!$O$18="Yes",1,0)))))))*(instactualhit+(1+((leth*0.06+2)-1)*(cfact-1))*instactualcrit)*fwfactor*AB164*instsec*(AF164/$AN$45))</f>
        <v>290.78918279358999</v>
      </c>
      <c r="AH164" s="25">
        <f t="shared" si="105"/>
        <v>0</v>
      </c>
      <c r="AI164" s="25">
        <f t="shared" si="106"/>
        <v>0</v>
      </c>
      <c r="AJ164" s="25">
        <f t="shared" si="107"/>
        <v>0</v>
      </c>
    </row>
    <row r="165" spans="1:36">
      <c r="A165">
        <f t="shared" si="88"/>
        <v>162</v>
      </c>
      <c r="B165">
        <f t="shared" si="96"/>
        <v>4</v>
      </c>
      <c r="C165">
        <f t="shared" si="74"/>
        <v>180</v>
      </c>
      <c r="D165">
        <f t="shared" si="89"/>
        <v>0</v>
      </c>
      <c r="E165">
        <f t="shared" si="108"/>
        <v>3</v>
      </c>
      <c r="F165">
        <f t="shared" si="75"/>
        <v>180</v>
      </c>
      <c r="G165">
        <f t="shared" si="90"/>
        <v>0</v>
      </c>
      <c r="H165">
        <f t="shared" si="97"/>
        <v>3</v>
      </c>
      <c r="I165">
        <f t="shared" si="76"/>
        <v>240</v>
      </c>
      <c r="J165">
        <f t="shared" si="91"/>
        <v>0</v>
      </c>
      <c r="K165">
        <f t="shared" si="98"/>
        <v>2</v>
      </c>
      <c r="L165">
        <f t="shared" si="77"/>
        <v>180</v>
      </c>
      <c r="M165">
        <f t="shared" si="92"/>
        <v>0</v>
      </c>
      <c r="N165">
        <f t="shared" si="99"/>
        <v>2</v>
      </c>
      <c r="O165">
        <f t="shared" si="78"/>
        <v>300</v>
      </c>
      <c r="P165">
        <f t="shared" si="100"/>
        <v>0</v>
      </c>
      <c r="Q165">
        <f t="shared" si="101"/>
        <v>2</v>
      </c>
      <c r="R165">
        <f t="shared" si="79"/>
        <v>300</v>
      </c>
      <c r="S165">
        <f t="shared" si="102"/>
        <v>0</v>
      </c>
      <c r="T165">
        <f t="shared" si="103"/>
        <v>-1</v>
      </c>
      <c r="U165">
        <f t="shared" si="93"/>
        <v>0</v>
      </c>
      <c r="V165">
        <f t="shared" si="94"/>
        <v>1</v>
      </c>
      <c r="W165">
        <f t="shared" si="80"/>
        <v>0</v>
      </c>
      <c r="X165">
        <f t="shared" si="104"/>
        <v>0</v>
      </c>
      <c r="Y165">
        <f t="shared" si="81"/>
        <v>0</v>
      </c>
      <c r="Z165">
        <f t="shared" si="82"/>
        <v>0</v>
      </c>
      <c r="AA165">
        <f t="shared" si="83"/>
        <v>0</v>
      </c>
      <c r="AB165" s="29">
        <f t="shared" si="84"/>
        <v>0.74178816089935007</v>
      </c>
      <c r="AC165" s="25">
        <f t="shared" si="85"/>
        <v>127.49804426656831</v>
      </c>
      <c r="AD165" s="29">
        <f t="shared" si="86"/>
        <v>1.0808524183153847</v>
      </c>
      <c r="AE165" s="25">
        <f t="shared" si="95"/>
        <v>13.243681724743192</v>
      </c>
      <c r="AF165" s="25">
        <f t="shared" si="87"/>
        <v>13.243681724743192</v>
      </c>
      <c r="AG165" s="25">
        <f>IF($A165&lt;0,0,IF(instatk="bs",(1.5+talSCallInstBon)*(MHavg+(ap+Z165-$Z$1)/APtoDPS*MHnorm+170)*(1+sa*0.1+0.04*opp+0.02*agg+Slayer4value-1),IF(instatk="hemo",Slayer4value*(MHavg+(ap+Z165-$Z$1)/APtoDPS*MHnorm)*(1.1+talSCallInstBon)+420*(1+raidcrit)*debuffon,IF(instatk="ss",(MHavg+(ap+Z165-$Z$1)/APtoDPS*MHnorm+98)*(1+sa*0.1+0.02*agg+Slayer4value-1),IF(instatk="v",(ohavg+(ap+Z165-$Z$1)/APtoDPS*OHnorm)*(1+sa*0.1)*(0.5+0.05*dws)+avipdam,Slayer4value*((1+0.04*opp)*(MHavg+101+(ap+Z165-$Z$1)/APtoDPS*MHnorm+(0.5+0.05*dws)*(ohavg+(ap+Z165-$Z$1)/APtoDPS*OHnorm)+101*(1+0.1*dws))*(1+0.5*IF(Talents!$O$18="Yes",1,0)))))))*(instactualhit+(1+((leth*0.06+2)-1)*(cfact-1))*instactualcrit)*fwfactor*AB165*instsec*(AF165/$AN$45))</f>
        <v>290.78918279358999</v>
      </c>
      <c r="AH165" s="25">
        <f t="shared" si="105"/>
        <v>0</v>
      </c>
      <c r="AI165" s="25">
        <f t="shared" si="106"/>
        <v>0</v>
      </c>
      <c r="AJ165" s="25">
        <f t="shared" si="107"/>
        <v>0</v>
      </c>
    </row>
    <row r="166" spans="1:36">
      <c r="A166">
        <f t="shared" si="88"/>
        <v>163</v>
      </c>
      <c r="B166">
        <f t="shared" si="96"/>
        <v>4</v>
      </c>
      <c r="C166">
        <f t="shared" si="74"/>
        <v>180</v>
      </c>
      <c r="D166">
        <f t="shared" si="89"/>
        <v>0</v>
      </c>
      <c r="E166">
        <f t="shared" si="108"/>
        <v>3</v>
      </c>
      <c r="F166">
        <f t="shared" si="75"/>
        <v>180</v>
      </c>
      <c r="G166">
        <f t="shared" si="90"/>
        <v>0</v>
      </c>
      <c r="H166">
        <f t="shared" si="97"/>
        <v>3</v>
      </c>
      <c r="I166">
        <f t="shared" si="76"/>
        <v>240</v>
      </c>
      <c r="J166">
        <f t="shared" si="91"/>
        <v>0</v>
      </c>
      <c r="K166">
        <f t="shared" si="98"/>
        <v>2</v>
      </c>
      <c r="L166">
        <f t="shared" si="77"/>
        <v>180</v>
      </c>
      <c r="M166">
        <f t="shared" si="92"/>
        <v>0</v>
      </c>
      <c r="N166">
        <f t="shared" si="99"/>
        <v>2</v>
      </c>
      <c r="O166">
        <f t="shared" si="78"/>
        <v>300</v>
      </c>
      <c r="P166">
        <f t="shared" si="100"/>
        <v>0</v>
      </c>
      <c r="Q166">
        <f t="shared" si="101"/>
        <v>2</v>
      </c>
      <c r="R166">
        <f t="shared" si="79"/>
        <v>300</v>
      </c>
      <c r="S166">
        <f t="shared" si="102"/>
        <v>0</v>
      </c>
      <c r="T166">
        <f t="shared" si="103"/>
        <v>-1</v>
      </c>
      <c r="U166">
        <f t="shared" si="93"/>
        <v>0</v>
      </c>
      <c r="V166">
        <f t="shared" si="94"/>
        <v>1</v>
      </c>
      <c r="W166">
        <f t="shared" si="80"/>
        <v>0</v>
      </c>
      <c r="X166">
        <f t="shared" si="104"/>
        <v>0</v>
      </c>
      <c r="Y166">
        <f t="shared" si="81"/>
        <v>0</v>
      </c>
      <c r="Z166">
        <f t="shared" si="82"/>
        <v>0</v>
      </c>
      <c r="AA166">
        <f t="shared" si="83"/>
        <v>0</v>
      </c>
      <c r="AB166" s="29">
        <f t="shared" si="84"/>
        <v>0.74178816089935007</v>
      </c>
      <c r="AC166" s="25">
        <f t="shared" si="85"/>
        <v>127.49804426656831</v>
      </c>
      <c r="AD166" s="29">
        <f t="shared" si="86"/>
        <v>1.0808524183153847</v>
      </c>
      <c r="AE166" s="25">
        <f t="shared" si="95"/>
        <v>13.243681724743192</v>
      </c>
      <c r="AF166" s="25">
        <f t="shared" si="87"/>
        <v>13.243681724743192</v>
      </c>
      <c r="AG166" s="25">
        <f>IF($A166&lt;0,0,IF(instatk="bs",(1.5+talSCallInstBon)*(MHavg+(ap+Z166-$Z$1)/APtoDPS*MHnorm+170)*(1+sa*0.1+0.04*opp+0.02*agg+Slayer4value-1),IF(instatk="hemo",Slayer4value*(MHavg+(ap+Z166-$Z$1)/APtoDPS*MHnorm)*(1.1+talSCallInstBon)+420*(1+raidcrit)*debuffon,IF(instatk="ss",(MHavg+(ap+Z166-$Z$1)/APtoDPS*MHnorm+98)*(1+sa*0.1+0.02*agg+Slayer4value-1),IF(instatk="v",(ohavg+(ap+Z166-$Z$1)/APtoDPS*OHnorm)*(1+sa*0.1)*(0.5+0.05*dws)+avipdam,Slayer4value*((1+0.04*opp)*(MHavg+101+(ap+Z166-$Z$1)/APtoDPS*MHnorm+(0.5+0.05*dws)*(ohavg+(ap+Z166-$Z$1)/APtoDPS*OHnorm)+101*(1+0.1*dws))*(1+0.5*IF(Talents!$O$18="Yes",1,0)))))))*(instactualhit+(1+((leth*0.06+2)-1)*(cfact-1))*instactualcrit)*fwfactor*AB166*instsec*(AF166/$AN$45))</f>
        <v>290.78918279358999</v>
      </c>
      <c r="AH166" s="25">
        <f t="shared" si="105"/>
        <v>0</v>
      </c>
      <c r="AI166" s="25">
        <f t="shared" si="106"/>
        <v>0</v>
      </c>
      <c r="AJ166" s="25">
        <f t="shared" si="107"/>
        <v>0</v>
      </c>
    </row>
    <row r="167" spans="1:36">
      <c r="A167">
        <f t="shared" si="88"/>
        <v>164</v>
      </c>
      <c r="B167">
        <f t="shared" si="96"/>
        <v>4</v>
      </c>
      <c r="C167">
        <f t="shared" si="74"/>
        <v>180</v>
      </c>
      <c r="D167">
        <f t="shared" si="89"/>
        <v>0</v>
      </c>
      <c r="E167">
        <f t="shared" si="108"/>
        <v>3</v>
      </c>
      <c r="F167">
        <f t="shared" si="75"/>
        <v>180</v>
      </c>
      <c r="G167">
        <f t="shared" si="90"/>
        <v>0</v>
      </c>
      <c r="H167">
        <f t="shared" si="97"/>
        <v>3</v>
      </c>
      <c r="I167">
        <f t="shared" si="76"/>
        <v>240</v>
      </c>
      <c r="J167">
        <f t="shared" si="91"/>
        <v>0</v>
      </c>
      <c r="K167">
        <f t="shared" si="98"/>
        <v>2</v>
      </c>
      <c r="L167">
        <f t="shared" si="77"/>
        <v>180</v>
      </c>
      <c r="M167">
        <f t="shared" si="92"/>
        <v>0</v>
      </c>
      <c r="N167">
        <f t="shared" si="99"/>
        <v>2</v>
      </c>
      <c r="O167">
        <f t="shared" si="78"/>
        <v>300</v>
      </c>
      <c r="P167">
        <f t="shared" si="100"/>
        <v>0</v>
      </c>
      <c r="Q167">
        <f t="shared" si="101"/>
        <v>2</v>
      </c>
      <c r="R167">
        <f t="shared" si="79"/>
        <v>300</v>
      </c>
      <c r="S167">
        <f t="shared" si="102"/>
        <v>0</v>
      </c>
      <c r="T167">
        <f t="shared" si="103"/>
        <v>-1</v>
      </c>
      <c r="U167">
        <f t="shared" si="93"/>
        <v>0</v>
      </c>
      <c r="V167">
        <f t="shared" si="94"/>
        <v>1</v>
      </c>
      <c r="W167">
        <f t="shared" si="80"/>
        <v>0</v>
      </c>
      <c r="X167">
        <f t="shared" si="104"/>
        <v>0</v>
      </c>
      <c r="Y167">
        <f t="shared" si="81"/>
        <v>0</v>
      </c>
      <c r="Z167">
        <f t="shared" si="82"/>
        <v>0</v>
      </c>
      <c r="AA167">
        <f t="shared" si="83"/>
        <v>0</v>
      </c>
      <c r="AB167" s="29">
        <f t="shared" si="84"/>
        <v>0.74178816089935007</v>
      </c>
      <c r="AC167" s="25">
        <f t="shared" si="85"/>
        <v>127.49804426656831</v>
      </c>
      <c r="AD167" s="29">
        <f t="shared" si="86"/>
        <v>1.0808524183153847</v>
      </c>
      <c r="AE167" s="25">
        <f t="shared" si="95"/>
        <v>13.243681724743192</v>
      </c>
      <c r="AF167" s="25">
        <f t="shared" si="87"/>
        <v>13.243681724743192</v>
      </c>
      <c r="AG167" s="25">
        <f>IF($A167&lt;0,0,IF(instatk="bs",(1.5+talSCallInstBon)*(MHavg+(ap+Z167-$Z$1)/APtoDPS*MHnorm+170)*(1+sa*0.1+0.04*opp+0.02*agg+Slayer4value-1),IF(instatk="hemo",Slayer4value*(MHavg+(ap+Z167-$Z$1)/APtoDPS*MHnorm)*(1.1+talSCallInstBon)+420*(1+raidcrit)*debuffon,IF(instatk="ss",(MHavg+(ap+Z167-$Z$1)/APtoDPS*MHnorm+98)*(1+sa*0.1+0.02*agg+Slayer4value-1),IF(instatk="v",(ohavg+(ap+Z167-$Z$1)/APtoDPS*OHnorm)*(1+sa*0.1)*(0.5+0.05*dws)+avipdam,Slayer4value*((1+0.04*opp)*(MHavg+101+(ap+Z167-$Z$1)/APtoDPS*MHnorm+(0.5+0.05*dws)*(ohavg+(ap+Z167-$Z$1)/APtoDPS*OHnorm)+101*(1+0.1*dws))*(1+0.5*IF(Talents!$O$18="Yes",1,0)))))))*(instactualhit+(1+((leth*0.06+2)-1)*(cfact-1))*instactualcrit)*fwfactor*AB167*instsec*(AF167/$AN$45))</f>
        <v>290.78918279358999</v>
      </c>
      <c r="AH167" s="25">
        <f t="shared" si="105"/>
        <v>0</v>
      </c>
      <c r="AI167" s="25">
        <f t="shared" si="106"/>
        <v>0</v>
      </c>
      <c r="AJ167" s="25">
        <f t="shared" si="107"/>
        <v>0</v>
      </c>
    </row>
    <row r="168" spans="1:36">
      <c r="A168">
        <f t="shared" si="88"/>
        <v>165</v>
      </c>
      <c r="B168">
        <f t="shared" si="96"/>
        <v>4</v>
      </c>
      <c r="C168">
        <f t="shared" si="74"/>
        <v>180</v>
      </c>
      <c r="D168">
        <f t="shared" si="89"/>
        <v>0</v>
      </c>
      <c r="E168">
        <f t="shared" si="108"/>
        <v>3</v>
      </c>
      <c r="F168">
        <f t="shared" si="75"/>
        <v>180</v>
      </c>
      <c r="G168">
        <f t="shared" si="90"/>
        <v>0</v>
      </c>
      <c r="H168">
        <f t="shared" si="97"/>
        <v>3</v>
      </c>
      <c r="I168">
        <f t="shared" si="76"/>
        <v>240</v>
      </c>
      <c r="J168">
        <f t="shared" si="91"/>
        <v>0</v>
      </c>
      <c r="K168">
        <f t="shared" si="98"/>
        <v>2</v>
      </c>
      <c r="L168">
        <f t="shared" si="77"/>
        <v>180</v>
      </c>
      <c r="M168">
        <f t="shared" si="92"/>
        <v>0</v>
      </c>
      <c r="N168">
        <f t="shared" si="99"/>
        <v>2</v>
      </c>
      <c r="O168">
        <f t="shared" si="78"/>
        <v>300</v>
      </c>
      <c r="P168">
        <f t="shared" si="100"/>
        <v>0</v>
      </c>
      <c r="Q168">
        <f t="shared" si="101"/>
        <v>2</v>
      </c>
      <c r="R168">
        <f t="shared" si="79"/>
        <v>300</v>
      </c>
      <c r="S168">
        <f t="shared" si="102"/>
        <v>0</v>
      </c>
      <c r="T168">
        <f t="shared" si="103"/>
        <v>-1</v>
      </c>
      <c r="U168">
        <f t="shared" si="93"/>
        <v>0</v>
      </c>
      <c r="V168">
        <f t="shared" si="94"/>
        <v>1</v>
      </c>
      <c r="W168">
        <f t="shared" si="80"/>
        <v>0</v>
      </c>
      <c r="X168">
        <f t="shared" si="104"/>
        <v>0</v>
      </c>
      <c r="Y168">
        <f t="shared" si="81"/>
        <v>0</v>
      </c>
      <c r="Z168">
        <f t="shared" si="82"/>
        <v>0</v>
      </c>
      <c r="AA168">
        <f t="shared" si="83"/>
        <v>0</v>
      </c>
      <c r="AB168" s="29">
        <f t="shared" si="84"/>
        <v>0.74178816089935007</v>
      </c>
      <c r="AC168" s="25">
        <f t="shared" si="85"/>
        <v>127.49804426656831</v>
      </c>
      <c r="AD168" s="29">
        <f t="shared" si="86"/>
        <v>1.0808524183153847</v>
      </c>
      <c r="AE168" s="25">
        <f t="shared" si="95"/>
        <v>13.243681724743192</v>
      </c>
      <c r="AF168" s="25">
        <f t="shared" si="87"/>
        <v>13.243681724743192</v>
      </c>
      <c r="AG168" s="25">
        <f>IF($A168&lt;0,0,IF(instatk="bs",(1.5+talSCallInstBon)*(MHavg+(ap+Z168-$Z$1)/APtoDPS*MHnorm+170)*(1+sa*0.1+0.04*opp+0.02*agg+Slayer4value-1),IF(instatk="hemo",Slayer4value*(MHavg+(ap+Z168-$Z$1)/APtoDPS*MHnorm)*(1.1+talSCallInstBon)+420*(1+raidcrit)*debuffon,IF(instatk="ss",(MHavg+(ap+Z168-$Z$1)/APtoDPS*MHnorm+98)*(1+sa*0.1+0.02*agg+Slayer4value-1),IF(instatk="v",(ohavg+(ap+Z168-$Z$1)/APtoDPS*OHnorm)*(1+sa*0.1)*(0.5+0.05*dws)+avipdam,Slayer4value*((1+0.04*opp)*(MHavg+101+(ap+Z168-$Z$1)/APtoDPS*MHnorm+(0.5+0.05*dws)*(ohavg+(ap+Z168-$Z$1)/APtoDPS*OHnorm)+101*(1+0.1*dws))*(1+0.5*IF(Talents!$O$18="Yes",1,0)))))))*(instactualhit+(1+((leth*0.06+2)-1)*(cfact-1))*instactualcrit)*fwfactor*AB168*instsec*(AF168/$AN$45))</f>
        <v>290.78918279358999</v>
      </c>
      <c r="AH168" s="25">
        <f t="shared" si="105"/>
        <v>0</v>
      </c>
      <c r="AI168" s="25">
        <f t="shared" si="106"/>
        <v>0</v>
      </c>
      <c r="AJ168" s="25">
        <f t="shared" si="107"/>
        <v>0</v>
      </c>
    </row>
    <row r="169" spans="1:36">
      <c r="A169">
        <f t="shared" si="88"/>
        <v>166</v>
      </c>
      <c r="B169">
        <f t="shared" si="96"/>
        <v>4</v>
      </c>
      <c r="C169">
        <f t="shared" si="74"/>
        <v>180</v>
      </c>
      <c r="D169">
        <f t="shared" si="89"/>
        <v>0</v>
      </c>
      <c r="E169">
        <f t="shared" si="108"/>
        <v>3</v>
      </c>
      <c r="F169">
        <f t="shared" si="75"/>
        <v>180</v>
      </c>
      <c r="G169">
        <f t="shared" si="90"/>
        <v>0</v>
      </c>
      <c r="H169">
        <f t="shared" si="97"/>
        <v>3</v>
      </c>
      <c r="I169">
        <f t="shared" si="76"/>
        <v>240</v>
      </c>
      <c r="J169">
        <f t="shared" si="91"/>
        <v>0</v>
      </c>
      <c r="K169">
        <f t="shared" si="98"/>
        <v>2</v>
      </c>
      <c r="L169">
        <f t="shared" si="77"/>
        <v>180</v>
      </c>
      <c r="M169">
        <f t="shared" si="92"/>
        <v>0</v>
      </c>
      <c r="N169">
        <f t="shared" si="99"/>
        <v>2</v>
      </c>
      <c r="O169">
        <f t="shared" si="78"/>
        <v>300</v>
      </c>
      <c r="P169">
        <f t="shared" si="100"/>
        <v>0</v>
      </c>
      <c r="Q169">
        <f t="shared" si="101"/>
        <v>2</v>
      </c>
      <c r="R169">
        <f t="shared" si="79"/>
        <v>300</v>
      </c>
      <c r="S169">
        <f t="shared" si="102"/>
        <v>0</v>
      </c>
      <c r="T169">
        <f t="shared" si="103"/>
        <v>-1</v>
      </c>
      <c r="U169">
        <f t="shared" si="93"/>
        <v>0</v>
      </c>
      <c r="V169">
        <f t="shared" si="94"/>
        <v>1</v>
      </c>
      <c r="W169">
        <f t="shared" si="80"/>
        <v>0</v>
      </c>
      <c r="X169">
        <f t="shared" si="104"/>
        <v>0</v>
      </c>
      <c r="Y169">
        <f t="shared" si="81"/>
        <v>0</v>
      </c>
      <c r="Z169">
        <f t="shared" si="82"/>
        <v>0</v>
      </c>
      <c r="AA169">
        <f t="shared" si="83"/>
        <v>0</v>
      </c>
      <c r="AB169" s="29">
        <f t="shared" si="84"/>
        <v>0.74178816089935007</v>
      </c>
      <c r="AC169" s="25">
        <f t="shared" si="85"/>
        <v>127.49804426656831</v>
      </c>
      <c r="AD169" s="29">
        <f t="shared" si="86"/>
        <v>1.0808524183153847</v>
      </c>
      <c r="AE169" s="25">
        <f t="shared" si="95"/>
        <v>13.243681724743192</v>
      </c>
      <c r="AF169" s="25">
        <f t="shared" si="87"/>
        <v>13.243681724743192</v>
      </c>
      <c r="AG169" s="25">
        <f>IF($A169&lt;0,0,IF(instatk="bs",(1.5+talSCallInstBon)*(MHavg+(ap+Z169-$Z$1)/APtoDPS*MHnorm+170)*(1+sa*0.1+0.04*opp+0.02*agg+Slayer4value-1),IF(instatk="hemo",Slayer4value*(MHavg+(ap+Z169-$Z$1)/APtoDPS*MHnorm)*(1.1+talSCallInstBon)+420*(1+raidcrit)*debuffon,IF(instatk="ss",(MHavg+(ap+Z169-$Z$1)/APtoDPS*MHnorm+98)*(1+sa*0.1+0.02*agg+Slayer4value-1),IF(instatk="v",(ohavg+(ap+Z169-$Z$1)/APtoDPS*OHnorm)*(1+sa*0.1)*(0.5+0.05*dws)+avipdam,Slayer4value*((1+0.04*opp)*(MHavg+101+(ap+Z169-$Z$1)/APtoDPS*MHnorm+(0.5+0.05*dws)*(ohavg+(ap+Z169-$Z$1)/APtoDPS*OHnorm)+101*(1+0.1*dws))*(1+0.5*IF(Talents!$O$18="Yes",1,0)))))))*(instactualhit+(1+((leth*0.06+2)-1)*(cfact-1))*instactualcrit)*fwfactor*AB169*instsec*(AF169/$AN$45))</f>
        <v>290.78918279358999</v>
      </c>
      <c r="AH169" s="25">
        <f t="shared" si="105"/>
        <v>0</v>
      </c>
      <c r="AI169" s="25">
        <f t="shared" si="106"/>
        <v>0</v>
      </c>
      <c r="AJ169" s="25">
        <f t="shared" si="107"/>
        <v>0</v>
      </c>
    </row>
    <row r="170" spans="1:36">
      <c r="A170">
        <f t="shared" si="88"/>
        <v>167</v>
      </c>
      <c r="B170">
        <f t="shared" si="96"/>
        <v>4</v>
      </c>
      <c r="C170">
        <f t="shared" si="74"/>
        <v>180</v>
      </c>
      <c r="D170">
        <f t="shared" si="89"/>
        <v>0</v>
      </c>
      <c r="E170">
        <f t="shared" si="108"/>
        <v>3</v>
      </c>
      <c r="F170">
        <f t="shared" si="75"/>
        <v>180</v>
      </c>
      <c r="G170">
        <f t="shared" si="90"/>
        <v>0</v>
      </c>
      <c r="H170">
        <f t="shared" si="97"/>
        <v>3</v>
      </c>
      <c r="I170">
        <f t="shared" si="76"/>
        <v>240</v>
      </c>
      <c r="J170">
        <f t="shared" si="91"/>
        <v>0</v>
      </c>
      <c r="K170">
        <f t="shared" si="98"/>
        <v>2</v>
      </c>
      <c r="L170">
        <f t="shared" si="77"/>
        <v>180</v>
      </c>
      <c r="M170">
        <f t="shared" si="92"/>
        <v>0</v>
      </c>
      <c r="N170">
        <f t="shared" si="99"/>
        <v>2</v>
      </c>
      <c r="O170">
        <f t="shared" si="78"/>
        <v>300</v>
      </c>
      <c r="P170">
        <f t="shared" si="100"/>
        <v>0</v>
      </c>
      <c r="Q170">
        <f t="shared" si="101"/>
        <v>2</v>
      </c>
      <c r="R170">
        <f t="shared" si="79"/>
        <v>300</v>
      </c>
      <c r="S170">
        <f t="shared" si="102"/>
        <v>0</v>
      </c>
      <c r="T170">
        <f t="shared" si="103"/>
        <v>-1</v>
      </c>
      <c r="U170">
        <f t="shared" si="93"/>
        <v>0</v>
      </c>
      <c r="V170">
        <f t="shared" si="94"/>
        <v>1</v>
      </c>
      <c r="W170">
        <f t="shared" si="80"/>
        <v>0</v>
      </c>
      <c r="X170">
        <f t="shared" si="104"/>
        <v>0</v>
      </c>
      <c r="Y170">
        <f t="shared" si="81"/>
        <v>0</v>
      </c>
      <c r="Z170">
        <f t="shared" si="82"/>
        <v>0</v>
      </c>
      <c r="AA170">
        <f t="shared" si="83"/>
        <v>0</v>
      </c>
      <c r="AB170" s="29">
        <f t="shared" si="84"/>
        <v>0.74178816089935007</v>
      </c>
      <c r="AC170" s="25">
        <f t="shared" si="85"/>
        <v>127.49804426656831</v>
      </c>
      <c r="AD170" s="29">
        <f t="shared" si="86"/>
        <v>1.0808524183153847</v>
      </c>
      <c r="AE170" s="25">
        <f t="shared" si="95"/>
        <v>13.243681724743192</v>
      </c>
      <c r="AF170" s="25">
        <f t="shared" si="87"/>
        <v>13.243681724743192</v>
      </c>
      <c r="AG170" s="25">
        <f>IF($A170&lt;0,0,IF(instatk="bs",(1.5+talSCallInstBon)*(MHavg+(ap+Z170-$Z$1)/APtoDPS*MHnorm+170)*(1+sa*0.1+0.04*opp+0.02*agg+Slayer4value-1),IF(instatk="hemo",Slayer4value*(MHavg+(ap+Z170-$Z$1)/APtoDPS*MHnorm)*(1.1+talSCallInstBon)+420*(1+raidcrit)*debuffon,IF(instatk="ss",(MHavg+(ap+Z170-$Z$1)/APtoDPS*MHnorm+98)*(1+sa*0.1+0.02*agg+Slayer4value-1),IF(instatk="v",(ohavg+(ap+Z170-$Z$1)/APtoDPS*OHnorm)*(1+sa*0.1)*(0.5+0.05*dws)+avipdam,Slayer4value*((1+0.04*opp)*(MHavg+101+(ap+Z170-$Z$1)/APtoDPS*MHnorm+(0.5+0.05*dws)*(ohavg+(ap+Z170-$Z$1)/APtoDPS*OHnorm)+101*(1+0.1*dws))*(1+0.5*IF(Talents!$O$18="Yes",1,0)))))))*(instactualhit+(1+((leth*0.06+2)-1)*(cfact-1))*instactualcrit)*fwfactor*AB170*instsec*(AF170/$AN$45))</f>
        <v>290.78918279358999</v>
      </c>
      <c r="AH170" s="25">
        <f t="shared" si="105"/>
        <v>0</v>
      </c>
      <c r="AI170" s="25">
        <f t="shared" si="106"/>
        <v>0</v>
      </c>
      <c r="AJ170" s="25">
        <f t="shared" si="107"/>
        <v>0</v>
      </c>
    </row>
    <row r="171" spans="1:36">
      <c r="A171">
        <f t="shared" si="88"/>
        <v>168</v>
      </c>
      <c r="B171">
        <f t="shared" si="96"/>
        <v>4</v>
      </c>
      <c r="C171">
        <f t="shared" si="74"/>
        <v>180</v>
      </c>
      <c r="D171">
        <f t="shared" si="89"/>
        <v>0</v>
      </c>
      <c r="E171">
        <f t="shared" si="108"/>
        <v>3</v>
      </c>
      <c r="F171">
        <f t="shared" si="75"/>
        <v>180</v>
      </c>
      <c r="G171">
        <f t="shared" si="90"/>
        <v>0</v>
      </c>
      <c r="H171">
        <f t="shared" si="97"/>
        <v>3</v>
      </c>
      <c r="I171">
        <f t="shared" si="76"/>
        <v>240</v>
      </c>
      <c r="J171">
        <f t="shared" si="91"/>
        <v>0</v>
      </c>
      <c r="K171">
        <f t="shared" si="98"/>
        <v>2</v>
      </c>
      <c r="L171">
        <f t="shared" si="77"/>
        <v>180</v>
      </c>
      <c r="M171">
        <f t="shared" si="92"/>
        <v>0</v>
      </c>
      <c r="N171">
        <f t="shared" si="99"/>
        <v>2</v>
      </c>
      <c r="O171">
        <f t="shared" si="78"/>
        <v>300</v>
      </c>
      <c r="P171">
        <f t="shared" si="100"/>
        <v>0</v>
      </c>
      <c r="Q171">
        <f t="shared" si="101"/>
        <v>2</v>
      </c>
      <c r="R171">
        <f t="shared" si="79"/>
        <v>300</v>
      </c>
      <c r="S171">
        <f t="shared" si="102"/>
        <v>0</v>
      </c>
      <c r="T171">
        <f t="shared" si="103"/>
        <v>-1</v>
      </c>
      <c r="U171">
        <f t="shared" si="93"/>
        <v>0</v>
      </c>
      <c r="V171">
        <f t="shared" si="94"/>
        <v>1</v>
      </c>
      <c r="W171">
        <f t="shared" si="80"/>
        <v>0</v>
      </c>
      <c r="X171">
        <f t="shared" si="104"/>
        <v>0</v>
      </c>
      <c r="Y171">
        <f t="shared" si="81"/>
        <v>0</v>
      </c>
      <c r="Z171">
        <f t="shared" si="82"/>
        <v>0</v>
      </c>
      <c r="AA171">
        <f t="shared" si="83"/>
        <v>0</v>
      </c>
      <c r="AB171" s="29">
        <f t="shared" si="84"/>
        <v>0.74178816089935007</v>
      </c>
      <c r="AC171" s="25">
        <f t="shared" si="85"/>
        <v>127.49804426656831</v>
      </c>
      <c r="AD171" s="29">
        <f t="shared" si="86"/>
        <v>1.0808524183153847</v>
      </c>
      <c r="AE171" s="25">
        <f t="shared" si="95"/>
        <v>13.243681724743192</v>
      </c>
      <c r="AF171" s="25">
        <f t="shared" si="87"/>
        <v>13.243681724743192</v>
      </c>
      <c r="AG171" s="25">
        <f>IF($A171&lt;0,0,IF(instatk="bs",(1.5+talSCallInstBon)*(MHavg+(ap+Z171-$Z$1)/APtoDPS*MHnorm+170)*(1+sa*0.1+0.04*opp+0.02*agg+Slayer4value-1),IF(instatk="hemo",Slayer4value*(MHavg+(ap+Z171-$Z$1)/APtoDPS*MHnorm)*(1.1+talSCallInstBon)+420*(1+raidcrit)*debuffon,IF(instatk="ss",(MHavg+(ap+Z171-$Z$1)/APtoDPS*MHnorm+98)*(1+sa*0.1+0.02*agg+Slayer4value-1),IF(instatk="v",(ohavg+(ap+Z171-$Z$1)/APtoDPS*OHnorm)*(1+sa*0.1)*(0.5+0.05*dws)+avipdam,Slayer4value*((1+0.04*opp)*(MHavg+101+(ap+Z171-$Z$1)/APtoDPS*MHnorm+(0.5+0.05*dws)*(ohavg+(ap+Z171-$Z$1)/APtoDPS*OHnorm)+101*(1+0.1*dws))*(1+0.5*IF(Talents!$O$18="Yes",1,0)))))))*(instactualhit+(1+((leth*0.06+2)-1)*(cfact-1))*instactualcrit)*fwfactor*AB171*instsec*(AF171/$AN$45))</f>
        <v>290.78918279358999</v>
      </c>
      <c r="AH171" s="25">
        <f t="shared" si="105"/>
        <v>0</v>
      </c>
      <c r="AI171" s="25">
        <f t="shared" si="106"/>
        <v>0</v>
      </c>
      <c r="AJ171" s="25">
        <f t="shared" si="107"/>
        <v>0</v>
      </c>
    </row>
    <row r="172" spans="1:36">
      <c r="A172">
        <f t="shared" si="88"/>
        <v>169</v>
      </c>
      <c r="B172">
        <f t="shared" si="96"/>
        <v>4</v>
      </c>
      <c r="C172">
        <f t="shared" si="74"/>
        <v>180</v>
      </c>
      <c r="D172">
        <f t="shared" si="89"/>
        <v>0</v>
      </c>
      <c r="E172">
        <f t="shared" si="108"/>
        <v>3</v>
      </c>
      <c r="F172">
        <f t="shared" si="75"/>
        <v>180</v>
      </c>
      <c r="G172">
        <f t="shared" si="90"/>
        <v>0</v>
      </c>
      <c r="H172">
        <f t="shared" si="97"/>
        <v>3</v>
      </c>
      <c r="I172">
        <f t="shared" si="76"/>
        <v>240</v>
      </c>
      <c r="J172">
        <f t="shared" si="91"/>
        <v>0</v>
      </c>
      <c r="K172">
        <f t="shared" si="98"/>
        <v>2</v>
      </c>
      <c r="L172">
        <f t="shared" si="77"/>
        <v>180</v>
      </c>
      <c r="M172">
        <f t="shared" si="92"/>
        <v>0</v>
      </c>
      <c r="N172">
        <f t="shared" si="99"/>
        <v>2</v>
      </c>
      <c r="O172">
        <f t="shared" si="78"/>
        <v>300</v>
      </c>
      <c r="P172">
        <f t="shared" si="100"/>
        <v>0</v>
      </c>
      <c r="Q172">
        <f t="shared" si="101"/>
        <v>2</v>
      </c>
      <c r="R172">
        <f t="shared" si="79"/>
        <v>300</v>
      </c>
      <c r="S172">
        <f t="shared" si="102"/>
        <v>0</v>
      </c>
      <c r="T172">
        <f t="shared" si="103"/>
        <v>-1</v>
      </c>
      <c r="U172">
        <f t="shared" si="93"/>
        <v>0</v>
      </c>
      <c r="V172">
        <f t="shared" si="94"/>
        <v>1</v>
      </c>
      <c r="W172">
        <f t="shared" si="80"/>
        <v>0</v>
      </c>
      <c r="X172">
        <f t="shared" si="104"/>
        <v>0</v>
      </c>
      <c r="Y172">
        <f t="shared" si="81"/>
        <v>0</v>
      </c>
      <c r="Z172">
        <f t="shared" si="82"/>
        <v>0</v>
      </c>
      <c r="AA172">
        <f t="shared" si="83"/>
        <v>0</v>
      </c>
      <c r="AB172" s="29">
        <f t="shared" si="84"/>
        <v>0.74178816089935007</v>
      </c>
      <c r="AC172" s="25">
        <f t="shared" si="85"/>
        <v>127.49804426656831</v>
      </c>
      <c r="AD172" s="29">
        <f t="shared" si="86"/>
        <v>1.0808524183153847</v>
      </c>
      <c r="AE172" s="25">
        <f t="shared" si="95"/>
        <v>13.243681724743192</v>
      </c>
      <c r="AF172" s="25">
        <f t="shared" si="87"/>
        <v>13.243681724743192</v>
      </c>
      <c r="AG172" s="25">
        <f>IF($A172&lt;0,0,IF(instatk="bs",(1.5+talSCallInstBon)*(MHavg+(ap+Z172-$Z$1)/APtoDPS*MHnorm+170)*(1+sa*0.1+0.04*opp+0.02*agg+Slayer4value-1),IF(instatk="hemo",Slayer4value*(MHavg+(ap+Z172-$Z$1)/APtoDPS*MHnorm)*(1.1+talSCallInstBon)+420*(1+raidcrit)*debuffon,IF(instatk="ss",(MHavg+(ap+Z172-$Z$1)/APtoDPS*MHnorm+98)*(1+sa*0.1+0.02*agg+Slayer4value-1),IF(instatk="v",(ohavg+(ap+Z172-$Z$1)/APtoDPS*OHnorm)*(1+sa*0.1)*(0.5+0.05*dws)+avipdam,Slayer4value*((1+0.04*opp)*(MHavg+101+(ap+Z172-$Z$1)/APtoDPS*MHnorm+(0.5+0.05*dws)*(ohavg+(ap+Z172-$Z$1)/APtoDPS*OHnorm)+101*(1+0.1*dws))*(1+0.5*IF(Talents!$O$18="Yes",1,0)))))))*(instactualhit+(1+((leth*0.06+2)-1)*(cfact-1))*instactualcrit)*fwfactor*AB172*instsec*(AF172/$AN$45))</f>
        <v>290.78918279358999</v>
      </c>
      <c r="AH172" s="25">
        <f t="shared" si="105"/>
        <v>0</v>
      </c>
      <c r="AI172" s="25">
        <f t="shared" si="106"/>
        <v>0</v>
      </c>
      <c r="AJ172" s="25">
        <f t="shared" si="107"/>
        <v>0</v>
      </c>
    </row>
    <row r="173" spans="1:36">
      <c r="A173">
        <f t="shared" si="88"/>
        <v>170</v>
      </c>
      <c r="B173">
        <f t="shared" si="96"/>
        <v>4</v>
      </c>
      <c r="C173">
        <f t="shared" si="74"/>
        <v>180</v>
      </c>
      <c r="D173">
        <f t="shared" si="89"/>
        <v>0</v>
      </c>
      <c r="E173">
        <f t="shared" si="108"/>
        <v>3</v>
      </c>
      <c r="F173">
        <f t="shared" si="75"/>
        <v>180</v>
      </c>
      <c r="G173">
        <f t="shared" si="90"/>
        <v>0</v>
      </c>
      <c r="H173">
        <f t="shared" si="97"/>
        <v>3</v>
      </c>
      <c r="I173">
        <f t="shared" si="76"/>
        <v>240</v>
      </c>
      <c r="J173">
        <f t="shared" si="91"/>
        <v>0</v>
      </c>
      <c r="K173">
        <f t="shared" si="98"/>
        <v>2</v>
      </c>
      <c r="L173">
        <f t="shared" si="77"/>
        <v>180</v>
      </c>
      <c r="M173">
        <f t="shared" si="92"/>
        <v>0</v>
      </c>
      <c r="N173">
        <f t="shared" si="99"/>
        <v>2</v>
      </c>
      <c r="O173">
        <f t="shared" si="78"/>
        <v>300</v>
      </c>
      <c r="P173">
        <f t="shared" si="100"/>
        <v>0</v>
      </c>
      <c r="Q173">
        <f t="shared" si="101"/>
        <v>2</v>
      </c>
      <c r="R173">
        <f t="shared" si="79"/>
        <v>300</v>
      </c>
      <c r="S173">
        <f t="shared" si="102"/>
        <v>0</v>
      </c>
      <c r="T173">
        <f t="shared" si="103"/>
        <v>-1</v>
      </c>
      <c r="U173">
        <f t="shared" si="93"/>
        <v>0</v>
      </c>
      <c r="V173">
        <f t="shared" si="94"/>
        <v>1</v>
      </c>
      <c r="W173">
        <f t="shared" si="80"/>
        <v>0</v>
      </c>
      <c r="X173">
        <f t="shared" si="104"/>
        <v>0</v>
      </c>
      <c r="Y173">
        <f t="shared" si="81"/>
        <v>0</v>
      </c>
      <c r="Z173">
        <f t="shared" si="82"/>
        <v>0</v>
      </c>
      <c r="AA173">
        <f t="shared" si="83"/>
        <v>0</v>
      </c>
      <c r="AB173" s="29">
        <f t="shared" si="84"/>
        <v>0.74178816089935007</v>
      </c>
      <c r="AC173" s="25">
        <f t="shared" si="85"/>
        <v>127.49804426656831</v>
      </c>
      <c r="AD173" s="29">
        <f t="shared" si="86"/>
        <v>1.0808524183153847</v>
      </c>
      <c r="AE173" s="25">
        <f t="shared" si="95"/>
        <v>13.243681724743192</v>
      </c>
      <c r="AF173" s="25">
        <f t="shared" si="87"/>
        <v>13.243681724743192</v>
      </c>
      <c r="AG173" s="25">
        <f>IF($A173&lt;0,0,IF(instatk="bs",(1.5+talSCallInstBon)*(MHavg+(ap+Z173-$Z$1)/APtoDPS*MHnorm+170)*(1+sa*0.1+0.04*opp+0.02*agg+Slayer4value-1),IF(instatk="hemo",Slayer4value*(MHavg+(ap+Z173-$Z$1)/APtoDPS*MHnorm)*(1.1+talSCallInstBon)+420*(1+raidcrit)*debuffon,IF(instatk="ss",(MHavg+(ap+Z173-$Z$1)/APtoDPS*MHnorm+98)*(1+sa*0.1+0.02*agg+Slayer4value-1),IF(instatk="v",(ohavg+(ap+Z173-$Z$1)/APtoDPS*OHnorm)*(1+sa*0.1)*(0.5+0.05*dws)+avipdam,Slayer4value*((1+0.04*opp)*(MHavg+101+(ap+Z173-$Z$1)/APtoDPS*MHnorm+(0.5+0.05*dws)*(ohavg+(ap+Z173-$Z$1)/APtoDPS*OHnorm)+101*(1+0.1*dws))*(1+0.5*IF(Talents!$O$18="Yes",1,0)))))))*(instactualhit+(1+((leth*0.06+2)-1)*(cfact-1))*instactualcrit)*fwfactor*AB173*instsec*(AF173/$AN$45))</f>
        <v>290.78918279358999</v>
      </c>
      <c r="AH173" s="25">
        <f t="shared" si="105"/>
        <v>0</v>
      </c>
      <c r="AI173" s="25">
        <f t="shared" si="106"/>
        <v>0</v>
      </c>
      <c r="AJ173" s="25">
        <f t="shared" si="107"/>
        <v>0</v>
      </c>
    </row>
    <row r="174" spans="1:36">
      <c r="A174">
        <f t="shared" si="88"/>
        <v>171</v>
      </c>
      <c r="B174">
        <f t="shared" si="96"/>
        <v>4</v>
      </c>
      <c r="C174">
        <f t="shared" si="74"/>
        <v>180</v>
      </c>
      <c r="D174">
        <f t="shared" si="89"/>
        <v>0</v>
      </c>
      <c r="E174">
        <f t="shared" si="108"/>
        <v>3</v>
      </c>
      <c r="F174">
        <f t="shared" si="75"/>
        <v>180</v>
      </c>
      <c r="G174">
        <f t="shared" si="90"/>
        <v>0</v>
      </c>
      <c r="H174">
        <f t="shared" si="97"/>
        <v>3</v>
      </c>
      <c r="I174">
        <f t="shared" si="76"/>
        <v>240</v>
      </c>
      <c r="J174">
        <f t="shared" si="91"/>
        <v>0</v>
      </c>
      <c r="K174">
        <f t="shared" si="98"/>
        <v>2</v>
      </c>
      <c r="L174">
        <f t="shared" si="77"/>
        <v>180</v>
      </c>
      <c r="M174">
        <f t="shared" si="92"/>
        <v>0</v>
      </c>
      <c r="N174">
        <f t="shared" si="99"/>
        <v>2</v>
      </c>
      <c r="O174">
        <f t="shared" si="78"/>
        <v>300</v>
      </c>
      <c r="P174">
        <f t="shared" si="100"/>
        <v>0</v>
      </c>
      <c r="Q174">
        <f t="shared" si="101"/>
        <v>2</v>
      </c>
      <c r="R174">
        <f t="shared" si="79"/>
        <v>300</v>
      </c>
      <c r="S174">
        <f t="shared" si="102"/>
        <v>0</v>
      </c>
      <c r="T174">
        <f t="shared" si="103"/>
        <v>-1</v>
      </c>
      <c r="U174">
        <f t="shared" si="93"/>
        <v>0</v>
      </c>
      <c r="V174">
        <f t="shared" si="94"/>
        <v>1</v>
      </c>
      <c r="W174">
        <f t="shared" si="80"/>
        <v>0</v>
      </c>
      <c r="X174">
        <f t="shared" si="104"/>
        <v>0</v>
      </c>
      <c r="Y174">
        <f t="shared" si="81"/>
        <v>0</v>
      </c>
      <c r="Z174">
        <f t="shared" si="82"/>
        <v>0</v>
      </c>
      <c r="AA174">
        <f t="shared" si="83"/>
        <v>0</v>
      </c>
      <c r="AB174" s="29">
        <f t="shared" si="84"/>
        <v>0.74178816089935007</v>
      </c>
      <c r="AC174" s="25">
        <f t="shared" si="85"/>
        <v>127.49804426656831</v>
      </c>
      <c r="AD174" s="29">
        <f t="shared" si="86"/>
        <v>1.0808524183153847</v>
      </c>
      <c r="AE174" s="25">
        <f t="shared" si="95"/>
        <v>13.243681724743192</v>
      </c>
      <c r="AF174" s="25">
        <f t="shared" si="87"/>
        <v>13.243681724743192</v>
      </c>
      <c r="AG174" s="25">
        <f>IF($A174&lt;0,0,IF(instatk="bs",(1.5+talSCallInstBon)*(MHavg+(ap+Z174-$Z$1)/APtoDPS*MHnorm+170)*(1+sa*0.1+0.04*opp+0.02*agg+Slayer4value-1),IF(instatk="hemo",Slayer4value*(MHavg+(ap+Z174-$Z$1)/APtoDPS*MHnorm)*(1.1+talSCallInstBon)+420*(1+raidcrit)*debuffon,IF(instatk="ss",(MHavg+(ap+Z174-$Z$1)/APtoDPS*MHnorm+98)*(1+sa*0.1+0.02*agg+Slayer4value-1),IF(instatk="v",(ohavg+(ap+Z174-$Z$1)/APtoDPS*OHnorm)*(1+sa*0.1)*(0.5+0.05*dws)+avipdam,Slayer4value*((1+0.04*opp)*(MHavg+101+(ap+Z174-$Z$1)/APtoDPS*MHnorm+(0.5+0.05*dws)*(ohavg+(ap+Z174-$Z$1)/APtoDPS*OHnorm)+101*(1+0.1*dws))*(1+0.5*IF(Talents!$O$18="Yes",1,0)))))))*(instactualhit+(1+((leth*0.06+2)-1)*(cfact-1))*instactualcrit)*fwfactor*AB174*instsec*(AF174/$AN$45))</f>
        <v>290.78918279358999</v>
      </c>
      <c r="AH174" s="25">
        <f t="shared" si="105"/>
        <v>0</v>
      </c>
      <c r="AI174" s="25">
        <f t="shared" si="106"/>
        <v>0</v>
      </c>
      <c r="AJ174" s="25">
        <f t="shared" si="107"/>
        <v>0</v>
      </c>
    </row>
    <row r="175" spans="1:36">
      <c r="A175">
        <f t="shared" si="88"/>
        <v>172</v>
      </c>
      <c r="B175">
        <f t="shared" si="96"/>
        <v>4</v>
      </c>
      <c r="C175">
        <f t="shared" si="74"/>
        <v>180</v>
      </c>
      <c r="D175">
        <f t="shared" si="89"/>
        <v>0</v>
      </c>
      <c r="E175">
        <f t="shared" si="108"/>
        <v>3</v>
      </c>
      <c r="F175">
        <f t="shared" si="75"/>
        <v>180</v>
      </c>
      <c r="G175">
        <f t="shared" si="90"/>
        <v>0</v>
      </c>
      <c r="H175">
        <f t="shared" si="97"/>
        <v>3</v>
      </c>
      <c r="I175">
        <f t="shared" si="76"/>
        <v>240</v>
      </c>
      <c r="J175">
        <f t="shared" si="91"/>
        <v>0</v>
      </c>
      <c r="K175">
        <f t="shared" si="98"/>
        <v>2</v>
      </c>
      <c r="L175">
        <f t="shared" si="77"/>
        <v>180</v>
      </c>
      <c r="M175">
        <f t="shared" si="92"/>
        <v>0</v>
      </c>
      <c r="N175">
        <f t="shared" si="99"/>
        <v>2</v>
      </c>
      <c r="O175">
        <f t="shared" si="78"/>
        <v>300</v>
      </c>
      <c r="P175">
        <f t="shared" si="100"/>
        <v>0</v>
      </c>
      <c r="Q175">
        <f t="shared" si="101"/>
        <v>2</v>
      </c>
      <c r="R175">
        <f t="shared" si="79"/>
        <v>300</v>
      </c>
      <c r="S175">
        <f t="shared" si="102"/>
        <v>0</v>
      </c>
      <c r="T175">
        <f t="shared" si="103"/>
        <v>-1</v>
      </c>
      <c r="U175">
        <f t="shared" si="93"/>
        <v>0</v>
      </c>
      <c r="V175">
        <f t="shared" si="94"/>
        <v>1</v>
      </c>
      <c r="W175">
        <f t="shared" si="80"/>
        <v>0</v>
      </c>
      <c r="X175">
        <f t="shared" si="104"/>
        <v>0</v>
      </c>
      <c r="Y175">
        <f t="shared" si="81"/>
        <v>0</v>
      </c>
      <c r="Z175">
        <f t="shared" si="82"/>
        <v>0</v>
      </c>
      <c r="AA175">
        <f t="shared" si="83"/>
        <v>0</v>
      </c>
      <c r="AB175" s="29">
        <f t="shared" si="84"/>
        <v>0.74178816089935007</v>
      </c>
      <c r="AC175" s="25">
        <f t="shared" si="85"/>
        <v>127.49804426656831</v>
      </c>
      <c r="AD175" s="29">
        <f t="shared" si="86"/>
        <v>1.0808524183153847</v>
      </c>
      <c r="AE175" s="25">
        <f t="shared" si="95"/>
        <v>13.243681724743192</v>
      </c>
      <c r="AF175" s="25">
        <f t="shared" si="87"/>
        <v>13.243681724743192</v>
      </c>
      <c r="AG175" s="25">
        <f>IF($A175&lt;0,0,IF(instatk="bs",(1.5+talSCallInstBon)*(MHavg+(ap+Z175-$Z$1)/APtoDPS*MHnorm+170)*(1+sa*0.1+0.04*opp+0.02*agg+Slayer4value-1),IF(instatk="hemo",Slayer4value*(MHavg+(ap+Z175-$Z$1)/APtoDPS*MHnorm)*(1.1+talSCallInstBon)+420*(1+raidcrit)*debuffon,IF(instatk="ss",(MHavg+(ap+Z175-$Z$1)/APtoDPS*MHnorm+98)*(1+sa*0.1+0.02*agg+Slayer4value-1),IF(instatk="v",(ohavg+(ap+Z175-$Z$1)/APtoDPS*OHnorm)*(1+sa*0.1)*(0.5+0.05*dws)+avipdam,Slayer4value*((1+0.04*opp)*(MHavg+101+(ap+Z175-$Z$1)/APtoDPS*MHnorm+(0.5+0.05*dws)*(ohavg+(ap+Z175-$Z$1)/APtoDPS*OHnorm)+101*(1+0.1*dws))*(1+0.5*IF(Talents!$O$18="Yes",1,0)))))))*(instactualhit+(1+((leth*0.06+2)-1)*(cfact-1))*instactualcrit)*fwfactor*AB175*instsec*(AF175/$AN$45))</f>
        <v>290.78918279358999</v>
      </c>
      <c r="AH175" s="25">
        <f t="shared" si="105"/>
        <v>0</v>
      </c>
      <c r="AI175" s="25">
        <f t="shared" si="106"/>
        <v>0</v>
      </c>
      <c r="AJ175" s="25">
        <f t="shared" si="107"/>
        <v>0</v>
      </c>
    </row>
    <row r="176" spans="1:36">
      <c r="A176">
        <f t="shared" si="88"/>
        <v>173</v>
      </c>
      <c r="B176">
        <f t="shared" si="96"/>
        <v>4</v>
      </c>
      <c r="C176">
        <f t="shared" si="74"/>
        <v>180</v>
      </c>
      <c r="D176">
        <f t="shared" si="89"/>
        <v>0</v>
      </c>
      <c r="E176">
        <f t="shared" si="108"/>
        <v>3</v>
      </c>
      <c r="F176">
        <f t="shared" si="75"/>
        <v>180</v>
      </c>
      <c r="G176">
        <f t="shared" si="90"/>
        <v>0</v>
      </c>
      <c r="H176">
        <f t="shared" si="97"/>
        <v>3</v>
      </c>
      <c r="I176">
        <f t="shared" si="76"/>
        <v>240</v>
      </c>
      <c r="J176">
        <f t="shared" si="91"/>
        <v>0</v>
      </c>
      <c r="K176">
        <f t="shared" si="98"/>
        <v>2</v>
      </c>
      <c r="L176">
        <f t="shared" si="77"/>
        <v>180</v>
      </c>
      <c r="M176">
        <f t="shared" si="92"/>
        <v>0</v>
      </c>
      <c r="N176">
        <f t="shared" si="99"/>
        <v>2</v>
      </c>
      <c r="O176">
        <f t="shared" si="78"/>
        <v>300</v>
      </c>
      <c r="P176">
        <f t="shared" si="100"/>
        <v>0</v>
      </c>
      <c r="Q176">
        <f t="shared" si="101"/>
        <v>2</v>
      </c>
      <c r="R176">
        <f t="shared" si="79"/>
        <v>300</v>
      </c>
      <c r="S176">
        <f t="shared" si="102"/>
        <v>0</v>
      </c>
      <c r="T176">
        <f t="shared" si="103"/>
        <v>-1</v>
      </c>
      <c r="U176">
        <f t="shared" si="93"/>
        <v>0</v>
      </c>
      <c r="V176">
        <f t="shared" si="94"/>
        <v>1</v>
      </c>
      <c r="W176">
        <f t="shared" si="80"/>
        <v>0</v>
      </c>
      <c r="X176">
        <f t="shared" si="104"/>
        <v>0</v>
      </c>
      <c r="Y176">
        <f t="shared" si="81"/>
        <v>0</v>
      </c>
      <c r="Z176">
        <f t="shared" si="82"/>
        <v>0</v>
      </c>
      <c r="AA176">
        <f t="shared" si="83"/>
        <v>0</v>
      </c>
      <c r="AB176" s="29">
        <f t="shared" si="84"/>
        <v>0.74178816089935007</v>
      </c>
      <c r="AC176" s="25">
        <f t="shared" si="85"/>
        <v>127.49804426656831</v>
      </c>
      <c r="AD176" s="29">
        <f t="shared" si="86"/>
        <v>1.0808524183153847</v>
      </c>
      <c r="AE176" s="25">
        <f t="shared" si="95"/>
        <v>13.243681724743192</v>
      </c>
      <c r="AF176" s="25">
        <f t="shared" si="87"/>
        <v>13.243681724743192</v>
      </c>
      <c r="AG176" s="25">
        <f>IF($A176&lt;0,0,IF(instatk="bs",(1.5+talSCallInstBon)*(MHavg+(ap+Z176-$Z$1)/APtoDPS*MHnorm+170)*(1+sa*0.1+0.04*opp+0.02*agg+Slayer4value-1),IF(instatk="hemo",Slayer4value*(MHavg+(ap+Z176-$Z$1)/APtoDPS*MHnorm)*(1.1+talSCallInstBon)+420*(1+raidcrit)*debuffon,IF(instatk="ss",(MHavg+(ap+Z176-$Z$1)/APtoDPS*MHnorm+98)*(1+sa*0.1+0.02*agg+Slayer4value-1),IF(instatk="v",(ohavg+(ap+Z176-$Z$1)/APtoDPS*OHnorm)*(1+sa*0.1)*(0.5+0.05*dws)+avipdam,Slayer4value*((1+0.04*opp)*(MHavg+101+(ap+Z176-$Z$1)/APtoDPS*MHnorm+(0.5+0.05*dws)*(ohavg+(ap+Z176-$Z$1)/APtoDPS*OHnorm)+101*(1+0.1*dws))*(1+0.5*IF(Talents!$O$18="Yes",1,0)))))))*(instactualhit+(1+((leth*0.06+2)-1)*(cfact-1))*instactualcrit)*fwfactor*AB176*instsec*(AF176/$AN$45))</f>
        <v>290.78918279358999</v>
      </c>
      <c r="AH176" s="25">
        <f t="shared" si="105"/>
        <v>0</v>
      </c>
      <c r="AI176" s="25">
        <f t="shared" si="106"/>
        <v>0</v>
      </c>
      <c r="AJ176" s="25">
        <f t="shared" si="107"/>
        <v>0</v>
      </c>
    </row>
    <row r="177" spans="1:36">
      <c r="A177">
        <f t="shared" si="88"/>
        <v>174</v>
      </c>
      <c r="B177">
        <f t="shared" si="96"/>
        <v>4</v>
      </c>
      <c r="C177">
        <f t="shared" si="74"/>
        <v>180</v>
      </c>
      <c r="D177">
        <f t="shared" si="89"/>
        <v>0</v>
      </c>
      <c r="E177">
        <f t="shared" si="108"/>
        <v>3</v>
      </c>
      <c r="F177">
        <f t="shared" si="75"/>
        <v>180</v>
      </c>
      <c r="G177">
        <f t="shared" si="90"/>
        <v>0</v>
      </c>
      <c r="H177">
        <f t="shared" si="97"/>
        <v>3</v>
      </c>
      <c r="I177">
        <f t="shared" si="76"/>
        <v>240</v>
      </c>
      <c r="J177">
        <f t="shared" si="91"/>
        <v>0</v>
      </c>
      <c r="K177">
        <f t="shared" si="98"/>
        <v>2</v>
      </c>
      <c r="L177">
        <f t="shared" si="77"/>
        <v>180</v>
      </c>
      <c r="M177">
        <f t="shared" si="92"/>
        <v>0</v>
      </c>
      <c r="N177">
        <f t="shared" si="99"/>
        <v>2</v>
      </c>
      <c r="O177">
        <f t="shared" si="78"/>
        <v>300</v>
      </c>
      <c r="P177">
        <f t="shared" si="100"/>
        <v>0</v>
      </c>
      <c r="Q177">
        <f t="shared" si="101"/>
        <v>2</v>
      </c>
      <c r="R177">
        <f t="shared" si="79"/>
        <v>300</v>
      </c>
      <c r="S177">
        <f t="shared" si="102"/>
        <v>0</v>
      </c>
      <c r="T177">
        <f t="shared" si="103"/>
        <v>-1</v>
      </c>
      <c r="U177">
        <f t="shared" si="93"/>
        <v>0</v>
      </c>
      <c r="V177">
        <f t="shared" si="94"/>
        <v>1</v>
      </c>
      <c r="W177">
        <f t="shared" si="80"/>
        <v>0</v>
      </c>
      <c r="X177">
        <f t="shared" si="104"/>
        <v>0</v>
      </c>
      <c r="Y177">
        <f t="shared" si="81"/>
        <v>0</v>
      </c>
      <c r="Z177">
        <f t="shared" si="82"/>
        <v>0</v>
      </c>
      <c r="AA177">
        <f t="shared" si="83"/>
        <v>0</v>
      </c>
      <c r="AB177" s="29">
        <f t="shared" si="84"/>
        <v>0.74178816089935007</v>
      </c>
      <c r="AC177" s="25">
        <f t="shared" si="85"/>
        <v>127.49804426656831</v>
      </c>
      <c r="AD177" s="29">
        <f t="shared" si="86"/>
        <v>1.0808524183153847</v>
      </c>
      <c r="AE177" s="25">
        <f t="shared" si="95"/>
        <v>13.243681724743192</v>
      </c>
      <c r="AF177" s="25">
        <f t="shared" si="87"/>
        <v>13.243681724743192</v>
      </c>
      <c r="AG177" s="25">
        <f>IF($A177&lt;0,0,IF(instatk="bs",(1.5+talSCallInstBon)*(MHavg+(ap+Z177-$Z$1)/APtoDPS*MHnorm+170)*(1+sa*0.1+0.04*opp+0.02*agg+Slayer4value-1),IF(instatk="hemo",Slayer4value*(MHavg+(ap+Z177-$Z$1)/APtoDPS*MHnorm)*(1.1+talSCallInstBon)+420*(1+raidcrit)*debuffon,IF(instatk="ss",(MHavg+(ap+Z177-$Z$1)/APtoDPS*MHnorm+98)*(1+sa*0.1+0.02*agg+Slayer4value-1),IF(instatk="v",(ohavg+(ap+Z177-$Z$1)/APtoDPS*OHnorm)*(1+sa*0.1)*(0.5+0.05*dws)+avipdam,Slayer4value*((1+0.04*opp)*(MHavg+101+(ap+Z177-$Z$1)/APtoDPS*MHnorm+(0.5+0.05*dws)*(ohavg+(ap+Z177-$Z$1)/APtoDPS*OHnorm)+101*(1+0.1*dws))*(1+0.5*IF(Talents!$O$18="Yes",1,0)))))))*(instactualhit+(1+((leth*0.06+2)-1)*(cfact-1))*instactualcrit)*fwfactor*AB177*instsec*(AF177/$AN$45))</f>
        <v>290.78918279358999</v>
      </c>
      <c r="AH177" s="25">
        <f t="shared" si="105"/>
        <v>0</v>
      </c>
      <c r="AI177" s="25">
        <f t="shared" si="106"/>
        <v>0</v>
      </c>
      <c r="AJ177" s="25">
        <f t="shared" si="107"/>
        <v>0</v>
      </c>
    </row>
    <row r="178" spans="1:36">
      <c r="A178">
        <f t="shared" si="88"/>
        <v>175</v>
      </c>
      <c r="B178">
        <f t="shared" si="96"/>
        <v>4</v>
      </c>
      <c r="C178">
        <f t="shared" si="74"/>
        <v>180</v>
      </c>
      <c r="D178">
        <f t="shared" si="89"/>
        <v>0</v>
      </c>
      <c r="E178">
        <f t="shared" si="108"/>
        <v>3</v>
      </c>
      <c r="F178">
        <f t="shared" si="75"/>
        <v>180</v>
      </c>
      <c r="G178">
        <f t="shared" si="90"/>
        <v>0</v>
      </c>
      <c r="H178">
        <f t="shared" si="97"/>
        <v>3</v>
      </c>
      <c r="I178">
        <f t="shared" si="76"/>
        <v>240</v>
      </c>
      <c r="J178">
        <f t="shared" si="91"/>
        <v>0</v>
      </c>
      <c r="K178">
        <f t="shared" si="98"/>
        <v>2</v>
      </c>
      <c r="L178">
        <f t="shared" si="77"/>
        <v>180</v>
      </c>
      <c r="M178">
        <f t="shared" si="92"/>
        <v>0</v>
      </c>
      <c r="N178">
        <f t="shared" si="99"/>
        <v>2</v>
      </c>
      <c r="O178">
        <f t="shared" si="78"/>
        <v>300</v>
      </c>
      <c r="P178">
        <f t="shared" si="100"/>
        <v>0</v>
      </c>
      <c r="Q178">
        <f t="shared" si="101"/>
        <v>2</v>
      </c>
      <c r="R178">
        <f t="shared" si="79"/>
        <v>300</v>
      </c>
      <c r="S178">
        <f t="shared" si="102"/>
        <v>0</v>
      </c>
      <c r="T178">
        <f t="shared" si="103"/>
        <v>-1</v>
      </c>
      <c r="U178">
        <f t="shared" si="93"/>
        <v>0</v>
      </c>
      <c r="V178">
        <f t="shared" si="94"/>
        <v>1</v>
      </c>
      <c r="W178">
        <f t="shared" si="80"/>
        <v>0</v>
      </c>
      <c r="X178">
        <f t="shared" si="104"/>
        <v>0</v>
      </c>
      <c r="Y178">
        <f t="shared" si="81"/>
        <v>0</v>
      </c>
      <c r="Z178">
        <f t="shared" si="82"/>
        <v>0</v>
      </c>
      <c r="AA178">
        <f t="shared" si="83"/>
        <v>0</v>
      </c>
      <c r="AB178" s="29">
        <f t="shared" si="84"/>
        <v>0.74178816089935007</v>
      </c>
      <c r="AC178" s="25">
        <f t="shared" si="85"/>
        <v>127.49804426656831</v>
      </c>
      <c r="AD178" s="29">
        <f t="shared" si="86"/>
        <v>1.0808524183153847</v>
      </c>
      <c r="AE178" s="25">
        <f t="shared" si="95"/>
        <v>13.243681724743192</v>
      </c>
      <c r="AF178" s="25">
        <f t="shared" si="87"/>
        <v>13.243681724743192</v>
      </c>
      <c r="AG178" s="25">
        <f>IF($A178&lt;0,0,IF(instatk="bs",(1.5+talSCallInstBon)*(MHavg+(ap+Z178-$Z$1)/APtoDPS*MHnorm+170)*(1+sa*0.1+0.04*opp+0.02*agg+Slayer4value-1),IF(instatk="hemo",Slayer4value*(MHavg+(ap+Z178-$Z$1)/APtoDPS*MHnorm)*(1.1+talSCallInstBon)+420*(1+raidcrit)*debuffon,IF(instatk="ss",(MHavg+(ap+Z178-$Z$1)/APtoDPS*MHnorm+98)*(1+sa*0.1+0.02*agg+Slayer4value-1),IF(instatk="v",(ohavg+(ap+Z178-$Z$1)/APtoDPS*OHnorm)*(1+sa*0.1)*(0.5+0.05*dws)+avipdam,Slayer4value*((1+0.04*opp)*(MHavg+101+(ap+Z178-$Z$1)/APtoDPS*MHnorm+(0.5+0.05*dws)*(ohavg+(ap+Z178-$Z$1)/APtoDPS*OHnorm)+101*(1+0.1*dws))*(1+0.5*IF(Talents!$O$18="Yes",1,0)))))))*(instactualhit+(1+((leth*0.06+2)-1)*(cfact-1))*instactualcrit)*fwfactor*AB178*instsec*(AF178/$AN$45))</f>
        <v>290.78918279358999</v>
      </c>
      <c r="AH178" s="25">
        <f t="shared" si="105"/>
        <v>0</v>
      </c>
      <c r="AI178" s="25">
        <f t="shared" si="106"/>
        <v>0</v>
      </c>
      <c r="AJ178" s="25">
        <f t="shared" si="107"/>
        <v>0</v>
      </c>
    </row>
    <row r="179" spans="1:36">
      <c r="A179">
        <f t="shared" si="88"/>
        <v>176</v>
      </c>
      <c r="B179">
        <f t="shared" si="96"/>
        <v>4</v>
      </c>
      <c r="C179">
        <f t="shared" si="74"/>
        <v>180</v>
      </c>
      <c r="D179">
        <f t="shared" si="89"/>
        <v>0</v>
      </c>
      <c r="E179">
        <f t="shared" si="108"/>
        <v>3</v>
      </c>
      <c r="F179">
        <f t="shared" si="75"/>
        <v>180</v>
      </c>
      <c r="G179">
        <f t="shared" si="90"/>
        <v>0</v>
      </c>
      <c r="H179">
        <f t="shared" si="97"/>
        <v>3</v>
      </c>
      <c r="I179">
        <f t="shared" si="76"/>
        <v>240</v>
      </c>
      <c r="J179">
        <f t="shared" si="91"/>
        <v>0</v>
      </c>
      <c r="K179">
        <f t="shared" si="98"/>
        <v>2</v>
      </c>
      <c r="L179">
        <f t="shared" si="77"/>
        <v>180</v>
      </c>
      <c r="M179">
        <f t="shared" si="92"/>
        <v>0</v>
      </c>
      <c r="N179">
        <f t="shared" si="99"/>
        <v>2</v>
      </c>
      <c r="O179">
        <f t="shared" si="78"/>
        <v>300</v>
      </c>
      <c r="P179">
        <f t="shared" si="100"/>
        <v>0</v>
      </c>
      <c r="Q179">
        <f t="shared" si="101"/>
        <v>2</v>
      </c>
      <c r="R179">
        <f t="shared" si="79"/>
        <v>300</v>
      </c>
      <c r="S179">
        <f t="shared" si="102"/>
        <v>0</v>
      </c>
      <c r="T179">
        <f t="shared" si="103"/>
        <v>-1</v>
      </c>
      <c r="U179">
        <f t="shared" si="93"/>
        <v>0</v>
      </c>
      <c r="V179">
        <f t="shared" si="94"/>
        <v>1</v>
      </c>
      <c r="W179">
        <f t="shared" si="80"/>
        <v>0</v>
      </c>
      <c r="X179">
        <f t="shared" si="104"/>
        <v>0</v>
      </c>
      <c r="Y179">
        <f t="shared" si="81"/>
        <v>0</v>
      </c>
      <c r="Z179">
        <f t="shared" si="82"/>
        <v>0</v>
      </c>
      <c r="AA179">
        <f t="shared" si="83"/>
        <v>0</v>
      </c>
      <c r="AB179" s="29">
        <f t="shared" si="84"/>
        <v>0.74178816089935007</v>
      </c>
      <c r="AC179" s="25">
        <f t="shared" si="85"/>
        <v>127.49804426656831</v>
      </c>
      <c r="AD179" s="29">
        <f t="shared" si="86"/>
        <v>1.0808524183153847</v>
      </c>
      <c r="AE179" s="25">
        <f t="shared" si="95"/>
        <v>13.243681724743192</v>
      </c>
      <c r="AF179" s="25">
        <f t="shared" si="87"/>
        <v>13.243681724743192</v>
      </c>
      <c r="AG179" s="25">
        <f>IF($A179&lt;0,0,IF(instatk="bs",(1.5+talSCallInstBon)*(MHavg+(ap+Z179-$Z$1)/APtoDPS*MHnorm+170)*(1+sa*0.1+0.04*opp+0.02*agg+Slayer4value-1),IF(instatk="hemo",Slayer4value*(MHavg+(ap+Z179-$Z$1)/APtoDPS*MHnorm)*(1.1+talSCallInstBon)+420*(1+raidcrit)*debuffon,IF(instatk="ss",(MHavg+(ap+Z179-$Z$1)/APtoDPS*MHnorm+98)*(1+sa*0.1+0.02*agg+Slayer4value-1),IF(instatk="v",(ohavg+(ap+Z179-$Z$1)/APtoDPS*OHnorm)*(1+sa*0.1)*(0.5+0.05*dws)+avipdam,Slayer4value*((1+0.04*opp)*(MHavg+101+(ap+Z179-$Z$1)/APtoDPS*MHnorm+(0.5+0.05*dws)*(ohavg+(ap+Z179-$Z$1)/APtoDPS*OHnorm)+101*(1+0.1*dws))*(1+0.5*IF(Talents!$O$18="Yes",1,0)))))))*(instactualhit+(1+((leth*0.06+2)-1)*(cfact-1))*instactualcrit)*fwfactor*AB179*instsec*(AF179/$AN$45))</f>
        <v>290.78918279358999</v>
      </c>
      <c r="AH179" s="25">
        <f t="shared" si="105"/>
        <v>0</v>
      </c>
      <c r="AI179" s="25">
        <f t="shared" si="106"/>
        <v>0</v>
      </c>
      <c r="AJ179" s="25">
        <f t="shared" si="107"/>
        <v>0</v>
      </c>
    </row>
    <row r="180" spans="1:36">
      <c r="A180">
        <f t="shared" si="88"/>
        <v>177</v>
      </c>
      <c r="B180">
        <f t="shared" si="96"/>
        <v>4</v>
      </c>
      <c r="C180">
        <f t="shared" si="74"/>
        <v>180</v>
      </c>
      <c r="D180">
        <f t="shared" si="89"/>
        <v>0</v>
      </c>
      <c r="E180">
        <f t="shared" si="108"/>
        <v>3</v>
      </c>
      <c r="F180">
        <f t="shared" si="75"/>
        <v>180</v>
      </c>
      <c r="G180">
        <f t="shared" si="90"/>
        <v>0</v>
      </c>
      <c r="H180">
        <f t="shared" si="97"/>
        <v>3</v>
      </c>
      <c r="I180">
        <f t="shared" si="76"/>
        <v>240</v>
      </c>
      <c r="J180">
        <f t="shared" si="91"/>
        <v>0</v>
      </c>
      <c r="K180">
        <f t="shared" si="98"/>
        <v>2</v>
      </c>
      <c r="L180">
        <f t="shared" si="77"/>
        <v>180</v>
      </c>
      <c r="M180">
        <f t="shared" si="92"/>
        <v>0</v>
      </c>
      <c r="N180">
        <f t="shared" si="99"/>
        <v>2</v>
      </c>
      <c r="O180">
        <f t="shared" si="78"/>
        <v>300</v>
      </c>
      <c r="P180">
        <f t="shared" si="100"/>
        <v>0</v>
      </c>
      <c r="Q180">
        <f t="shared" si="101"/>
        <v>2</v>
      </c>
      <c r="R180">
        <f t="shared" si="79"/>
        <v>300</v>
      </c>
      <c r="S180">
        <f t="shared" si="102"/>
        <v>0</v>
      </c>
      <c r="T180">
        <f t="shared" si="103"/>
        <v>-1</v>
      </c>
      <c r="U180">
        <f t="shared" si="93"/>
        <v>0</v>
      </c>
      <c r="V180">
        <f t="shared" si="94"/>
        <v>1</v>
      </c>
      <c r="W180">
        <f t="shared" si="80"/>
        <v>0</v>
      </c>
      <c r="X180">
        <f t="shared" si="104"/>
        <v>0</v>
      </c>
      <c r="Y180">
        <f t="shared" si="81"/>
        <v>0</v>
      </c>
      <c r="Z180">
        <f t="shared" si="82"/>
        <v>0</v>
      </c>
      <c r="AA180">
        <f t="shared" si="83"/>
        <v>0</v>
      </c>
      <c r="AB180" s="29">
        <f t="shared" si="84"/>
        <v>0.74178816089935007</v>
      </c>
      <c r="AC180" s="25">
        <f t="shared" si="85"/>
        <v>127.49804426656831</v>
      </c>
      <c r="AD180" s="29">
        <f t="shared" si="86"/>
        <v>1.0808524183153847</v>
      </c>
      <c r="AE180" s="25">
        <f t="shared" si="95"/>
        <v>13.243681724743192</v>
      </c>
      <c r="AF180" s="25">
        <f t="shared" si="87"/>
        <v>13.243681724743192</v>
      </c>
      <c r="AG180" s="25">
        <f>IF($A180&lt;0,0,IF(instatk="bs",(1.5+talSCallInstBon)*(MHavg+(ap+Z180-$Z$1)/APtoDPS*MHnorm+170)*(1+sa*0.1+0.04*opp+0.02*agg+Slayer4value-1),IF(instatk="hemo",Slayer4value*(MHavg+(ap+Z180-$Z$1)/APtoDPS*MHnorm)*(1.1+talSCallInstBon)+420*(1+raidcrit)*debuffon,IF(instatk="ss",(MHavg+(ap+Z180-$Z$1)/APtoDPS*MHnorm+98)*(1+sa*0.1+0.02*agg+Slayer4value-1),IF(instatk="v",(ohavg+(ap+Z180-$Z$1)/APtoDPS*OHnorm)*(1+sa*0.1)*(0.5+0.05*dws)+avipdam,Slayer4value*((1+0.04*opp)*(MHavg+101+(ap+Z180-$Z$1)/APtoDPS*MHnorm+(0.5+0.05*dws)*(ohavg+(ap+Z180-$Z$1)/APtoDPS*OHnorm)+101*(1+0.1*dws))*(1+0.5*IF(Talents!$O$18="Yes",1,0)))))))*(instactualhit+(1+((leth*0.06+2)-1)*(cfact-1))*instactualcrit)*fwfactor*AB180*instsec*(AF180/$AN$45))</f>
        <v>290.78918279358999</v>
      </c>
      <c r="AH180" s="25">
        <f t="shared" si="105"/>
        <v>0</v>
      </c>
      <c r="AI180" s="25">
        <f t="shared" si="106"/>
        <v>0</v>
      </c>
      <c r="AJ180" s="25">
        <f t="shared" si="107"/>
        <v>0</v>
      </c>
    </row>
    <row r="181" spans="1:36">
      <c r="A181">
        <f t="shared" si="88"/>
        <v>178</v>
      </c>
      <c r="B181">
        <f t="shared" si="96"/>
        <v>4</v>
      </c>
      <c r="C181">
        <f t="shared" si="74"/>
        <v>180</v>
      </c>
      <c r="D181">
        <f t="shared" si="89"/>
        <v>0</v>
      </c>
      <c r="E181">
        <f t="shared" si="108"/>
        <v>3</v>
      </c>
      <c r="F181">
        <f t="shared" si="75"/>
        <v>180</v>
      </c>
      <c r="G181">
        <f t="shared" si="90"/>
        <v>0</v>
      </c>
      <c r="H181">
        <f t="shared" si="97"/>
        <v>3</v>
      </c>
      <c r="I181">
        <f t="shared" si="76"/>
        <v>240</v>
      </c>
      <c r="J181">
        <f t="shared" si="91"/>
        <v>0</v>
      </c>
      <c r="K181">
        <f t="shared" si="98"/>
        <v>2</v>
      </c>
      <c r="L181">
        <f t="shared" si="77"/>
        <v>180</v>
      </c>
      <c r="M181">
        <f t="shared" si="92"/>
        <v>0</v>
      </c>
      <c r="N181">
        <f t="shared" si="99"/>
        <v>2</v>
      </c>
      <c r="O181">
        <f t="shared" si="78"/>
        <v>300</v>
      </c>
      <c r="P181">
        <f t="shared" si="100"/>
        <v>0</v>
      </c>
      <c r="Q181">
        <f t="shared" si="101"/>
        <v>2</v>
      </c>
      <c r="R181">
        <f t="shared" si="79"/>
        <v>300</v>
      </c>
      <c r="S181">
        <f t="shared" si="102"/>
        <v>0</v>
      </c>
      <c r="T181">
        <f t="shared" si="103"/>
        <v>-1</v>
      </c>
      <c r="U181">
        <f t="shared" si="93"/>
        <v>0</v>
      </c>
      <c r="V181">
        <f t="shared" si="94"/>
        <v>1</v>
      </c>
      <c r="W181">
        <f t="shared" si="80"/>
        <v>0</v>
      </c>
      <c r="X181">
        <f t="shared" si="104"/>
        <v>0</v>
      </c>
      <c r="Y181">
        <f t="shared" si="81"/>
        <v>0</v>
      </c>
      <c r="Z181">
        <f t="shared" si="82"/>
        <v>0</v>
      </c>
      <c r="AA181">
        <f t="shared" si="83"/>
        <v>0</v>
      </c>
      <c r="AB181" s="29">
        <f t="shared" si="84"/>
        <v>0.74178816089935007</v>
      </c>
      <c r="AC181" s="25">
        <f t="shared" si="85"/>
        <v>127.49804426656831</v>
      </c>
      <c r="AD181" s="29">
        <f t="shared" si="86"/>
        <v>1.0808524183153847</v>
      </c>
      <c r="AE181" s="25">
        <f t="shared" si="95"/>
        <v>13.243681724743192</v>
      </c>
      <c r="AF181" s="25">
        <f t="shared" si="87"/>
        <v>13.243681724743192</v>
      </c>
      <c r="AG181" s="25">
        <f>IF($A181&lt;0,0,IF(instatk="bs",(1.5+talSCallInstBon)*(MHavg+(ap+Z181-$Z$1)/APtoDPS*MHnorm+170)*(1+sa*0.1+0.04*opp+0.02*agg+Slayer4value-1),IF(instatk="hemo",Slayer4value*(MHavg+(ap+Z181-$Z$1)/APtoDPS*MHnorm)*(1.1+talSCallInstBon)+420*(1+raidcrit)*debuffon,IF(instatk="ss",(MHavg+(ap+Z181-$Z$1)/APtoDPS*MHnorm+98)*(1+sa*0.1+0.02*agg+Slayer4value-1),IF(instatk="v",(ohavg+(ap+Z181-$Z$1)/APtoDPS*OHnorm)*(1+sa*0.1)*(0.5+0.05*dws)+avipdam,Slayer4value*((1+0.04*opp)*(MHavg+101+(ap+Z181-$Z$1)/APtoDPS*MHnorm+(0.5+0.05*dws)*(ohavg+(ap+Z181-$Z$1)/APtoDPS*OHnorm)+101*(1+0.1*dws))*(1+0.5*IF(Talents!$O$18="Yes",1,0)))))))*(instactualhit+(1+((leth*0.06+2)-1)*(cfact-1))*instactualcrit)*fwfactor*AB181*instsec*(AF181/$AN$45))</f>
        <v>290.78918279358999</v>
      </c>
      <c r="AH181" s="25">
        <f t="shared" si="105"/>
        <v>0</v>
      </c>
      <c r="AI181" s="25">
        <f t="shared" si="106"/>
        <v>0</v>
      </c>
      <c r="AJ181" s="25">
        <f t="shared" si="107"/>
        <v>0</v>
      </c>
    </row>
    <row r="182" spans="1:36">
      <c r="A182">
        <f t="shared" si="88"/>
        <v>179</v>
      </c>
      <c r="B182">
        <f t="shared" si="96"/>
        <v>4</v>
      </c>
      <c r="C182">
        <f t="shared" si="74"/>
        <v>180</v>
      </c>
      <c r="D182">
        <f t="shared" si="89"/>
        <v>0</v>
      </c>
      <c r="E182">
        <f t="shared" si="108"/>
        <v>3</v>
      </c>
      <c r="F182">
        <f t="shared" si="75"/>
        <v>180</v>
      </c>
      <c r="G182">
        <f t="shared" si="90"/>
        <v>0</v>
      </c>
      <c r="H182">
        <f t="shared" si="97"/>
        <v>3</v>
      </c>
      <c r="I182">
        <f t="shared" si="76"/>
        <v>240</v>
      </c>
      <c r="J182">
        <f t="shared" si="91"/>
        <v>0</v>
      </c>
      <c r="K182">
        <f t="shared" si="98"/>
        <v>2</v>
      </c>
      <c r="L182">
        <f t="shared" si="77"/>
        <v>180</v>
      </c>
      <c r="M182">
        <f t="shared" si="92"/>
        <v>0</v>
      </c>
      <c r="N182">
        <f t="shared" si="99"/>
        <v>2</v>
      </c>
      <c r="O182">
        <f t="shared" si="78"/>
        <v>300</v>
      </c>
      <c r="P182">
        <f t="shared" si="100"/>
        <v>0</v>
      </c>
      <c r="Q182">
        <f t="shared" si="101"/>
        <v>2</v>
      </c>
      <c r="R182">
        <f t="shared" si="79"/>
        <v>300</v>
      </c>
      <c r="S182">
        <f t="shared" si="102"/>
        <v>0</v>
      </c>
      <c r="T182">
        <f t="shared" si="103"/>
        <v>-1</v>
      </c>
      <c r="U182">
        <f t="shared" si="93"/>
        <v>0</v>
      </c>
      <c r="V182">
        <f t="shared" si="94"/>
        <v>1</v>
      </c>
      <c r="W182">
        <f t="shared" si="80"/>
        <v>0</v>
      </c>
      <c r="X182">
        <f t="shared" si="104"/>
        <v>0</v>
      </c>
      <c r="Y182">
        <f t="shared" si="81"/>
        <v>0</v>
      </c>
      <c r="Z182">
        <f t="shared" si="82"/>
        <v>0</v>
      </c>
      <c r="AA182">
        <f t="shared" si="83"/>
        <v>0</v>
      </c>
      <c r="AB182" s="29">
        <f t="shared" si="84"/>
        <v>0.74178816089935007</v>
      </c>
      <c r="AC182" s="25">
        <f t="shared" si="85"/>
        <v>127.49804426656831</v>
      </c>
      <c r="AD182" s="29">
        <f t="shared" si="86"/>
        <v>1.0808524183153847</v>
      </c>
      <c r="AE182" s="25">
        <f t="shared" si="95"/>
        <v>13.243681724743192</v>
      </c>
      <c r="AF182" s="25">
        <f t="shared" si="87"/>
        <v>13.243681724743192</v>
      </c>
      <c r="AG182" s="25">
        <f>IF($A182&lt;0,0,IF(instatk="bs",(1.5+talSCallInstBon)*(MHavg+(ap+Z182-$Z$1)/APtoDPS*MHnorm+170)*(1+sa*0.1+0.04*opp+0.02*agg+Slayer4value-1),IF(instatk="hemo",Slayer4value*(MHavg+(ap+Z182-$Z$1)/APtoDPS*MHnorm)*(1.1+talSCallInstBon)+420*(1+raidcrit)*debuffon,IF(instatk="ss",(MHavg+(ap+Z182-$Z$1)/APtoDPS*MHnorm+98)*(1+sa*0.1+0.02*agg+Slayer4value-1),IF(instatk="v",(ohavg+(ap+Z182-$Z$1)/APtoDPS*OHnorm)*(1+sa*0.1)*(0.5+0.05*dws)+avipdam,Slayer4value*((1+0.04*opp)*(MHavg+101+(ap+Z182-$Z$1)/APtoDPS*MHnorm+(0.5+0.05*dws)*(ohavg+(ap+Z182-$Z$1)/APtoDPS*OHnorm)+101*(1+0.1*dws))*(1+0.5*IF(Talents!$O$18="Yes",1,0)))))))*(instactualhit+(1+((leth*0.06+2)-1)*(cfact-1))*instactualcrit)*fwfactor*AB182*instsec*(AF182/$AN$45))</f>
        <v>290.78918279358999</v>
      </c>
      <c r="AH182" s="25">
        <f t="shared" si="105"/>
        <v>0</v>
      </c>
      <c r="AI182" s="25">
        <f t="shared" si="106"/>
        <v>0</v>
      </c>
      <c r="AJ182" s="25">
        <f t="shared" si="107"/>
        <v>0</v>
      </c>
    </row>
    <row r="183" spans="1:36">
      <c r="A183">
        <f t="shared" si="88"/>
        <v>180</v>
      </c>
      <c r="B183">
        <f t="shared" si="96"/>
        <v>4</v>
      </c>
      <c r="C183">
        <f t="shared" si="74"/>
        <v>180</v>
      </c>
      <c r="D183">
        <f t="shared" si="89"/>
        <v>1</v>
      </c>
      <c r="E183">
        <f t="shared" si="108"/>
        <v>3</v>
      </c>
      <c r="F183">
        <f t="shared" si="75"/>
        <v>180</v>
      </c>
      <c r="G183">
        <f t="shared" si="90"/>
        <v>1</v>
      </c>
      <c r="H183">
        <f t="shared" si="97"/>
        <v>3</v>
      </c>
      <c r="I183">
        <f t="shared" si="76"/>
        <v>240</v>
      </c>
      <c r="J183">
        <f t="shared" si="91"/>
        <v>0</v>
      </c>
      <c r="K183">
        <f t="shared" si="98"/>
        <v>2</v>
      </c>
      <c r="L183">
        <f t="shared" si="77"/>
        <v>180</v>
      </c>
      <c r="M183">
        <f t="shared" si="92"/>
        <v>1</v>
      </c>
      <c r="N183">
        <f t="shared" si="99"/>
        <v>2</v>
      </c>
      <c r="O183">
        <f t="shared" si="78"/>
        <v>300</v>
      </c>
      <c r="P183">
        <f t="shared" si="100"/>
        <v>0</v>
      </c>
      <c r="Q183">
        <f t="shared" si="101"/>
        <v>2</v>
      </c>
      <c r="R183">
        <f t="shared" si="79"/>
        <v>300</v>
      </c>
      <c r="S183">
        <f t="shared" si="102"/>
        <v>0</v>
      </c>
      <c r="T183">
        <f t="shared" si="103"/>
        <v>-1</v>
      </c>
      <c r="U183">
        <f t="shared" si="93"/>
        <v>0</v>
      </c>
      <c r="V183">
        <f t="shared" si="94"/>
        <v>1</v>
      </c>
      <c r="W183">
        <f t="shared" si="80"/>
        <v>0</v>
      </c>
      <c r="X183">
        <f t="shared" si="104"/>
        <v>0</v>
      </c>
      <c r="Y183">
        <f t="shared" si="81"/>
        <v>0</v>
      </c>
      <c r="Z183">
        <f t="shared" si="82"/>
        <v>0</v>
      </c>
      <c r="AA183">
        <f t="shared" si="83"/>
        <v>0</v>
      </c>
      <c r="AB183" s="29">
        <f t="shared" si="84"/>
        <v>0.74178816089935007</v>
      </c>
      <c r="AC183" s="25">
        <f t="shared" si="85"/>
        <v>127.49804426656831</v>
      </c>
      <c r="AD183" s="29">
        <f t="shared" si="86"/>
        <v>1.0808524183153847</v>
      </c>
      <c r="AE183" s="25">
        <f t="shared" si="95"/>
        <v>13.243681724743192</v>
      </c>
      <c r="AF183" s="25">
        <f t="shared" si="87"/>
        <v>13.243681724743192</v>
      </c>
      <c r="AG183" s="25">
        <f>IF($A183&lt;0,0,IF(instatk="bs",(1.5+talSCallInstBon)*(MHavg+(ap+Z183-$Z$1)/APtoDPS*MHnorm+170)*(1+sa*0.1+0.04*opp+0.02*agg+Slayer4value-1),IF(instatk="hemo",Slayer4value*(MHavg+(ap+Z183-$Z$1)/APtoDPS*MHnorm)*(1.1+talSCallInstBon)+420*(1+raidcrit)*debuffon,IF(instatk="ss",(MHavg+(ap+Z183-$Z$1)/APtoDPS*MHnorm+98)*(1+sa*0.1+0.02*agg+Slayer4value-1),IF(instatk="v",(ohavg+(ap+Z183-$Z$1)/APtoDPS*OHnorm)*(1+sa*0.1)*(0.5+0.05*dws)+avipdam,Slayer4value*((1+0.04*opp)*(MHavg+101+(ap+Z183-$Z$1)/APtoDPS*MHnorm+(0.5+0.05*dws)*(ohavg+(ap+Z183-$Z$1)/APtoDPS*OHnorm)+101*(1+0.1*dws))*(1+0.5*IF(Talents!$O$18="Yes",1,0)))))))*(instactualhit+(1+((leth*0.06+2)-1)*(cfact-1))*instactualcrit)*fwfactor*AB183*instsec*(AF183/$AN$45))</f>
        <v>290.78918279358999</v>
      </c>
      <c r="AH183" s="25">
        <f t="shared" si="105"/>
        <v>0</v>
      </c>
      <c r="AI183" s="25">
        <f t="shared" si="106"/>
        <v>0</v>
      </c>
      <c r="AJ183" s="25">
        <f t="shared" si="107"/>
        <v>0</v>
      </c>
    </row>
    <row r="184" spans="1:36">
      <c r="A184">
        <f t="shared" si="88"/>
        <v>181</v>
      </c>
      <c r="B184">
        <f t="shared" si="96"/>
        <v>5</v>
      </c>
      <c r="C184">
        <f t="shared" si="74"/>
        <v>240</v>
      </c>
      <c r="D184">
        <f t="shared" si="89"/>
        <v>2</v>
      </c>
      <c r="E184">
        <f t="shared" si="108"/>
        <v>4</v>
      </c>
      <c r="F184">
        <f t="shared" si="75"/>
        <v>270</v>
      </c>
      <c r="G184">
        <f t="shared" si="90"/>
        <v>2</v>
      </c>
      <c r="H184">
        <f t="shared" si="97"/>
        <v>3</v>
      </c>
      <c r="I184">
        <f t="shared" si="76"/>
        <v>240</v>
      </c>
      <c r="J184">
        <f t="shared" si="91"/>
        <v>0</v>
      </c>
      <c r="K184">
        <f t="shared" si="98"/>
        <v>3</v>
      </c>
      <c r="L184">
        <f t="shared" si="77"/>
        <v>360</v>
      </c>
      <c r="M184">
        <f t="shared" si="92"/>
        <v>2</v>
      </c>
      <c r="N184">
        <f t="shared" si="99"/>
        <v>2</v>
      </c>
      <c r="O184">
        <f t="shared" si="78"/>
        <v>300</v>
      </c>
      <c r="P184">
        <f t="shared" si="100"/>
        <v>0</v>
      </c>
      <c r="Q184">
        <f t="shared" si="101"/>
        <v>2</v>
      </c>
      <c r="R184">
        <f t="shared" si="79"/>
        <v>300</v>
      </c>
      <c r="S184">
        <f t="shared" si="102"/>
        <v>0</v>
      </c>
      <c r="T184">
        <f t="shared" si="103"/>
        <v>-1</v>
      </c>
      <c r="U184">
        <f t="shared" si="93"/>
        <v>0</v>
      </c>
      <c r="V184">
        <f t="shared" si="94"/>
        <v>1</v>
      </c>
      <c r="W184">
        <f t="shared" si="80"/>
        <v>0</v>
      </c>
      <c r="X184">
        <f t="shared" si="104"/>
        <v>0</v>
      </c>
      <c r="Y184">
        <f t="shared" si="81"/>
        <v>0</v>
      </c>
      <c r="Z184">
        <f t="shared" si="82"/>
        <v>0</v>
      </c>
      <c r="AA184">
        <f t="shared" si="83"/>
        <v>0</v>
      </c>
      <c r="AB184" s="29">
        <f t="shared" si="84"/>
        <v>0.74178816089935007</v>
      </c>
      <c r="AC184" s="25">
        <f t="shared" si="85"/>
        <v>127.49804426656831</v>
      </c>
      <c r="AD184" s="29">
        <f t="shared" si="86"/>
        <v>1.0808524183153847</v>
      </c>
      <c r="AE184" s="25">
        <f t="shared" si="95"/>
        <v>13.243681724743192</v>
      </c>
      <c r="AF184" s="25">
        <f t="shared" si="87"/>
        <v>13.243681724743192</v>
      </c>
      <c r="AG184" s="25">
        <f>IF($A184&lt;0,0,IF(instatk="bs",(1.5+talSCallInstBon)*(MHavg+(ap+Z184-$Z$1)/APtoDPS*MHnorm+170)*(1+sa*0.1+0.04*opp+0.02*agg+Slayer4value-1),IF(instatk="hemo",Slayer4value*(MHavg+(ap+Z184-$Z$1)/APtoDPS*MHnorm)*(1.1+talSCallInstBon)+420*(1+raidcrit)*debuffon,IF(instatk="ss",(MHavg+(ap+Z184-$Z$1)/APtoDPS*MHnorm+98)*(1+sa*0.1+0.02*agg+Slayer4value-1),IF(instatk="v",(ohavg+(ap+Z184-$Z$1)/APtoDPS*OHnorm)*(1+sa*0.1)*(0.5+0.05*dws)+avipdam,Slayer4value*((1+0.04*opp)*(MHavg+101+(ap+Z184-$Z$1)/APtoDPS*MHnorm+(0.5+0.05*dws)*(ohavg+(ap+Z184-$Z$1)/APtoDPS*OHnorm)+101*(1+0.1*dws))*(1+0.5*IF(Talents!$O$18="Yes",1,0)))))))*(instactualhit+(1+((leth*0.06+2)-1)*(cfact-1))*instactualcrit)*fwfactor*AB184*instsec*(AF184/$AN$45))</f>
        <v>290.78918279358999</v>
      </c>
      <c r="AH184" s="25">
        <f t="shared" si="105"/>
        <v>0</v>
      </c>
      <c r="AI184" s="25">
        <f t="shared" si="106"/>
        <v>0</v>
      </c>
      <c r="AJ184" s="25">
        <f t="shared" si="107"/>
        <v>0</v>
      </c>
    </row>
    <row r="185" spans="1:36">
      <c r="A185">
        <f t="shared" si="88"/>
        <v>182</v>
      </c>
      <c r="B185">
        <f t="shared" si="96"/>
        <v>5</v>
      </c>
      <c r="C185">
        <f t="shared" si="74"/>
        <v>240</v>
      </c>
      <c r="D185">
        <f t="shared" si="89"/>
        <v>3</v>
      </c>
      <c r="E185">
        <f t="shared" si="108"/>
        <v>4</v>
      </c>
      <c r="F185">
        <f t="shared" si="75"/>
        <v>270</v>
      </c>
      <c r="G185">
        <f t="shared" si="90"/>
        <v>3</v>
      </c>
      <c r="H185">
        <f t="shared" si="97"/>
        <v>3</v>
      </c>
      <c r="I185">
        <f t="shared" si="76"/>
        <v>240</v>
      </c>
      <c r="J185">
        <f t="shared" si="91"/>
        <v>0</v>
      </c>
      <c r="K185">
        <f t="shared" si="98"/>
        <v>3</v>
      </c>
      <c r="L185">
        <f t="shared" si="77"/>
        <v>360</v>
      </c>
      <c r="M185">
        <f t="shared" si="92"/>
        <v>3</v>
      </c>
      <c r="N185">
        <f t="shared" si="99"/>
        <v>2</v>
      </c>
      <c r="O185">
        <f t="shared" si="78"/>
        <v>300</v>
      </c>
      <c r="P185">
        <f t="shared" si="100"/>
        <v>0</v>
      </c>
      <c r="Q185">
        <f t="shared" si="101"/>
        <v>2</v>
      </c>
      <c r="R185">
        <f t="shared" si="79"/>
        <v>300</v>
      </c>
      <c r="S185">
        <f t="shared" si="102"/>
        <v>0</v>
      </c>
      <c r="T185">
        <f t="shared" si="103"/>
        <v>-1</v>
      </c>
      <c r="U185">
        <f t="shared" si="93"/>
        <v>0</v>
      </c>
      <c r="V185">
        <f t="shared" si="94"/>
        <v>1</v>
      </c>
      <c r="W185">
        <f t="shared" si="80"/>
        <v>0</v>
      </c>
      <c r="X185">
        <f t="shared" si="104"/>
        <v>0</v>
      </c>
      <c r="Y185">
        <f t="shared" si="81"/>
        <v>0</v>
      </c>
      <c r="Z185">
        <f t="shared" si="82"/>
        <v>0</v>
      </c>
      <c r="AA185">
        <f t="shared" si="83"/>
        <v>0</v>
      </c>
      <c r="AB185" s="29">
        <f t="shared" si="84"/>
        <v>0.74178816089935007</v>
      </c>
      <c r="AC185" s="25">
        <f t="shared" si="85"/>
        <v>127.49804426656831</v>
      </c>
      <c r="AD185" s="29">
        <f t="shared" si="86"/>
        <v>1.0808524183153847</v>
      </c>
      <c r="AE185" s="25">
        <f t="shared" si="95"/>
        <v>13.243681724743192</v>
      </c>
      <c r="AF185" s="25">
        <f t="shared" si="87"/>
        <v>13.243681724743192</v>
      </c>
      <c r="AG185" s="25">
        <f>IF($A185&lt;0,0,IF(instatk="bs",(1.5+talSCallInstBon)*(MHavg+(ap+Z185-$Z$1)/APtoDPS*MHnorm+170)*(1+sa*0.1+0.04*opp+0.02*agg+Slayer4value-1),IF(instatk="hemo",Slayer4value*(MHavg+(ap+Z185-$Z$1)/APtoDPS*MHnorm)*(1.1+talSCallInstBon)+420*(1+raidcrit)*debuffon,IF(instatk="ss",(MHavg+(ap+Z185-$Z$1)/APtoDPS*MHnorm+98)*(1+sa*0.1+0.02*agg+Slayer4value-1),IF(instatk="v",(ohavg+(ap+Z185-$Z$1)/APtoDPS*OHnorm)*(1+sa*0.1)*(0.5+0.05*dws)+avipdam,Slayer4value*((1+0.04*opp)*(MHavg+101+(ap+Z185-$Z$1)/APtoDPS*MHnorm+(0.5+0.05*dws)*(ohavg+(ap+Z185-$Z$1)/APtoDPS*OHnorm)+101*(1+0.1*dws))*(1+0.5*IF(Talents!$O$18="Yes",1,0)))))))*(instactualhit+(1+((leth*0.06+2)-1)*(cfact-1))*instactualcrit)*fwfactor*AB185*instsec*(AF185/$AN$45))</f>
        <v>290.78918279358999</v>
      </c>
      <c r="AH185" s="25">
        <f t="shared" si="105"/>
        <v>0</v>
      </c>
      <c r="AI185" s="25">
        <f t="shared" si="106"/>
        <v>0</v>
      </c>
      <c r="AJ185" s="25">
        <f t="shared" si="107"/>
        <v>0</v>
      </c>
    </row>
    <row r="186" spans="1:36">
      <c r="A186">
        <f t="shared" si="88"/>
        <v>183</v>
      </c>
      <c r="B186">
        <f t="shared" si="96"/>
        <v>5</v>
      </c>
      <c r="C186">
        <f t="shared" si="74"/>
        <v>240</v>
      </c>
      <c r="D186">
        <f t="shared" si="89"/>
        <v>4</v>
      </c>
      <c r="E186">
        <f t="shared" si="108"/>
        <v>4</v>
      </c>
      <c r="F186">
        <f t="shared" si="75"/>
        <v>270</v>
      </c>
      <c r="G186">
        <f t="shared" si="90"/>
        <v>4</v>
      </c>
      <c r="H186">
        <f t="shared" si="97"/>
        <v>3</v>
      </c>
      <c r="I186">
        <f t="shared" si="76"/>
        <v>240</v>
      </c>
      <c r="J186">
        <f t="shared" si="91"/>
        <v>0</v>
      </c>
      <c r="K186">
        <f t="shared" si="98"/>
        <v>3</v>
      </c>
      <c r="L186">
        <f t="shared" si="77"/>
        <v>360</v>
      </c>
      <c r="M186">
        <f t="shared" si="92"/>
        <v>4</v>
      </c>
      <c r="N186">
        <f t="shared" si="99"/>
        <v>2</v>
      </c>
      <c r="O186">
        <f t="shared" si="78"/>
        <v>300</v>
      </c>
      <c r="P186">
        <f t="shared" si="100"/>
        <v>0</v>
      </c>
      <c r="Q186">
        <f t="shared" si="101"/>
        <v>2</v>
      </c>
      <c r="R186">
        <f t="shared" si="79"/>
        <v>300</v>
      </c>
      <c r="S186">
        <f t="shared" si="102"/>
        <v>0</v>
      </c>
      <c r="T186">
        <f t="shared" si="103"/>
        <v>-1</v>
      </c>
      <c r="U186">
        <f t="shared" si="93"/>
        <v>0</v>
      </c>
      <c r="V186">
        <f t="shared" si="94"/>
        <v>1</v>
      </c>
      <c r="W186">
        <f t="shared" si="80"/>
        <v>0</v>
      </c>
      <c r="X186">
        <f t="shared" si="104"/>
        <v>0</v>
      </c>
      <c r="Y186">
        <f t="shared" si="81"/>
        <v>0</v>
      </c>
      <c r="Z186">
        <f t="shared" si="82"/>
        <v>0</v>
      </c>
      <c r="AA186">
        <f t="shared" si="83"/>
        <v>0</v>
      </c>
      <c r="AB186" s="29">
        <f t="shared" si="84"/>
        <v>0.74178816089935007</v>
      </c>
      <c r="AC186" s="25">
        <f t="shared" si="85"/>
        <v>127.49804426656831</v>
      </c>
      <c r="AD186" s="29">
        <f t="shared" si="86"/>
        <v>1.0808524183153847</v>
      </c>
      <c r="AE186" s="25">
        <f t="shared" si="95"/>
        <v>13.243681724743192</v>
      </c>
      <c r="AF186" s="25">
        <f t="shared" si="87"/>
        <v>13.243681724743192</v>
      </c>
      <c r="AG186" s="25">
        <f>IF($A186&lt;0,0,IF(instatk="bs",(1.5+talSCallInstBon)*(MHavg+(ap+Z186-$Z$1)/APtoDPS*MHnorm+170)*(1+sa*0.1+0.04*opp+0.02*agg+Slayer4value-1),IF(instatk="hemo",Slayer4value*(MHavg+(ap+Z186-$Z$1)/APtoDPS*MHnorm)*(1.1+talSCallInstBon)+420*(1+raidcrit)*debuffon,IF(instatk="ss",(MHavg+(ap+Z186-$Z$1)/APtoDPS*MHnorm+98)*(1+sa*0.1+0.02*agg+Slayer4value-1),IF(instatk="v",(ohavg+(ap+Z186-$Z$1)/APtoDPS*OHnorm)*(1+sa*0.1)*(0.5+0.05*dws)+avipdam,Slayer4value*((1+0.04*opp)*(MHavg+101+(ap+Z186-$Z$1)/APtoDPS*MHnorm+(0.5+0.05*dws)*(ohavg+(ap+Z186-$Z$1)/APtoDPS*OHnorm)+101*(1+0.1*dws))*(1+0.5*IF(Talents!$O$18="Yes",1,0)))))))*(instactualhit+(1+((leth*0.06+2)-1)*(cfact-1))*instactualcrit)*fwfactor*AB186*instsec*(AF186/$AN$45))</f>
        <v>290.78918279358999</v>
      </c>
      <c r="AH186" s="25">
        <f t="shared" si="105"/>
        <v>0</v>
      </c>
      <c r="AI186" s="25">
        <f t="shared" si="106"/>
        <v>0</v>
      </c>
      <c r="AJ186" s="25">
        <f t="shared" si="107"/>
        <v>0</v>
      </c>
    </row>
    <row r="187" spans="1:36">
      <c r="A187">
        <f t="shared" si="88"/>
        <v>184</v>
      </c>
      <c r="B187">
        <f t="shared" si="96"/>
        <v>5</v>
      </c>
      <c r="C187">
        <f t="shared" si="74"/>
        <v>240</v>
      </c>
      <c r="D187">
        <f t="shared" si="89"/>
        <v>5</v>
      </c>
      <c r="E187">
        <f t="shared" si="108"/>
        <v>4</v>
      </c>
      <c r="F187">
        <f t="shared" si="75"/>
        <v>270</v>
      </c>
      <c r="G187">
        <f t="shared" si="90"/>
        <v>5</v>
      </c>
      <c r="H187">
        <f t="shared" si="97"/>
        <v>3</v>
      </c>
      <c r="I187">
        <f t="shared" si="76"/>
        <v>240</v>
      </c>
      <c r="J187">
        <f t="shared" si="91"/>
        <v>0</v>
      </c>
      <c r="K187">
        <f t="shared" si="98"/>
        <v>3</v>
      </c>
      <c r="L187">
        <f t="shared" si="77"/>
        <v>360</v>
      </c>
      <c r="M187">
        <f t="shared" si="92"/>
        <v>5</v>
      </c>
      <c r="N187">
        <f t="shared" si="99"/>
        <v>2</v>
      </c>
      <c r="O187">
        <f t="shared" si="78"/>
        <v>300</v>
      </c>
      <c r="P187">
        <f t="shared" si="100"/>
        <v>0</v>
      </c>
      <c r="Q187">
        <f t="shared" si="101"/>
        <v>2</v>
      </c>
      <c r="R187">
        <f t="shared" si="79"/>
        <v>300</v>
      </c>
      <c r="S187">
        <f t="shared" si="102"/>
        <v>0</v>
      </c>
      <c r="T187">
        <f t="shared" si="103"/>
        <v>-1</v>
      </c>
      <c r="U187">
        <f t="shared" si="93"/>
        <v>0</v>
      </c>
      <c r="V187">
        <f t="shared" si="94"/>
        <v>1</v>
      </c>
      <c r="W187">
        <f t="shared" si="80"/>
        <v>0</v>
      </c>
      <c r="X187">
        <f t="shared" si="104"/>
        <v>0</v>
      </c>
      <c r="Y187">
        <f t="shared" si="81"/>
        <v>0</v>
      </c>
      <c r="Z187">
        <f t="shared" si="82"/>
        <v>0</v>
      </c>
      <c r="AA187">
        <f t="shared" si="83"/>
        <v>0</v>
      </c>
      <c r="AB187" s="29">
        <f t="shared" si="84"/>
        <v>0.74178816089935007</v>
      </c>
      <c r="AC187" s="25">
        <f t="shared" si="85"/>
        <v>127.49804426656831</v>
      </c>
      <c r="AD187" s="29">
        <f t="shared" si="86"/>
        <v>1.0808524183153847</v>
      </c>
      <c r="AE187" s="25">
        <f t="shared" si="95"/>
        <v>13.243681724743192</v>
      </c>
      <c r="AF187" s="25">
        <f t="shared" si="87"/>
        <v>13.243681724743192</v>
      </c>
      <c r="AG187" s="25">
        <f>IF($A187&lt;0,0,IF(instatk="bs",(1.5+talSCallInstBon)*(MHavg+(ap+Z187-$Z$1)/APtoDPS*MHnorm+170)*(1+sa*0.1+0.04*opp+0.02*agg+Slayer4value-1),IF(instatk="hemo",Slayer4value*(MHavg+(ap+Z187-$Z$1)/APtoDPS*MHnorm)*(1.1+talSCallInstBon)+420*(1+raidcrit)*debuffon,IF(instatk="ss",(MHavg+(ap+Z187-$Z$1)/APtoDPS*MHnorm+98)*(1+sa*0.1+0.02*agg+Slayer4value-1),IF(instatk="v",(ohavg+(ap+Z187-$Z$1)/APtoDPS*OHnorm)*(1+sa*0.1)*(0.5+0.05*dws)+avipdam,Slayer4value*((1+0.04*opp)*(MHavg+101+(ap+Z187-$Z$1)/APtoDPS*MHnorm+(0.5+0.05*dws)*(ohavg+(ap+Z187-$Z$1)/APtoDPS*OHnorm)+101*(1+0.1*dws))*(1+0.5*IF(Talents!$O$18="Yes",1,0)))))))*(instactualhit+(1+((leth*0.06+2)-1)*(cfact-1))*instactualcrit)*fwfactor*AB187*instsec*(AF187/$AN$45))</f>
        <v>290.78918279358999</v>
      </c>
      <c r="AH187" s="25">
        <f t="shared" si="105"/>
        <v>0</v>
      </c>
      <c r="AI187" s="25">
        <f t="shared" si="106"/>
        <v>0</v>
      </c>
      <c r="AJ187" s="25">
        <f t="shared" si="107"/>
        <v>0</v>
      </c>
    </row>
    <row r="188" spans="1:36">
      <c r="A188">
        <f t="shared" si="88"/>
        <v>185</v>
      </c>
      <c r="B188">
        <f t="shared" si="96"/>
        <v>5</v>
      </c>
      <c r="C188">
        <f t="shared" si="74"/>
        <v>240</v>
      </c>
      <c r="D188">
        <f t="shared" si="89"/>
        <v>6</v>
      </c>
      <c r="E188">
        <f t="shared" si="108"/>
        <v>4</v>
      </c>
      <c r="F188">
        <f t="shared" si="75"/>
        <v>270</v>
      </c>
      <c r="G188">
        <f t="shared" si="90"/>
        <v>6</v>
      </c>
      <c r="H188">
        <f t="shared" si="97"/>
        <v>3</v>
      </c>
      <c r="I188">
        <f t="shared" si="76"/>
        <v>240</v>
      </c>
      <c r="J188">
        <f t="shared" si="91"/>
        <v>0</v>
      </c>
      <c r="K188">
        <f t="shared" si="98"/>
        <v>3</v>
      </c>
      <c r="L188">
        <f t="shared" si="77"/>
        <v>360</v>
      </c>
      <c r="M188">
        <f t="shared" si="92"/>
        <v>6</v>
      </c>
      <c r="N188">
        <f t="shared" si="99"/>
        <v>2</v>
      </c>
      <c r="O188">
        <f t="shared" si="78"/>
        <v>300</v>
      </c>
      <c r="P188">
        <f t="shared" si="100"/>
        <v>0</v>
      </c>
      <c r="Q188">
        <f t="shared" si="101"/>
        <v>2</v>
      </c>
      <c r="R188">
        <f t="shared" si="79"/>
        <v>300</v>
      </c>
      <c r="S188">
        <f t="shared" si="102"/>
        <v>0</v>
      </c>
      <c r="T188">
        <f t="shared" si="103"/>
        <v>-1</v>
      </c>
      <c r="U188">
        <f t="shared" si="93"/>
        <v>0</v>
      </c>
      <c r="V188">
        <f t="shared" si="94"/>
        <v>1</v>
      </c>
      <c r="W188">
        <f t="shared" si="80"/>
        <v>0</v>
      </c>
      <c r="X188">
        <f t="shared" si="104"/>
        <v>0</v>
      </c>
      <c r="Y188">
        <f t="shared" si="81"/>
        <v>0</v>
      </c>
      <c r="Z188">
        <f t="shared" si="82"/>
        <v>0</v>
      </c>
      <c r="AA188">
        <f t="shared" si="83"/>
        <v>0</v>
      </c>
      <c r="AB188" s="29">
        <f t="shared" si="84"/>
        <v>0.74178816089935007</v>
      </c>
      <c r="AC188" s="25">
        <f t="shared" si="85"/>
        <v>127.49804426656831</v>
      </c>
      <c r="AD188" s="29">
        <f t="shared" si="86"/>
        <v>1.0808524183153847</v>
      </c>
      <c r="AE188" s="25">
        <f t="shared" si="95"/>
        <v>13.243681724743192</v>
      </c>
      <c r="AF188" s="25">
        <f t="shared" si="87"/>
        <v>13.243681724743192</v>
      </c>
      <c r="AG188" s="25">
        <f>IF($A188&lt;0,0,IF(instatk="bs",(1.5+talSCallInstBon)*(MHavg+(ap+Z188-$Z$1)/APtoDPS*MHnorm+170)*(1+sa*0.1+0.04*opp+0.02*agg+Slayer4value-1),IF(instatk="hemo",Slayer4value*(MHavg+(ap+Z188-$Z$1)/APtoDPS*MHnorm)*(1.1+talSCallInstBon)+420*(1+raidcrit)*debuffon,IF(instatk="ss",(MHavg+(ap+Z188-$Z$1)/APtoDPS*MHnorm+98)*(1+sa*0.1+0.02*agg+Slayer4value-1),IF(instatk="v",(ohavg+(ap+Z188-$Z$1)/APtoDPS*OHnorm)*(1+sa*0.1)*(0.5+0.05*dws)+avipdam,Slayer4value*((1+0.04*opp)*(MHavg+101+(ap+Z188-$Z$1)/APtoDPS*MHnorm+(0.5+0.05*dws)*(ohavg+(ap+Z188-$Z$1)/APtoDPS*OHnorm)+101*(1+0.1*dws))*(1+0.5*IF(Talents!$O$18="Yes",1,0)))))))*(instactualhit+(1+((leth*0.06+2)-1)*(cfact-1))*instactualcrit)*fwfactor*AB188*instsec*(AF188/$AN$45))</f>
        <v>290.78918279358999</v>
      </c>
      <c r="AH188" s="25">
        <f t="shared" si="105"/>
        <v>0</v>
      </c>
      <c r="AI188" s="25">
        <f t="shared" si="106"/>
        <v>0</v>
      </c>
      <c r="AJ188" s="25">
        <f t="shared" si="107"/>
        <v>0</v>
      </c>
    </row>
    <row r="189" spans="1:36">
      <c r="A189">
        <f t="shared" si="88"/>
        <v>186</v>
      </c>
      <c r="B189">
        <f t="shared" si="96"/>
        <v>5</v>
      </c>
      <c r="C189">
        <f t="shared" si="74"/>
        <v>240</v>
      </c>
      <c r="D189">
        <f t="shared" si="89"/>
        <v>7</v>
      </c>
      <c r="E189">
        <f t="shared" si="108"/>
        <v>4</v>
      </c>
      <c r="F189">
        <f t="shared" si="75"/>
        <v>270</v>
      </c>
      <c r="G189">
        <f t="shared" si="90"/>
        <v>7</v>
      </c>
      <c r="H189">
        <f t="shared" si="97"/>
        <v>3</v>
      </c>
      <c r="I189">
        <f t="shared" si="76"/>
        <v>240</v>
      </c>
      <c r="J189">
        <f t="shared" si="91"/>
        <v>0</v>
      </c>
      <c r="K189">
        <f t="shared" si="98"/>
        <v>3</v>
      </c>
      <c r="L189">
        <f t="shared" si="77"/>
        <v>360</v>
      </c>
      <c r="M189">
        <f t="shared" si="92"/>
        <v>7</v>
      </c>
      <c r="N189">
        <f t="shared" si="99"/>
        <v>2</v>
      </c>
      <c r="O189">
        <f t="shared" si="78"/>
        <v>300</v>
      </c>
      <c r="P189">
        <f t="shared" si="100"/>
        <v>0</v>
      </c>
      <c r="Q189">
        <f t="shared" si="101"/>
        <v>2</v>
      </c>
      <c r="R189">
        <f t="shared" si="79"/>
        <v>300</v>
      </c>
      <c r="S189">
        <f t="shared" si="102"/>
        <v>0</v>
      </c>
      <c r="T189">
        <f t="shared" si="103"/>
        <v>-1</v>
      </c>
      <c r="U189">
        <f t="shared" si="93"/>
        <v>0</v>
      </c>
      <c r="V189">
        <f t="shared" si="94"/>
        <v>1</v>
      </c>
      <c r="W189">
        <f t="shared" si="80"/>
        <v>0</v>
      </c>
      <c r="X189">
        <f t="shared" si="104"/>
        <v>0</v>
      </c>
      <c r="Y189">
        <f t="shared" si="81"/>
        <v>0</v>
      </c>
      <c r="Z189">
        <f t="shared" si="82"/>
        <v>0</v>
      </c>
      <c r="AA189">
        <f t="shared" si="83"/>
        <v>0</v>
      </c>
      <c r="AB189" s="29">
        <f t="shared" si="84"/>
        <v>0.74178816089935007</v>
      </c>
      <c r="AC189" s="25">
        <f t="shared" si="85"/>
        <v>127.49804426656831</v>
      </c>
      <c r="AD189" s="29">
        <f t="shared" si="86"/>
        <v>1.0808524183153847</v>
      </c>
      <c r="AE189" s="25">
        <f t="shared" si="95"/>
        <v>13.243681724743192</v>
      </c>
      <c r="AF189" s="25">
        <f t="shared" si="87"/>
        <v>13.243681724743192</v>
      </c>
      <c r="AG189" s="25">
        <f>IF($A189&lt;0,0,IF(instatk="bs",(1.5+talSCallInstBon)*(MHavg+(ap+Z189-$Z$1)/APtoDPS*MHnorm+170)*(1+sa*0.1+0.04*opp+0.02*agg+Slayer4value-1),IF(instatk="hemo",Slayer4value*(MHavg+(ap+Z189-$Z$1)/APtoDPS*MHnorm)*(1.1+talSCallInstBon)+420*(1+raidcrit)*debuffon,IF(instatk="ss",(MHavg+(ap+Z189-$Z$1)/APtoDPS*MHnorm+98)*(1+sa*0.1+0.02*agg+Slayer4value-1),IF(instatk="v",(ohavg+(ap+Z189-$Z$1)/APtoDPS*OHnorm)*(1+sa*0.1)*(0.5+0.05*dws)+avipdam,Slayer4value*((1+0.04*opp)*(MHavg+101+(ap+Z189-$Z$1)/APtoDPS*MHnorm+(0.5+0.05*dws)*(ohavg+(ap+Z189-$Z$1)/APtoDPS*OHnorm)+101*(1+0.1*dws))*(1+0.5*IF(Talents!$O$18="Yes",1,0)))))))*(instactualhit+(1+((leth*0.06+2)-1)*(cfact-1))*instactualcrit)*fwfactor*AB189*instsec*(AF189/$AN$45))</f>
        <v>290.78918279358999</v>
      </c>
      <c r="AH189" s="25">
        <f t="shared" si="105"/>
        <v>0</v>
      </c>
      <c r="AI189" s="25">
        <f t="shared" si="106"/>
        <v>0</v>
      </c>
      <c r="AJ189" s="25">
        <f t="shared" si="107"/>
        <v>0</v>
      </c>
    </row>
    <row r="190" spans="1:36">
      <c r="A190">
        <f t="shared" si="88"/>
        <v>187</v>
      </c>
      <c r="B190">
        <f t="shared" si="96"/>
        <v>5</v>
      </c>
      <c r="C190">
        <f t="shared" si="74"/>
        <v>240</v>
      </c>
      <c r="D190">
        <f t="shared" si="89"/>
        <v>8</v>
      </c>
      <c r="E190">
        <f t="shared" si="108"/>
        <v>4</v>
      </c>
      <c r="F190">
        <f t="shared" si="75"/>
        <v>270</v>
      </c>
      <c r="G190">
        <f t="shared" si="90"/>
        <v>8</v>
      </c>
      <c r="H190">
        <f t="shared" si="97"/>
        <v>3</v>
      </c>
      <c r="I190">
        <f t="shared" si="76"/>
        <v>240</v>
      </c>
      <c r="J190">
        <f t="shared" si="91"/>
        <v>0</v>
      </c>
      <c r="K190">
        <f t="shared" si="98"/>
        <v>3</v>
      </c>
      <c r="L190">
        <f t="shared" si="77"/>
        <v>360</v>
      </c>
      <c r="M190">
        <f t="shared" si="92"/>
        <v>8</v>
      </c>
      <c r="N190">
        <f t="shared" si="99"/>
        <v>2</v>
      </c>
      <c r="O190">
        <f t="shared" si="78"/>
        <v>300</v>
      </c>
      <c r="P190">
        <f t="shared" si="100"/>
        <v>0</v>
      </c>
      <c r="Q190">
        <f t="shared" si="101"/>
        <v>2</v>
      </c>
      <c r="R190">
        <f t="shared" si="79"/>
        <v>300</v>
      </c>
      <c r="S190">
        <f t="shared" si="102"/>
        <v>0</v>
      </c>
      <c r="T190">
        <f t="shared" si="103"/>
        <v>-1</v>
      </c>
      <c r="U190">
        <f t="shared" si="93"/>
        <v>0</v>
      </c>
      <c r="V190">
        <f t="shared" si="94"/>
        <v>1</v>
      </c>
      <c r="W190">
        <f t="shared" si="80"/>
        <v>0</v>
      </c>
      <c r="X190">
        <f t="shared" si="104"/>
        <v>0</v>
      </c>
      <c r="Y190">
        <f t="shared" si="81"/>
        <v>0</v>
      </c>
      <c r="Z190">
        <f t="shared" si="82"/>
        <v>0</v>
      </c>
      <c r="AA190">
        <f t="shared" si="83"/>
        <v>0</v>
      </c>
      <c r="AB190" s="29">
        <f t="shared" si="84"/>
        <v>0.74178816089935007</v>
      </c>
      <c r="AC190" s="25">
        <f t="shared" si="85"/>
        <v>127.49804426656831</v>
      </c>
      <c r="AD190" s="29">
        <f t="shared" si="86"/>
        <v>1.0808524183153847</v>
      </c>
      <c r="AE190" s="25">
        <f t="shared" si="95"/>
        <v>13.243681724743192</v>
      </c>
      <c r="AF190" s="25">
        <f t="shared" si="87"/>
        <v>13.243681724743192</v>
      </c>
      <c r="AG190" s="25">
        <f>IF($A190&lt;0,0,IF(instatk="bs",(1.5+talSCallInstBon)*(MHavg+(ap+Z190-$Z$1)/APtoDPS*MHnorm+170)*(1+sa*0.1+0.04*opp+0.02*agg+Slayer4value-1),IF(instatk="hemo",Slayer4value*(MHavg+(ap+Z190-$Z$1)/APtoDPS*MHnorm)*(1.1+talSCallInstBon)+420*(1+raidcrit)*debuffon,IF(instatk="ss",(MHavg+(ap+Z190-$Z$1)/APtoDPS*MHnorm+98)*(1+sa*0.1+0.02*agg+Slayer4value-1),IF(instatk="v",(ohavg+(ap+Z190-$Z$1)/APtoDPS*OHnorm)*(1+sa*0.1)*(0.5+0.05*dws)+avipdam,Slayer4value*((1+0.04*opp)*(MHavg+101+(ap+Z190-$Z$1)/APtoDPS*MHnorm+(0.5+0.05*dws)*(ohavg+(ap+Z190-$Z$1)/APtoDPS*OHnorm)+101*(1+0.1*dws))*(1+0.5*IF(Talents!$O$18="Yes",1,0)))))))*(instactualhit+(1+((leth*0.06+2)-1)*(cfact-1))*instactualcrit)*fwfactor*AB190*instsec*(AF190/$AN$45))</f>
        <v>290.78918279358999</v>
      </c>
      <c r="AH190" s="25">
        <f t="shared" si="105"/>
        <v>0</v>
      </c>
      <c r="AI190" s="25">
        <f t="shared" si="106"/>
        <v>0</v>
      </c>
      <c r="AJ190" s="25">
        <f t="shared" si="107"/>
        <v>0</v>
      </c>
    </row>
    <row r="191" spans="1:36">
      <c r="A191">
        <f t="shared" si="88"/>
        <v>188</v>
      </c>
      <c r="B191">
        <f t="shared" si="96"/>
        <v>5</v>
      </c>
      <c r="C191">
        <f t="shared" si="74"/>
        <v>240</v>
      </c>
      <c r="D191">
        <f t="shared" si="89"/>
        <v>9</v>
      </c>
      <c r="E191">
        <f t="shared" si="108"/>
        <v>4</v>
      </c>
      <c r="F191">
        <f t="shared" si="75"/>
        <v>270</v>
      </c>
      <c r="G191">
        <f t="shared" si="90"/>
        <v>9</v>
      </c>
      <c r="H191">
        <f t="shared" si="97"/>
        <v>3</v>
      </c>
      <c r="I191">
        <f t="shared" si="76"/>
        <v>240</v>
      </c>
      <c r="J191">
        <f t="shared" si="91"/>
        <v>0</v>
      </c>
      <c r="K191">
        <f t="shared" si="98"/>
        <v>3</v>
      </c>
      <c r="L191">
        <f t="shared" si="77"/>
        <v>360</v>
      </c>
      <c r="M191">
        <f t="shared" si="92"/>
        <v>9</v>
      </c>
      <c r="N191">
        <f t="shared" si="99"/>
        <v>2</v>
      </c>
      <c r="O191">
        <f t="shared" si="78"/>
        <v>300</v>
      </c>
      <c r="P191">
        <f t="shared" si="100"/>
        <v>0</v>
      </c>
      <c r="Q191">
        <f t="shared" si="101"/>
        <v>2</v>
      </c>
      <c r="R191">
        <f t="shared" si="79"/>
        <v>300</v>
      </c>
      <c r="S191">
        <f t="shared" si="102"/>
        <v>0</v>
      </c>
      <c r="T191">
        <f t="shared" si="103"/>
        <v>-1</v>
      </c>
      <c r="U191">
        <f t="shared" si="93"/>
        <v>0</v>
      </c>
      <c r="V191">
        <f t="shared" si="94"/>
        <v>1</v>
      </c>
      <c r="W191">
        <f t="shared" si="80"/>
        <v>0</v>
      </c>
      <c r="X191">
        <f t="shared" si="104"/>
        <v>0</v>
      </c>
      <c r="Y191">
        <f t="shared" si="81"/>
        <v>0</v>
      </c>
      <c r="Z191">
        <f t="shared" si="82"/>
        <v>0</v>
      </c>
      <c r="AA191">
        <f t="shared" si="83"/>
        <v>0</v>
      </c>
      <c r="AB191" s="29">
        <f t="shared" si="84"/>
        <v>0.74178816089935007</v>
      </c>
      <c r="AC191" s="25">
        <f t="shared" si="85"/>
        <v>127.49804426656831</v>
      </c>
      <c r="AD191" s="29">
        <f t="shared" si="86"/>
        <v>1.0808524183153847</v>
      </c>
      <c r="AE191" s="25">
        <f t="shared" si="95"/>
        <v>13.243681724743192</v>
      </c>
      <c r="AF191" s="25">
        <f t="shared" si="87"/>
        <v>13.243681724743192</v>
      </c>
      <c r="AG191" s="25">
        <f>IF($A191&lt;0,0,IF(instatk="bs",(1.5+talSCallInstBon)*(MHavg+(ap+Z191-$Z$1)/APtoDPS*MHnorm+170)*(1+sa*0.1+0.04*opp+0.02*agg+Slayer4value-1),IF(instatk="hemo",Slayer4value*(MHavg+(ap+Z191-$Z$1)/APtoDPS*MHnorm)*(1.1+talSCallInstBon)+420*(1+raidcrit)*debuffon,IF(instatk="ss",(MHavg+(ap+Z191-$Z$1)/APtoDPS*MHnorm+98)*(1+sa*0.1+0.02*agg+Slayer4value-1),IF(instatk="v",(ohavg+(ap+Z191-$Z$1)/APtoDPS*OHnorm)*(1+sa*0.1)*(0.5+0.05*dws)+avipdam,Slayer4value*((1+0.04*opp)*(MHavg+101+(ap+Z191-$Z$1)/APtoDPS*MHnorm+(0.5+0.05*dws)*(ohavg+(ap+Z191-$Z$1)/APtoDPS*OHnorm)+101*(1+0.1*dws))*(1+0.5*IF(Talents!$O$18="Yes",1,0)))))))*(instactualhit+(1+((leth*0.06+2)-1)*(cfact-1))*instactualcrit)*fwfactor*AB191*instsec*(AF191/$AN$45))</f>
        <v>290.78918279358999</v>
      </c>
      <c r="AH191" s="25">
        <f t="shared" si="105"/>
        <v>0</v>
      </c>
      <c r="AI191" s="25">
        <f t="shared" si="106"/>
        <v>0</v>
      </c>
      <c r="AJ191" s="25">
        <f t="shared" si="107"/>
        <v>0</v>
      </c>
    </row>
    <row r="192" spans="1:36">
      <c r="A192">
        <f t="shared" si="88"/>
        <v>189</v>
      </c>
      <c r="B192">
        <f t="shared" si="96"/>
        <v>5</v>
      </c>
      <c r="C192">
        <f t="shared" si="74"/>
        <v>240</v>
      </c>
      <c r="D192">
        <f t="shared" si="89"/>
        <v>10</v>
      </c>
      <c r="E192">
        <f t="shared" si="108"/>
        <v>4</v>
      </c>
      <c r="F192">
        <f t="shared" si="75"/>
        <v>270</v>
      </c>
      <c r="G192">
        <f t="shared" si="90"/>
        <v>10</v>
      </c>
      <c r="H192">
        <f t="shared" si="97"/>
        <v>3</v>
      </c>
      <c r="I192">
        <f t="shared" si="76"/>
        <v>240</v>
      </c>
      <c r="J192">
        <f t="shared" si="91"/>
        <v>0</v>
      </c>
      <c r="K192">
        <f t="shared" si="98"/>
        <v>3</v>
      </c>
      <c r="L192">
        <f t="shared" si="77"/>
        <v>360</v>
      </c>
      <c r="M192">
        <f t="shared" si="92"/>
        <v>10</v>
      </c>
      <c r="N192">
        <f t="shared" si="99"/>
        <v>2</v>
      </c>
      <c r="O192">
        <f t="shared" si="78"/>
        <v>300</v>
      </c>
      <c r="P192">
        <f t="shared" si="100"/>
        <v>0</v>
      </c>
      <c r="Q192">
        <f t="shared" si="101"/>
        <v>2</v>
      </c>
      <c r="R192">
        <f t="shared" si="79"/>
        <v>300</v>
      </c>
      <c r="S192">
        <f t="shared" si="102"/>
        <v>0</v>
      </c>
      <c r="T192">
        <f t="shared" si="103"/>
        <v>-1</v>
      </c>
      <c r="U192">
        <f t="shared" si="93"/>
        <v>0</v>
      </c>
      <c r="V192">
        <f t="shared" si="94"/>
        <v>1</v>
      </c>
      <c r="W192">
        <f t="shared" si="80"/>
        <v>0</v>
      </c>
      <c r="X192">
        <f t="shared" si="104"/>
        <v>0</v>
      </c>
      <c r="Y192">
        <f t="shared" si="81"/>
        <v>0</v>
      </c>
      <c r="Z192">
        <f t="shared" si="82"/>
        <v>0</v>
      </c>
      <c r="AA192">
        <f t="shared" si="83"/>
        <v>0</v>
      </c>
      <c r="AB192" s="29">
        <f t="shared" si="84"/>
        <v>0.74178816089935007</v>
      </c>
      <c r="AC192" s="25">
        <f t="shared" si="85"/>
        <v>127.49804426656831</v>
      </c>
      <c r="AD192" s="29">
        <f t="shared" si="86"/>
        <v>1.0808524183153847</v>
      </c>
      <c r="AE192" s="25">
        <f t="shared" si="95"/>
        <v>13.243681724743192</v>
      </c>
      <c r="AF192" s="25">
        <f t="shared" si="87"/>
        <v>13.243681724743192</v>
      </c>
      <c r="AG192" s="25">
        <f>IF($A192&lt;0,0,IF(instatk="bs",(1.5+talSCallInstBon)*(MHavg+(ap+Z192-$Z$1)/APtoDPS*MHnorm+170)*(1+sa*0.1+0.04*opp+0.02*agg+Slayer4value-1),IF(instatk="hemo",Slayer4value*(MHavg+(ap+Z192-$Z$1)/APtoDPS*MHnorm)*(1.1+talSCallInstBon)+420*(1+raidcrit)*debuffon,IF(instatk="ss",(MHavg+(ap+Z192-$Z$1)/APtoDPS*MHnorm+98)*(1+sa*0.1+0.02*agg+Slayer4value-1),IF(instatk="v",(ohavg+(ap+Z192-$Z$1)/APtoDPS*OHnorm)*(1+sa*0.1)*(0.5+0.05*dws)+avipdam,Slayer4value*((1+0.04*opp)*(MHavg+101+(ap+Z192-$Z$1)/APtoDPS*MHnorm+(0.5+0.05*dws)*(ohavg+(ap+Z192-$Z$1)/APtoDPS*OHnorm)+101*(1+0.1*dws))*(1+0.5*IF(Talents!$O$18="Yes",1,0)))))))*(instactualhit+(1+((leth*0.06+2)-1)*(cfact-1))*instactualcrit)*fwfactor*AB192*instsec*(AF192/$AN$45))</f>
        <v>290.78918279358999</v>
      </c>
      <c r="AH192" s="25">
        <f t="shared" si="105"/>
        <v>0</v>
      </c>
      <c r="AI192" s="25">
        <f t="shared" si="106"/>
        <v>0</v>
      </c>
      <c r="AJ192" s="25">
        <f t="shared" si="107"/>
        <v>0</v>
      </c>
    </row>
    <row r="193" spans="1:36">
      <c r="A193">
        <f t="shared" si="88"/>
        <v>190</v>
      </c>
      <c r="B193">
        <f t="shared" si="96"/>
        <v>5</v>
      </c>
      <c r="C193">
        <f t="shared" si="74"/>
        <v>240</v>
      </c>
      <c r="D193">
        <f t="shared" si="89"/>
        <v>11</v>
      </c>
      <c r="E193">
        <f t="shared" si="108"/>
        <v>4</v>
      </c>
      <c r="F193">
        <f t="shared" si="75"/>
        <v>270</v>
      </c>
      <c r="G193">
        <f t="shared" si="90"/>
        <v>11</v>
      </c>
      <c r="H193">
        <f t="shared" si="97"/>
        <v>3</v>
      </c>
      <c r="I193">
        <f t="shared" si="76"/>
        <v>240</v>
      </c>
      <c r="J193">
        <f t="shared" si="91"/>
        <v>0</v>
      </c>
      <c r="K193">
        <f t="shared" si="98"/>
        <v>3</v>
      </c>
      <c r="L193">
        <f t="shared" si="77"/>
        <v>360</v>
      </c>
      <c r="M193">
        <f t="shared" si="92"/>
        <v>11</v>
      </c>
      <c r="N193">
        <f t="shared" si="99"/>
        <v>2</v>
      </c>
      <c r="O193">
        <f t="shared" si="78"/>
        <v>300</v>
      </c>
      <c r="P193">
        <f t="shared" si="100"/>
        <v>0</v>
      </c>
      <c r="Q193">
        <f t="shared" si="101"/>
        <v>2</v>
      </c>
      <c r="R193">
        <f t="shared" si="79"/>
        <v>300</v>
      </c>
      <c r="S193">
        <f t="shared" si="102"/>
        <v>0</v>
      </c>
      <c r="T193">
        <f t="shared" si="103"/>
        <v>-1</v>
      </c>
      <c r="U193">
        <f t="shared" si="93"/>
        <v>0</v>
      </c>
      <c r="V193">
        <f t="shared" si="94"/>
        <v>1</v>
      </c>
      <c r="W193">
        <f t="shared" si="80"/>
        <v>0</v>
      </c>
      <c r="X193">
        <f t="shared" si="104"/>
        <v>0</v>
      </c>
      <c r="Y193">
        <f t="shared" si="81"/>
        <v>0</v>
      </c>
      <c r="Z193">
        <f t="shared" si="82"/>
        <v>0</v>
      </c>
      <c r="AA193">
        <f t="shared" si="83"/>
        <v>0</v>
      </c>
      <c r="AB193" s="29">
        <f t="shared" si="84"/>
        <v>0.74178816089935007</v>
      </c>
      <c r="AC193" s="25">
        <f t="shared" si="85"/>
        <v>127.49804426656831</v>
      </c>
      <c r="AD193" s="29">
        <f t="shared" si="86"/>
        <v>1.0808524183153847</v>
      </c>
      <c r="AE193" s="25">
        <f t="shared" si="95"/>
        <v>13.243681724743192</v>
      </c>
      <c r="AF193" s="25">
        <f t="shared" si="87"/>
        <v>13.243681724743192</v>
      </c>
      <c r="AG193" s="25">
        <f>IF($A193&lt;0,0,IF(instatk="bs",(1.5+talSCallInstBon)*(MHavg+(ap+Z193-$Z$1)/APtoDPS*MHnorm+170)*(1+sa*0.1+0.04*opp+0.02*agg+Slayer4value-1),IF(instatk="hemo",Slayer4value*(MHavg+(ap+Z193-$Z$1)/APtoDPS*MHnorm)*(1.1+talSCallInstBon)+420*(1+raidcrit)*debuffon,IF(instatk="ss",(MHavg+(ap+Z193-$Z$1)/APtoDPS*MHnorm+98)*(1+sa*0.1+0.02*agg+Slayer4value-1),IF(instatk="v",(ohavg+(ap+Z193-$Z$1)/APtoDPS*OHnorm)*(1+sa*0.1)*(0.5+0.05*dws)+avipdam,Slayer4value*((1+0.04*opp)*(MHavg+101+(ap+Z193-$Z$1)/APtoDPS*MHnorm+(0.5+0.05*dws)*(ohavg+(ap+Z193-$Z$1)/APtoDPS*OHnorm)+101*(1+0.1*dws))*(1+0.5*IF(Talents!$O$18="Yes",1,0)))))))*(instactualhit+(1+((leth*0.06+2)-1)*(cfact-1))*instactualcrit)*fwfactor*AB193*instsec*(AF193/$AN$45))</f>
        <v>290.78918279358999</v>
      </c>
      <c r="AH193" s="25">
        <f t="shared" si="105"/>
        <v>0</v>
      </c>
      <c r="AI193" s="25">
        <f t="shared" si="106"/>
        <v>0</v>
      </c>
      <c r="AJ193" s="25">
        <f t="shared" si="107"/>
        <v>0</v>
      </c>
    </row>
    <row r="194" spans="1:36">
      <c r="A194">
        <f t="shared" si="88"/>
        <v>191</v>
      </c>
      <c r="B194">
        <f t="shared" si="96"/>
        <v>5</v>
      </c>
      <c r="C194">
        <f t="shared" si="74"/>
        <v>240</v>
      </c>
      <c r="D194">
        <f t="shared" si="89"/>
        <v>12</v>
      </c>
      <c r="E194">
        <f t="shared" si="108"/>
        <v>4</v>
      </c>
      <c r="F194">
        <f t="shared" si="75"/>
        <v>270</v>
      </c>
      <c r="G194">
        <f t="shared" si="90"/>
        <v>12</v>
      </c>
      <c r="H194">
        <f t="shared" si="97"/>
        <v>3</v>
      </c>
      <c r="I194">
        <f t="shared" si="76"/>
        <v>240</v>
      </c>
      <c r="J194">
        <f t="shared" si="91"/>
        <v>0</v>
      </c>
      <c r="K194">
        <f t="shared" si="98"/>
        <v>3</v>
      </c>
      <c r="L194">
        <f t="shared" si="77"/>
        <v>360</v>
      </c>
      <c r="M194">
        <f t="shared" si="92"/>
        <v>12</v>
      </c>
      <c r="N194">
        <f t="shared" si="99"/>
        <v>2</v>
      </c>
      <c r="O194">
        <f t="shared" si="78"/>
        <v>300</v>
      </c>
      <c r="P194">
        <f t="shared" si="100"/>
        <v>0</v>
      </c>
      <c r="Q194">
        <f t="shared" si="101"/>
        <v>2</v>
      </c>
      <c r="R194">
        <f t="shared" si="79"/>
        <v>300</v>
      </c>
      <c r="S194">
        <f t="shared" si="102"/>
        <v>0</v>
      </c>
      <c r="T194">
        <f t="shared" si="103"/>
        <v>-1</v>
      </c>
      <c r="U194">
        <f t="shared" si="93"/>
        <v>0</v>
      </c>
      <c r="V194">
        <f t="shared" si="94"/>
        <v>1</v>
      </c>
      <c r="W194">
        <f t="shared" si="80"/>
        <v>0</v>
      </c>
      <c r="X194">
        <f t="shared" si="104"/>
        <v>0</v>
      </c>
      <c r="Y194">
        <f t="shared" si="81"/>
        <v>0</v>
      </c>
      <c r="Z194">
        <f t="shared" si="82"/>
        <v>0</v>
      </c>
      <c r="AA194">
        <f t="shared" si="83"/>
        <v>0</v>
      </c>
      <c r="AB194" s="29">
        <f t="shared" si="84"/>
        <v>0.74178816089935007</v>
      </c>
      <c r="AC194" s="25">
        <f t="shared" si="85"/>
        <v>127.49804426656831</v>
      </c>
      <c r="AD194" s="29">
        <f t="shared" si="86"/>
        <v>1.0808524183153847</v>
      </c>
      <c r="AE194" s="25">
        <f t="shared" si="95"/>
        <v>13.243681724743192</v>
      </c>
      <c r="AF194" s="25">
        <f t="shared" si="87"/>
        <v>13.243681724743192</v>
      </c>
      <c r="AG194" s="25">
        <f>IF($A194&lt;0,0,IF(instatk="bs",(1.5+talSCallInstBon)*(MHavg+(ap+Z194-$Z$1)/APtoDPS*MHnorm+170)*(1+sa*0.1+0.04*opp+0.02*agg+Slayer4value-1),IF(instatk="hemo",Slayer4value*(MHavg+(ap+Z194-$Z$1)/APtoDPS*MHnorm)*(1.1+talSCallInstBon)+420*(1+raidcrit)*debuffon,IF(instatk="ss",(MHavg+(ap+Z194-$Z$1)/APtoDPS*MHnorm+98)*(1+sa*0.1+0.02*agg+Slayer4value-1),IF(instatk="v",(ohavg+(ap+Z194-$Z$1)/APtoDPS*OHnorm)*(1+sa*0.1)*(0.5+0.05*dws)+avipdam,Slayer4value*((1+0.04*opp)*(MHavg+101+(ap+Z194-$Z$1)/APtoDPS*MHnorm+(0.5+0.05*dws)*(ohavg+(ap+Z194-$Z$1)/APtoDPS*OHnorm)+101*(1+0.1*dws))*(1+0.5*IF(Talents!$O$18="Yes",1,0)))))))*(instactualhit+(1+((leth*0.06+2)-1)*(cfact-1))*instactualcrit)*fwfactor*AB194*instsec*(AF194/$AN$45))</f>
        <v>290.78918279358999</v>
      </c>
      <c r="AH194" s="25">
        <f t="shared" si="105"/>
        <v>0</v>
      </c>
      <c r="AI194" s="25">
        <f t="shared" si="106"/>
        <v>0</v>
      </c>
      <c r="AJ194" s="25">
        <f t="shared" si="107"/>
        <v>0</v>
      </c>
    </row>
    <row r="195" spans="1:36">
      <c r="A195">
        <f t="shared" si="88"/>
        <v>192</v>
      </c>
      <c r="B195">
        <f t="shared" si="96"/>
        <v>5</v>
      </c>
      <c r="C195">
        <f t="shared" ref="C195:C258" si="109">IF(AND(cdspec60,cdspec60plus),CHOOSE($B195,cdspec601,cdspec602,cdspec603,cdspec604,cdspec605,cdspec606,cdspec607,cdspec608,cdspec609,cdspec6010),($B195-1)*60+IF(cdspec60,cdspec601,0))</f>
        <v>240</v>
      </c>
      <c r="D195">
        <f t="shared" si="89"/>
        <v>13</v>
      </c>
      <c r="E195">
        <f t="shared" si="108"/>
        <v>4</v>
      </c>
      <c r="F195">
        <f t="shared" ref="F195:F258" si="110">IF(AND(cdspec90,cdspec90plus),CHOOSE(E195,cdspec901,cdspec902,cdspec903,cdspec904,cdspec905,cdspec906),(E195-1)*IF(cdtreat90as120,120,90)+IF(cdspec90,cdspec901,0))</f>
        <v>270</v>
      </c>
      <c r="G195">
        <f t="shared" si="90"/>
        <v>13</v>
      </c>
      <c r="H195">
        <f t="shared" si="97"/>
        <v>3</v>
      </c>
      <c r="I195">
        <f t="shared" ref="I195:I258" si="111">IF(AND(cdspec120,cdspec120plus),CHOOSE(H195,cdspec1201,cdspec1202,cdspec1203,cdspec1204,cdspec1205),(H195-1)*120+IF(cdspec120,cdspec1201,0))</f>
        <v>240</v>
      </c>
      <c r="J195">
        <f t="shared" si="91"/>
        <v>0</v>
      </c>
      <c r="K195">
        <f t="shared" si="98"/>
        <v>3</v>
      </c>
      <c r="L195">
        <f t="shared" ref="L195:L258" si="112">IF(AND(cdspec180,cdspec180plus),CHOOSE(K195,cdspec1801,cdspec1802,cdspec1803,cdspec1804),(K195-1)*IF(cdtreat180as240,240,180)+IF(cdspec180,cdspec1801,0))</f>
        <v>360</v>
      </c>
      <c r="M195">
        <f t="shared" si="92"/>
        <v>13</v>
      </c>
      <c r="N195">
        <f t="shared" si="99"/>
        <v>2</v>
      </c>
      <c r="O195">
        <f t="shared" ref="O195:O258" si="113">IF(cdspecar,CHOOSE(N195,cdar1,cdar2),(N195-1)*300)</f>
        <v>300</v>
      </c>
      <c r="P195">
        <f t="shared" si="100"/>
        <v>0</v>
      </c>
      <c r="Q195">
        <f t="shared" si="101"/>
        <v>2</v>
      </c>
      <c r="R195">
        <f t="shared" ref="R195:R258" si="114">IF(cdspectea,CHOOSE(Q195,cdtea1,cdtea2),(Q195-1)*300)</f>
        <v>300</v>
      </c>
      <c r="S195">
        <f t="shared" si="102"/>
        <v>0</v>
      </c>
      <c r="T195">
        <f t="shared" si="103"/>
        <v>-1</v>
      </c>
      <c r="U195">
        <f t="shared" si="93"/>
        <v>0</v>
      </c>
      <c r="V195">
        <f t="shared" si="94"/>
        <v>1</v>
      </c>
      <c r="W195">
        <f t="shared" ref="W195:W258" si="115">IF(V195=0,-1,IF(cdspeclust,CHOOSE(V195,cdlust1,cdlust2,cdlust3,cdlust4,cdlust5,cdlust6,cdlust7,cdlust8,cdlust9,cdlust10,cdlust11,cdlust12,cdlust13,cdlust14,cdlust15),(V195-1)*120))</f>
        <v>0</v>
      </c>
      <c r="X195">
        <f t="shared" si="104"/>
        <v>0</v>
      </c>
      <c r="Y195">
        <f t="shared" ref="Y195:Y258" si="116">IF($A195&lt;0, 0, IF($J195=0, 0, $AO$16*($J195&lt;=$AT$16)-IF($AW$14, $AO$3*($J195&lt;=$AT$3)))+IF($U195=0, 0, $AO$3))</f>
        <v>0</v>
      </c>
      <c r="Z195">
        <f t="shared" ref="Z195:Z258" si="117">IF($A195&lt;0, 0, IF($D195=0, 0, $AP$6*($D195&lt;=$AT$6)-IF($AW$5, $AP$3*($D195&lt;=$AT$3)))+IF($G195=0, 0, ($AP$9+$AP$10+$AP$11+$AP$12)*($G195&lt;=$AT$9)-IF($AW$8, $AP$3*($G195&lt;=$AT$3)))+IF($J195=0, 0, ($AP$17+$AP$18+$AP$19+$AP$24)*($J195&lt;=$AT$17)+($AP$23+$AP$25+$AP$27)*($J195&lt;=$AT$23)+$AP$30*($J195&lt;=$AT$30)+$AP$21*ROUNDUP($J195/2,0)*($J195&lt;=$AT$21)-IF($AW$14, IF($AP$3=65,$AP$3*ROUNDUP($J195/2,0)*($J195&lt;=$AT$3),$AP$3*($J195&lt;=$AT$3))))+IF($M195=0, 0, $AP$34*($M195&lt;=$AT$34)-IF($AW$32, $AP$3*($M195&lt;=$AT$3)))+IF($U195=0, 0, IF($AP$3=65,$AP$3*ROUNDUP($U195/2,0),$AP$3)))</f>
        <v>0</v>
      </c>
      <c r="AA195">
        <f t="shared" ref="AA195:AA258" si="118">IF($A195&lt;0,0,IF($J195=0,0,$AQ$20*($J195&lt;=$AT$20)-IF($AW$14,$AQ$3*($J195&lt;=$AT$3)))+IF($M195=0,0,$AQ$33*($M195&lt;=$AT$33))+IF($U195=0,0,$AQ$3))</f>
        <v>0</v>
      </c>
      <c r="AB195" s="29">
        <f t="shared" ref="AB195:AB258" si="119">IF($A195&lt;0,0,1-MAX($AN$44-AA195,0)/(MAX($AN$44-AA195,0)+467.5*CharLevel-22167.5))</f>
        <v>0.74178816089935007</v>
      </c>
      <c r="AC195" s="25">
        <f t="shared" ref="AC195:AC258" si="120">IF($A195&lt;0,0,$AN$43+IF($J195=0, 0, $AR$15*($J195&lt;=$AT$15)+$AR$22*($J195&lt;=$AT$22)+$AR$28*($J195&lt;=$AT$28)+$AR$29*($J195&lt;=$AT$29)-IF($AW$14, $AR$3*($J195&lt;=$AT$3))))</f>
        <v>127.49804426656831</v>
      </c>
      <c r="AD195" s="29">
        <f t="shared" ref="AD195:AD258" si="121">IF($A195&lt;0,0,(1+$AC195/(hasterate*100))*(1+$AS$26/100*AND($J195&gt;0,$J195&lt;=$AT$26))*(1+$AS$35/100*AND($M195&gt;0,$M195&lt;=$AT$35))*(1+0.3*($X195&gt;0)))</f>
        <v>1.0808524183153847</v>
      </c>
      <c r="AE195" s="25">
        <f t="shared" si="95"/>
        <v>13.243681724743192</v>
      </c>
      <c r="AF195" s="25">
        <f t="shared" ref="AF195:AF258" si="122">MIN(instcost,AE195)</f>
        <v>13.243681724743192</v>
      </c>
      <c r="AG195" s="25">
        <f>IF($A195&lt;0,0,IF(instatk="bs",(1.5+talSCallInstBon)*(MHavg+(ap+Z195-$Z$1)/APtoDPS*MHnorm+170)*(1+sa*0.1+0.04*opp+0.02*agg+Slayer4value-1),IF(instatk="hemo",Slayer4value*(MHavg+(ap+Z195-$Z$1)/APtoDPS*MHnorm)*(1.1+talSCallInstBon)+420*(1+raidcrit)*debuffon,IF(instatk="ss",(MHavg+(ap+Z195-$Z$1)/APtoDPS*MHnorm+98)*(1+sa*0.1+0.02*agg+Slayer4value-1),IF(instatk="v",(ohavg+(ap+Z195-$Z$1)/APtoDPS*OHnorm)*(1+sa*0.1)*(0.5+0.05*dws)+avipdam,Slayer4value*((1+0.04*opp)*(MHavg+101+(ap+Z195-$Z$1)/APtoDPS*MHnorm+(0.5+0.05*dws)*(ohavg+(ap+Z195-$Z$1)/APtoDPS*OHnorm)+101*(1+0.1*dws))*(1+0.5*IF(Talents!$O$18="Yes",1,0)))))))*(instactualhit+(1+((leth*0.06+2)-1)*(cfact-1))*instactualcrit)*fwfactor*AB195*instsec*(AF195/$AN$45))</f>
        <v>290.78918279358999</v>
      </c>
      <c r="AH195" s="25">
        <f t="shared" si="105"/>
        <v>0</v>
      </c>
      <c r="AI195" s="25">
        <f t="shared" si="106"/>
        <v>0</v>
      </c>
      <c r="AJ195" s="25">
        <f t="shared" si="107"/>
        <v>0</v>
      </c>
    </row>
    <row r="196" spans="1:36">
      <c r="A196">
        <f t="shared" ref="A196:A259" si="123">IF(A195&lt;0,-1,IF(A195+1&gt;=time,-1,A195+1))</f>
        <v>193</v>
      </c>
      <c r="B196">
        <f t="shared" si="96"/>
        <v>5</v>
      </c>
      <c r="C196">
        <f t="shared" si="109"/>
        <v>240</v>
      </c>
      <c r="D196">
        <f t="shared" ref="D196:D259" si="124">IF($A196=$C196,1,IF(AND($D195&gt;0,$D195&lt;30),$D195+1,0))</f>
        <v>14</v>
      </c>
      <c r="E196">
        <f t="shared" si="108"/>
        <v>4</v>
      </c>
      <c r="F196">
        <f t="shared" si="110"/>
        <v>270</v>
      </c>
      <c r="G196">
        <f t="shared" ref="G196:G259" si="125">IF($A196=F196,1,IF(AND(G195&gt;0,G195&lt;30),G195+1,0))</f>
        <v>14</v>
      </c>
      <c r="H196">
        <f t="shared" si="97"/>
        <v>3</v>
      </c>
      <c r="I196">
        <f t="shared" si="111"/>
        <v>240</v>
      </c>
      <c r="J196">
        <f t="shared" ref="J196:J259" si="126">IF($A196=I196,1,IF(AND(J195&gt;0,J195&lt;30),J195+1,0))</f>
        <v>0</v>
      </c>
      <c r="K196">
        <f t="shared" si="98"/>
        <v>3</v>
      </c>
      <c r="L196">
        <f t="shared" si="112"/>
        <v>360</v>
      </c>
      <c r="M196">
        <f t="shared" ref="M196:M259" si="127">IF($A196=L196,1,IF(AND(M195&gt;0,M195&lt;30),M195+1,0))</f>
        <v>14</v>
      </c>
      <c r="N196">
        <f t="shared" si="99"/>
        <v>2</v>
      </c>
      <c r="O196">
        <f t="shared" si="113"/>
        <v>300</v>
      </c>
      <c r="P196">
        <f t="shared" si="100"/>
        <v>0</v>
      </c>
      <c r="Q196">
        <f t="shared" si="101"/>
        <v>2</v>
      </c>
      <c r="R196">
        <f t="shared" si="114"/>
        <v>300</v>
      </c>
      <c r="S196">
        <f t="shared" si="102"/>
        <v>0</v>
      </c>
      <c r="T196">
        <f t="shared" si="103"/>
        <v>-1</v>
      </c>
      <c r="U196">
        <f t="shared" ref="U196:U259" si="128">IF($A196=T196,1,IF(AND(U195&gt;0,U195&lt;$AT$3),U195+1,0))</f>
        <v>0</v>
      </c>
      <c r="V196">
        <f t="shared" ref="V196:V259" si="129">MIN(IF(X195=1,V195+1,V195),blustcount)</f>
        <v>1</v>
      </c>
      <c r="W196">
        <f t="shared" si="115"/>
        <v>0</v>
      </c>
      <c r="X196">
        <f t="shared" si="104"/>
        <v>0</v>
      </c>
      <c r="Y196">
        <f t="shared" si="116"/>
        <v>0</v>
      </c>
      <c r="Z196">
        <f t="shared" si="117"/>
        <v>0</v>
      </c>
      <c r="AA196">
        <f t="shared" si="118"/>
        <v>0</v>
      </c>
      <c r="AB196" s="29">
        <f t="shared" si="119"/>
        <v>0.74178816089935007</v>
      </c>
      <c r="AC196" s="25">
        <f t="shared" si="120"/>
        <v>127.49804426656831</v>
      </c>
      <c r="AD196" s="29">
        <f t="shared" si="121"/>
        <v>1.0808524183153847</v>
      </c>
      <c r="AE196" s="25">
        <f t="shared" ref="AE196:AE259" si="130">IF($A196&lt;0,0,$AN$45+IF($P196&gt;0,$AN$37*$AL$37,0)+$S196*(60-IF(CharLevel&gt;60,(CharLevel-60)*2,0))*$AL$38+IF($J196=1,$AL$26*-25+IF($AL$39, 30, 0),0)+IF($M196=1,$AL$35*-10,0)+IF(AE195&gt;instcost,AE195-instcost,0))</f>
        <v>13.243681724743192</v>
      </c>
      <c r="AF196" s="25">
        <f t="shared" si="122"/>
        <v>13.243681724743192</v>
      </c>
      <c r="AG196" s="25">
        <f>IF($A196&lt;0,0,IF(instatk="bs",(1.5+talSCallInstBon)*(MHavg+(ap+Z196-$Z$1)/APtoDPS*MHnorm+170)*(1+sa*0.1+0.04*opp+0.02*agg+Slayer4value-1),IF(instatk="hemo",Slayer4value*(MHavg+(ap+Z196-$Z$1)/APtoDPS*MHnorm)*(1.1+talSCallInstBon)+420*(1+raidcrit)*debuffon,IF(instatk="ss",(MHavg+(ap+Z196-$Z$1)/APtoDPS*MHnorm+98)*(1+sa*0.1+0.02*agg+Slayer4value-1),IF(instatk="v",(ohavg+(ap+Z196-$Z$1)/APtoDPS*OHnorm)*(1+sa*0.1)*(0.5+0.05*dws)+avipdam,Slayer4value*((1+0.04*opp)*(MHavg+101+(ap+Z196-$Z$1)/APtoDPS*MHnorm+(0.5+0.05*dws)*(ohavg+(ap+Z196-$Z$1)/APtoDPS*OHnorm)+101*(1+0.1*dws))*(1+0.5*IF(Talents!$O$18="Yes",1,0)))))))*(instactualhit+(1+((leth*0.06+2)-1)*(cfact-1))*instactualcrit)*fwfactor*AB196*instsec*(AF196/$AN$45))</f>
        <v>290.78918279358999</v>
      </c>
      <c r="AH196" s="25">
        <f t="shared" si="105"/>
        <v>0</v>
      </c>
      <c r="AI196" s="25">
        <f t="shared" si="106"/>
        <v>0</v>
      </c>
      <c r="AJ196" s="25">
        <f t="shared" si="107"/>
        <v>0</v>
      </c>
    </row>
    <row r="197" spans="1:36">
      <c r="A197">
        <f t="shared" si="123"/>
        <v>194</v>
      </c>
      <c r="B197">
        <f t="shared" ref="B197:B260" si="131">MIN(IF(D196=1,B196+1,B196),10)</f>
        <v>5</v>
      </c>
      <c r="C197">
        <f t="shared" si="109"/>
        <v>240</v>
      </c>
      <c r="D197">
        <f t="shared" si="124"/>
        <v>15</v>
      </c>
      <c r="E197">
        <f t="shared" si="108"/>
        <v>4</v>
      </c>
      <c r="F197">
        <f t="shared" si="110"/>
        <v>270</v>
      </c>
      <c r="G197">
        <f t="shared" si="125"/>
        <v>15</v>
      </c>
      <c r="H197">
        <f t="shared" ref="H197:H260" si="132">MIN(IF(J196=1,H196+1,H196),5)</f>
        <v>3</v>
      </c>
      <c r="I197">
        <f t="shared" si="111"/>
        <v>240</v>
      </c>
      <c r="J197">
        <f t="shared" si="126"/>
        <v>0</v>
      </c>
      <c r="K197">
        <f t="shared" ref="K197:K260" si="133">MIN(IF(M196=1,K196+1,K196),4)</f>
        <v>3</v>
      </c>
      <c r="L197">
        <f t="shared" si="112"/>
        <v>360</v>
      </c>
      <c r="M197">
        <f t="shared" si="127"/>
        <v>15</v>
      </c>
      <c r="N197">
        <f t="shared" ref="N197:N260" si="134">MIN(IF(P196=1,N196+1,N196),2)</f>
        <v>2</v>
      </c>
      <c r="O197">
        <f t="shared" si="113"/>
        <v>300</v>
      </c>
      <c r="P197">
        <f t="shared" ref="P197:P260" si="135">IF($A197=O197,1,IF(AND(P196&gt;0,P196&lt;15),P196+1,0))</f>
        <v>0</v>
      </c>
      <c r="Q197">
        <f t="shared" ref="Q197:Q260" si="136">MIN(IF(S196=1,Q196+1,Q196),2)</f>
        <v>2</v>
      </c>
      <c r="R197">
        <f t="shared" si="114"/>
        <v>300</v>
      </c>
      <c r="S197">
        <f t="shared" ref="S197:S260" si="137">IF($A197=R197,1,IF(AND(S196&gt;0,S196&lt;1),S196+1,0))</f>
        <v>0</v>
      </c>
      <c r="T197">
        <f t="shared" ref="T197:T260" si="138">IF($AU$3, IF(AND(T196&gt;IF($AV$5,C197,IF($AV$8,F197,IF($AV$14,I197,IF($AV$32,L197))))-$AT$3,T196&lt;IF($AV$5,C197,IF($AV$8,F197,IF($AV$14,I197,IF($AV$32,L197))))+$AU$3), IF($AV$5,C197,IF($AV$8,F197,IF($AV$14,I197,IF($AV$32,L197))))+$AU$3, T196)+IF(T196-A196=0, IF($AW$5,60,IF($AW$8,90,IF($AW$14,120,IF($AW$32,180))))), -1)</f>
        <v>-1</v>
      </c>
      <c r="U197">
        <f t="shared" si="128"/>
        <v>0</v>
      </c>
      <c r="V197">
        <f t="shared" si="129"/>
        <v>1</v>
      </c>
      <c r="W197">
        <f t="shared" si="115"/>
        <v>0</v>
      </c>
      <c r="X197">
        <f t="shared" ref="X197:X260" si="139">IF($A197=W197,1,IF(AND(X196&gt;0,X196&lt;40),X196+1,0))</f>
        <v>0</v>
      </c>
      <c r="Y197">
        <f t="shared" si="116"/>
        <v>0</v>
      </c>
      <c r="Z197">
        <f t="shared" si="117"/>
        <v>0</v>
      </c>
      <c r="AA197">
        <f t="shared" si="118"/>
        <v>0</v>
      </c>
      <c r="AB197" s="29">
        <f t="shared" si="119"/>
        <v>0.74178816089935007</v>
      </c>
      <c r="AC197" s="25">
        <f t="shared" si="120"/>
        <v>127.49804426656831</v>
      </c>
      <c r="AD197" s="29">
        <f t="shared" si="121"/>
        <v>1.0808524183153847</v>
      </c>
      <c r="AE197" s="25">
        <f t="shared" si="130"/>
        <v>13.243681724743192</v>
      </c>
      <c r="AF197" s="25">
        <f t="shared" si="122"/>
        <v>13.243681724743192</v>
      </c>
      <c r="AG197" s="25">
        <f>IF($A197&lt;0,0,IF(instatk="bs",(1.5+talSCallInstBon)*(MHavg+(ap+Z197-$Z$1)/APtoDPS*MHnorm+170)*(1+sa*0.1+0.04*opp+0.02*agg+Slayer4value-1),IF(instatk="hemo",Slayer4value*(MHavg+(ap+Z197-$Z$1)/APtoDPS*MHnorm)*(1.1+talSCallInstBon)+420*(1+raidcrit)*debuffon,IF(instatk="ss",(MHavg+(ap+Z197-$Z$1)/APtoDPS*MHnorm+98)*(1+sa*0.1+0.02*agg+Slayer4value-1),IF(instatk="v",(ohavg+(ap+Z197-$Z$1)/APtoDPS*OHnorm)*(1+sa*0.1)*(0.5+0.05*dws)+avipdam,Slayer4value*((1+0.04*opp)*(MHavg+101+(ap+Z197-$Z$1)/APtoDPS*MHnorm+(0.5+0.05*dws)*(ohavg+(ap+Z197-$Z$1)/APtoDPS*OHnorm)+101*(1+0.1*dws))*(1+0.5*IF(Talents!$O$18="Yes",1,0)))))))*(instactualhit+(1+((leth*0.06+2)-1)*(cfact-1))*instactualcrit)*fwfactor*AB197*instsec*(AF197/$AN$45))</f>
        <v>290.78918279358999</v>
      </c>
      <c r="AH197" s="25">
        <f t="shared" ref="AH197:AH260" si="140">IF(AH196-$AF197&lt;0,0,AH196-$AF197)</f>
        <v>0</v>
      </c>
      <c r="AI197" s="25">
        <f t="shared" ref="AI197:AI260" si="141">IF(AI196-AF197&lt;0,0,AI196-AF197)</f>
        <v>0</v>
      </c>
      <c r="AJ197" s="25">
        <f t="shared" ref="AJ197:AJ260" si="142">IF(AJ196-$AF197&lt;0,0,AJ196-$AF197)</f>
        <v>0</v>
      </c>
    </row>
    <row r="198" spans="1:36">
      <c r="A198">
        <f t="shared" si="123"/>
        <v>195</v>
      </c>
      <c r="B198">
        <f t="shared" si="131"/>
        <v>5</v>
      </c>
      <c r="C198">
        <f t="shared" si="109"/>
        <v>240</v>
      </c>
      <c r="D198">
        <f t="shared" si="124"/>
        <v>16</v>
      </c>
      <c r="E198">
        <f t="shared" ref="E198:E261" si="143">MIN(IF(G197=1,E197+1,E197),6)</f>
        <v>4</v>
      </c>
      <c r="F198">
        <f t="shared" si="110"/>
        <v>270</v>
      </c>
      <c r="G198">
        <f t="shared" si="125"/>
        <v>16</v>
      </c>
      <c r="H198">
        <f t="shared" si="132"/>
        <v>3</v>
      </c>
      <c r="I198">
        <f t="shared" si="111"/>
        <v>240</v>
      </c>
      <c r="J198">
        <f t="shared" si="126"/>
        <v>0</v>
      </c>
      <c r="K198">
        <f t="shared" si="133"/>
        <v>3</v>
      </c>
      <c r="L198">
        <f t="shared" si="112"/>
        <v>360</v>
      </c>
      <c r="M198">
        <f t="shared" si="127"/>
        <v>16</v>
      </c>
      <c r="N198">
        <f t="shared" si="134"/>
        <v>2</v>
      </c>
      <c r="O198">
        <f t="shared" si="113"/>
        <v>300</v>
      </c>
      <c r="P198">
        <f t="shared" si="135"/>
        <v>0</v>
      </c>
      <c r="Q198">
        <f t="shared" si="136"/>
        <v>2</v>
      </c>
      <c r="R198">
        <f t="shared" si="114"/>
        <v>300</v>
      </c>
      <c r="S198">
        <f t="shared" si="137"/>
        <v>0</v>
      </c>
      <c r="T198">
        <f t="shared" si="138"/>
        <v>-1</v>
      </c>
      <c r="U198">
        <f t="shared" si="128"/>
        <v>0</v>
      </c>
      <c r="V198">
        <f t="shared" si="129"/>
        <v>1</v>
      </c>
      <c r="W198">
        <f t="shared" si="115"/>
        <v>0</v>
      </c>
      <c r="X198">
        <f t="shared" si="139"/>
        <v>0</v>
      </c>
      <c r="Y198">
        <f t="shared" si="116"/>
        <v>0</v>
      </c>
      <c r="Z198">
        <f t="shared" si="117"/>
        <v>0</v>
      </c>
      <c r="AA198">
        <f t="shared" si="118"/>
        <v>0</v>
      </c>
      <c r="AB198" s="29">
        <f t="shared" si="119"/>
        <v>0.74178816089935007</v>
      </c>
      <c r="AC198" s="25">
        <f t="shared" si="120"/>
        <v>127.49804426656831</v>
      </c>
      <c r="AD198" s="29">
        <f t="shared" si="121"/>
        <v>1.0808524183153847</v>
      </c>
      <c r="AE198" s="25">
        <f t="shared" si="130"/>
        <v>13.243681724743192</v>
      </c>
      <c r="AF198" s="25">
        <f t="shared" si="122"/>
        <v>13.243681724743192</v>
      </c>
      <c r="AG198" s="25">
        <f>IF($A198&lt;0,0,IF(instatk="bs",(1.5+talSCallInstBon)*(MHavg+(ap+Z198-$Z$1)/APtoDPS*MHnorm+170)*(1+sa*0.1+0.04*opp+0.02*agg+Slayer4value-1),IF(instatk="hemo",Slayer4value*(MHavg+(ap+Z198-$Z$1)/APtoDPS*MHnorm)*(1.1+talSCallInstBon)+420*(1+raidcrit)*debuffon,IF(instatk="ss",(MHavg+(ap+Z198-$Z$1)/APtoDPS*MHnorm+98)*(1+sa*0.1+0.02*agg+Slayer4value-1),IF(instatk="v",(ohavg+(ap+Z198-$Z$1)/APtoDPS*OHnorm)*(1+sa*0.1)*(0.5+0.05*dws)+avipdam,Slayer4value*((1+0.04*opp)*(MHavg+101+(ap+Z198-$Z$1)/APtoDPS*MHnorm+(0.5+0.05*dws)*(ohavg+(ap+Z198-$Z$1)/APtoDPS*OHnorm)+101*(1+0.1*dws))*(1+0.5*IF(Talents!$O$18="Yes",1,0)))))))*(instactualhit+(1+((leth*0.06+2)-1)*(cfact-1))*instactualcrit)*fwfactor*AB198*instsec*(AF198/$AN$45))</f>
        <v>290.78918279358999</v>
      </c>
      <c r="AH198" s="25">
        <f t="shared" si="140"/>
        <v>0</v>
      </c>
      <c r="AI198" s="25">
        <f t="shared" si="141"/>
        <v>0</v>
      </c>
      <c r="AJ198" s="25">
        <f t="shared" si="142"/>
        <v>0</v>
      </c>
    </row>
    <row r="199" spans="1:36">
      <c r="A199">
        <f t="shared" si="123"/>
        <v>196</v>
      </c>
      <c r="B199">
        <f t="shared" si="131"/>
        <v>5</v>
      </c>
      <c r="C199">
        <f t="shared" si="109"/>
        <v>240</v>
      </c>
      <c r="D199">
        <f t="shared" si="124"/>
        <v>17</v>
      </c>
      <c r="E199">
        <f t="shared" si="143"/>
        <v>4</v>
      </c>
      <c r="F199">
        <f t="shared" si="110"/>
        <v>270</v>
      </c>
      <c r="G199">
        <f t="shared" si="125"/>
        <v>17</v>
      </c>
      <c r="H199">
        <f t="shared" si="132"/>
        <v>3</v>
      </c>
      <c r="I199">
        <f t="shared" si="111"/>
        <v>240</v>
      </c>
      <c r="J199">
        <f t="shared" si="126"/>
        <v>0</v>
      </c>
      <c r="K199">
        <f t="shared" si="133"/>
        <v>3</v>
      </c>
      <c r="L199">
        <f t="shared" si="112"/>
        <v>360</v>
      </c>
      <c r="M199">
        <f t="shared" si="127"/>
        <v>17</v>
      </c>
      <c r="N199">
        <f t="shared" si="134"/>
        <v>2</v>
      </c>
      <c r="O199">
        <f t="shared" si="113"/>
        <v>300</v>
      </c>
      <c r="P199">
        <f t="shared" si="135"/>
        <v>0</v>
      </c>
      <c r="Q199">
        <f t="shared" si="136"/>
        <v>2</v>
      </c>
      <c r="R199">
        <f t="shared" si="114"/>
        <v>300</v>
      </c>
      <c r="S199">
        <f t="shared" si="137"/>
        <v>0</v>
      </c>
      <c r="T199">
        <f t="shared" si="138"/>
        <v>-1</v>
      </c>
      <c r="U199">
        <f t="shared" si="128"/>
        <v>0</v>
      </c>
      <c r="V199">
        <f t="shared" si="129"/>
        <v>1</v>
      </c>
      <c r="W199">
        <f t="shared" si="115"/>
        <v>0</v>
      </c>
      <c r="X199">
        <f t="shared" si="139"/>
        <v>0</v>
      </c>
      <c r="Y199">
        <f t="shared" si="116"/>
        <v>0</v>
      </c>
      <c r="Z199">
        <f t="shared" si="117"/>
        <v>0</v>
      </c>
      <c r="AA199">
        <f t="shared" si="118"/>
        <v>0</v>
      </c>
      <c r="AB199" s="29">
        <f t="shared" si="119"/>
        <v>0.74178816089935007</v>
      </c>
      <c r="AC199" s="25">
        <f t="shared" si="120"/>
        <v>127.49804426656831</v>
      </c>
      <c r="AD199" s="29">
        <f t="shared" si="121"/>
        <v>1.0808524183153847</v>
      </c>
      <c r="AE199" s="25">
        <f t="shared" si="130"/>
        <v>13.243681724743192</v>
      </c>
      <c r="AF199" s="25">
        <f t="shared" si="122"/>
        <v>13.243681724743192</v>
      </c>
      <c r="AG199" s="25">
        <f>IF($A199&lt;0,0,IF(instatk="bs",(1.5+talSCallInstBon)*(MHavg+(ap+Z199-$Z$1)/APtoDPS*MHnorm+170)*(1+sa*0.1+0.04*opp+0.02*agg+Slayer4value-1),IF(instatk="hemo",Slayer4value*(MHavg+(ap+Z199-$Z$1)/APtoDPS*MHnorm)*(1.1+talSCallInstBon)+420*(1+raidcrit)*debuffon,IF(instatk="ss",(MHavg+(ap+Z199-$Z$1)/APtoDPS*MHnorm+98)*(1+sa*0.1+0.02*agg+Slayer4value-1),IF(instatk="v",(ohavg+(ap+Z199-$Z$1)/APtoDPS*OHnorm)*(1+sa*0.1)*(0.5+0.05*dws)+avipdam,Slayer4value*((1+0.04*opp)*(MHavg+101+(ap+Z199-$Z$1)/APtoDPS*MHnorm+(0.5+0.05*dws)*(ohavg+(ap+Z199-$Z$1)/APtoDPS*OHnorm)+101*(1+0.1*dws))*(1+0.5*IF(Talents!$O$18="Yes",1,0)))))))*(instactualhit+(1+((leth*0.06+2)-1)*(cfact-1))*instactualcrit)*fwfactor*AB199*instsec*(AF199/$AN$45))</f>
        <v>290.78918279358999</v>
      </c>
      <c r="AH199" s="25">
        <f t="shared" si="140"/>
        <v>0</v>
      </c>
      <c r="AI199" s="25">
        <f t="shared" si="141"/>
        <v>0</v>
      </c>
      <c r="AJ199" s="25">
        <f t="shared" si="142"/>
        <v>0</v>
      </c>
    </row>
    <row r="200" spans="1:36">
      <c r="A200">
        <f t="shared" si="123"/>
        <v>197</v>
      </c>
      <c r="B200">
        <f t="shared" si="131"/>
        <v>5</v>
      </c>
      <c r="C200">
        <f t="shared" si="109"/>
        <v>240</v>
      </c>
      <c r="D200">
        <f t="shared" si="124"/>
        <v>18</v>
      </c>
      <c r="E200">
        <f t="shared" si="143"/>
        <v>4</v>
      </c>
      <c r="F200">
        <f t="shared" si="110"/>
        <v>270</v>
      </c>
      <c r="G200">
        <f t="shared" si="125"/>
        <v>18</v>
      </c>
      <c r="H200">
        <f t="shared" si="132"/>
        <v>3</v>
      </c>
      <c r="I200">
        <f t="shared" si="111"/>
        <v>240</v>
      </c>
      <c r="J200">
        <f t="shared" si="126"/>
        <v>0</v>
      </c>
      <c r="K200">
        <f t="shared" si="133"/>
        <v>3</v>
      </c>
      <c r="L200">
        <f t="shared" si="112"/>
        <v>360</v>
      </c>
      <c r="M200">
        <f t="shared" si="127"/>
        <v>18</v>
      </c>
      <c r="N200">
        <f t="shared" si="134"/>
        <v>2</v>
      </c>
      <c r="O200">
        <f t="shared" si="113"/>
        <v>300</v>
      </c>
      <c r="P200">
        <f t="shared" si="135"/>
        <v>0</v>
      </c>
      <c r="Q200">
        <f t="shared" si="136"/>
        <v>2</v>
      </c>
      <c r="R200">
        <f t="shared" si="114"/>
        <v>300</v>
      </c>
      <c r="S200">
        <f t="shared" si="137"/>
        <v>0</v>
      </c>
      <c r="T200">
        <f t="shared" si="138"/>
        <v>-1</v>
      </c>
      <c r="U200">
        <f t="shared" si="128"/>
        <v>0</v>
      </c>
      <c r="V200">
        <f t="shared" si="129"/>
        <v>1</v>
      </c>
      <c r="W200">
        <f t="shared" si="115"/>
        <v>0</v>
      </c>
      <c r="X200">
        <f t="shared" si="139"/>
        <v>0</v>
      </c>
      <c r="Y200">
        <f t="shared" si="116"/>
        <v>0</v>
      </c>
      <c r="Z200">
        <f t="shared" si="117"/>
        <v>0</v>
      </c>
      <c r="AA200">
        <f t="shared" si="118"/>
        <v>0</v>
      </c>
      <c r="AB200" s="29">
        <f t="shared" si="119"/>
        <v>0.74178816089935007</v>
      </c>
      <c r="AC200" s="25">
        <f t="shared" si="120"/>
        <v>127.49804426656831</v>
      </c>
      <c r="AD200" s="29">
        <f t="shared" si="121"/>
        <v>1.0808524183153847</v>
      </c>
      <c r="AE200" s="25">
        <f t="shared" si="130"/>
        <v>13.243681724743192</v>
      </c>
      <c r="AF200" s="25">
        <f t="shared" si="122"/>
        <v>13.243681724743192</v>
      </c>
      <c r="AG200" s="25">
        <f>IF($A200&lt;0,0,IF(instatk="bs",(1.5+talSCallInstBon)*(MHavg+(ap+Z200-$Z$1)/APtoDPS*MHnorm+170)*(1+sa*0.1+0.04*opp+0.02*agg+Slayer4value-1),IF(instatk="hemo",Slayer4value*(MHavg+(ap+Z200-$Z$1)/APtoDPS*MHnorm)*(1.1+talSCallInstBon)+420*(1+raidcrit)*debuffon,IF(instatk="ss",(MHavg+(ap+Z200-$Z$1)/APtoDPS*MHnorm+98)*(1+sa*0.1+0.02*agg+Slayer4value-1),IF(instatk="v",(ohavg+(ap+Z200-$Z$1)/APtoDPS*OHnorm)*(1+sa*0.1)*(0.5+0.05*dws)+avipdam,Slayer4value*((1+0.04*opp)*(MHavg+101+(ap+Z200-$Z$1)/APtoDPS*MHnorm+(0.5+0.05*dws)*(ohavg+(ap+Z200-$Z$1)/APtoDPS*OHnorm)+101*(1+0.1*dws))*(1+0.5*IF(Talents!$O$18="Yes",1,0)))))))*(instactualhit+(1+((leth*0.06+2)-1)*(cfact-1))*instactualcrit)*fwfactor*AB200*instsec*(AF200/$AN$45))</f>
        <v>290.78918279358999</v>
      </c>
      <c r="AH200" s="25">
        <f t="shared" si="140"/>
        <v>0</v>
      </c>
      <c r="AI200" s="25">
        <f t="shared" si="141"/>
        <v>0</v>
      </c>
      <c r="AJ200" s="25">
        <f t="shared" si="142"/>
        <v>0</v>
      </c>
    </row>
    <row r="201" spans="1:36">
      <c r="A201">
        <f t="shared" si="123"/>
        <v>198</v>
      </c>
      <c r="B201">
        <f t="shared" si="131"/>
        <v>5</v>
      </c>
      <c r="C201">
        <f t="shared" si="109"/>
        <v>240</v>
      </c>
      <c r="D201">
        <f t="shared" si="124"/>
        <v>19</v>
      </c>
      <c r="E201">
        <f t="shared" si="143"/>
        <v>4</v>
      </c>
      <c r="F201">
        <f t="shared" si="110"/>
        <v>270</v>
      </c>
      <c r="G201">
        <f t="shared" si="125"/>
        <v>19</v>
      </c>
      <c r="H201">
        <f t="shared" si="132"/>
        <v>3</v>
      </c>
      <c r="I201">
        <f t="shared" si="111"/>
        <v>240</v>
      </c>
      <c r="J201">
        <f t="shared" si="126"/>
        <v>0</v>
      </c>
      <c r="K201">
        <f t="shared" si="133"/>
        <v>3</v>
      </c>
      <c r="L201">
        <f t="shared" si="112"/>
        <v>360</v>
      </c>
      <c r="M201">
        <f t="shared" si="127"/>
        <v>19</v>
      </c>
      <c r="N201">
        <f t="shared" si="134"/>
        <v>2</v>
      </c>
      <c r="O201">
        <f t="shared" si="113"/>
        <v>300</v>
      </c>
      <c r="P201">
        <f t="shared" si="135"/>
        <v>0</v>
      </c>
      <c r="Q201">
        <f t="shared" si="136"/>
        <v>2</v>
      </c>
      <c r="R201">
        <f t="shared" si="114"/>
        <v>300</v>
      </c>
      <c r="S201">
        <f t="shared" si="137"/>
        <v>0</v>
      </c>
      <c r="T201">
        <f t="shared" si="138"/>
        <v>-1</v>
      </c>
      <c r="U201">
        <f t="shared" si="128"/>
        <v>0</v>
      </c>
      <c r="V201">
        <f t="shared" si="129"/>
        <v>1</v>
      </c>
      <c r="W201">
        <f t="shared" si="115"/>
        <v>0</v>
      </c>
      <c r="X201">
        <f t="shared" si="139"/>
        <v>0</v>
      </c>
      <c r="Y201">
        <f t="shared" si="116"/>
        <v>0</v>
      </c>
      <c r="Z201">
        <f t="shared" si="117"/>
        <v>0</v>
      </c>
      <c r="AA201">
        <f t="shared" si="118"/>
        <v>0</v>
      </c>
      <c r="AB201" s="29">
        <f t="shared" si="119"/>
        <v>0.74178816089935007</v>
      </c>
      <c r="AC201" s="25">
        <f t="shared" si="120"/>
        <v>127.49804426656831</v>
      </c>
      <c r="AD201" s="29">
        <f t="shared" si="121"/>
        <v>1.0808524183153847</v>
      </c>
      <c r="AE201" s="25">
        <f t="shared" si="130"/>
        <v>13.243681724743192</v>
      </c>
      <c r="AF201" s="25">
        <f t="shared" si="122"/>
        <v>13.243681724743192</v>
      </c>
      <c r="AG201" s="25">
        <f>IF($A201&lt;0,0,IF(instatk="bs",(1.5+talSCallInstBon)*(MHavg+(ap+Z201-$Z$1)/APtoDPS*MHnorm+170)*(1+sa*0.1+0.04*opp+0.02*agg+Slayer4value-1),IF(instatk="hemo",Slayer4value*(MHavg+(ap+Z201-$Z$1)/APtoDPS*MHnorm)*(1.1+talSCallInstBon)+420*(1+raidcrit)*debuffon,IF(instatk="ss",(MHavg+(ap+Z201-$Z$1)/APtoDPS*MHnorm+98)*(1+sa*0.1+0.02*agg+Slayer4value-1),IF(instatk="v",(ohavg+(ap+Z201-$Z$1)/APtoDPS*OHnorm)*(1+sa*0.1)*(0.5+0.05*dws)+avipdam,Slayer4value*((1+0.04*opp)*(MHavg+101+(ap+Z201-$Z$1)/APtoDPS*MHnorm+(0.5+0.05*dws)*(ohavg+(ap+Z201-$Z$1)/APtoDPS*OHnorm)+101*(1+0.1*dws))*(1+0.5*IF(Talents!$O$18="Yes",1,0)))))))*(instactualhit+(1+((leth*0.06+2)-1)*(cfact-1))*instactualcrit)*fwfactor*AB201*instsec*(AF201/$AN$45))</f>
        <v>290.78918279358999</v>
      </c>
      <c r="AH201" s="25">
        <f t="shared" si="140"/>
        <v>0</v>
      </c>
      <c r="AI201" s="25">
        <f t="shared" si="141"/>
        <v>0</v>
      </c>
      <c r="AJ201" s="25">
        <f t="shared" si="142"/>
        <v>0</v>
      </c>
    </row>
    <row r="202" spans="1:36">
      <c r="A202">
        <f t="shared" si="123"/>
        <v>199</v>
      </c>
      <c r="B202">
        <f t="shared" si="131"/>
        <v>5</v>
      </c>
      <c r="C202">
        <f t="shared" si="109"/>
        <v>240</v>
      </c>
      <c r="D202">
        <f t="shared" si="124"/>
        <v>20</v>
      </c>
      <c r="E202">
        <f t="shared" si="143"/>
        <v>4</v>
      </c>
      <c r="F202">
        <f t="shared" si="110"/>
        <v>270</v>
      </c>
      <c r="G202">
        <f t="shared" si="125"/>
        <v>20</v>
      </c>
      <c r="H202">
        <f t="shared" si="132"/>
        <v>3</v>
      </c>
      <c r="I202">
        <f t="shared" si="111"/>
        <v>240</v>
      </c>
      <c r="J202">
        <f t="shared" si="126"/>
        <v>0</v>
      </c>
      <c r="K202">
        <f t="shared" si="133"/>
        <v>3</v>
      </c>
      <c r="L202">
        <f t="shared" si="112"/>
        <v>360</v>
      </c>
      <c r="M202">
        <f t="shared" si="127"/>
        <v>20</v>
      </c>
      <c r="N202">
        <f t="shared" si="134"/>
        <v>2</v>
      </c>
      <c r="O202">
        <f t="shared" si="113"/>
        <v>300</v>
      </c>
      <c r="P202">
        <f t="shared" si="135"/>
        <v>0</v>
      </c>
      <c r="Q202">
        <f t="shared" si="136"/>
        <v>2</v>
      </c>
      <c r="R202">
        <f t="shared" si="114"/>
        <v>300</v>
      </c>
      <c r="S202">
        <f t="shared" si="137"/>
        <v>0</v>
      </c>
      <c r="T202">
        <f t="shared" si="138"/>
        <v>-1</v>
      </c>
      <c r="U202">
        <f t="shared" si="128"/>
        <v>0</v>
      </c>
      <c r="V202">
        <f t="shared" si="129"/>
        <v>1</v>
      </c>
      <c r="W202">
        <f t="shared" si="115"/>
        <v>0</v>
      </c>
      <c r="X202">
        <f t="shared" si="139"/>
        <v>0</v>
      </c>
      <c r="Y202">
        <f t="shared" si="116"/>
        <v>0</v>
      </c>
      <c r="Z202">
        <f t="shared" si="117"/>
        <v>0</v>
      </c>
      <c r="AA202">
        <f t="shared" si="118"/>
        <v>0</v>
      </c>
      <c r="AB202" s="29">
        <f t="shared" si="119"/>
        <v>0.74178816089935007</v>
      </c>
      <c r="AC202" s="25">
        <f t="shared" si="120"/>
        <v>127.49804426656831</v>
      </c>
      <c r="AD202" s="29">
        <f t="shared" si="121"/>
        <v>1.0808524183153847</v>
      </c>
      <c r="AE202" s="25">
        <f t="shared" si="130"/>
        <v>13.243681724743192</v>
      </c>
      <c r="AF202" s="25">
        <f t="shared" si="122"/>
        <v>13.243681724743192</v>
      </c>
      <c r="AG202" s="25">
        <f>IF($A202&lt;0,0,IF(instatk="bs",(1.5+talSCallInstBon)*(MHavg+(ap+Z202-$Z$1)/APtoDPS*MHnorm+170)*(1+sa*0.1+0.04*opp+0.02*agg+Slayer4value-1),IF(instatk="hemo",Slayer4value*(MHavg+(ap+Z202-$Z$1)/APtoDPS*MHnorm)*(1.1+talSCallInstBon)+420*(1+raidcrit)*debuffon,IF(instatk="ss",(MHavg+(ap+Z202-$Z$1)/APtoDPS*MHnorm+98)*(1+sa*0.1+0.02*agg+Slayer4value-1),IF(instatk="v",(ohavg+(ap+Z202-$Z$1)/APtoDPS*OHnorm)*(1+sa*0.1)*(0.5+0.05*dws)+avipdam,Slayer4value*((1+0.04*opp)*(MHavg+101+(ap+Z202-$Z$1)/APtoDPS*MHnorm+(0.5+0.05*dws)*(ohavg+(ap+Z202-$Z$1)/APtoDPS*OHnorm)+101*(1+0.1*dws))*(1+0.5*IF(Talents!$O$18="Yes",1,0)))))))*(instactualhit+(1+((leth*0.06+2)-1)*(cfact-1))*instactualcrit)*fwfactor*AB202*instsec*(AF202/$AN$45))</f>
        <v>290.78918279358999</v>
      </c>
      <c r="AH202" s="25">
        <f t="shared" si="140"/>
        <v>0</v>
      </c>
      <c r="AI202" s="25">
        <f t="shared" si="141"/>
        <v>0</v>
      </c>
      <c r="AJ202" s="25">
        <f t="shared" si="142"/>
        <v>0</v>
      </c>
    </row>
    <row r="203" spans="1:36">
      <c r="A203">
        <f t="shared" si="123"/>
        <v>200</v>
      </c>
      <c r="B203">
        <f t="shared" si="131"/>
        <v>5</v>
      </c>
      <c r="C203">
        <f t="shared" si="109"/>
        <v>240</v>
      </c>
      <c r="D203">
        <f t="shared" si="124"/>
        <v>21</v>
      </c>
      <c r="E203">
        <f t="shared" si="143"/>
        <v>4</v>
      </c>
      <c r="F203">
        <f t="shared" si="110"/>
        <v>270</v>
      </c>
      <c r="G203">
        <f t="shared" si="125"/>
        <v>21</v>
      </c>
      <c r="H203">
        <f t="shared" si="132"/>
        <v>3</v>
      </c>
      <c r="I203">
        <f t="shared" si="111"/>
        <v>240</v>
      </c>
      <c r="J203">
        <f t="shared" si="126"/>
        <v>0</v>
      </c>
      <c r="K203">
        <f t="shared" si="133"/>
        <v>3</v>
      </c>
      <c r="L203">
        <f t="shared" si="112"/>
        <v>360</v>
      </c>
      <c r="M203">
        <f t="shared" si="127"/>
        <v>21</v>
      </c>
      <c r="N203">
        <f t="shared" si="134"/>
        <v>2</v>
      </c>
      <c r="O203">
        <f t="shared" si="113"/>
        <v>300</v>
      </c>
      <c r="P203">
        <f t="shared" si="135"/>
        <v>0</v>
      </c>
      <c r="Q203">
        <f t="shared" si="136"/>
        <v>2</v>
      </c>
      <c r="R203">
        <f t="shared" si="114"/>
        <v>300</v>
      </c>
      <c r="S203">
        <f t="shared" si="137"/>
        <v>0</v>
      </c>
      <c r="T203">
        <f t="shared" si="138"/>
        <v>-1</v>
      </c>
      <c r="U203">
        <f t="shared" si="128"/>
        <v>0</v>
      </c>
      <c r="V203">
        <f t="shared" si="129"/>
        <v>1</v>
      </c>
      <c r="W203">
        <f t="shared" si="115"/>
        <v>0</v>
      </c>
      <c r="X203">
        <f t="shared" si="139"/>
        <v>0</v>
      </c>
      <c r="Y203">
        <f t="shared" si="116"/>
        <v>0</v>
      </c>
      <c r="Z203">
        <f t="shared" si="117"/>
        <v>0</v>
      </c>
      <c r="AA203">
        <f t="shared" si="118"/>
        <v>0</v>
      </c>
      <c r="AB203" s="29">
        <f t="shared" si="119"/>
        <v>0.74178816089935007</v>
      </c>
      <c r="AC203" s="25">
        <f t="shared" si="120"/>
        <v>127.49804426656831</v>
      </c>
      <c r="AD203" s="29">
        <f t="shared" si="121"/>
        <v>1.0808524183153847</v>
      </c>
      <c r="AE203" s="25">
        <f t="shared" si="130"/>
        <v>13.243681724743192</v>
      </c>
      <c r="AF203" s="25">
        <f t="shared" si="122"/>
        <v>13.243681724743192</v>
      </c>
      <c r="AG203" s="25">
        <f>IF($A203&lt;0,0,IF(instatk="bs",(1.5+talSCallInstBon)*(MHavg+(ap+Z203-$Z$1)/APtoDPS*MHnorm+170)*(1+sa*0.1+0.04*opp+0.02*agg+Slayer4value-1),IF(instatk="hemo",Slayer4value*(MHavg+(ap+Z203-$Z$1)/APtoDPS*MHnorm)*(1.1+talSCallInstBon)+420*(1+raidcrit)*debuffon,IF(instatk="ss",(MHavg+(ap+Z203-$Z$1)/APtoDPS*MHnorm+98)*(1+sa*0.1+0.02*agg+Slayer4value-1),IF(instatk="v",(ohavg+(ap+Z203-$Z$1)/APtoDPS*OHnorm)*(1+sa*0.1)*(0.5+0.05*dws)+avipdam,Slayer4value*((1+0.04*opp)*(MHavg+101+(ap+Z203-$Z$1)/APtoDPS*MHnorm+(0.5+0.05*dws)*(ohavg+(ap+Z203-$Z$1)/APtoDPS*OHnorm)+101*(1+0.1*dws))*(1+0.5*IF(Talents!$O$18="Yes",1,0)))))))*(instactualhit+(1+((leth*0.06+2)-1)*(cfact-1))*instactualcrit)*fwfactor*AB203*instsec*(AF203/$AN$45))</f>
        <v>290.78918279358999</v>
      </c>
      <c r="AH203" s="25">
        <f t="shared" si="140"/>
        <v>0</v>
      </c>
      <c r="AI203" s="25">
        <f t="shared" si="141"/>
        <v>0</v>
      </c>
      <c r="AJ203" s="25">
        <f t="shared" si="142"/>
        <v>0</v>
      </c>
    </row>
    <row r="204" spans="1:36">
      <c r="A204">
        <f t="shared" si="123"/>
        <v>201</v>
      </c>
      <c r="B204">
        <f t="shared" si="131"/>
        <v>5</v>
      </c>
      <c r="C204">
        <f t="shared" si="109"/>
        <v>240</v>
      </c>
      <c r="D204">
        <f t="shared" si="124"/>
        <v>22</v>
      </c>
      <c r="E204">
        <f t="shared" si="143"/>
        <v>4</v>
      </c>
      <c r="F204">
        <f t="shared" si="110"/>
        <v>270</v>
      </c>
      <c r="G204">
        <f t="shared" si="125"/>
        <v>22</v>
      </c>
      <c r="H204">
        <f t="shared" si="132"/>
        <v>3</v>
      </c>
      <c r="I204">
        <f t="shared" si="111"/>
        <v>240</v>
      </c>
      <c r="J204">
        <f t="shared" si="126"/>
        <v>0</v>
      </c>
      <c r="K204">
        <f t="shared" si="133"/>
        <v>3</v>
      </c>
      <c r="L204">
        <f t="shared" si="112"/>
        <v>360</v>
      </c>
      <c r="M204">
        <f t="shared" si="127"/>
        <v>22</v>
      </c>
      <c r="N204">
        <f t="shared" si="134"/>
        <v>2</v>
      </c>
      <c r="O204">
        <f t="shared" si="113"/>
        <v>300</v>
      </c>
      <c r="P204">
        <f t="shared" si="135"/>
        <v>0</v>
      </c>
      <c r="Q204">
        <f t="shared" si="136"/>
        <v>2</v>
      </c>
      <c r="R204">
        <f t="shared" si="114"/>
        <v>300</v>
      </c>
      <c r="S204">
        <f t="shared" si="137"/>
        <v>0</v>
      </c>
      <c r="T204">
        <f t="shared" si="138"/>
        <v>-1</v>
      </c>
      <c r="U204">
        <f t="shared" si="128"/>
        <v>0</v>
      </c>
      <c r="V204">
        <f t="shared" si="129"/>
        <v>1</v>
      </c>
      <c r="W204">
        <f t="shared" si="115"/>
        <v>0</v>
      </c>
      <c r="X204">
        <f t="shared" si="139"/>
        <v>0</v>
      </c>
      <c r="Y204">
        <f t="shared" si="116"/>
        <v>0</v>
      </c>
      <c r="Z204">
        <f t="shared" si="117"/>
        <v>0</v>
      </c>
      <c r="AA204">
        <f t="shared" si="118"/>
        <v>0</v>
      </c>
      <c r="AB204" s="29">
        <f t="shared" si="119"/>
        <v>0.74178816089935007</v>
      </c>
      <c r="AC204" s="25">
        <f t="shared" si="120"/>
        <v>127.49804426656831</v>
      </c>
      <c r="AD204" s="29">
        <f t="shared" si="121"/>
        <v>1.0808524183153847</v>
      </c>
      <c r="AE204" s="25">
        <f t="shared" si="130"/>
        <v>13.243681724743192</v>
      </c>
      <c r="AF204" s="25">
        <f t="shared" si="122"/>
        <v>13.243681724743192</v>
      </c>
      <c r="AG204" s="25">
        <f>IF($A204&lt;0,0,IF(instatk="bs",(1.5+talSCallInstBon)*(MHavg+(ap+Z204-$Z$1)/APtoDPS*MHnorm+170)*(1+sa*0.1+0.04*opp+0.02*agg+Slayer4value-1),IF(instatk="hemo",Slayer4value*(MHavg+(ap+Z204-$Z$1)/APtoDPS*MHnorm)*(1.1+talSCallInstBon)+420*(1+raidcrit)*debuffon,IF(instatk="ss",(MHavg+(ap+Z204-$Z$1)/APtoDPS*MHnorm+98)*(1+sa*0.1+0.02*agg+Slayer4value-1),IF(instatk="v",(ohavg+(ap+Z204-$Z$1)/APtoDPS*OHnorm)*(1+sa*0.1)*(0.5+0.05*dws)+avipdam,Slayer4value*((1+0.04*opp)*(MHavg+101+(ap+Z204-$Z$1)/APtoDPS*MHnorm+(0.5+0.05*dws)*(ohavg+(ap+Z204-$Z$1)/APtoDPS*OHnorm)+101*(1+0.1*dws))*(1+0.5*IF(Talents!$O$18="Yes",1,0)))))))*(instactualhit+(1+((leth*0.06+2)-1)*(cfact-1))*instactualcrit)*fwfactor*AB204*instsec*(AF204/$AN$45))</f>
        <v>290.78918279358999</v>
      </c>
      <c r="AH204" s="25">
        <f t="shared" si="140"/>
        <v>0</v>
      </c>
      <c r="AI204" s="25">
        <f t="shared" si="141"/>
        <v>0</v>
      </c>
      <c r="AJ204" s="25">
        <f t="shared" si="142"/>
        <v>0</v>
      </c>
    </row>
    <row r="205" spans="1:36">
      <c r="A205">
        <f t="shared" si="123"/>
        <v>202</v>
      </c>
      <c r="B205">
        <f t="shared" si="131"/>
        <v>5</v>
      </c>
      <c r="C205">
        <f t="shared" si="109"/>
        <v>240</v>
      </c>
      <c r="D205">
        <f t="shared" si="124"/>
        <v>23</v>
      </c>
      <c r="E205">
        <f t="shared" si="143"/>
        <v>4</v>
      </c>
      <c r="F205">
        <f t="shared" si="110"/>
        <v>270</v>
      </c>
      <c r="G205">
        <f t="shared" si="125"/>
        <v>23</v>
      </c>
      <c r="H205">
        <f t="shared" si="132"/>
        <v>3</v>
      </c>
      <c r="I205">
        <f t="shared" si="111"/>
        <v>240</v>
      </c>
      <c r="J205">
        <f t="shared" si="126"/>
        <v>0</v>
      </c>
      <c r="K205">
        <f t="shared" si="133"/>
        <v>3</v>
      </c>
      <c r="L205">
        <f t="shared" si="112"/>
        <v>360</v>
      </c>
      <c r="M205">
        <f t="shared" si="127"/>
        <v>23</v>
      </c>
      <c r="N205">
        <f t="shared" si="134"/>
        <v>2</v>
      </c>
      <c r="O205">
        <f t="shared" si="113"/>
        <v>300</v>
      </c>
      <c r="P205">
        <f t="shared" si="135"/>
        <v>0</v>
      </c>
      <c r="Q205">
        <f t="shared" si="136"/>
        <v>2</v>
      </c>
      <c r="R205">
        <f t="shared" si="114"/>
        <v>300</v>
      </c>
      <c r="S205">
        <f t="shared" si="137"/>
        <v>0</v>
      </c>
      <c r="T205">
        <f t="shared" si="138"/>
        <v>-1</v>
      </c>
      <c r="U205">
        <f t="shared" si="128"/>
        <v>0</v>
      </c>
      <c r="V205">
        <f t="shared" si="129"/>
        <v>1</v>
      </c>
      <c r="W205">
        <f t="shared" si="115"/>
        <v>0</v>
      </c>
      <c r="X205">
        <f t="shared" si="139"/>
        <v>0</v>
      </c>
      <c r="Y205">
        <f t="shared" si="116"/>
        <v>0</v>
      </c>
      <c r="Z205">
        <f t="shared" si="117"/>
        <v>0</v>
      </c>
      <c r="AA205">
        <f t="shared" si="118"/>
        <v>0</v>
      </c>
      <c r="AB205" s="29">
        <f t="shared" si="119"/>
        <v>0.74178816089935007</v>
      </c>
      <c r="AC205" s="25">
        <f t="shared" si="120"/>
        <v>127.49804426656831</v>
      </c>
      <c r="AD205" s="29">
        <f t="shared" si="121"/>
        <v>1.0808524183153847</v>
      </c>
      <c r="AE205" s="25">
        <f t="shared" si="130"/>
        <v>13.243681724743192</v>
      </c>
      <c r="AF205" s="25">
        <f t="shared" si="122"/>
        <v>13.243681724743192</v>
      </c>
      <c r="AG205" s="25">
        <f>IF($A205&lt;0,0,IF(instatk="bs",(1.5+talSCallInstBon)*(MHavg+(ap+Z205-$Z$1)/APtoDPS*MHnorm+170)*(1+sa*0.1+0.04*opp+0.02*agg+Slayer4value-1),IF(instatk="hemo",Slayer4value*(MHavg+(ap+Z205-$Z$1)/APtoDPS*MHnorm)*(1.1+talSCallInstBon)+420*(1+raidcrit)*debuffon,IF(instatk="ss",(MHavg+(ap+Z205-$Z$1)/APtoDPS*MHnorm+98)*(1+sa*0.1+0.02*agg+Slayer4value-1),IF(instatk="v",(ohavg+(ap+Z205-$Z$1)/APtoDPS*OHnorm)*(1+sa*0.1)*(0.5+0.05*dws)+avipdam,Slayer4value*((1+0.04*opp)*(MHavg+101+(ap+Z205-$Z$1)/APtoDPS*MHnorm+(0.5+0.05*dws)*(ohavg+(ap+Z205-$Z$1)/APtoDPS*OHnorm)+101*(1+0.1*dws))*(1+0.5*IF(Talents!$O$18="Yes",1,0)))))))*(instactualhit+(1+((leth*0.06+2)-1)*(cfact-1))*instactualcrit)*fwfactor*AB205*instsec*(AF205/$AN$45))</f>
        <v>290.78918279358999</v>
      </c>
      <c r="AH205" s="25">
        <f t="shared" si="140"/>
        <v>0</v>
      </c>
      <c r="AI205" s="25">
        <f t="shared" si="141"/>
        <v>0</v>
      </c>
      <c r="AJ205" s="25">
        <f t="shared" si="142"/>
        <v>0</v>
      </c>
    </row>
    <row r="206" spans="1:36">
      <c r="A206">
        <f t="shared" si="123"/>
        <v>203</v>
      </c>
      <c r="B206">
        <f t="shared" si="131"/>
        <v>5</v>
      </c>
      <c r="C206">
        <f t="shared" si="109"/>
        <v>240</v>
      </c>
      <c r="D206">
        <f t="shared" si="124"/>
        <v>24</v>
      </c>
      <c r="E206">
        <f t="shared" si="143"/>
        <v>4</v>
      </c>
      <c r="F206">
        <f t="shared" si="110"/>
        <v>270</v>
      </c>
      <c r="G206">
        <f t="shared" si="125"/>
        <v>24</v>
      </c>
      <c r="H206">
        <f t="shared" si="132"/>
        <v>3</v>
      </c>
      <c r="I206">
        <f t="shared" si="111"/>
        <v>240</v>
      </c>
      <c r="J206">
        <f t="shared" si="126"/>
        <v>0</v>
      </c>
      <c r="K206">
        <f t="shared" si="133"/>
        <v>3</v>
      </c>
      <c r="L206">
        <f t="shared" si="112"/>
        <v>360</v>
      </c>
      <c r="M206">
        <f t="shared" si="127"/>
        <v>24</v>
      </c>
      <c r="N206">
        <f t="shared" si="134"/>
        <v>2</v>
      </c>
      <c r="O206">
        <f t="shared" si="113"/>
        <v>300</v>
      </c>
      <c r="P206">
        <f t="shared" si="135"/>
        <v>0</v>
      </c>
      <c r="Q206">
        <f t="shared" si="136"/>
        <v>2</v>
      </c>
      <c r="R206">
        <f t="shared" si="114"/>
        <v>300</v>
      </c>
      <c r="S206">
        <f t="shared" si="137"/>
        <v>0</v>
      </c>
      <c r="T206">
        <f t="shared" si="138"/>
        <v>-1</v>
      </c>
      <c r="U206">
        <f t="shared" si="128"/>
        <v>0</v>
      </c>
      <c r="V206">
        <f t="shared" si="129"/>
        <v>1</v>
      </c>
      <c r="W206">
        <f t="shared" si="115"/>
        <v>0</v>
      </c>
      <c r="X206">
        <f t="shared" si="139"/>
        <v>0</v>
      </c>
      <c r="Y206">
        <f t="shared" si="116"/>
        <v>0</v>
      </c>
      <c r="Z206">
        <f t="shared" si="117"/>
        <v>0</v>
      </c>
      <c r="AA206">
        <f t="shared" si="118"/>
        <v>0</v>
      </c>
      <c r="AB206" s="29">
        <f t="shared" si="119"/>
        <v>0.74178816089935007</v>
      </c>
      <c r="AC206" s="25">
        <f t="shared" si="120"/>
        <v>127.49804426656831</v>
      </c>
      <c r="AD206" s="29">
        <f t="shared" si="121"/>
        <v>1.0808524183153847</v>
      </c>
      <c r="AE206" s="25">
        <f t="shared" si="130"/>
        <v>13.243681724743192</v>
      </c>
      <c r="AF206" s="25">
        <f t="shared" si="122"/>
        <v>13.243681724743192</v>
      </c>
      <c r="AG206" s="25">
        <f>IF($A206&lt;0,0,IF(instatk="bs",(1.5+talSCallInstBon)*(MHavg+(ap+Z206-$Z$1)/APtoDPS*MHnorm+170)*(1+sa*0.1+0.04*opp+0.02*agg+Slayer4value-1),IF(instatk="hemo",Slayer4value*(MHavg+(ap+Z206-$Z$1)/APtoDPS*MHnorm)*(1.1+talSCallInstBon)+420*(1+raidcrit)*debuffon,IF(instatk="ss",(MHavg+(ap+Z206-$Z$1)/APtoDPS*MHnorm+98)*(1+sa*0.1+0.02*agg+Slayer4value-1),IF(instatk="v",(ohavg+(ap+Z206-$Z$1)/APtoDPS*OHnorm)*(1+sa*0.1)*(0.5+0.05*dws)+avipdam,Slayer4value*((1+0.04*opp)*(MHavg+101+(ap+Z206-$Z$1)/APtoDPS*MHnorm+(0.5+0.05*dws)*(ohavg+(ap+Z206-$Z$1)/APtoDPS*OHnorm)+101*(1+0.1*dws))*(1+0.5*IF(Talents!$O$18="Yes",1,0)))))))*(instactualhit+(1+((leth*0.06+2)-1)*(cfact-1))*instactualcrit)*fwfactor*AB206*instsec*(AF206/$AN$45))</f>
        <v>290.78918279358999</v>
      </c>
      <c r="AH206" s="25">
        <f t="shared" si="140"/>
        <v>0</v>
      </c>
      <c r="AI206" s="25">
        <f t="shared" si="141"/>
        <v>0</v>
      </c>
      <c r="AJ206" s="25">
        <f t="shared" si="142"/>
        <v>0</v>
      </c>
    </row>
    <row r="207" spans="1:36">
      <c r="A207">
        <f t="shared" si="123"/>
        <v>204</v>
      </c>
      <c r="B207">
        <f t="shared" si="131"/>
        <v>5</v>
      </c>
      <c r="C207">
        <f t="shared" si="109"/>
        <v>240</v>
      </c>
      <c r="D207">
        <f t="shared" si="124"/>
        <v>25</v>
      </c>
      <c r="E207">
        <f t="shared" si="143"/>
        <v>4</v>
      </c>
      <c r="F207">
        <f t="shared" si="110"/>
        <v>270</v>
      </c>
      <c r="G207">
        <f t="shared" si="125"/>
        <v>25</v>
      </c>
      <c r="H207">
        <f t="shared" si="132"/>
        <v>3</v>
      </c>
      <c r="I207">
        <f t="shared" si="111"/>
        <v>240</v>
      </c>
      <c r="J207">
        <f t="shared" si="126"/>
        <v>0</v>
      </c>
      <c r="K207">
        <f t="shared" si="133"/>
        <v>3</v>
      </c>
      <c r="L207">
        <f t="shared" si="112"/>
        <v>360</v>
      </c>
      <c r="M207">
        <f t="shared" si="127"/>
        <v>25</v>
      </c>
      <c r="N207">
        <f t="shared" si="134"/>
        <v>2</v>
      </c>
      <c r="O207">
        <f t="shared" si="113"/>
        <v>300</v>
      </c>
      <c r="P207">
        <f t="shared" si="135"/>
        <v>0</v>
      </c>
      <c r="Q207">
        <f t="shared" si="136"/>
        <v>2</v>
      </c>
      <c r="R207">
        <f t="shared" si="114"/>
        <v>300</v>
      </c>
      <c r="S207">
        <f t="shared" si="137"/>
        <v>0</v>
      </c>
      <c r="T207">
        <f t="shared" si="138"/>
        <v>-1</v>
      </c>
      <c r="U207">
        <f t="shared" si="128"/>
        <v>0</v>
      </c>
      <c r="V207">
        <f t="shared" si="129"/>
        <v>1</v>
      </c>
      <c r="W207">
        <f t="shared" si="115"/>
        <v>0</v>
      </c>
      <c r="X207">
        <f t="shared" si="139"/>
        <v>0</v>
      </c>
      <c r="Y207">
        <f t="shared" si="116"/>
        <v>0</v>
      </c>
      <c r="Z207">
        <f t="shared" si="117"/>
        <v>0</v>
      </c>
      <c r="AA207">
        <f t="shared" si="118"/>
        <v>0</v>
      </c>
      <c r="AB207" s="29">
        <f t="shared" si="119"/>
        <v>0.74178816089935007</v>
      </c>
      <c r="AC207" s="25">
        <f t="shared" si="120"/>
        <v>127.49804426656831</v>
      </c>
      <c r="AD207" s="29">
        <f t="shared" si="121"/>
        <v>1.0808524183153847</v>
      </c>
      <c r="AE207" s="25">
        <f t="shared" si="130"/>
        <v>13.243681724743192</v>
      </c>
      <c r="AF207" s="25">
        <f t="shared" si="122"/>
        <v>13.243681724743192</v>
      </c>
      <c r="AG207" s="25">
        <f>IF($A207&lt;0,0,IF(instatk="bs",(1.5+talSCallInstBon)*(MHavg+(ap+Z207-$Z$1)/APtoDPS*MHnorm+170)*(1+sa*0.1+0.04*opp+0.02*agg+Slayer4value-1),IF(instatk="hemo",Slayer4value*(MHavg+(ap+Z207-$Z$1)/APtoDPS*MHnorm)*(1.1+talSCallInstBon)+420*(1+raidcrit)*debuffon,IF(instatk="ss",(MHavg+(ap+Z207-$Z$1)/APtoDPS*MHnorm+98)*(1+sa*0.1+0.02*agg+Slayer4value-1),IF(instatk="v",(ohavg+(ap+Z207-$Z$1)/APtoDPS*OHnorm)*(1+sa*0.1)*(0.5+0.05*dws)+avipdam,Slayer4value*((1+0.04*opp)*(MHavg+101+(ap+Z207-$Z$1)/APtoDPS*MHnorm+(0.5+0.05*dws)*(ohavg+(ap+Z207-$Z$1)/APtoDPS*OHnorm)+101*(1+0.1*dws))*(1+0.5*IF(Talents!$O$18="Yes",1,0)))))))*(instactualhit+(1+((leth*0.06+2)-1)*(cfact-1))*instactualcrit)*fwfactor*AB207*instsec*(AF207/$AN$45))</f>
        <v>290.78918279358999</v>
      </c>
      <c r="AH207" s="25">
        <f t="shared" si="140"/>
        <v>0</v>
      </c>
      <c r="AI207" s="25">
        <f t="shared" si="141"/>
        <v>0</v>
      </c>
      <c r="AJ207" s="25">
        <f t="shared" si="142"/>
        <v>0</v>
      </c>
    </row>
    <row r="208" spans="1:36">
      <c r="A208">
        <f t="shared" si="123"/>
        <v>205</v>
      </c>
      <c r="B208">
        <f t="shared" si="131"/>
        <v>5</v>
      </c>
      <c r="C208">
        <f t="shared" si="109"/>
        <v>240</v>
      </c>
      <c r="D208">
        <f t="shared" si="124"/>
        <v>26</v>
      </c>
      <c r="E208">
        <f t="shared" si="143"/>
        <v>4</v>
      </c>
      <c r="F208">
        <f t="shared" si="110"/>
        <v>270</v>
      </c>
      <c r="G208">
        <f t="shared" si="125"/>
        <v>26</v>
      </c>
      <c r="H208">
        <f t="shared" si="132"/>
        <v>3</v>
      </c>
      <c r="I208">
        <f t="shared" si="111"/>
        <v>240</v>
      </c>
      <c r="J208">
        <f t="shared" si="126"/>
        <v>0</v>
      </c>
      <c r="K208">
        <f t="shared" si="133"/>
        <v>3</v>
      </c>
      <c r="L208">
        <f t="shared" si="112"/>
        <v>360</v>
      </c>
      <c r="M208">
        <f t="shared" si="127"/>
        <v>26</v>
      </c>
      <c r="N208">
        <f t="shared" si="134"/>
        <v>2</v>
      </c>
      <c r="O208">
        <f t="shared" si="113"/>
        <v>300</v>
      </c>
      <c r="P208">
        <f t="shared" si="135"/>
        <v>0</v>
      </c>
      <c r="Q208">
        <f t="shared" si="136"/>
        <v>2</v>
      </c>
      <c r="R208">
        <f t="shared" si="114"/>
        <v>300</v>
      </c>
      <c r="S208">
        <f t="shared" si="137"/>
        <v>0</v>
      </c>
      <c r="T208">
        <f t="shared" si="138"/>
        <v>-1</v>
      </c>
      <c r="U208">
        <f t="shared" si="128"/>
        <v>0</v>
      </c>
      <c r="V208">
        <f t="shared" si="129"/>
        <v>1</v>
      </c>
      <c r="W208">
        <f t="shared" si="115"/>
        <v>0</v>
      </c>
      <c r="X208">
        <f t="shared" si="139"/>
        <v>0</v>
      </c>
      <c r="Y208">
        <f t="shared" si="116"/>
        <v>0</v>
      </c>
      <c r="Z208">
        <f t="shared" si="117"/>
        <v>0</v>
      </c>
      <c r="AA208">
        <f t="shared" si="118"/>
        <v>0</v>
      </c>
      <c r="AB208" s="29">
        <f t="shared" si="119"/>
        <v>0.74178816089935007</v>
      </c>
      <c r="AC208" s="25">
        <f t="shared" si="120"/>
        <v>127.49804426656831</v>
      </c>
      <c r="AD208" s="29">
        <f t="shared" si="121"/>
        <v>1.0808524183153847</v>
      </c>
      <c r="AE208" s="25">
        <f t="shared" si="130"/>
        <v>13.243681724743192</v>
      </c>
      <c r="AF208" s="25">
        <f t="shared" si="122"/>
        <v>13.243681724743192</v>
      </c>
      <c r="AG208" s="25">
        <f>IF($A208&lt;0,0,IF(instatk="bs",(1.5+talSCallInstBon)*(MHavg+(ap+Z208-$Z$1)/APtoDPS*MHnorm+170)*(1+sa*0.1+0.04*opp+0.02*agg+Slayer4value-1),IF(instatk="hemo",Slayer4value*(MHavg+(ap+Z208-$Z$1)/APtoDPS*MHnorm)*(1.1+talSCallInstBon)+420*(1+raidcrit)*debuffon,IF(instatk="ss",(MHavg+(ap+Z208-$Z$1)/APtoDPS*MHnorm+98)*(1+sa*0.1+0.02*agg+Slayer4value-1),IF(instatk="v",(ohavg+(ap+Z208-$Z$1)/APtoDPS*OHnorm)*(1+sa*0.1)*(0.5+0.05*dws)+avipdam,Slayer4value*((1+0.04*opp)*(MHavg+101+(ap+Z208-$Z$1)/APtoDPS*MHnorm+(0.5+0.05*dws)*(ohavg+(ap+Z208-$Z$1)/APtoDPS*OHnorm)+101*(1+0.1*dws))*(1+0.5*IF(Talents!$O$18="Yes",1,0)))))))*(instactualhit+(1+((leth*0.06+2)-1)*(cfact-1))*instactualcrit)*fwfactor*AB208*instsec*(AF208/$AN$45))</f>
        <v>290.78918279358999</v>
      </c>
      <c r="AH208" s="25">
        <f t="shared" si="140"/>
        <v>0</v>
      </c>
      <c r="AI208" s="25">
        <f t="shared" si="141"/>
        <v>0</v>
      </c>
      <c r="AJ208" s="25">
        <f t="shared" si="142"/>
        <v>0</v>
      </c>
    </row>
    <row r="209" spans="1:36">
      <c r="A209">
        <f t="shared" si="123"/>
        <v>206</v>
      </c>
      <c r="B209">
        <f t="shared" si="131"/>
        <v>5</v>
      </c>
      <c r="C209">
        <f t="shared" si="109"/>
        <v>240</v>
      </c>
      <c r="D209">
        <f t="shared" si="124"/>
        <v>27</v>
      </c>
      <c r="E209">
        <f t="shared" si="143"/>
        <v>4</v>
      </c>
      <c r="F209">
        <f t="shared" si="110"/>
        <v>270</v>
      </c>
      <c r="G209">
        <f t="shared" si="125"/>
        <v>27</v>
      </c>
      <c r="H209">
        <f t="shared" si="132"/>
        <v>3</v>
      </c>
      <c r="I209">
        <f t="shared" si="111"/>
        <v>240</v>
      </c>
      <c r="J209">
        <f t="shared" si="126"/>
        <v>0</v>
      </c>
      <c r="K209">
        <f t="shared" si="133"/>
        <v>3</v>
      </c>
      <c r="L209">
        <f t="shared" si="112"/>
        <v>360</v>
      </c>
      <c r="M209">
        <f t="shared" si="127"/>
        <v>27</v>
      </c>
      <c r="N209">
        <f t="shared" si="134"/>
        <v>2</v>
      </c>
      <c r="O209">
        <f t="shared" si="113"/>
        <v>300</v>
      </c>
      <c r="P209">
        <f t="shared" si="135"/>
        <v>0</v>
      </c>
      <c r="Q209">
        <f t="shared" si="136"/>
        <v>2</v>
      </c>
      <c r="R209">
        <f t="shared" si="114"/>
        <v>300</v>
      </c>
      <c r="S209">
        <f t="shared" si="137"/>
        <v>0</v>
      </c>
      <c r="T209">
        <f t="shared" si="138"/>
        <v>-1</v>
      </c>
      <c r="U209">
        <f t="shared" si="128"/>
        <v>0</v>
      </c>
      <c r="V209">
        <f t="shared" si="129"/>
        <v>1</v>
      </c>
      <c r="W209">
        <f t="shared" si="115"/>
        <v>0</v>
      </c>
      <c r="X209">
        <f t="shared" si="139"/>
        <v>0</v>
      </c>
      <c r="Y209">
        <f t="shared" si="116"/>
        <v>0</v>
      </c>
      <c r="Z209">
        <f t="shared" si="117"/>
        <v>0</v>
      </c>
      <c r="AA209">
        <f t="shared" si="118"/>
        <v>0</v>
      </c>
      <c r="AB209" s="29">
        <f t="shared" si="119"/>
        <v>0.74178816089935007</v>
      </c>
      <c r="AC209" s="25">
        <f t="shared" si="120"/>
        <v>127.49804426656831</v>
      </c>
      <c r="AD209" s="29">
        <f t="shared" si="121"/>
        <v>1.0808524183153847</v>
      </c>
      <c r="AE209" s="25">
        <f t="shared" si="130"/>
        <v>13.243681724743192</v>
      </c>
      <c r="AF209" s="25">
        <f t="shared" si="122"/>
        <v>13.243681724743192</v>
      </c>
      <c r="AG209" s="25">
        <f>IF($A209&lt;0,0,IF(instatk="bs",(1.5+talSCallInstBon)*(MHavg+(ap+Z209-$Z$1)/APtoDPS*MHnorm+170)*(1+sa*0.1+0.04*opp+0.02*agg+Slayer4value-1),IF(instatk="hemo",Slayer4value*(MHavg+(ap+Z209-$Z$1)/APtoDPS*MHnorm)*(1.1+talSCallInstBon)+420*(1+raidcrit)*debuffon,IF(instatk="ss",(MHavg+(ap+Z209-$Z$1)/APtoDPS*MHnorm+98)*(1+sa*0.1+0.02*agg+Slayer4value-1),IF(instatk="v",(ohavg+(ap+Z209-$Z$1)/APtoDPS*OHnorm)*(1+sa*0.1)*(0.5+0.05*dws)+avipdam,Slayer4value*((1+0.04*opp)*(MHavg+101+(ap+Z209-$Z$1)/APtoDPS*MHnorm+(0.5+0.05*dws)*(ohavg+(ap+Z209-$Z$1)/APtoDPS*OHnorm)+101*(1+0.1*dws))*(1+0.5*IF(Talents!$O$18="Yes",1,0)))))))*(instactualhit+(1+((leth*0.06+2)-1)*(cfact-1))*instactualcrit)*fwfactor*AB209*instsec*(AF209/$AN$45))</f>
        <v>290.78918279358999</v>
      </c>
      <c r="AH209" s="25">
        <f t="shared" si="140"/>
        <v>0</v>
      </c>
      <c r="AI209" s="25">
        <f t="shared" si="141"/>
        <v>0</v>
      </c>
      <c r="AJ209" s="25">
        <f t="shared" si="142"/>
        <v>0</v>
      </c>
    </row>
    <row r="210" spans="1:36">
      <c r="A210">
        <f t="shared" si="123"/>
        <v>207</v>
      </c>
      <c r="B210">
        <f t="shared" si="131"/>
        <v>5</v>
      </c>
      <c r="C210">
        <f t="shared" si="109"/>
        <v>240</v>
      </c>
      <c r="D210">
        <f t="shared" si="124"/>
        <v>28</v>
      </c>
      <c r="E210">
        <f t="shared" si="143"/>
        <v>4</v>
      </c>
      <c r="F210">
        <f t="shared" si="110"/>
        <v>270</v>
      </c>
      <c r="G210">
        <f t="shared" si="125"/>
        <v>28</v>
      </c>
      <c r="H210">
        <f t="shared" si="132"/>
        <v>3</v>
      </c>
      <c r="I210">
        <f t="shared" si="111"/>
        <v>240</v>
      </c>
      <c r="J210">
        <f t="shared" si="126"/>
        <v>0</v>
      </c>
      <c r="K210">
        <f t="shared" si="133"/>
        <v>3</v>
      </c>
      <c r="L210">
        <f t="shared" si="112"/>
        <v>360</v>
      </c>
      <c r="M210">
        <f t="shared" si="127"/>
        <v>28</v>
      </c>
      <c r="N210">
        <f t="shared" si="134"/>
        <v>2</v>
      </c>
      <c r="O210">
        <f t="shared" si="113"/>
        <v>300</v>
      </c>
      <c r="P210">
        <f t="shared" si="135"/>
        <v>0</v>
      </c>
      <c r="Q210">
        <f t="shared" si="136"/>
        <v>2</v>
      </c>
      <c r="R210">
        <f t="shared" si="114"/>
        <v>300</v>
      </c>
      <c r="S210">
        <f t="shared" si="137"/>
        <v>0</v>
      </c>
      <c r="T210">
        <f t="shared" si="138"/>
        <v>-1</v>
      </c>
      <c r="U210">
        <f t="shared" si="128"/>
        <v>0</v>
      </c>
      <c r="V210">
        <f t="shared" si="129"/>
        <v>1</v>
      </c>
      <c r="W210">
        <f t="shared" si="115"/>
        <v>0</v>
      </c>
      <c r="X210">
        <f t="shared" si="139"/>
        <v>0</v>
      </c>
      <c r="Y210">
        <f t="shared" si="116"/>
        <v>0</v>
      </c>
      <c r="Z210">
        <f t="shared" si="117"/>
        <v>0</v>
      </c>
      <c r="AA210">
        <f t="shared" si="118"/>
        <v>0</v>
      </c>
      <c r="AB210" s="29">
        <f t="shared" si="119"/>
        <v>0.74178816089935007</v>
      </c>
      <c r="AC210" s="25">
        <f t="shared" si="120"/>
        <v>127.49804426656831</v>
      </c>
      <c r="AD210" s="29">
        <f t="shared" si="121"/>
        <v>1.0808524183153847</v>
      </c>
      <c r="AE210" s="25">
        <f t="shared" si="130"/>
        <v>13.243681724743192</v>
      </c>
      <c r="AF210" s="25">
        <f t="shared" si="122"/>
        <v>13.243681724743192</v>
      </c>
      <c r="AG210" s="25">
        <f>IF($A210&lt;0,0,IF(instatk="bs",(1.5+talSCallInstBon)*(MHavg+(ap+Z210-$Z$1)/APtoDPS*MHnorm+170)*(1+sa*0.1+0.04*opp+0.02*agg+Slayer4value-1),IF(instatk="hemo",Slayer4value*(MHavg+(ap+Z210-$Z$1)/APtoDPS*MHnorm)*(1.1+talSCallInstBon)+420*(1+raidcrit)*debuffon,IF(instatk="ss",(MHavg+(ap+Z210-$Z$1)/APtoDPS*MHnorm+98)*(1+sa*0.1+0.02*agg+Slayer4value-1),IF(instatk="v",(ohavg+(ap+Z210-$Z$1)/APtoDPS*OHnorm)*(1+sa*0.1)*(0.5+0.05*dws)+avipdam,Slayer4value*((1+0.04*opp)*(MHavg+101+(ap+Z210-$Z$1)/APtoDPS*MHnorm+(0.5+0.05*dws)*(ohavg+(ap+Z210-$Z$1)/APtoDPS*OHnorm)+101*(1+0.1*dws))*(1+0.5*IF(Talents!$O$18="Yes",1,0)))))))*(instactualhit+(1+((leth*0.06+2)-1)*(cfact-1))*instactualcrit)*fwfactor*AB210*instsec*(AF210/$AN$45))</f>
        <v>290.78918279358999</v>
      </c>
      <c r="AH210" s="25">
        <f t="shared" si="140"/>
        <v>0</v>
      </c>
      <c r="AI210" s="25">
        <f t="shared" si="141"/>
        <v>0</v>
      </c>
      <c r="AJ210" s="25">
        <f t="shared" si="142"/>
        <v>0</v>
      </c>
    </row>
    <row r="211" spans="1:36">
      <c r="A211">
        <f t="shared" si="123"/>
        <v>208</v>
      </c>
      <c r="B211">
        <f t="shared" si="131"/>
        <v>5</v>
      </c>
      <c r="C211">
        <f t="shared" si="109"/>
        <v>240</v>
      </c>
      <c r="D211">
        <f t="shared" si="124"/>
        <v>29</v>
      </c>
      <c r="E211">
        <f t="shared" si="143"/>
        <v>4</v>
      </c>
      <c r="F211">
        <f t="shared" si="110"/>
        <v>270</v>
      </c>
      <c r="G211">
        <f t="shared" si="125"/>
        <v>29</v>
      </c>
      <c r="H211">
        <f t="shared" si="132"/>
        <v>3</v>
      </c>
      <c r="I211">
        <f t="shared" si="111"/>
        <v>240</v>
      </c>
      <c r="J211">
        <f t="shared" si="126"/>
        <v>0</v>
      </c>
      <c r="K211">
        <f t="shared" si="133"/>
        <v>3</v>
      </c>
      <c r="L211">
        <f t="shared" si="112"/>
        <v>360</v>
      </c>
      <c r="M211">
        <f t="shared" si="127"/>
        <v>29</v>
      </c>
      <c r="N211">
        <f t="shared" si="134"/>
        <v>2</v>
      </c>
      <c r="O211">
        <f t="shared" si="113"/>
        <v>300</v>
      </c>
      <c r="P211">
        <f t="shared" si="135"/>
        <v>0</v>
      </c>
      <c r="Q211">
        <f t="shared" si="136"/>
        <v>2</v>
      </c>
      <c r="R211">
        <f t="shared" si="114"/>
        <v>300</v>
      </c>
      <c r="S211">
        <f t="shared" si="137"/>
        <v>0</v>
      </c>
      <c r="T211">
        <f t="shared" si="138"/>
        <v>-1</v>
      </c>
      <c r="U211">
        <f t="shared" si="128"/>
        <v>0</v>
      </c>
      <c r="V211">
        <f t="shared" si="129"/>
        <v>1</v>
      </c>
      <c r="W211">
        <f t="shared" si="115"/>
        <v>0</v>
      </c>
      <c r="X211">
        <f t="shared" si="139"/>
        <v>0</v>
      </c>
      <c r="Y211">
        <f t="shared" si="116"/>
        <v>0</v>
      </c>
      <c r="Z211">
        <f t="shared" si="117"/>
        <v>0</v>
      </c>
      <c r="AA211">
        <f t="shared" si="118"/>
        <v>0</v>
      </c>
      <c r="AB211" s="29">
        <f t="shared" si="119"/>
        <v>0.74178816089935007</v>
      </c>
      <c r="AC211" s="25">
        <f t="shared" si="120"/>
        <v>127.49804426656831</v>
      </c>
      <c r="AD211" s="29">
        <f t="shared" si="121"/>
        <v>1.0808524183153847</v>
      </c>
      <c r="AE211" s="25">
        <f t="shared" si="130"/>
        <v>13.243681724743192</v>
      </c>
      <c r="AF211" s="25">
        <f t="shared" si="122"/>
        <v>13.243681724743192</v>
      </c>
      <c r="AG211" s="25">
        <f>IF($A211&lt;0,0,IF(instatk="bs",(1.5+talSCallInstBon)*(MHavg+(ap+Z211-$Z$1)/APtoDPS*MHnorm+170)*(1+sa*0.1+0.04*opp+0.02*agg+Slayer4value-1),IF(instatk="hemo",Slayer4value*(MHavg+(ap+Z211-$Z$1)/APtoDPS*MHnorm)*(1.1+talSCallInstBon)+420*(1+raidcrit)*debuffon,IF(instatk="ss",(MHavg+(ap+Z211-$Z$1)/APtoDPS*MHnorm+98)*(1+sa*0.1+0.02*agg+Slayer4value-1),IF(instatk="v",(ohavg+(ap+Z211-$Z$1)/APtoDPS*OHnorm)*(1+sa*0.1)*(0.5+0.05*dws)+avipdam,Slayer4value*((1+0.04*opp)*(MHavg+101+(ap+Z211-$Z$1)/APtoDPS*MHnorm+(0.5+0.05*dws)*(ohavg+(ap+Z211-$Z$1)/APtoDPS*OHnorm)+101*(1+0.1*dws))*(1+0.5*IF(Talents!$O$18="Yes",1,0)))))))*(instactualhit+(1+((leth*0.06+2)-1)*(cfact-1))*instactualcrit)*fwfactor*AB211*instsec*(AF211/$AN$45))</f>
        <v>290.78918279358999</v>
      </c>
      <c r="AH211" s="25">
        <f t="shared" si="140"/>
        <v>0</v>
      </c>
      <c r="AI211" s="25">
        <f t="shared" si="141"/>
        <v>0</v>
      </c>
      <c r="AJ211" s="25">
        <f t="shared" si="142"/>
        <v>0</v>
      </c>
    </row>
    <row r="212" spans="1:36">
      <c r="A212">
        <f t="shared" si="123"/>
        <v>209</v>
      </c>
      <c r="B212">
        <f t="shared" si="131"/>
        <v>5</v>
      </c>
      <c r="C212">
        <f t="shared" si="109"/>
        <v>240</v>
      </c>
      <c r="D212">
        <f t="shared" si="124"/>
        <v>30</v>
      </c>
      <c r="E212">
        <f t="shared" si="143"/>
        <v>4</v>
      </c>
      <c r="F212">
        <f t="shared" si="110"/>
        <v>270</v>
      </c>
      <c r="G212">
        <f t="shared" si="125"/>
        <v>30</v>
      </c>
      <c r="H212">
        <f t="shared" si="132"/>
        <v>3</v>
      </c>
      <c r="I212">
        <f t="shared" si="111"/>
        <v>240</v>
      </c>
      <c r="J212">
        <f t="shared" si="126"/>
        <v>0</v>
      </c>
      <c r="K212">
        <f t="shared" si="133"/>
        <v>3</v>
      </c>
      <c r="L212">
        <f t="shared" si="112"/>
        <v>360</v>
      </c>
      <c r="M212">
        <f t="shared" si="127"/>
        <v>30</v>
      </c>
      <c r="N212">
        <f t="shared" si="134"/>
        <v>2</v>
      </c>
      <c r="O212">
        <f t="shared" si="113"/>
        <v>300</v>
      </c>
      <c r="P212">
        <f t="shared" si="135"/>
        <v>0</v>
      </c>
      <c r="Q212">
        <f t="shared" si="136"/>
        <v>2</v>
      </c>
      <c r="R212">
        <f t="shared" si="114"/>
        <v>300</v>
      </c>
      <c r="S212">
        <f t="shared" si="137"/>
        <v>0</v>
      </c>
      <c r="T212">
        <f t="shared" si="138"/>
        <v>-1</v>
      </c>
      <c r="U212">
        <f t="shared" si="128"/>
        <v>0</v>
      </c>
      <c r="V212">
        <f t="shared" si="129"/>
        <v>1</v>
      </c>
      <c r="W212">
        <f t="shared" si="115"/>
        <v>0</v>
      </c>
      <c r="X212">
        <f t="shared" si="139"/>
        <v>0</v>
      </c>
      <c r="Y212">
        <f t="shared" si="116"/>
        <v>0</v>
      </c>
      <c r="Z212">
        <f t="shared" si="117"/>
        <v>0</v>
      </c>
      <c r="AA212">
        <f t="shared" si="118"/>
        <v>0</v>
      </c>
      <c r="AB212" s="29">
        <f t="shared" si="119"/>
        <v>0.74178816089935007</v>
      </c>
      <c r="AC212" s="25">
        <f t="shared" si="120"/>
        <v>127.49804426656831</v>
      </c>
      <c r="AD212" s="29">
        <f t="shared" si="121"/>
        <v>1.0808524183153847</v>
      </c>
      <c r="AE212" s="25">
        <f t="shared" si="130"/>
        <v>13.243681724743192</v>
      </c>
      <c r="AF212" s="25">
        <f t="shared" si="122"/>
        <v>13.243681724743192</v>
      </c>
      <c r="AG212" s="25">
        <f>IF($A212&lt;0,0,IF(instatk="bs",(1.5+talSCallInstBon)*(MHavg+(ap+Z212-$Z$1)/APtoDPS*MHnorm+170)*(1+sa*0.1+0.04*opp+0.02*agg+Slayer4value-1),IF(instatk="hemo",Slayer4value*(MHavg+(ap+Z212-$Z$1)/APtoDPS*MHnorm)*(1.1+talSCallInstBon)+420*(1+raidcrit)*debuffon,IF(instatk="ss",(MHavg+(ap+Z212-$Z$1)/APtoDPS*MHnorm+98)*(1+sa*0.1+0.02*agg+Slayer4value-1),IF(instatk="v",(ohavg+(ap+Z212-$Z$1)/APtoDPS*OHnorm)*(1+sa*0.1)*(0.5+0.05*dws)+avipdam,Slayer4value*((1+0.04*opp)*(MHavg+101+(ap+Z212-$Z$1)/APtoDPS*MHnorm+(0.5+0.05*dws)*(ohavg+(ap+Z212-$Z$1)/APtoDPS*OHnorm)+101*(1+0.1*dws))*(1+0.5*IF(Talents!$O$18="Yes",1,0)))))))*(instactualhit+(1+((leth*0.06+2)-1)*(cfact-1))*instactualcrit)*fwfactor*AB212*instsec*(AF212/$AN$45))</f>
        <v>290.78918279358999</v>
      </c>
      <c r="AH212" s="25">
        <f t="shared" si="140"/>
        <v>0</v>
      </c>
      <c r="AI212" s="25">
        <f t="shared" si="141"/>
        <v>0</v>
      </c>
      <c r="AJ212" s="25">
        <f t="shared" si="142"/>
        <v>0</v>
      </c>
    </row>
    <row r="213" spans="1:36">
      <c r="A213">
        <f t="shared" si="123"/>
        <v>210</v>
      </c>
      <c r="B213">
        <f t="shared" si="131"/>
        <v>5</v>
      </c>
      <c r="C213">
        <f t="shared" si="109"/>
        <v>240</v>
      </c>
      <c r="D213">
        <f t="shared" si="124"/>
        <v>0</v>
      </c>
      <c r="E213">
        <f t="shared" si="143"/>
        <v>4</v>
      </c>
      <c r="F213">
        <f t="shared" si="110"/>
        <v>270</v>
      </c>
      <c r="G213">
        <f t="shared" si="125"/>
        <v>0</v>
      </c>
      <c r="H213">
        <f t="shared" si="132"/>
        <v>3</v>
      </c>
      <c r="I213">
        <f t="shared" si="111"/>
        <v>240</v>
      </c>
      <c r="J213">
        <f t="shared" si="126"/>
        <v>0</v>
      </c>
      <c r="K213">
        <f t="shared" si="133"/>
        <v>3</v>
      </c>
      <c r="L213">
        <f t="shared" si="112"/>
        <v>360</v>
      </c>
      <c r="M213">
        <f t="shared" si="127"/>
        <v>0</v>
      </c>
      <c r="N213">
        <f t="shared" si="134"/>
        <v>2</v>
      </c>
      <c r="O213">
        <f t="shared" si="113"/>
        <v>300</v>
      </c>
      <c r="P213">
        <f t="shared" si="135"/>
        <v>0</v>
      </c>
      <c r="Q213">
        <f t="shared" si="136"/>
        <v>2</v>
      </c>
      <c r="R213">
        <f t="shared" si="114"/>
        <v>300</v>
      </c>
      <c r="S213">
        <f t="shared" si="137"/>
        <v>0</v>
      </c>
      <c r="T213">
        <f t="shared" si="138"/>
        <v>-1</v>
      </c>
      <c r="U213">
        <f t="shared" si="128"/>
        <v>0</v>
      </c>
      <c r="V213">
        <f t="shared" si="129"/>
        <v>1</v>
      </c>
      <c r="W213">
        <f t="shared" si="115"/>
        <v>0</v>
      </c>
      <c r="X213">
        <f t="shared" si="139"/>
        <v>0</v>
      </c>
      <c r="Y213">
        <f t="shared" si="116"/>
        <v>0</v>
      </c>
      <c r="Z213">
        <f t="shared" si="117"/>
        <v>0</v>
      </c>
      <c r="AA213">
        <f t="shared" si="118"/>
        <v>0</v>
      </c>
      <c r="AB213" s="29">
        <f t="shared" si="119"/>
        <v>0.74178816089935007</v>
      </c>
      <c r="AC213" s="25">
        <f t="shared" si="120"/>
        <v>127.49804426656831</v>
      </c>
      <c r="AD213" s="29">
        <f t="shared" si="121"/>
        <v>1.0808524183153847</v>
      </c>
      <c r="AE213" s="25">
        <f t="shared" si="130"/>
        <v>13.243681724743192</v>
      </c>
      <c r="AF213" s="25">
        <f t="shared" si="122"/>
        <v>13.243681724743192</v>
      </c>
      <c r="AG213" s="25">
        <f>IF($A213&lt;0,0,IF(instatk="bs",(1.5+talSCallInstBon)*(MHavg+(ap+Z213-$Z$1)/APtoDPS*MHnorm+170)*(1+sa*0.1+0.04*opp+0.02*agg+Slayer4value-1),IF(instatk="hemo",Slayer4value*(MHavg+(ap+Z213-$Z$1)/APtoDPS*MHnorm)*(1.1+talSCallInstBon)+420*(1+raidcrit)*debuffon,IF(instatk="ss",(MHavg+(ap+Z213-$Z$1)/APtoDPS*MHnorm+98)*(1+sa*0.1+0.02*agg+Slayer4value-1),IF(instatk="v",(ohavg+(ap+Z213-$Z$1)/APtoDPS*OHnorm)*(1+sa*0.1)*(0.5+0.05*dws)+avipdam,Slayer4value*((1+0.04*opp)*(MHavg+101+(ap+Z213-$Z$1)/APtoDPS*MHnorm+(0.5+0.05*dws)*(ohavg+(ap+Z213-$Z$1)/APtoDPS*OHnorm)+101*(1+0.1*dws))*(1+0.5*IF(Talents!$O$18="Yes",1,0)))))))*(instactualhit+(1+((leth*0.06+2)-1)*(cfact-1))*instactualcrit)*fwfactor*AB213*instsec*(AF213/$AN$45))</f>
        <v>290.78918279358999</v>
      </c>
      <c r="AH213" s="25">
        <f t="shared" si="140"/>
        <v>0</v>
      </c>
      <c r="AI213" s="25">
        <f t="shared" si="141"/>
        <v>0</v>
      </c>
      <c r="AJ213" s="25">
        <f t="shared" si="142"/>
        <v>0</v>
      </c>
    </row>
    <row r="214" spans="1:36">
      <c r="A214">
        <f t="shared" si="123"/>
        <v>211</v>
      </c>
      <c r="B214">
        <f t="shared" si="131"/>
        <v>5</v>
      </c>
      <c r="C214">
        <f t="shared" si="109"/>
        <v>240</v>
      </c>
      <c r="D214">
        <f t="shared" si="124"/>
        <v>0</v>
      </c>
      <c r="E214">
        <f t="shared" si="143"/>
        <v>4</v>
      </c>
      <c r="F214">
        <f t="shared" si="110"/>
        <v>270</v>
      </c>
      <c r="G214">
        <f t="shared" si="125"/>
        <v>0</v>
      </c>
      <c r="H214">
        <f t="shared" si="132"/>
        <v>3</v>
      </c>
      <c r="I214">
        <f t="shared" si="111"/>
        <v>240</v>
      </c>
      <c r="J214">
        <f t="shared" si="126"/>
        <v>0</v>
      </c>
      <c r="K214">
        <f t="shared" si="133"/>
        <v>3</v>
      </c>
      <c r="L214">
        <f t="shared" si="112"/>
        <v>360</v>
      </c>
      <c r="M214">
        <f t="shared" si="127"/>
        <v>0</v>
      </c>
      <c r="N214">
        <f t="shared" si="134"/>
        <v>2</v>
      </c>
      <c r="O214">
        <f t="shared" si="113"/>
        <v>300</v>
      </c>
      <c r="P214">
        <f t="shared" si="135"/>
        <v>0</v>
      </c>
      <c r="Q214">
        <f t="shared" si="136"/>
        <v>2</v>
      </c>
      <c r="R214">
        <f t="shared" si="114"/>
        <v>300</v>
      </c>
      <c r="S214">
        <f t="shared" si="137"/>
        <v>0</v>
      </c>
      <c r="T214">
        <f t="shared" si="138"/>
        <v>-1</v>
      </c>
      <c r="U214">
        <f t="shared" si="128"/>
        <v>0</v>
      </c>
      <c r="V214">
        <f t="shared" si="129"/>
        <v>1</v>
      </c>
      <c r="W214">
        <f t="shared" si="115"/>
        <v>0</v>
      </c>
      <c r="X214">
        <f t="shared" si="139"/>
        <v>0</v>
      </c>
      <c r="Y214">
        <f t="shared" si="116"/>
        <v>0</v>
      </c>
      <c r="Z214">
        <f t="shared" si="117"/>
        <v>0</v>
      </c>
      <c r="AA214">
        <f t="shared" si="118"/>
        <v>0</v>
      </c>
      <c r="AB214" s="29">
        <f t="shared" si="119"/>
        <v>0.74178816089935007</v>
      </c>
      <c r="AC214" s="25">
        <f t="shared" si="120"/>
        <v>127.49804426656831</v>
      </c>
      <c r="AD214" s="29">
        <f t="shared" si="121"/>
        <v>1.0808524183153847</v>
      </c>
      <c r="AE214" s="25">
        <f t="shared" si="130"/>
        <v>13.243681724743192</v>
      </c>
      <c r="AF214" s="25">
        <f t="shared" si="122"/>
        <v>13.243681724743192</v>
      </c>
      <c r="AG214" s="25">
        <f>IF($A214&lt;0,0,IF(instatk="bs",(1.5+talSCallInstBon)*(MHavg+(ap+Z214-$Z$1)/APtoDPS*MHnorm+170)*(1+sa*0.1+0.04*opp+0.02*agg+Slayer4value-1),IF(instatk="hemo",Slayer4value*(MHavg+(ap+Z214-$Z$1)/APtoDPS*MHnorm)*(1.1+talSCallInstBon)+420*(1+raidcrit)*debuffon,IF(instatk="ss",(MHavg+(ap+Z214-$Z$1)/APtoDPS*MHnorm+98)*(1+sa*0.1+0.02*agg+Slayer4value-1),IF(instatk="v",(ohavg+(ap+Z214-$Z$1)/APtoDPS*OHnorm)*(1+sa*0.1)*(0.5+0.05*dws)+avipdam,Slayer4value*((1+0.04*opp)*(MHavg+101+(ap+Z214-$Z$1)/APtoDPS*MHnorm+(0.5+0.05*dws)*(ohavg+(ap+Z214-$Z$1)/APtoDPS*OHnorm)+101*(1+0.1*dws))*(1+0.5*IF(Talents!$O$18="Yes",1,0)))))))*(instactualhit+(1+((leth*0.06+2)-1)*(cfact-1))*instactualcrit)*fwfactor*AB214*instsec*(AF214/$AN$45))</f>
        <v>290.78918279358999</v>
      </c>
      <c r="AH214" s="25">
        <f t="shared" si="140"/>
        <v>0</v>
      </c>
      <c r="AI214" s="25">
        <f t="shared" si="141"/>
        <v>0</v>
      </c>
      <c r="AJ214" s="25">
        <f t="shared" si="142"/>
        <v>0</v>
      </c>
    </row>
    <row r="215" spans="1:36">
      <c r="A215">
        <f t="shared" si="123"/>
        <v>212</v>
      </c>
      <c r="B215">
        <f t="shared" si="131"/>
        <v>5</v>
      </c>
      <c r="C215">
        <f t="shared" si="109"/>
        <v>240</v>
      </c>
      <c r="D215">
        <f t="shared" si="124"/>
        <v>0</v>
      </c>
      <c r="E215">
        <f t="shared" si="143"/>
        <v>4</v>
      </c>
      <c r="F215">
        <f t="shared" si="110"/>
        <v>270</v>
      </c>
      <c r="G215">
        <f t="shared" si="125"/>
        <v>0</v>
      </c>
      <c r="H215">
        <f t="shared" si="132"/>
        <v>3</v>
      </c>
      <c r="I215">
        <f t="shared" si="111"/>
        <v>240</v>
      </c>
      <c r="J215">
        <f t="shared" si="126"/>
        <v>0</v>
      </c>
      <c r="K215">
        <f t="shared" si="133"/>
        <v>3</v>
      </c>
      <c r="L215">
        <f t="shared" si="112"/>
        <v>360</v>
      </c>
      <c r="M215">
        <f t="shared" si="127"/>
        <v>0</v>
      </c>
      <c r="N215">
        <f t="shared" si="134"/>
        <v>2</v>
      </c>
      <c r="O215">
        <f t="shared" si="113"/>
        <v>300</v>
      </c>
      <c r="P215">
        <f t="shared" si="135"/>
        <v>0</v>
      </c>
      <c r="Q215">
        <f t="shared" si="136"/>
        <v>2</v>
      </c>
      <c r="R215">
        <f t="shared" si="114"/>
        <v>300</v>
      </c>
      <c r="S215">
        <f t="shared" si="137"/>
        <v>0</v>
      </c>
      <c r="T215">
        <f t="shared" si="138"/>
        <v>-1</v>
      </c>
      <c r="U215">
        <f t="shared" si="128"/>
        <v>0</v>
      </c>
      <c r="V215">
        <f t="shared" si="129"/>
        <v>1</v>
      </c>
      <c r="W215">
        <f t="shared" si="115"/>
        <v>0</v>
      </c>
      <c r="X215">
        <f t="shared" si="139"/>
        <v>0</v>
      </c>
      <c r="Y215">
        <f t="shared" si="116"/>
        <v>0</v>
      </c>
      <c r="Z215">
        <f t="shared" si="117"/>
        <v>0</v>
      </c>
      <c r="AA215">
        <f t="shared" si="118"/>
        <v>0</v>
      </c>
      <c r="AB215" s="29">
        <f t="shared" si="119"/>
        <v>0.74178816089935007</v>
      </c>
      <c r="AC215" s="25">
        <f t="shared" si="120"/>
        <v>127.49804426656831</v>
      </c>
      <c r="AD215" s="29">
        <f t="shared" si="121"/>
        <v>1.0808524183153847</v>
      </c>
      <c r="AE215" s="25">
        <f t="shared" si="130"/>
        <v>13.243681724743192</v>
      </c>
      <c r="AF215" s="25">
        <f t="shared" si="122"/>
        <v>13.243681724743192</v>
      </c>
      <c r="AG215" s="25">
        <f>IF($A215&lt;0,0,IF(instatk="bs",(1.5+talSCallInstBon)*(MHavg+(ap+Z215-$Z$1)/APtoDPS*MHnorm+170)*(1+sa*0.1+0.04*opp+0.02*agg+Slayer4value-1),IF(instatk="hemo",Slayer4value*(MHavg+(ap+Z215-$Z$1)/APtoDPS*MHnorm)*(1.1+talSCallInstBon)+420*(1+raidcrit)*debuffon,IF(instatk="ss",(MHavg+(ap+Z215-$Z$1)/APtoDPS*MHnorm+98)*(1+sa*0.1+0.02*agg+Slayer4value-1),IF(instatk="v",(ohavg+(ap+Z215-$Z$1)/APtoDPS*OHnorm)*(1+sa*0.1)*(0.5+0.05*dws)+avipdam,Slayer4value*((1+0.04*opp)*(MHavg+101+(ap+Z215-$Z$1)/APtoDPS*MHnorm+(0.5+0.05*dws)*(ohavg+(ap+Z215-$Z$1)/APtoDPS*OHnorm)+101*(1+0.1*dws))*(1+0.5*IF(Talents!$O$18="Yes",1,0)))))))*(instactualhit+(1+((leth*0.06+2)-1)*(cfact-1))*instactualcrit)*fwfactor*AB215*instsec*(AF215/$AN$45))</f>
        <v>290.78918279358999</v>
      </c>
      <c r="AH215" s="25">
        <f t="shared" si="140"/>
        <v>0</v>
      </c>
      <c r="AI215" s="25">
        <f t="shared" si="141"/>
        <v>0</v>
      </c>
      <c r="AJ215" s="25">
        <f t="shared" si="142"/>
        <v>0</v>
      </c>
    </row>
    <row r="216" spans="1:36">
      <c r="A216">
        <f t="shared" si="123"/>
        <v>213</v>
      </c>
      <c r="B216">
        <f t="shared" si="131"/>
        <v>5</v>
      </c>
      <c r="C216">
        <f t="shared" si="109"/>
        <v>240</v>
      </c>
      <c r="D216">
        <f t="shared" si="124"/>
        <v>0</v>
      </c>
      <c r="E216">
        <f t="shared" si="143"/>
        <v>4</v>
      </c>
      <c r="F216">
        <f t="shared" si="110"/>
        <v>270</v>
      </c>
      <c r="G216">
        <f t="shared" si="125"/>
        <v>0</v>
      </c>
      <c r="H216">
        <f t="shared" si="132"/>
        <v>3</v>
      </c>
      <c r="I216">
        <f t="shared" si="111"/>
        <v>240</v>
      </c>
      <c r="J216">
        <f t="shared" si="126"/>
        <v>0</v>
      </c>
      <c r="K216">
        <f t="shared" si="133"/>
        <v>3</v>
      </c>
      <c r="L216">
        <f t="shared" si="112"/>
        <v>360</v>
      </c>
      <c r="M216">
        <f t="shared" si="127"/>
        <v>0</v>
      </c>
      <c r="N216">
        <f t="shared" si="134"/>
        <v>2</v>
      </c>
      <c r="O216">
        <f t="shared" si="113"/>
        <v>300</v>
      </c>
      <c r="P216">
        <f t="shared" si="135"/>
        <v>0</v>
      </c>
      <c r="Q216">
        <f t="shared" si="136"/>
        <v>2</v>
      </c>
      <c r="R216">
        <f t="shared" si="114"/>
        <v>300</v>
      </c>
      <c r="S216">
        <f t="shared" si="137"/>
        <v>0</v>
      </c>
      <c r="T216">
        <f t="shared" si="138"/>
        <v>-1</v>
      </c>
      <c r="U216">
        <f t="shared" si="128"/>
        <v>0</v>
      </c>
      <c r="V216">
        <f t="shared" si="129"/>
        <v>1</v>
      </c>
      <c r="W216">
        <f t="shared" si="115"/>
        <v>0</v>
      </c>
      <c r="X216">
        <f t="shared" si="139"/>
        <v>0</v>
      </c>
      <c r="Y216">
        <f t="shared" si="116"/>
        <v>0</v>
      </c>
      <c r="Z216">
        <f t="shared" si="117"/>
        <v>0</v>
      </c>
      <c r="AA216">
        <f t="shared" si="118"/>
        <v>0</v>
      </c>
      <c r="AB216" s="29">
        <f t="shared" si="119"/>
        <v>0.74178816089935007</v>
      </c>
      <c r="AC216" s="25">
        <f t="shared" si="120"/>
        <v>127.49804426656831</v>
      </c>
      <c r="AD216" s="29">
        <f t="shared" si="121"/>
        <v>1.0808524183153847</v>
      </c>
      <c r="AE216" s="25">
        <f t="shared" si="130"/>
        <v>13.243681724743192</v>
      </c>
      <c r="AF216" s="25">
        <f t="shared" si="122"/>
        <v>13.243681724743192</v>
      </c>
      <c r="AG216" s="25">
        <f>IF($A216&lt;0,0,IF(instatk="bs",(1.5+talSCallInstBon)*(MHavg+(ap+Z216-$Z$1)/APtoDPS*MHnorm+170)*(1+sa*0.1+0.04*opp+0.02*agg+Slayer4value-1),IF(instatk="hemo",Slayer4value*(MHavg+(ap+Z216-$Z$1)/APtoDPS*MHnorm)*(1.1+talSCallInstBon)+420*(1+raidcrit)*debuffon,IF(instatk="ss",(MHavg+(ap+Z216-$Z$1)/APtoDPS*MHnorm+98)*(1+sa*0.1+0.02*agg+Slayer4value-1),IF(instatk="v",(ohavg+(ap+Z216-$Z$1)/APtoDPS*OHnorm)*(1+sa*0.1)*(0.5+0.05*dws)+avipdam,Slayer4value*((1+0.04*opp)*(MHavg+101+(ap+Z216-$Z$1)/APtoDPS*MHnorm+(0.5+0.05*dws)*(ohavg+(ap+Z216-$Z$1)/APtoDPS*OHnorm)+101*(1+0.1*dws))*(1+0.5*IF(Talents!$O$18="Yes",1,0)))))))*(instactualhit+(1+((leth*0.06+2)-1)*(cfact-1))*instactualcrit)*fwfactor*AB216*instsec*(AF216/$AN$45))</f>
        <v>290.78918279358999</v>
      </c>
      <c r="AH216" s="25">
        <f t="shared" si="140"/>
        <v>0</v>
      </c>
      <c r="AI216" s="25">
        <f t="shared" si="141"/>
        <v>0</v>
      </c>
      <c r="AJ216" s="25">
        <f t="shared" si="142"/>
        <v>0</v>
      </c>
    </row>
    <row r="217" spans="1:36">
      <c r="A217">
        <f t="shared" si="123"/>
        <v>214</v>
      </c>
      <c r="B217">
        <f t="shared" si="131"/>
        <v>5</v>
      </c>
      <c r="C217">
        <f t="shared" si="109"/>
        <v>240</v>
      </c>
      <c r="D217">
        <f t="shared" si="124"/>
        <v>0</v>
      </c>
      <c r="E217">
        <f t="shared" si="143"/>
        <v>4</v>
      </c>
      <c r="F217">
        <f t="shared" si="110"/>
        <v>270</v>
      </c>
      <c r="G217">
        <f t="shared" si="125"/>
        <v>0</v>
      </c>
      <c r="H217">
        <f t="shared" si="132"/>
        <v>3</v>
      </c>
      <c r="I217">
        <f t="shared" si="111"/>
        <v>240</v>
      </c>
      <c r="J217">
        <f t="shared" si="126"/>
        <v>0</v>
      </c>
      <c r="K217">
        <f t="shared" si="133"/>
        <v>3</v>
      </c>
      <c r="L217">
        <f t="shared" si="112"/>
        <v>360</v>
      </c>
      <c r="M217">
        <f t="shared" si="127"/>
        <v>0</v>
      </c>
      <c r="N217">
        <f t="shared" si="134"/>
        <v>2</v>
      </c>
      <c r="O217">
        <f t="shared" si="113"/>
        <v>300</v>
      </c>
      <c r="P217">
        <f t="shared" si="135"/>
        <v>0</v>
      </c>
      <c r="Q217">
        <f t="shared" si="136"/>
        <v>2</v>
      </c>
      <c r="R217">
        <f t="shared" si="114"/>
        <v>300</v>
      </c>
      <c r="S217">
        <f t="shared" si="137"/>
        <v>0</v>
      </c>
      <c r="T217">
        <f t="shared" si="138"/>
        <v>-1</v>
      </c>
      <c r="U217">
        <f t="shared" si="128"/>
        <v>0</v>
      </c>
      <c r="V217">
        <f t="shared" si="129"/>
        <v>1</v>
      </c>
      <c r="W217">
        <f t="shared" si="115"/>
        <v>0</v>
      </c>
      <c r="X217">
        <f t="shared" si="139"/>
        <v>0</v>
      </c>
      <c r="Y217">
        <f t="shared" si="116"/>
        <v>0</v>
      </c>
      <c r="Z217">
        <f t="shared" si="117"/>
        <v>0</v>
      </c>
      <c r="AA217">
        <f t="shared" si="118"/>
        <v>0</v>
      </c>
      <c r="AB217" s="29">
        <f t="shared" si="119"/>
        <v>0.74178816089935007</v>
      </c>
      <c r="AC217" s="25">
        <f t="shared" si="120"/>
        <v>127.49804426656831</v>
      </c>
      <c r="AD217" s="29">
        <f t="shared" si="121"/>
        <v>1.0808524183153847</v>
      </c>
      <c r="AE217" s="25">
        <f t="shared" si="130"/>
        <v>13.243681724743192</v>
      </c>
      <c r="AF217" s="25">
        <f t="shared" si="122"/>
        <v>13.243681724743192</v>
      </c>
      <c r="AG217" s="25">
        <f>IF($A217&lt;0,0,IF(instatk="bs",(1.5+talSCallInstBon)*(MHavg+(ap+Z217-$Z$1)/APtoDPS*MHnorm+170)*(1+sa*0.1+0.04*opp+0.02*agg+Slayer4value-1),IF(instatk="hemo",Slayer4value*(MHavg+(ap+Z217-$Z$1)/APtoDPS*MHnorm)*(1.1+talSCallInstBon)+420*(1+raidcrit)*debuffon,IF(instatk="ss",(MHavg+(ap+Z217-$Z$1)/APtoDPS*MHnorm+98)*(1+sa*0.1+0.02*agg+Slayer4value-1),IF(instatk="v",(ohavg+(ap+Z217-$Z$1)/APtoDPS*OHnorm)*(1+sa*0.1)*(0.5+0.05*dws)+avipdam,Slayer4value*((1+0.04*opp)*(MHavg+101+(ap+Z217-$Z$1)/APtoDPS*MHnorm+(0.5+0.05*dws)*(ohavg+(ap+Z217-$Z$1)/APtoDPS*OHnorm)+101*(1+0.1*dws))*(1+0.5*IF(Talents!$O$18="Yes",1,0)))))))*(instactualhit+(1+((leth*0.06+2)-1)*(cfact-1))*instactualcrit)*fwfactor*AB217*instsec*(AF217/$AN$45))</f>
        <v>290.78918279358999</v>
      </c>
      <c r="AH217" s="25">
        <f t="shared" si="140"/>
        <v>0</v>
      </c>
      <c r="AI217" s="25">
        <f t="shared" si="141"/>
        <v>0</v>
      </c>
      <c r="AJ217" s="25">
        <f t="shared" si="142"/>
        <v>0</v>
      </c>
    </row>
    <row r="218" spans="1:36">
      <c r="A218">
        <f t="shared" si="123"/>
        <v>215</v>
      </c>
      <c r="B218">
        <f t="shared" si="131"/>
        <v>5</v>
      </c>
      <c r="C218">
        <f t="shared" si="109"/>
        <v>240</v>
      </c>
      <c r="D218">
        <f t="shared" si="124"/>
        <v>0</v>
      </c>
      <c r="E218">
        <f t="shared" si="143"/>
        <v>4</v>
      </c>
      <c r="F218">
        <f t="shared" si="110"/>
        <v>270</v>
      </c>
      <c r="G218">
        <f t="shared" si="125"/>
        <v>0</v>
      </c>
      <c r="H218">
        <f t="shared" si="132"/>
        <v>3</v>
      </c>
      <c r="I218">
        <f t="shared" si="111"/>
        <v>240</v>
      </c>
      <c r="J218">
        <f t="shared" si="126"/>
        <v>0</v>
      </c>
      <c r="K218">
        <f t="shared" si="133"/>
        <v>3</v>
      </c>
      <c r="L218">
        <f t="shared" si="112"/>
        <v>360</v>
      </c>
      <c r="M218">
        <f t="shared" si="127"/>
        <v>0</v>
      </c>
      <c r="N218">
        <f t="shared" si="134"/>
        <v>2</v>
      </c>
      <c r="O218">
        <f t="shared" si="113"/>
        <v>300</v>
      </c>
      <c r="P218">
        <f t="shared" si="135"/>
        <v>0</v>
      </c>
      <c r="Q218">
        <f t="shared" si="136"/>
        <v>2</v>
      </c>
      <c r="R218">
        <f t="shared" si="114"/>
        <v>300</v>
      </c>
      <c r="S218">
        <f t="shared" si="137"/>
        <v>0</v>
      </c>
      <c r="T218">
        <f t="shared" si="138"/>
        <v>-1</v>
      </c>
      <c r="U218">
        <f t="shared" si="128"/>
        <v>0</v>
      </c>
      <c r="V218">
        <f t="shared" si="129"/>
        <v>1</v>
      </c>
      <c r="W218">
        <f t="shared" si="115"/>
        <v>0</v>
      </c>
      <c r="X218">
        <f t="shared" si="139"/>
        <v>0</v>
      </c>
      <c r="Y218">
        <f t="shared" si="116"/>
        <v>0</v>
      </c>
      <c r="Z218">
        <f t="shared" si="117"/>
        <v>0</v>
      </c>
      <c r="AA218">
        <f t="shared" si="118"/>
        <v>0</v>
      </c>
      <c r="AB218" s="29">
        <f t="shared" si="119"/>
        <v>0.74178816089935007</v>
      </c>
      <c r="AC218" s="25">
        <f t="shared" si="120"/>
        <v>127.49804426656831</v>
      </c>
      <c r="AD218" s="29">
        <f t="shared" si="121"/>
        <v>1.0808524183153847</v>
      </c>
      <c r="AE218" s="25">
        <f t="shared" si="130"/>
        <v>13.243681724743192</v>
      </c>
      <c r="AF218" s="25">
        <f t="shared" si="122"/>
        <v>13.243681724743192</v>
      </c>
      <c r="AG218" s="25">
        <f>IF($A218&lt;0,0,IF(instatk="bs",(1.5+talSCallInstBon)*(MHavg+(ap+Z218-$Z$1)/APtoDPS*MHnorm+170)*(1+sa*0.1+0.04*opp+0.02*agg+Slayer4value-1),IF(instatk="hemo",Slayer4value*(MHavg+(ap+Z218-$Z$1)/APtoDPS*MHnorm)*(1.1+talSCallInstBon)+420*(1+raidcrit)*debuffon,IF(instatk="ss",(MHavg+(ap+Z218-$Z$1)/APtoDPS*MHnorm+98)*(1+sa*0.1+0.02*agg+Slayer4value-1),IF(instatk="v",(ohavg+(ap+Z218-$Z$1)/APtoDPS*OHnorm)*(1+sa*0.1)*(0.5+0.05*dws)+avipdam,Slayer4value*((1+0.04*opp)*(MHavg+101+(ap+Z218-$Z$1)/APtoDPS*MHnorm+(0.5+0.05*dws)*(ohavg+(ap+Z218-$Z$1)/APtoDPS*OHnorm)+101*(1+0.1*dws))*(1+0.5*IF(Talents!$O$18="Yes",1,0)))))))*(instactualhit+(1+((leth*0.06+2)-1)*(cfact-1))*instactualcrit)*fwfactor*AB218*instsec*(AF218/$AN$45))</f>
        <v>290.78918279358999</v>
      </c>
      <c r="AH218" s="25">
        <f t="shared" si="140"/>
        <v>0</v>
      </c>
      <c r="AI218" s="25">
        <f t="shared" si="141"/>
        <v>0</v>
      </c>
      <c r="AJ218" s="25">
        <f t="shared" si="142"/>
        <v>0</v>
      </c>
    </row>
    <row r="219" spans="1:36">
      <c r="A219">
        <f t="shared" si="123"/>
        <v>216</v>
      </c>
      <c r="B219">
        <f t="shared" si="131"/>
        <v>5</v>
      </c>
      <c r="C219">
        <f t="shared" si="109"/>
        <v>240</v>
      </c>
      <c r="D219">
        <f t="shared" si="124"/>
        <v>0</v>
      </c>
      <c r="E219">
        <f t="shared" si="143"/>
        <v>4</v>
      </c>
      <c r="F219">
        <f t="shared" si="110"/>
        <v>270</v>
      </c>
      <c r="G219">
        <f t="shared" si="125"/>
        <v>0</v>
      </c>
      <c r="H219">
        <f t="shared" si="132"/>
        <v>3</v>
      </c>
      <c r="I219">
        <f t="shared" si="111"/>
        <v>240</v>
      </c>
      <c r="J219">
        <f t="shared" si="126"/>
        <v>0</v>
      </c>
      <c r="K219">
        <f t="shared" si="133"/>
        <v>3</v>
      </c>
      <c r="L219">
        <f t="shared" si="112"/>
        <v>360</v>
      </c>
      <c r="M219">
        <f t="shared" si="127"/>
        <v>0</v>
      </c>
      <c r="N219">
        <f t="shared" si="134"/>
        <v>2</v>
      </c>
      <c r="O219">
        <f t="shared" si="113"/>
        <v>300</v>
      </c>
      <c r="P219">
        <f t="shared" si="135"/>
        <v>0</v>
      </c>
      <c r="Q219">
        <f t="shared" si="136"/>
        <v>2</v>
      </c>
      <c r="R219">
        <f t="shared" si="114"/>
        <v>300</v>
      </c>
      <c r="S219">
        <f t="shared" si="137"/>
        <v>0</v>
      </c>
      <c r="T219">
        <f t="shared" si="138"/>
        <v>-1</v>
      </c>
      <c r="U219">
        <f t="shared" si="128"/>
        <v>0</v>
      </c>
      <c r="V219">
        <f t="shared" si="129"/>
        <v>1</v>
      </c>
      <c r="W219">
        <f t="shared" si="115"/>
        <v>0</v>
      </c>
      <c r="X219">
        <f t="shared" si="139"/>
        <v>0</v>
      </c>
      <c r="Y219">
        <f t="shared" si="116"/>
        <v>0</v>
      </c>
      <c r="Z219">
        <f t="shared" si="117"/>
        <v>0</v>
      </c>
      <c r="AA219">
        <f t="shared" si="118"/>
        <v>0</v>
      </c>
      <c r="AB219" s="29">
        <f t="shared" si="119"/>
        <v>0.74178816089935007</v>
      </c>
      <c r="AC219" s="25">
        <f t="shared" si="120"/>
        <v>127.49804426656831</v>
      </c>
      <c r="AD219" s="29">
        <f t="shared" si="121"/>
        <v>1.0808524183153847</v>
      </c>
      <c r="AE219" s="25">
        <f t="shared" si="130"/>
        <v>13.243681724743192</v>
      </c>
      <c r="AF219" s="25">
        <f t="shared" si="122"/>
        <v>13.243681724743192</v>
      </c>
      <c r="AG219" s="25">
        <f>IF($A219&lt;0,0,IF(instatk="bs",(1.5+talSCallInstBon)*(MHavg+(ap+Z219-$Z$1)/APtoDPS*MHnorm+170)*(1+sa*0.1+0.04*opp+0.02*agg+Slayer4value-1),IF(instatk="hemo",Slayer4value*(MHavg+(ap+Z219-$Z$1)/APtoDPS*MHnorm)*(1.1+talSCallInstBon)+420*(1+raidcrit)*debuffon,IF(instatk="ss",(MHavg+(ap+Z219-$Z$1)/APtoDPS*MHnorm+98)*(1+sa*0.1+0.02*agg+Slayer4value-1),IF(instatk="v",(ohavg+(ap+Z219-$Z$1)/APtoDPS*OHnorm)*(1+sa*0.1)*(0.5+0.05*dws)+avipdam,Slayer4value*((1+0.04*opp)*(MHavg+101+(ap+Z219-$Z$1)/APtoDPS*MHnorm+(0.5+0.05*dws)*(ohavg+(ap+Z219-$Z$1)/APtoDPS*OHnorm)+101*(1+0.1*dws))*(1+0.5*IF(Talents!$O$18="Yes",1,0)))))))*(instactualhit+(1+((leth*0.06+2)-1)*(cfact-1))*instactualcrit)*fwfactor*AB219*instsec*(AF219/$AN$45))</f>
        <v>290.78918279358999</v>
      </c>
      <c r="AH219" s="25">
        <f t="shared" si="140"/>
        <v>0</v>
      </c>
      <c r="AI219" s="25">
        <f t="shared" si="141"/>
        <v>0</v>
      </c>
      <c r="AJ219" s="25">
        <f t="shared" si="142"/>
        <v>0</v>
      </c>
    </row>
    <row r="220" spans="1:36">
      <c r="A220">
        <f t="shared" si="123"/>
        <v>217</v>
      </c>
      <c r="B220">
        <f t="shared" si="131"/>
        <v>5</v>
      </c>
      <c r="C220">
        <f t="shared" si="109"/>
        <v>240</v>
      </c>
      <c r="D220">
        <f t="shared" si="124"/>
        <v>0</v>
      </c>
      <c r="E220">
        <f t="shared" si="143"/>
        <v>4</v>
      </c>
      <c r="F220">
        <f t="shared" si="110"/>
        <v>270</v>
      </c>
      <c r="G220">
        <f t="shared" si="125"/>
        <v>0</v>
      </c>
      <c r="H220">
        <f t="shared" si="132"/>
        <v>3</v>
      </c>
      <c r="I220">
        <f t="shared" si="111"/>
        <v>240</v>
      </c>
      <c r="J220">
        <f t="shared" si="126"/>
        <v>0</v>
      </c>
      <c r="K220">
        <f t="shared" si="133"/>
        <v>3</v>
      </c>
      <c r="L220">
        <f t="shared" si="112"/>
        <v>360</v>
      </c>
      <c r="M220">
        <f t="shared" si="127"/>
        <v>0</v>
      </c>
      <c r="N220">
        <f t="shared" si="134"/>
        <v>2</v>
      </c>
      <c r="O220">
        <f t="shared" si="113"/>
        <v>300</v>
      </c>
      <c r="P220">
        <f t="shared" si="135"/>
        <v>0</v>
      </c>
      <c r="Q220">
        <f t="shared" si="136"/>
        <v>2</v>
      </c>
      <c r="R220">
        <f t="shared" si="114"/>
        <v>300</v>
      </c>
      <c r="S220">
        <f t="shared" si="137"/>
        <v>0</v>
      </c>
      <c r="T220">
        <f t="shared" si="138"/>
        <v>-1</v>
      </c>
      <c r="U220">
        <f t="shared" si="128"/>
        <v>0</v>
      </c>
      <c r="V220">
        <f t="shared" si="129"/>
        <v>1</v>
      </c>
      <c r="W220">
        <f t="shared" si="115"/>
        <v>0</v>
      </c>
      <c r="X220">
        <f t="shared" si="139"/>
        <v>0</v>
      </c>
      <c r="Y220">
        <f t="shared" si="116"/>
        <v>0</v>
      </c>
      <c r="Z220">
        <f t="shared" si="117"/>
        <v>0</v>
      </c>
      <c r="AA220">
        <f t="shared" si="118"/>
        <v>0</v>
      </c>
      <c r="AB220" s="29">
        <f t="shared" si="119"/>
        <v>0.74178816089935007</v>
      </c>
      <c r="AC220" s="25">
        <f t="shared" si="120"/>
        <v>127.49804426656831</v>
      </c>
      <c r="AD220" s="29">
        <f t="shared" si="121"/>
        <v>1.0808524183153847</v>
      </c>
      <c r="AE220" s="25">
        <f t="shared" si="130"/>
        <v>13.243681724743192</v>
      </c>
      <c r="AF220" s="25">
        <f t="shared" si="122"/>
        <v>13.243681724743192</v>
      </c>
      <c r="AG220" s="25">
        <f>IF($A220&lt;0,0,IF(instatk="bs",(1.5+talSCallInstBon)*(MHavg+(ap+Z220-$Z$1)/APtoDPS*MHnorm+170)*(1+sa*0.1+0.04*opp+0.02*agg+Slayer4value-1),IF(instatk="hemo",Slayer4value*(MHavg+(ap+Z220-$Z$1)/APtoDPS*MHnorm)*(1.1+talSCallInstBon)+420*(1+raidcrit)*debuffon,IF(instatk="ss",(MHavg+(ap+Z220-$Z$1)/APtoDPS*MHnorm+98)*(1+sa*0.1+0.02*agg+Slayer4value-1),IF(instatk="v",(ohavg+(ap+Z220-$Z$1)/APtoDPS*OHnorm)*(1+sa*0.1)*(0.5+0.05*dws)+avipdam,Slayer4value*((1+0.04*opp)*(MHavg+101+(ap+Z220-$Z$1)/APtoDPS*MHnorm+(0.5+0.05*dws)*(ohavg+(ap+Z220-$Z$1)/APtoDPS*OHnorm)+101*(1+0.1*dws))*(1+0.5*IF(Talents!$O$18="Yes",1,0)))))))*(instactualhit+(1+((leth*0.06+2)-1)*(cfact-1))*instactualcrit)*fwfactor*AB220*instsec*(AF220/$AN$45))</f>
        <v>290.78918279358999</v>
      </c>
      <c r="AH220" s="25">
        <f t="shared" si="140"/>
        <v>0</v>
      </c>
      <c r="AI220" s="25">
        <f t="shared" si="141"/>
        <v>0</v>
      </c>
      <c r="AJ220" s="25">
        <f t="shared" si="142"/>
        <v>0</v>
      </c>
    </row>
    <row r="221" spans="1:36">
      <c r="A221">
        <f t="shared" si="123"/>
        <v>218</v>
      </c>
      <c r="B221">
        <f t="shared" si="131"/>
        <v>5</v>
      </c>
      <c r="C221">
        <f t="shared" si="109"/>
        <v>240</v>
      </c>
      <c r="D221">
        <f t="shared" si="124"/>
        <v>0</v>
      </c>
      <c r="E221">
        <f t="shared" si="143"/>
        <v>4</v>
      </c>
      <c r="F221">
        <f t="shared" si="110"/>
        <v>270</v>
      </c>
      <c r="G221">
        <f t="shared" si="125"/>
        <v>0</v>
      </c>
      <c r="H221">
        <f t="shared" si="132"/>
        <v>3</v>
      </c>
      <c r="I221">
        <f t="shared" si="111"/>
        <v>240</v>
      </c>
      <c r="J221">
        <f t="shared" si="126"/>
        <v>0</v>
      </c>
      <c r="K221">
        <f t="shared" si="133"/>
        <v>3</v>
      </c>
      <c r="L221">
        <f t="shared" si="112"/>
        <v>360</v>
      </c>
      <c r="M221">
        <f t="shared" si="127"/>
        <v>0</v>
      </c>
      <c r="N221">
        <f t="shared" si="134"/>
        <v>2</v>
      </c>
      <c r="O221">
        <f t="shared" si="113"/>
        <v>300</v>
      </c>
      <c r="P221">
        <f t="shared" si="135"/>
        <v>0</v>
      </c>
      <c r="Q221">
        <f t="shared" si="136"/>
        <v>2</v>
      </c>
      <c r="R221">
        <f t="shared" si="114"/>
        <v>300</v>
      </c>
      <c r="S221">
        <f t="shared" si="137"/>
        <v>0</v>
      </c>
      <c r="T221">
        <f t="shared" si="138"/>
        <v>-1</v>
      </c>
      <c r="U221">
        <f t="shared" si="128"/>
        <v>0</v>
      </c>
      <c r="V221">
        <f t="shared" si="129"/>
        <v>1</v>
      </c>
      <c r="W221">
        <f t="shared" si="115"/>
        <v>0</v>
      </c>
      <c r="X221">
        <f t="shared" si="139"/>
        <v>0</v>
      </c>
      <c r="Y221">
        <f t="shared" si="116"/>
        <v>0</v>
      </c>
      <c r="Z221">
        <f t="shared" si="117"/>
        <v>0</v>
      </c>
      <c r="AA221">
        <f t="shared" si="118"/>
        <v>0</v>
      </c>
      <c r="AB221" s="29">
        <f t="shared" si="119"/>
        <v>0.74178816089935007</v>
      </c>
      <c r="AC221" s="25">
        <f t="shared" si="120"/>
        <v>127.49804426656831</v>
      </c>
      <c r="AD221" s="29">
        <f t="shared" si="121"/>
        <v>1.0808524183153847</v>
      </c>
      <c r="AE221" s="25">
        <f t="shared" si="130"/>
        <v>13.243681724743192</v>
      </c>
      <c r="AF221" s="25">
        <f t="shared" si="122"/>
        <v>13.243681724743192</v>
      </c>
      <c r="AG221" s="25">
        <f>IF($A221&lt;0,0,IF(instatk="bs",(1.5+talSCallInstBon)*(MHavg+(ap+Z221-$Z$1)/APtoDPS*MHnorm+170)*(1+sa*0.1+0.04*opp+0.02*agg+Slayer4value-1),IF(instatk="hemo",Slayer4value*(MHavg+(ap+Z221-$Z$1)/APtoDPS*MHnorm)*(1.1+talSCallInstBon)+420*(1+raidcrit)*debuffon,IF(instatk="ss",(MHavg+(ap+Z221-$Z$1)/APtoDPS*MHnorm+98)*(1+sa*0.1+0.02*agg+Slayer4value-1),IF(instatk="v",(ohavg+(ap+Z221-$Z$1)/APtoDPS*OHnorm)*(1+sa*0.1)*(0.5+0.05*dws)+avipdam,Slayer4value*((1+0.04*opp)*(MHavg+101+(ap+Z221-$Z$1)/APtoDPS*MHnorm+(0.5+0.05*dws)*(ohavg+(ap+Z221-$Z$1)/APtoDPS*OHnorm)+101*(1+0.1*dws))*(1+0.5*IF(Talents!$O$18="Yes",1,0)))))))*(instactualhit+(1+((leth*0.06+2)-1)*(cfact-1))*instactualcrit)*fwfactor*AB221*instsec*(AF221/$AN$45))</f>
        <v>290.78918279358999</v>
      </c>
      <c r="AH221" s="25">
        <f t="shared" si="140"/>
        <v>0</v>
      </c>
      <c r="AI221" s="25">
        <f t="shared" si="141"/>
        <v>0</v>
      </c>
      <c r="AJ221" s="25">
        <f t="shared" si="142"/>
        <v>0</v>
      </c>
    </row>
    <row r="222" spans="1:36">
      <c r="A222">
        <f t="shared" si="123"/>
        <v>219</v>
      </c>
      <c r="B222">
        <f t="shared" si="131"/>
        <v>5</v>
      </c>
      <c r="C222">
        <f t="shared" si="109"/>
        <v>240</v>
      </c>
      <c r="D222">
        <f t="shared" si="124"/>
        <v>0</v>
      </c>
      <c r="E222">
        <f t="shared" si="143"/>
        <v>4</v>
      </c>
      <c r="F222">
        <f t="shared" si="110"/>
        <v>270</v>
      </c>
      <c r="G222">
        <f t="shared" si="125"/>
        <v>0</v>
      </c>
      <c r="H222">
        <f t="shared" si="132"/>
        <v>3</v>
      </c>
      <c r="I222">
        <f t="shared" si="111"/>
        <v>240</v>
      </c>
      <c r="J222">
        <f t="shared" si="126"/>
        <v>0</v>
      </c>
      <c r="K222">
        <f t="shared" si="133"/>
        <v>3</v>
      </c>
      <c r="L222">
        <f t="shared" si="112"/>
        <v>360</v>
      </c>
      <c r="M222">
        <f t="shared" si="127"/>
        <v>0</v>
      </c>
      <c r="N222">
        <f t="shared" si="134"/>
        <v>2</v>
      </c>
      <c r="O222">
        <f t="shared" si="113"/>
        <v>300</v>
      </c>
      <c r="P222">
        <f t="shared" si="135"/>
        <v>0</v>
      </c>
      <c r="Q222">
        <f t="shared" si="136"/>
        <v>2</v>
      </c>
      <c r="R222">
        <f t="shared" si="114"/>
        <v>300</v>
      </c>
      <c r="S222">
        <f t="shared" si="137"/>
        <v>0</v>
      </c>
      <c r="T222">
        <f t="shared" si="138"/>
        <v>-1</v>
      </c>
      <c r="U222">
        <f t="shared" si="128"/>
        <v>0</v>
      </c>
      <c r="V222">
        <f t="shared" si="129"/>
        <v>1</v>
      </c>
      <c r="W222">
        <f t="shared" si="115"/>
        <v>0</v>
      </c>
      <c r="X222">
        <f t="shared" si="139"/>
        <v>0</v>
      </c>
      <c r="Y222">
        <f t="shared" si="116"/>
        <v>0</v>
      </c>
      <c r="Z222">
        <f t="shared" si="117"/>
        <v>0</v>
      </c>
      <c r="AA222">
        <f t="shared" si="118"/>
        <v>0</v>
      </c>
      <c r="AB222" s="29">
        <f t="shared" si="119"/>
        <v>0.74178816089935007</v>
      </c>
      <c r="AC222" s="25">
        <f t="shared" si="120"/>
        <v>127.49804426656831</v>
      </c>
      <c r="AD222" s="29">
        <f t="shared" si="121"/>
        <v>1.0808524183153847</v>
      </c>
      <c r="AE222" s="25">
        <f t="shared" si="130"/>
        <v>13.243681724743192</v>
      </c>
      <c r="AF222" s="25">
        <f t="shared" si="122"/>
        <v>13.243681724743192</v>
      </c>
      <c r="AG222" s="25">
        <f>IF($A222&lt;0,0,IF(instatk="bs",(1.5+talSCallInstBon)*(MHavg+(ap+Z222-$Z$1)/APtoDPS*MHnorm+170)*(1+sa*0.1+0.04*opp+0.02*agg+Slayer4value-1),IF(instatk="hemo",Slayer4value*(MHavg+(ap+Z222-$Z$1)/APtoDPS*MHnorm)*(1.1+talSCallInstBon)+420*(1+raidcrit)*debuffon,IF(instatk="ss",(MHavg+(ap+Z222-$Z$1)/APtoDPS*MHnorm+98)*(1+sa*0.1+0.02*agg+Slayer4value-1),IF(instatk="v",(ohavg+(ap+Z222-$Z$1)/APtoDPS*OHnorm)*(1+sa*0.1)*(0.5+0.05*dws)+avipdam,Slayer4value*((1+0.04*opp)*(MHavg+101+(ap+Z222-$Z$1)/APtoDPS*MHnorm+(0.5+0.05*dws)*(ohavg+(ap+Z222-$Z$1)/APtoDPS*OHnorm)+101*(1+0.1*dws))*(1+0.5*IF(Talents!$O$18="Yes",1,0)))))))*(instactualhit+(1+((leth*0.06+2)-1)*(cfact-1))*instactualcrit)*fwfactor*AB222*instsec*(AF222/$AN$45))</f>
        <v>290.78918279358999</v>
      </c>
      <c r="AH222" s="25">
        <f t="shared" si="140"/>
        <v>0</v>
      </c>
      <c r="AI222" s="25">
        <f t="shared" si="141"/>
        <v>0</v>
      </c>
      <c r="AJ222" s="25">
        <f t="shared" si="142"/>
        <v>0</v>
      </c>
    </row>
    <row r="223" spans="1:36">
      <c r="A223">
        <f t="shared" si="123"/>
        <v>220</v>
      </c>
      <c r="B223">
        <f t="shared" si="131"/>
        <v>5</v>
      </c>
      <c r="C223">
        <f t="shared" si="109"/>
        <v>240</v>
      </c>
      <c r="D223">
        <f t="shared" si="124"/>
        <v>0</v>
      </c>
      <c r="E223">
        <f t="shared" si="143"/>
        <v>4</v>
      </c>
      <c r="F223">
        <f t="shared" si="110"/>
        <v>270</v>
      </c>
      <c r="G223">
        <f t="shared" si="125"/>
        <v>0</v>
      </c>
      <c r="H223">
        <f t="shared" si="132"/>
        <v>3</v>
      </c>
      <c r="I223">
        <f t="shared" si="111"/>
        <v>240</v>
      </c>
      <c r="J223">
        <f t="shared" si="126"/>
        <v>0</v>
      </c>
      <c r="K223">
        <f t="shared" si="133"/>
        <v>3</v>
      </c>
      <c r="L223">
        <f t="shared" si="112"/>
        <v>360</v>
      </c>
      <c r="M223">
        <f t="shared" si="127"/>
        <v>0</v>
      </c>
      <c r="N223">
        <f t="shared" si="134"/>
        <v>2</v>
      </c>
      <c r="O223">
        <f t="shared" si="113"/>
        <v>300</v>
      </c>
      <c r="P223">
        <f t="shared" si="135"/>
        <v>0</v>
      </c>
      <c r="Q223">
        <f t="shared" si="136"/>
        <v>2</v>
      </c>
      <c r="R223">
        <f t="shared" si="114"/>
        <v>300</v>
      </c>
      <c r="S223">
        <f t="shared" si="137"/>
        <v>0</v>
      </c>
      <c r="T223">
        <f t="shared" si="138"/>
        <v>-1</v>
      </c>
      <c r="U223">
        <f t="shared" si="128"/>
        <v>0</v>
      </c>
      <c r="V223">
        <f t="shared" si="129"/>
        <v>1</v>
      </c>
      <c r="W223">
        <f t="shared" si="115"/>
        <v>0</v>
      </c>
      <c r="X223">
        <f t="shared" si="139"/>
        <v>0</v>
      </c>
      <c r="Y223">
        <f t="shared" si="116"/>
        <v>0</v>
      </c>
      <c r="Z223">
        <f t="shared" si="117"/>
        <v>0</v>
      </c>
      <c r="AA223">
        <f t="shared" si="118"/>
        <v>0</v>
      </c>
      <c r="AB223" s="29">
        <f t="shared" si="119"/>
        <v>0.74178816089935007</v>
      </c>
      <c r="AC223" s="25">
        <f t="shared" si="120"/>
        <v>127.49804426656831</v>
      </c>
      <c r="AD223" s="29">
        <f t="shared" si="121"/>
        <v>1.0808524183153847</v>
      </c>
      <c r="AE223" s="25">
        <f t="shared" si="130"/>
        <v>13.243681724743192</v>
      </c>
      <c r="AF223" s="25">
        <f t="shared" si="122"/>
        <v>13.243681724743192</v>
      </c>
      <c r="AG223" s="25">
        <f>IF($A223&lt;0,0,IF(instatk="bs",(1.5+talSCallInstBon)*(MHavg+(ap+Z223-$Z$1)/APtoDPS*MHnorm+170)*(1+sa*0.1+0.04*opp+0.02*agg+Slayer4value-1),IF(instatk="hemo",Slayer4value*(MHavg+(ap+Z223-$Z$1)/APtoDPS*MHnorm)*(1.1+talSCallInstBon)+420*(1+raidcrit)*debuffon,IF(instatk="ss",(MHavg+(ap+Z223-$Z$1)/APtoDPS*MHnorm+98)*(1+sa*0.1+0.02*agg+Slayer4value-1),IF(instatk="v",(ohavg+(ap+Z223-$Z$1)/APtoDPS*OHnorm)*(1+sa*0.1)*(0.5+0.05*dws)+avipdam,Slayer4value*((1+0.04*opp)*(MHavg+101+(ap+Z223-$Z$1)/APtoDPS*MHnorm+(0.5+0.05*dws)*(ohavg+(ap+Z223-$Z$1)/APtoDPS*OHnorm)+101*(1+0.1*dws))*(1+0.5*IF(Talents!$O$18="Yes",1,0)))))))*(instactualhit+(1+((leth*0.06+2)-1)*(cfact-1))*instactualcrit)*fwfactor*AB223*instsec*(AF223/$AN$45))</f>
        <v>290.78918279358999</v>
      </c>
      <c r="AH223" s="25">
        <f t="shared" si="140"/>
        <v>0</v>
      </c>
      <c r="AI223" s="25">
        <f t="shared" si="141"/>
        <v>0</v>
      </c>
      <c r="AJ223" s="25">
        <f t="shared" si="142"/>
        <v>0</v>
      </c>
    </row>
    <row r="224" spans="1:36">
      <c r="A224">
        <f t="shared" si="123"/>
        <v>221</v>
      </c>
      <c r="B224">
        <f t="shared" si="131"/>
        <v>5</v>
      </c>
      <c r="C224">
        <f t="shared" si="109"/>
        <v>240</v>
      </c>
      <c r="D224">
        <f t="shared" si="124"/>
        <v>0</v>
      </c>
      <c r="E224">
        <f t="shared" si="143"/>
        <v>4</v>
      </c>
      <c r="F224">
        <f t="shared" si="110"/>
        <v>270</v>
      </c>
      <c r="G224">
        <f t="shared" si="125"/>
        <v>0</v>
      </c>
      <c r="H224">
        <f t="shared" si="132"/>
        <v>3</v>
      </c>
      <c r="I224">
        <f t="shared" si="111"/>
        <v>240</v>
      </c>
      <c r="J224">
        <f t="shared" si="126"/>
        <v>0</v>
      </c>
      <c r="K224">
        <f t="shared" si="133"/>
        <v>3</v>
      </c>
      <c r="L224">
        <f t="shared" si="112"/>
        <v>360</v>
      </c>
      <c r="M224">
        <f t="shared" si="127"/>
        <v>0</v>
      </c>
      <c r="N224">
        <f t="shared" si="134"/>
        <v>2</v>
      </c>
      <c r="O224">
        <f t="shared" si="113"/>
        <v>300</v>
      </c>
      <c r="P224">
        <f t="shared" si="135"/>
        <v>0</v>
      </c>
      <c r="Q224">
        <f t="shared" si="136"/>
        <v>2</v>
      </c>
      <c r="R224">
        <f t="shared" si="114"/>
        <v>300</v>
      </c>
      <c r="S224">
        <f t="shared" si="137"/>
        <v>0</v>
      </c>
      <c r="T224">
        <f t="shared" si="138"/>
        <v>-1</v>
      </c>
      <c r="U224">
        <f t="shared" si="128"/>
        <v>0</v>
      </c>
      <c r="V224">
        <f t="shared" si="129"/>
        <v>1</v>
      </c>
      <c r="W224">
        <f t="shared" si="115"/>
        <v>0</v>
      </c>
      <c r="X224">
        <f t="shared" si="139"/>
        <v>0</v>
      </c>
      <c r="Y224">
        <f t="shared" si="116"/>
        <v>0</v>
      </c>
      <c r="Z224">
        <f t="shared" si="117"/>
        <v>0</v>
      </c>
      <c r="AA224">
        <f t="shared" si="118"/>
        <v>0</v>
      </c>
      <c r="AB224" s="29">
        <f t="shared" si="119"/>
        <v>0.74178816089935007</v>
      </c>
      <c r="AC224" s="25">
        <f t="shared" si="120"/>
        <v>127.49804426656831</v>
      </c>
      <c r="AD224" s="29">
        <f t="shared" si="121"/>
        <v>1.0808524183153847</v>
      </c>
      <c r="AE224" s="25">
        <f t="shared" si="130"/>
        <v>13.243681724743192</v>
      </c>
      <c r="AF224" s="25">
        <f t="shared" si="122"/>
        <v>13.243681724743192</v>
      </c>
      <c r="AG224" s="25">
        <f>IF($A224&lt;0,0,IF(instatk="bs",(1.5+talSCallInstBon)*(MHavg+(ap+Z224-$Z$1)/APtoDPS*MHnorm+170)*(1+sa*0.1+0.04*opp+0.02*agg+Slayer4value-1),IF(instatk="hemo",Slayer4value*(MHavg+(ap+Z224-$Z$1)/APtoDPS*MHnorm)*(1.1+talSCallInstBon)+420*(1+raidcrit)*debuffon,IF(instatk="ss",(MHavg+(ap+Z224-$Z$1)/APtoDPS*MHnorm+98)*(1+sa*0.1+0.02*agg+Slayer4value-1),IF(instatk="v",(ohavg+(ap+Z224-$Z$1)/APtoDPS*OHnorm)*(1+sa*0.1)*(0.5+0.05*dws)+avipdam,Slayer4value*((1+0.04*opp)*(MHavg+101+(ap+Z224-$Z$1)/APtoDPS*MHnorm+(0.5+0.05*dws)*(ohavg+(ap+Z224-$Z$1)/APtoDPS*OHnorm)+101*(1+0.1*dws))*(1+0.5*IF(Talents!$O$18="Yes",1,0)))))))*(instactualhit+(1+((leth*0.06+2)-1)*(cfact-1))*instactualcrit)*fwfactor*AB224*instsec*(AF224/$AN$45))</f>
        <v>290.78918279358999</v>
      </c>
      <c r="AH224" s="25">
        <f t="shared" si="140"/>
        <v>0</v>
      </c>
      <c r="AI224" s="25">
        <f t="shared" si="141"/>
        <v>0</v>
      </c>
      <c r="AJ224" s="25">
        <f t="shared" si="142"/>
        <v>0</v>
      </c>
    </row>
    <row r="225" spans="1:36">
      <c r="A225">
        <f t="shared" si="123"/>
        <v>222</v>
      </c>
      <c r="B225">
        <f t="shared" si="131"/>
        <v>5</v>
      </c>
      <c r="C225">
        <f t="shared" si="109"/>
        <v>240</v>
      </c>
      <c r="D225">
        <f t="shared" si="124"/>
        <v>0</v>
      </c>
      <c r="E225">
        <f t="shared" si="143"/>
        <v>4</v>
      </c>
      <c r="F225">
        <f t="shared" si="110"/>
        <v>270</v>
      </c>
      <c r="G225">
        <f t="shared" si="125"/>
        <v>0</v>
      </c>
      <c r="H225">
        <f t="shared" si="132"/>
        <v>3</v>
      </c>
      <c r="I225">
        <f t="shared" si="111"/>
        <v>240</v>
      </c>
      <c r="J225">
        <f t="shared" si="126"/>
        <v>0</v>
      </c>
      <c r="K225">
        <f t="shared" si="133"/>
        <v>3</v>
      </c>
      <c r="L225">
        <f t="shared" si="112"/>
        <v>360</v>
      </c>
      <c r="M225">
        <f t="shared" si="127"/>
        <v>0</v>
      </c>
      <c r="N225">
        <f t="shared" si="134"/>
        <v>2</v>
      </c>
      <c r="O225">
        <f t="shared" si="113"/>
        <v>300</v>
      </c>
      <c r="P225">
        <f t="shared" si="135"/>
        <v>0</v>
      </c>
      <c r="Q225">
        <f t="shared" si="136"/>
        <v>2</v>
      </c>
      <c r="R225">
        <f t="shared" si="114"/>
        <v>300</v>
      </c>
      <c r="S225">
        <f t="shared" si="137"/>
        <v>0</v>
      </c>
      <c r="T225">
        <f t="shared" si="138"/>
        <v>-1</v>
      </c>
      <c r="U225">
        <f t="shared" si="128"/>
        <v>0</v>
      </c>
      <c r="V225">
        <f t="shared" si="129"/>
        <v>1</v>
      </c>
      <c r="W225">
        <f t="shared" si="115"/>
        <v>0</v>
      </c>
      <c r="X225">
        <f t="shared" si="139"/>
        <v>0</v>
      </c>
      <c r="Y225">
        <f t="shared" si="116"/>
        <v>0</v>
      </c>
      <c r="Z225">
        <f t="shared" si="117"/>
        <v>0</v>
      </c>
      <c r="AA225">
        <f t="shared" si="118"/>
        <v>0</v>
      </c>
      <c r="AB225" s="29">
        <f t="shared" si="119"/>
        <v>0.74178816089935007</v>
      </c>
      <c r="AC225" s="25">
        <f t="shared" si="120"/>
        <v>127.49804426656831</v>
      </c>
      <c r="AD225" s="29">
        <f t="shared" si="121"/>
        <v>1.0808524183153847</v>
      </c>
      <c r="AE225" s="25">
        <f t="shared" si="130"/>
        <v>13.243681724743192</v>
      </c>
      <c r="AF225" s="25">
        <f t="shared" si="122"/>
        <v>13.243681724743192</v>
      </c>
      <c r="AG225" s="25">
        <f>IF($A225&lt;0,0,IF(instatk="bs",(1.5+talSCallInstBon)*(MHavg+(ap+Z225-$Z$1)/APtoDPS*MHnorm+170)*(1+sa*0.1+0.04*opp+0.02*agg+Slayer4value-1),IF(instatk="hemo",Slayer4value*(MHavg+(ap+Z225-$Z$1)/APtoDPS*MHnorm)*(1.1+talSCallInstBon)+420*(1+raidcrit)*debuffon,IF(instatk="ss",(MHavg+(ap+Z225-$Z$1)/APtoDPS*MHnorm+98)*(1+sa*0.1+0.02*agg+Slayer4value-1),IF(instatk="v",(ohavg+(ap+Z225-$Z$1)/APtoDPS*OHnorm)*(1+sa*0.1)*(0.5+0.05*dws)+avipdam,Slayer4value*((1+0.04*opp)*(MHavg+101+(ap+Z225-$Z$1)/APtoDPS*MHnorm+(0.5+0.05*dws)*(ohavg+(ap+Z225-$Z$1)/APtoDPS*OHnorm)+101*(1+0.1*dws))*(1+0.5*IF(Talents!$O$18="Yes",1,0)))))))*(instactualhit+(1+((leth*0.06+2)-1)*(cfact-1))*instactualcrit)*fwfactor*AB225*instsec*(AF225/$AN$45))</f>
        <v>290.78918279358999</v>
      </c>
      <c r="AH225" s="25">
        <f t="shared" si="140"/>
        <v>0</v>
      </c>
      <c r="AI225" s="25">
        <f t="shared" si="141"/>
        <v>0</v>
      </c>
      <c r="AJ225" s="25">
        <f t="shared" si="142"/>
        <v>0</v>
      </c>
    </row>
    <row r="226" spans="1:36">
      <c r="A226">
        <f t="shared" si="123"/>
        <v>223</v>
      </c>
      <c r="B226">
        <f t="shared" si="131"/>
        <v>5</v>
      </c>
      <c r="C226">
        <f t="shared" si="109"/>
        <v>240</v>
      </c>
      <c r="D226">
        <f t="shared" si="124"/>
        <v>0</v>
      </c>
      <c r="E226">
        <f t="shared" si="143"/>
        <v>4</v>
      </c>
      <c r="F226">
        <f t="shared" si="110"/>
        <v>270</v>
      </c>
      <c r="G226">
        <f t="shared" si="125"/>
        <v>0</v>
      </c>
      <c r="H226">
        <f t="shared" si="132"/>
        <v>3</v>
      </c>
      <c r="I226">
        <f t="shared" si="111"/>
        <v>240</v>
      </c>
      <c r="J226">
        <f t="shared" si="126"/>
        <v>0</v>
      </c>
      <c r="K226">
        <f t="shared" si="133"/>
        <v>3</v>
      </c>
      <c r="L226">
        <f t="shared" si="112"/>
        <v>360</v>
      </c>
      <c r="M226">
        <f t="shared" si="127"/>
        <v>0</v>
      </c>
      <c r="N226">
        <f t="shared" si="134"/>
        <v>2</v>
      </c>
      <c r="O226">
        <f t="shared" si="113"/>
        <v>300</v>
      </c>
      <c r="P226">
        <f t="shared" si="135"/>
        <v>0</v>
      </c>
      <c r="Q226">
        <f t="shared" si="136"/>
        <v>2</v>
      </c>
      <c r="R226">
        <f t="shared" si="114"/>
        <v>300</v>
      </c>
      <c r="S226">
        <f t="shared" si="137"/>
        <v>0</v>
      </c>
      <c r="T226">
        <f t="shared" si="138"/>
        <v>-1</v>
      </c>
      <c r="U226">
        <f t="shared" si="128"/>
        <v>0</v>
      </c>
      <c r="V226">
        <f t="shared" si="129"/>
        <v>1</v>
      </c>
      <c r="W226">
        <f t="shared" si="115"/>
        <v>0</v>
      </c>
      <c r="X226">
        <f t="shared" si="139"/>
        <v>0</v>
      </c>
      <c r="Y226">
        <f t="shared" si="116"/>
        <v>0</v>
      </c>
      <c r="Z226">
        <f t="shared" si="117"/>
        <v>0</v>
      </c>
      <c r="AA226">
        <f t="shared" si="118"/>
        <v>0</v>
      </c>
      <c r="AB226" s="29">
        <f t="shared" si="119"/>
        <v>0.74178816089935007</v>
      </c>
      <c r="AC226" s="25">
        <f t="shared" si="120"/>
        <v>127.49804426656831</v>
      </c>
      <c r="AD226" s="29">
        <f t="shared" si="121"/>
        <v>1.0808524183153847</v>
      </c>
      <c r="AE226" s="25">
        <f t="shared" si="130"/>
        <v>13.243681724743192</v>
      </c>
      <c r="AF226" s="25">
        <f t="shared" si="122"/>
        <v>13.243681724743192</v>
      </c>
      <c r="AG226" s="25">
        <f>IF($A226&lt;0,0,IF(instatk="bs",(1.5+talSCallInstBon)*(MHavg+(ap+Z226-$Z$1)/APtoDPS*MHnorm+170)*(1+sa*0.1+0.04*opp+0.02*agg+Slayer4value-1),IF(instatk="hemo",Slayer4value*(MHavg+(ap+Z226-$Z$1)/APtoDPS*MHnorm)*(1.1+talSCallInstBon)+420*(1+raidcrit)*debuffon,IF(instatk="ss",(MHavg+(ap+Z226-$Z$1)/APtoDPS*MHnorm+98)*(1+sa*0.1+0.02*agg+Slayer4value-1),IF(instatk="v",(ohavg+(ap+Z226-$Z$1)/APtoDPS*OHnorm)*(1+sa*0.1)*(0.5+0.05*dws)+avipdam,Slayer4value*((1+0.04*opp)*(MHavg+101+(ap+Z226-$Z$1)/APtoDPS*MHnorm+(0.5+0.05*dws)*(ohavg+(ap+Z226-$Z$1)/APtoDPS*OHnorm)+101*(1+0.1*dws))*(1+0.5*IF(Talents!$O$18="Yes",1,0)))))))*(instactualhit+(1+((leth*0.06+2)-1)*(cfact-1))*instactualcrit)*fwfactor*AB226*instsec*(AF226/$AN$45))</f>
        <v>290.78918279358999</v>
      </c>
      <c r="AH226" s="25">
        <f t="shared" si="140"/>
        <v>0</v>
      </c>
      <c r="AI226" s="25">
        <f t="shared" si="141"/>
        <v>0</v>
      </c>
      <c r="AJ226" s="25">
        <f t="shared" si="142"/>
        <v>0</v>
      </c>
    </row>
    <row r="227" spans="1:36">
      <c r="A227">
        <f t="shared" si="123"/>
        <v>224</v>
      </c>
      <c r="B227">
        <f t="shared" si="131"/>
        <v>5</v>
      </c>
      <c r="C227">
        <f t="shared" si="109"/>
        <v>240</v>
      </c>
      <c r="D227">
        <f t="shared" si="124"/>
        <v>0</v>
      </c>
      <c r="E227">
        <f t="shared" si="143"/>
        <v>4</v>
      </c>
      <c r="F227">
        <f t="shared" si="110"/>
        <v>270</v>
      </c>
      <c r="G227">
        <f t="shared" si="125"/>
        <v>0</v>
      </c>
      <c r="H227">
        <f t="shared" si="132"/>
        <v>3</v>
      </c>
      <c r="I227">
        <f t="shared" si="111"/>
        <v>240</v>
      </c>
      <c r="J227">
        <f t="shared" si="126"/>
        <v>0</v>
      </c>
      <c r="K227">
        <f t="shared" si="133"/>
        <v>3</v>
      </c>
      <c r="L227">
        <f t="shared" si="112"/>
        <v>360</v>
      </c>
      <c r="M227">
        <f t="shared" si="127"/>
        <v>0</v>
      </c>
      <c r="N227">
        <f t="shared" si="134"/>
        <v>2</v>
      </c>
      <c r="O227">
        <f t="shared" si="113"/>
        <v>300</v>
      </c>
      <c r="P227">
        <f t="shared" si="135"/>
        <v>0</v>
      </c>
      <c r="Q227">
        <f t="shared" si="136"/>
        <v>2</v>
      </c>
      <c r="R227">
        <f t="shared" si="114"/>
        <v>300</v>
      </c>
      <c r="S227">
        <f t="shared" si="137"/>
        <v>0</v>
      </c>
      <c r="T227">
        <f t="shared" si="138"/>
        <v>-1</v>
      </c>
      <c r="U227">
        <f t="shared" si="128"/>
        <v>0</v>
      </c>
      <c r="V227">
        <f t="shared" si="129"/>
        <v>1</v>
      </c>
      <c r="W227">
        <f t="shared" si="115"/>
        <v>0</v>
      </c>
      <c r="X227">
        <f t="shared" si="139"/>
        <v>0</v>
      </c>
      <c r="Y227">
        <f t="shared" si="116"/>
        <v>0</v>
      </c>
      <c r="Z227">
        <f t="shared" si="117"/>
        <v>0</v>
      </c>
      <c r="AA227">
        <f t="shared" si="118"/>
        <v>0</v>
      </c>
      <c r="AB227" s="29">
        <f t="shared" si="119"/>
        <v>0.74178816089935007</v>
      </c>
      <c r="AC227" s="25">
        <f t="shared" si="120"/>
        <v>127.49804426656831</v>
      </c>
      <c r="AD227" s="29">
        <f t="shared" si="121"/>
        <v>1.0808524183153847</v>
      </c>
      <c r="AE227" s="25">
        <f t="shared" si="130"/>
        <v>13.243681724743192</v>
      </c>
      <c r="AF227" s="25">
        <f t="shared" si="122"/>
        <v>13.243681724743192</v>
      </c>
      <c r="AG227" s="25">
        <f>IF($A227&lt;0,0,IF(instatk="bs",(1.5+talSCallInstBon)*(MHavg+(ap+Z227-$Z$1)/APtoDPS*MHnorm+170)*(1+sa*0.1+0.04*opp+0.02*agg+Slayer4value-1),IF(instatk="hemo",Slayer4value*(MHavg+(ap+Z227-$Z$1)/APtoDPS*MHnorm)*(1.1+talSCallInstBon)+420*(1+raidcrit)*debuffon,IF(instatk="ss",(MHavg+(ap+Z227-$Z$1)/APtoDPS*MHnorm+98)*(1+sa*0.1+0.02*agg+Slayer4value-1),IF(instatk="v",(ohavg+(ap+Z227-$Z$1)/APtoDPS*OHnorm)*(1+sa*0.1)*(0.5+0.05*dws)+avipdam,Slayer4value*((1+0.04*opp)*(MHavg+101+(ap+Z227-$Z$1)/APtoDPS*MHnorm+(0.5+0.05*dws)*(ohavg+(ap+Z227-$Z$1)/APtoDPS*OHnorm)+101*(1+0.1*dws))*(1+0.5*IF(Talents!$O$18="Yes",1,0)))))))*(instactualhit+(1+((leth*0.06+2)-1)*(cfact-1))*instactualcrit)*fwfactor*AB227*instsec*(AF227/$AN$45))</f>
        <v>290.78918279358999</v>
      </c>
      <c r="AH227" s="25">
        <f t="shared" si="140"/>
        <v>0</v>
      </c>
      <c r="AI227" s="25">
        <f t="shared" si="141"/>
        <v>0</v>
      </c>
      <c r="AJ227" s="25">
        <f t="shared" si="142"/>
        <v>0</v>
      </c>
    </row>
    <row r="228" spans="1:36">
      <c r="A228">
        <f t="shared" si="123"/>
        <v>225</v>
      </c>
      <c r="B228">
        <f t="shared" si="131"/>
        <v>5</v>
      </c>
      <c r="C228">
        <f t="shared" si="109"/>
        <v>240</v>
      </c>
      <c r="D228">
        <f t="shared" si="124"/>
        <v>0</v>
      </c>
      <c r="E228">
        <f t="shared" si="143"/>
        <v>4</v>
      </c>
      <c r="F228">
        <f t="shared" si="110"/>
        <v>270</v>
      </c>
      <c r="G228">
        <f t="shared" si="125"/>
        <v>0</v>
      </c>
      <c r="H228">
        <f t="shared" si="132"/>
        <v>3</v>
      </c>
      <c r="I228">
        <f t="shared" si="111"/>
        <v>240</v>
      </c>
      <c r="J228">
        <f t="shared" si="126"/>
        <v>0</v>
      </c>
      <c r="K228">
        <f t="shared" si="133"/>
        <v>3</v>
      </c>
      <c r="L228">
        <f t="shared" si="112"/>
        <v>360</v>
      </c>
      <c r="M228">
        <f t="shared" si="127"/>
        <v>0</v>
      </c>
      <c r="N228">
        <f t="shared" si="134"/>
        <v>2</v>
      </c>
      <c r="O228">
        <f t="shared" si="113"/>
        <v>300</v>
      </c>
      <c r="P228">
        <f t="shared" si="135"/>
        <v>0</v>
      </c>
      <c r="Q228">
        <f t="shared" si="136"/>
        <v>2</v>
      </c>
      <c r="R228">
        <f t="shared" si="114"/>
        <v>300</v>
      </c>
      <c r="S228">
        <f t="shared" si="137"/>
        <v>0</v>
      </c>
      <c r="T228">
        <f t="shared" si="138"/>
        <v>-1</v>
      </c>
      <c r="U228">
        <f t="shared" si="128"/>
        <v>0</v>
      </c>
      <c r="V228">
        <f t="shared" si="129"/>
        <v>1</v>
      </c>
      <c r="W228">
        <f t="shared" si="115"/>
        <v>0</v>
      </c>
      <c r="X228">
        <f t="shared" si="139"/>
        <v>0</v>
      </c>
      <c r="Y228">
        <f t="shared" si="116"/>
        <v>0</v>
      </c>
      <c r="Z228">
        <f t="shared" si="117"/>
        <v>0</v>
      </c>
      <c r="AA228">
        <f t="shared" si="118"/>
        <v>0</v>
      </c>
      <c r="AB228" s="29">
        <f t="shared" si="119"/>
        <v>0.74178816089935007</v>
      </c>
      <c r="AC228" s="25">
        <f t="shared" si="120"/>
        <v>127.49804426656831</v>
      </c>
      <c r="AD228" s="29">
        <f t="shared" si="121"/>
        <v>1.0808524183153847</v>
      </c>
      <c r="AE228" s="25">
        <f t="shared" si="130"/>
        <v>13.243681724743192</v>
      </c>
      <c r="AF228" s="25">
        <f t="shared" si="122"/>
        <v>13.243681724743192</v>
      </c>
      <c r="AG228" s="25">
        <f>IF($A228&lt;0,0,IF(instatk="bs",(1.5+talSCallInstBon)*(MHavg+(ap+Z228-$Z$1)/APtoDPS*MHnorm+170)*(1+sa*0.1+0.04*opp+0.02*agg+Slayer4value-1),IF(instatk="hemo",Slayer4value*(MHavg+(ap+Z228-$Z$1)/APtoDPS*MHnorm)*(1.1+talSCallInstBon)+420*(1+raidcrit)*debuffon,IF(instatk="ss",(MHavg+(ap+Z228-$Z$1)/APtoDPS*MHnorm+98)*(1+sa*0.1+0.02*agg+Slayer4value-1),IF(instatk="v",(ohavg+(ap+Z228-$Z$1)/APtoDPS*OHnorm)*(1+sa*0.1)*(0.5+0.05*dws)+avipdam,Slayer4value*((1+0.04*opp)*(MHavg+101+(ap+Z228-$Z$1)/APtoDPS*MHnorm+(0.5+0.05*dws)*(ohavg+(ap+Z228-$Z$1)/APtoDPS*OHnorm)+101*(1+0.1*dws))*(1+0.5*IF(Talents!$O$18="Yes",1,0)))))))*(instactualhit+(1+((leth*0.06+2)-1)*(cfact-1))*instactualcrit)*fwfactor*AB228*instsec*(AF228/$AN$45))</f>
        <v>290.78918279358999</v>
      </c>
      <c r="AH228" s="25">
        <f t="shared" si="140"/>
        <v>0</v>
      </c>
      <c r="AI228" s="25">
        <f t="shared" si="141"/>
        <v>0</v>
      </c>
      <c r="AJ228" s="25">
        <f t="shared" si="142"/>
        <v>0</v>
      </c>
    </row>
    <row r="229" spans="1:36">
      <c r="A229">
        <f t="shared" si="123"/>
        <v>226</v>
      </c>
      <c r="B229">
        <f t="shared" si="131"/>
        <v>5</v>
      </c>
      <c r="C229">
        <f t="shared" si="109"/>
        <v>240</v>
      </c>
      <c r="D229">
        <f t="shared" si="124"/>
        <v>0</v>
      </c>
      <c r="E229">
        <f t="shared" si="143"/>
        <v>4</v>
      </c>
      <c r="F229">
        <f t="shared" si="110"/>
        <v>270</v>
      </c>
      <c r="G229">
        <f t="shared" si="125"/>
        <v>0</v>
      </c>
      <c r="H229">
        <f t="shared" si="132"/>
        <v>3</v>
      </c>
      <c r="I229">
        <f t="shared" si="111"/>
        <v>240</v>
      </c>
      <c r="J229">
        <f t="shared" si="126"/>
        <v>0</v>
      </c>
      <c r="K229">
        <f t="shared" si="133"/>
        <v>3</v>
      </c>
      <c r="L229">
        <f t="shared" si="112"/>
        <v>360</v>
      </c>
      <c r="M229">
        <f t="shared" si="127"/>
        <v>0</v>
      </c>
      <c r="N229">
        <f t="shared" si="134"/>
        <v>2</v>
      </c>
      <c r="O229">
        <f t="shared" si="113"/>
        <v>300</v>
      </c>
      <c r="P229">
        <f t="shared" si="135"/>
        <v>0</v>
      </c>
      <c r="Q229">
        <f t="shared" si="136"/>
        <v>2</v>
      </c>
      <c r="R229">
        <f t="shared" si="114"/>
        <v>300</v>
      </c>
      <c r="S229">
        <f t="shared" si="137"/>
        <v>0</v>
      </c>
      <c r="T229">
        <f t="shared" si="138"/>
        <v>-1</v>
      </c>
      <c r="U229">
        <f t="shared" si="128"/>
        <v>0</v>
      </c>
      <c r="V229">
        <f t="shared" si="129"/>
        <v>1</v>
      </c>
      <c r="W229">
        <f t="shared" si="115"/>
        <v>0</v>
      </c>
      <c r="X229">
        <f t="shared" si="139"/>
        <v>0</v>
      </c>
      <c r="Y229">
        <f t="shared" si="116"/>
        <v>0</v>
      </c>
      <c r="Z229">
        <f t="shared" si="117"/>
        <v>0</v>
      </c>
      <c r="AA229">
        <f t="shared" si="118"/>
        <v>0</v>
      </c>
      <c r="AB229" s="29">
        <f t="shared" si="119"/>
        <v>0.74178816089935007</v>
      </c>
      <c r="AC229" s="25">
        <f t="shared" si="120"/>
        <v>127.49804426656831</v>
      </c>
      <c r="AD229" s="29">
        <f t="shared" si="121"/>
        <v>1.0808524183153847</v>
      </c>
      <c r="AE229" s="25">
        <f t="shared" si="130"/>
        <v>13.243681724743192</v>
      </c>
      <c r="AF229" s="25">
        <f t="shared" si="122"/>
        <v>13.243681724743192</v>
      </c>
      <c r="AG229" s="25">
        <f>IF($A229&lt;0,0,IF(instatk="bs",(1.5+talSCallInstBon)*(MHavg+(ap+Z229-$Z$1)/APtoDPS*MHnorm+170)*(1+sa*0.1+0.04*opp+0.02*agg+Slayer4value-1),IF(instatk="hemo",Slayer4value*(MHavg+(ap+Z229-$Z$1)/APtoDPS*MHnorm)*(1.1+talSCallInstBon)+420*(1+raidcrit)*debuffon,IF(instatk="ss",(MHavg+(ap+Z229-$Z$1)/APtoDPS*MHnorm+98)*(1+sa*0.1+0.02*agg+Slayer4value-1),IF(instatk="v",(ohavg+(ap+Z229-$Z$1)/APtoDPS*OHnorm)*(1+sa*0.1)*(0.5+0.05*dws)+avipdam,Slayer4value*((1+0.04*opp)*(MHavg+101+(ap+Z229-$Z$1)/APtoDPS*MHnorm+(0.5+0.05*dws)*(ohavg+(ap+Z229-$Z$1)/APtoDPS*OHnorm)+101*(1+0.1*dws))*(1+0.5*IF(Talents!$O$18="Yes",1,0)))))))*(instactualhit+(1+((leth*0.06+2)-1)*(cfact-1))*instactualcrit)*fwfactor*AB229*instsec*(AF229/$AN$45))</f>
        <v>290.78918279358999</v>
      </c>
      <c r="AH229" s="25">
        <f t="shared" si="140"/>
        <v>0</v>
      </c>
      <c r="AI229" s="25">
        <f t="shared" si="141"/>
        <v>0</v>
      </c>
      <c r="AJ229" s="25">
        <f t="shared" si="142"/>
        <v>0</v>
      </c>
    </row>
    <row r="230" spans="1:36">
      <c r="A230">
        <f t="shared" si="123"/>
        <v>227</v>
      </c>
      <c r="B230">
        <f t="shared" si="131"/>
        <v>5</v>
      </c>
      <c r="C230">
        <f t="shared" si="109"/>
        <v>240</v>
      </c>
      <c r="D230">
        <f t="shared" si="124"/>
        <v>0</v>
      </c>
      <c r="E230">
        <f t="shared" si="143"/>
        <v>4</v>
      </c>
      <c r="F230">
        <f t="shared" si="110"/>
        <v>270</v>
      </c>
      <c r="G230">
        <f t="shared" si="125"/>
        <v>0</v>
      </c>
      <c r="H230">
        <f t="shared" si="132"/>
        <v>3</v>
      </c>
      <c r="I230">
        <f t="shared" si="111"/>
        <v>240</v>
      </c>
      <c r="J230">
        <f t="shared" si="126"/>
        <v>0</v>
      </c>
      <c r="K230">
        <f t="shared" si="133"/>
        <v>3</v>
      </c>
      <c r="L230">
        <f t="shared" si="112"/>
        <v>360</v>
      </c>
      <c r="M230">
        <f t="shared" si="127"/>
        <v>0</v>
      </c>
      <c r="N230">
        <f t="shared" si="134"/>
        <v>2</v>
      </c>
      <c r="O230">
        <f t="shared" si="113"/>
        <v>300</v>
      </c>
      <c r="P230">
        <f t="shared" si="135"/>
        <v>0</v>
      </c>
      <c r="Q230">
        <f t="shared" si="136"/>
        <v>2</v>
      </c>
      <c r="R230">
        <f t="shared" si="114"/>
        <v>300</v>
      </c>
      <c r="S230">
        <f t="shared" si="137"/>
        <v>0</v>
      </c>
      <c r="T230">
        <f t="shared" si="138"/>
        <v>-1</v>
      </c>
      <c r="U230">
        <f t="shared" si="128"/>
        <v>0</v>
      </c>
      <c r="V230">
        <f t="shared" si="129"/>
        <v>1</v>
      </c>
      <c r="W230">
        <f t="shared" si="115"/>
        <v>0</v>
      </c>
      <c r="X230">
        <f t="shared" si="139"/>
        <v>0</v>
      </c>
      <c r="Y230">
        <f t="shared" si="116"/>
        <v>0</v>
      </c>
      <c r="Z230">
        <f t="shared" si="117"/>
        <v>0</v>
      </c>
      <c r="AA230">
        <f t="shared" si="118"/>
        <v>0</v>
      </c>
      <c r="AB230" s="29">
        <f t="shared" si="119"/>
        <v>0.74178816089935007</v>
      </c>
      <c r="AC230" s="25">
        <f t="shared" si="120"/>
        <v>127.49804426656831</v>
      </c>
      <c r="AD230" s="29">
        <f t="shared" si="121"/>
        <v>1.0808524183153847</v>
      </c>
      <c r="AE230" s="25">
        <f t="shared" si="130"/>
        <v>13.243681724743192</v>
      </c>
      <c r="AF230" s="25">
        <f t="shared" si="122"/>
        <v>13.243681724743192</v>
      </c>
      <c r="AG230" s="25">
        <f>IF($A230&lt;0,0,IF(instatk="bs",(1.5+talSCallInstBon)*(MHavg+(ap+Z230-$Z$1)/APtoDPS*MHnorm+170)*(1+sa*0.1+0.04*opp+0.02*agg+Slayer4value-1),IF(instatk="hemo",Slayer4value*(MHavg+(ap+Z230-$Z$1)/APtoDPS*MHnorm)*(1.1+talSCallInstBon)+420*(1+raidcrit)*debuffon,IF(instatk="ss",(MHavg+(ap+Z230-$Z$1)/APtoDPS*MHnorm+98)*(1+sa*0.1+0.02*agg+Slayer4value-1),IF(instatk="v",(ohavg+(ap+Z230-$Z$1)/APtoDPS*OHnorm)*(1+sa*0.1)*(0.5+0.05*dws)+avipdam,Slayer4value*((1+0.04*opp)*(MHavg+101+(ap+Z230-$Z$1)/APtoDPS*MHnorm+(0.5+0.05*dws)*(ohavg+(ap+Z230-$Z$1)/APtoDPS*OHnorm)+101*(1+0.1*dws))*(1+0.5*IF(Talents!$O$18="Yes",1,0)))))))*(instactualhit+(1+((leth*0.06+2)-1)*(cfact-1))*instactualcrit)*fwfactor*AB230*instsec*(AF230/$AN$45))</f>
        <v>290.78918279358999</v>
      </c>
      <c r="AH230" s="25">
        <f t="shared" si="140"/>
        <v>0</v>
      </c>
      <c r="AI230" s="25">
        <f t="shared" si="141"/>
        <v>0</v>
      </c>
      <c r="AJ230" s="25">
        <f t="shared" si="142"/>
        <v>0</v>
      </c>
    </row>
    <row r="231" spans="1:36">
      <c r="A231">
        <f t="shared" si="123"/>
        <v>228</v>
      </c>
      <c r="B231">
        <f t="shared" si="131"/>
        <v>5</v>
      </c>
      <c r="C231">
        <f t="shared" si="109"/>
        <v>240</v>
      </c>
      <c r="D231">
        <f t="shared" si="124"/>
        <v>0</v>
      </c>
      <c r="E231">
        <f t="shared" si="143"/>
        <v>4</v>
      </c>
      <c r="F231">
        <f t="shared" si="110"/>
        <v>270</v>
      </c>
      <c r="G231">
        <f t="shared" si="125"/>
        <v>0</v>
      </c>
      <c r="H231">
        <f t="shared" si="132"/>
        <v>3</v>
      </c>
      <c r="I231">
        <f t="shared" si="111"/>
        <v>240</v>
      </c>
      <c r="J231">
        <f t="shared" si="126"/>
        <v>0</v>
      </c>
      <c r="K231">
        <f t="shared" si="133"/>
        <v>3</v>
      </c>
      <c r="L231">
        <f t="shared" si="112"/>
        <v>360</v>
      </c>
      <c r="M231">
        <f t="shared" si="127"/>
        <v>0</v>
      </c>
      <c r="N231">
        <f t="shared" si="134"/>
        <v>2</v>
      </c>
      <c r="O231">
        <f t="shared" si="113"/>
        <v>300</v>
      </c>
      <c r="P231">
        <f t="shared" si="135"/>
        <v>0</v>
      </c>
      <c r="Q231">
        <f t="shared" si="136"/>
        <v>2</v>
      </c>
      <c r="R231">
        <f t="shared" si="114"/>
        <v>300</v>
      </c>
      <c r="S231">
        <f t="shared" si="137"/>
        <v>0</v>
      </c>
      <c r="T231">
        <f t="shared" si="138"/>
        <v>-1</v>
      </c>
      <c r="U231">
        <f t="shared" si="128"/>
        <v>0</v>
      </c>
      <c r="V231">
        <f t="shared" si="129"/>
        <v>1</v>
      </c>
      <c r="W231">
        <f t="shared" si="115"/>
        <v>0</v>
      </c>
      <c r="X231">
        <f t="shared" si="139"/>
        <v>0</v>
      </c>
      <c r="Y231">
        <f t="shared" si="116"/>
        <v>0</v>
      </c>
      <c r="Z231">
        <f t="shared" si="117"/>
        <v>0</v>
      </c>
      <c r="AA231">
        <f t="shared" si="118"/>
        <v>0</v>
      </c>
      <c r="AB231" s="29">
        <f t="shared" si="119"/>
        <v>0.74178816089935007</v>
      </c>
      <c r="AC231" s="25">
        <f t="shared" si="120"/>
        <v>127.49804426656831</v>
      </c>
      <c r="AD231" s="29">
        <f t="shared" si="121"/>
        <v>1.0808524183153847</v>
      </c>
      <c r="AE231" s="25">
        <f t="shared" si="130"/>
        <v>13.243681724743192</v>
      </c>
      <c r="AF231" s="25">
        <f t="shared" si="122"/>
        <v>13.243681724743192</v>
      </c>
      <c r="AG231" s="25">
        <f>IF($A231&lt;0,0,IF(instatk="bs",(1.5+talSCallInstBon)*(MHavg+(ap+Z231-$Z$1)/APtoDPS*MHnorm+170)*(1+sa*0.1+0.04*opp+0.02*agg+Slayer4value-1),IF(instatk="hemo",Slayer4value*(MHavg+(ap+Z231-$Z$1)/APtoDPS*MHnorm)*(1.1+talSCallInstBon)+420*(1+raidcrit)*debuffon,IF(instatk="ss",(MHavg+(ap+Z231-$Z$1)/APtoDPS*MHnorm+98)*(1+sa*0.1+0.02*agg+Slayer4value-1),IF(instatk="v",(ohavg+(ap+Z231-$Z$1)/APtoDPS*OHnorm)*(1+sa*0.1)*(0.5+0.05*dws)+avipdam,Slayer4value*((1+0.04*opp)*(MHavg+101+(ap+Z231-$Z$1)/APtoDPS*MHnorm+(0.5+0.05*dws)*(ohavg+(ap+Z231-$Z$1)/APtoDPS*OHnorm)+101*(1+0.1*dws))*(1+0.5*IF(Talents!$O$18="Yes",1,0)))))))*(instactualhit+(1+((leth*0.06+2)-1)*(cfact-1))*instactualcrit)*fwfactor*AB231*instsec*(AF231/$AN$45))</f>
        <v>290.78918279358999</v>
      </c>
      <c r="AH231" s="25">
        <f t="shared" si="140"/>
        <v>0</v>
      </c>
      <c r="AI231" s="25">
        <f t="shared" si="141"/>
        <v>0</v>
      </c>
      <c r="AJ231" s="25">
        <f t="shared" si="142"/>
        <v>0</v>
      </c>
    </row>
    <row r="232" spans="1:36">
      <c r="A232">
        <f t="shared" si="123"/>
        <v>229</v>
      </c>
      <c r="B232">
        <f t="shared" si="131"/>
        <v>5</v>
      </c>
      <c r="C232">
        <f t="shared" si="109"/>
        <v>240</v>
      </c>
      <c r="D232">
        <f t="shared" si="124"/>
        <v>0</v>
      </c>
      <c r="E232">
        <f t="shared" si="143"/>
        <v>4</v>
      </c>
      <c r="F232">
        <f t="shared" si="110"/>
        <v>270</v>
      </c>
      <c r="G232">
        <f t="shared" si="125"/>
        <v>0</v>
      </c>
      <c r="H232">
        <f t="shared" si="132"/>
        <v>3</v>
      </c>
      <c r="I232">
        <f t="shared" si="111"/>
        <v>240</v>
      </c>
      <c r="J232">
        <f t="shared" si="126"/>
        <v>0</v>
      </c>
      <c r="K232">
        <f t="shared" si="133"/>
        <v>3</v>
      </c>
      <c r="L232">
        <f t="shared" si="112"/>
        <v>360</v>
      </c>
      <c r="M232">
        <f t="shared" si="127"/>
        <v>0</v>
      </c>
      <c r="N232">
        <f t="shared" si="134"/>
        <v>2</v>
      </c>
      <c r="O232">
        <f t="shared" si="113"/>
        <v>300</v>
      </c>
      <c r="P232">
        <f t="shared" si="135"/>
        <v>0</v>
      </c>
      <c r="Q232">
        <f t="shared" si="136"/>
        <v>2</v>
      </c>
      <c r="R232">
        <f t="shared" si="114"/>
        <v>300</v>
      </c>
      <c r="S232">
        <f t="shared" si="137"/>
        <v>0</v>
      </c>
      <c r="T232">
        <f t="shared" si="138"/>
        <v>-1</v>
      </c>
      <c r="U232">
        <f t="shared" si="128"/>
        <v>0</v>
      </c>
      <c r="V232">
        <f t="shared" si="129"/>
        <v>1</v>
      </c>
      <c r="W232">
        <f t="shared" si="115"/>
        <v>0</v>
      </c>
      <c r="X232">
        <f t="shared" si="139"/>
        <v>0</v>
      </c>
      <c r="Y232">
        <f t="shared" si="116"/>
        <v>0</v>
      </c>
      <c r="Z232">
        <f t="shared" si="117"/>
        <v>0</v>
      </c>
      <c r="AA232">
        <f t="shared" si="118"/>
        <v>0</v>
      </c>
      <c r="AB232" s="29">
        <f t="shared" si="119"/>
        <v>0.74178816089935007</v>
      </c>
      <c r="AC232" s="25">
        <f t="shared" si="120"/>
        <v>127.49804426656831</v>
      </c>
      <c r="AD232" s="29">
        <f t="shared" si="121"/>
        <v>1.0808524183153847</v>
      </c>
      <c r="AE232" s="25">
        <f t="shared" si="130"/>
        <v>13.243681724743192</v>
      </c>
      <c r="AF232" s="25">
        <f t="shared" si="122"/>
        <v>13.243681724743192</v>
      </c>
      <c r="AG232" s="25">
        <f>IF($A232&lt;0,0,IF(instatk="bs",(1.5+talSCallInstBon)*(MHavg+(ap+Z232-$Z$1)/APtoDPS*MHnorm+170)*(1+sa*0.1+0.04*opp+0.02*agg+Slayer4value-1),IF(instatk="hemo",Slayer4value*(MHavg+(ap+Z232-$Z$1)/APtoDPS*MHnorm)*(1.1+talSCallInstBon)+420*(1+raidcrit)*debuffon,IF(instatk="ss",(MHavg+(ap+Z232-$Z$1)/APtoDPS*MHnorm+98)*(1+sa*0.1+0.02*agg+Slayer4value-1),IF(instatk="v",(ohavg+(ap+Z232-$Z$1)/APtoDPS*OHnorm)*(1+sa*0.1)*(0.5+0.05*dws)+avipdam,Slayer4value*((1+0.04*opp)*(MHavg+101+(ap+Z232-$Z$1)/APtoDPS*MHnorm+(0.5+0.05*dws)*(ohavg+(ap+Z232-$Z$1)/APtoDPS*OHnorm)+101*(1+0.1*dws))*(1+0.5*IF(Talents!$O$18="Yes",1,0)))))))*(instactualhit+(1+((leth*0.06+2)-1)*(cfact-1))*instactualcrit)*fwfactor*AB232*instsec*(AF232/$AN$45))</f>
        <v>290.78918279358999</v>
      </c>
      <c r="AH232" s="25">
        <f t="shared" si="140"/>
        <v>0</v>
      </c>
      <c r="AI232" s="25">
        <f t="shared" si="141"/>
        <v>0</v>
      </c>
      <c r="AJ232" s="25">
        <f t="shared" si="142"/>
        <v>0</v>
      </c>
    </row>
    <row r="233" spans="1:36">
      <c r="A233">
        <f t="shared" si="123"/>
        <v>230</v>
      </c>
      <c r="B233">
        <f t="shared" si="131"/>
        <v>5</v>
      </c>
      <c r="C233">
        <f t="shared" si="109"/>
        <v>240</v>
      </c>
      <c r="D233">
        <f t="shared" si="124"/>
        <v>0</v>
      </c>
      <c r="E233">
        <f t="shared" si="143"/>
        <v>4</v>
      </c>
      <c r="F233">
        <f t="shared" si="110"/>
        <v>270</v>
      </c>
      <c r="G233">
        <f t="shared" si="125"/>
        <v>0</v>
      </c>
      <c r="H233">
        <f t="shared" si="132"/>
        <v>3</v>
      </c>
      <c r="I233">
        <f t="shared" si="111"/>
        <v>240</v>
      </c>
      <c r="J233">
        <f t="shared" si="126"/>
        <v>0</v>
      </c>
      <c r="K233">
        <f t="shared" si="133"/>
        <v>3</v>
      </c>
      <c r="L233">
        <f t="shared" si="112"/>
        <v>360</v>
      </c>
      <c r="M233">
        <f t="shared" si="127"/>
        <v>0</v>
      </c>
      <c r="N233">
        <f t="shared" si="134"/>
        <v>2</v>
      </c>
      <c r="O233">
        <f t="shared" si="113"/>
        <v>300</v>
      </c>
      <c r="P233">
        <f t="shared" si="135"/>
        <v>0</v>
      </c>
      <c r="Q233">
        <f t="shared" si="136"/>
        <v>2</v>
      </c>
      <c r="R233">
        <f t="shared" si="114"/>
        <v>300</v>
      </c>
      <c r="S233">
        <f t="shared" si="137"/>
        <v>0</v>
      </c>
      <c r="T233">
        <f t="shared" si="138"/>
        <v>-1</v>
      </c>
      <c r="U233">
        <f t="shared" si="128"/>
        <v>0</v>
      </c>
      <c r="V233">
        <f t="shared" si="129"/>
        <v>1</v>
      </c>
      <c r="W233">
        <f t="shared" si="115"/>
        <v>0</v>
      </c>
      <c r="X233">
        <f t="shared" si="139"/>
        <v>0</v>
      </c>
      <c r="Y233">
        <f t="shared" si="116"/>
        <v>0</v>
      </c>
      <c r="Z233">
        <f t="shared" si="117"/>
        <v>0</v>
      </c>
      <c r="AA233">
        <f t="shared" si="118"/>
        <v>0</v>
      </c>
      <c r="AB233" s="29">
        <f t="shared" si="119"/>
        <v>0.74178816089935007</v>
      </c>
      <c r="AC233" s="25">
        <f t="shared" si="120"/>
        <v>127.49804426656831</v>
      </c>
      <c r="AD233" s="29">
        <f t="shared" si="121"/>
        <v>1.0808524183153847</v>
      </c>
      <c r="AE233" s="25">
        <f t="shared" si="130"/>
        <v>13.243681724743192</v>
      </c>
      <c r="AF233" s="25">
        <f t="shared" si="122"/>
        <v>13.243681724743192</v>
      </c>
      <c r="AG233" s="25">
        <f>IF($A233&lt;0,0,IF(instatk="bs",(1.5+talSCallInstBon)*(MHavg+(ap+Z233-$Z$1)/APtoDPS*MHnorm+170)*(1+sa*0.1+0.04*opp+0.02*agg+Slayer4value-1),IF(instatk="hemo",Slayer4value*(MHavg+(ap+Z233-$Z$1)/APtoDPS*MHnorm)*(1.1+talSCallInstBon)+420*(1+raidcrit)*debuffon,IF(instatk="ss",(MHavg+(ap+Z233-$Z$1)/APtoDPS*MHnorm+98)*(1+sa*0.1+0.02*agg+Slayer4value-1),IF(instatk="v",(ohavg+(ap+Z233-$Z$1)/APtoDPS*OHnorm)*(1+sa*0.1)*(0.5+0.05*dws)+avipdam,Slayer4value*((1+0.04*opp)*(MHavg+101+(ap+Z233-$Z$1)/APtoDPS*MHnorm+(0.5+0.05*dws)*(ohavg+(ap+Z233-$Z$1)/APtoDPS*OHnorm)+101*(1+0.1*dws))*(1+0.5*IF(Talents!$O$18="Yes",1,0)))))))*(instactualhit+(1+((leth*0.06+2)-1)*(cfact-1))*instactualcrit)*fwfactor*AB233*instsec*(AF233/$AN$45))</f>
        <v>290.78918279358999</v>
      </c>
      <c r="AH233" s="25">
        <f t="shared" si="140"/>
        <v>0</v>
      </c>
      <c r="AI233" s="25">
        <f t="shared" si="141"/>
        <v>0</v>
      </c>
      <c r="AJ233" s="25">
        <f t="shared" si="142"/>
        <v>0</v>
      </c>
    </row>
    <row r="234" spans="1:36">
      <c r="A234">
        <f t="shared" si="123"/>
        <v>231</v>
      </c>
      <c r="B234">
        <f t="shared" si="131"/>
        <v>5</v>
      </c>
      <c r="C234">
        <f t="shared" si="109"/>
        <v>240</v>
      </c>
      <c r="D234">
        <f t="shared" si="124"/>
        <v>0</v>
      </c>
      <c r="E234">
        <f t="shared" si="143"/>
        <v>4</v>
      </c>
      <c r="F234">
        <f t="shared" si="110"/>
        <v>270</v>
      </c>
      <c r="G234">
        <f t="shared" si="125"/>
        <v>0</v>
      </c>
      <c r="H234">
        <f t="shared" si="132"/>
        <v>3</v>
      </c>
      <c r="I234">
        <f t="shared" si="111"/>
        <v>240</v>
      </c>
      <c r="J234">
        <f t="shared" si="126"/>
        <v>0</v>
      </c>
      <c r="K234">
        <f t="shared" si="133"/>
        <v>3</v>
      </c>
      <c r="L234">
        <f t="shared" si="112"/>
        <v>360</v>
      </c>
      <c r="M234">
        <f t="shared" si="127"/>
        <v>0</v>
      </c>
      <c r="N234">
        <f t="shared" si="134"/>
        <v>2</v>
      </c>
      <c r="O234">
        <f t="shared" si="113"/>
        <v>300</v>
      </c>
      <c r="P234">
        <f t="shared" si="135"/>
        <v>0</v>
      </c>
      <c r="Q234">
        <f t="shared" si="136"/>
        <v>2</v>
      </c>
      <c r="R234">
        <f t="shared" si="114"/>
        <v>300</v>
      </c>
      <c r="S234">
        <f t="shared" si="137"/>
        <v>0</v>
      </c>
      <c r="T234">
        <f t="shared" si="138"/>
        <v>-1</v>
      </c>
      <c r="U234">
        <f t="shared" si="128"/>
        <v>0</v>
      </c>
      <c r="V234">
        <f t="shared" si="129"/>
        <v>1</v>
      </c>
      <c r="W234">
        <f t="shared" si="115"/>
        <v>0</v>
      </c>
      <c r="X234">
        <f t="shared" si="139"/>
        <v>0</v>
      </c>
      <c r="Y234">
        <f t="shared" si="116"/>
        <v>0</v>
      </c>
      <c r="Z234">
        <f t="shared" si="117"/>
        <v>0</v>
      </c>
      <c r="AA234">
        <f t="shared" si="118"/>
        <v>0</v>
      </c>
      <c r="AB234" s="29">
        <f t="shared" si="119"/>
        <v>0.74178816089935007</v>
      </c>
      <c r="AC234" s="25">
        <f t="shared" si="120"/>
        <v>127.49804426656831</v>
      </c>
      <c r="AD234" s="29">
        <f t="shared" si="121"/>
        <v>1.0808524183153847</v>
      </c>
      <c r="AE234" s="25">
        <f t="shared" si="130"/>
        <v>13.243681724743192</v>
      </c>
      <c r="AF234" s="25">
        <f t="shared" si="122"/>
        <v>13.243681724743192</v>
      </c>
      <c r="AG234" s="25">
        <f>IF($A234&lt;0,0,IF(instatk="bs",(1.5+talSCallInstBon)*(MHavg+(ap+Z234-$Z$1)/APtoDPS*MHnorm+170)*(1+sa*0.1+0.04*opp+0.02*agg+Slayer4value-1),IF(instatk="hemo",Slayer4value*(MHavg+(ap+Z234-$Z$1)/APtoDPS*MHnorm)*(1.1+talSCallInstBon)+420*(1+raidcrit)*debuffon,IF(instatk="ss",(MHavg+(ap+Z234-$Z$1)/APtoDPS*MHnorm+98)*(1+sa*0.1+0.02*agg+Slayer4value-1),IF(instatk="v",(ohavg+(ap+Z234-$Z$1)/APtoDPS*OHnorm)*(1+sa*0.1)*(0.5+0.05*dws)+avipdam,Slayer4value*((1+0.04*opp)*(MHavg+101+(ap+Z234-$Z$1)/APtoDPS*MHnorm+(0.5+0.05*dws)*(ohavg+(ap+Z234-$Z$1)/APtoDPS*OHnorm)+101*(1+0.1*dws))*(1+0.5*IF(Talents!$O$18="Yes",1,0)))))))*(instactualhit+(1+((leth*0.06+2)-1)*(cfact-1))*instactualcrit)*fwfactor*AB234*instsec*(AF234/$AN$45))</f>
        <v>290.78918279358999</v>
      </c>
      <c r="AH234" s="25">
        <f t="shared" si="140"/>
        <v>0</v>
      </c>
      <c r="AI234" s="25">
        <f t="shared" si="141"/>
        <v>0</v>
      </c>
      <c r="AJ234" s="25">
        <f t="shared" si="142"/>
        <v>0</v>
      </c>
    </row>
    <row r="235" spans="1:36">
      <c r="A235">
        <f t="shared" si="123"/>
        <v>232</v>
      </c>
      <c r="B235">
        <f t="shared" si="131"/>
        <v>5</v>
      </c>
      <c r="C235">
        <f t="shared" si="109"/>
        <v>240</v>
      </c>
      <c r="D235">
        <f t="shared" si="124"/>
        <v>0</v>
      </c>
      <c r="E235">
        <f t="shared" si="143"/>
        <v>4</v>
      </c>
      <c r="F235">
        <f t="shared" si="110"/>
        <v>270</v>
      </c>
      <c r="G235">
        <f t="shared" si="125"/>
        <v>0</v>
      </c>
      <c r="H235">
        <f t="shared" si="132"/>
        <v>3</v>
      </c>
      <c r="I235">
        <f t="shared" si="111"/>
        <v>240</v>
      </c>
      <c r="J235">
        <f t="shared" si="126"/>
        <v>0</v>
      </c>
      <c r="K235">
        <f t="shared" si="133"/>
        <v>3</v>
      </c>
      <c r="L235">
        <f t="shared" si="112"/>
        <v>360</v>
      </c>
      <c r="M235">
        <f t="shared" si="127"/>
        <v>0</v>
      </c>
      <c r="N235">
        <f t="shared" si="134"/>
        <v>2</v>
      </c>
      <c r="O235">
        <f t="shared" si="113"/>
        <v>300</v>
      </c>
      <c r="P235">
        <f t="shared" si="135"/>
        <v>0</v>
      </c>
      <c r="Q235">
        <f t="shared" si="136"/>
        <v>2</v>
      </c>
      <c r="R235">
        <f t="shared" si="114"/>
        <v>300</v>
      </c>
      <c r="S235">
        <f t="shared" si="137"/>
        <v>0</v>
      </c>
      <c r="T235">
        <f t="shared" si="138"/>
        <v>-1</v>
      </c>
      <c r="U235">
        <f t="shared" si="128"/>
        <v>0</v>
      </c>
      <c r="V235">
        <f t="shared" si="129"/>
        <v>1</v>
      </c>
      <c r="W235">
        <f t="shared" si="115"/>
        <v>0</v>
      </c>
      <c r="X235">
        <f t="shared" si="139"/>
        <v>0</v>
      </c>
      <c r="Y235">
        <f t="shared" si="116"/>
        <v>0</v>
      </c>
      <c r="Z235">
        <f t="shared" si="117"/>
        <v>0</v>
      </c>
      <c r="AA235">
        <f t="shared" si="118"/>
        <v>0</v>
      </c>
      <c r="AB235" s="29">
        <f t="shared" si="119"/>
        <v>0.74178816089935007</v>
      </c>
      <c r="AC235" s="25">
        <f t="shared" si="120"/>
        <v>127.49804426656831</v>
      </c>
      <c r="AD235" s="29">
        <f t="shared" si="121"/>
        <v>1.0808524183153847</v>
      </c>
      <c r="AE235" s="25">
        <f t="shared" si="130"/>
        <v>13.243681724743192</v>
      </c>
      <c r="AF235" s="25">
        <f t="shared" si="122"/>
        <v>13.243681724743192</v>
      </c>
      <c r="AG235" s="25">
        <f>IF($A235&lt;0,0,IF(instatk="bs",(1.5+talSCallInstBon)*(MHavg+(ap+Z235-$Z$1)/APtoDPS*MHnorm+170)*(1+sa*0.1+0.04*opp+0.02*agg+Slayer4value-1),IF(instatk="hemo",Slayer4value*(MHavg+(ap+Z235-$Z$1)/APtoDPS*MHnorm)*(1.1+talSCallInstBon)+420*(1+raidcrit)*debuffon,IF(instatk="ss",(MHavg+(ap+Z235-$Z$1)/APtoDPS*MHnorm+98)*(1+sa*0.1+0.02*agg+Slayer4value-1),IF(instatk="v",(ohavg+(ap+Z235-$Z$1)/APtoDPS*OHnorm)*(1+sa*0.1)*(0.5+0.05*dws)+avipdam,Slayer4value*((1+0.04*opp)*(MHavg+101+(ap+Z235-$Z$1)/APtoDPS*MHnorm+(0.5+0.05*dws)*(ohavg+(ap+Z235-$Z$1)/APtoDPS*OHnorm)+101*(1+0.1*dws))*(1+0.5*IF(Talents!$O$18="Yes",1,0)))))))*(instactualhit+(1+((leth*0.06+2)-1)*(cfact-1))*instactualcrit)*fwfactor*AB235*instsec*(AF235/$AN$45))</f>
        <v>290.78918279358999</v>
      </c>
      <c r="AH235" s="25">
        <f t="shared" si="140"/>
        <v>0</v>
      </c>
      <c r="AI235" s="25">
        <f t="shared" si="141"/>
        <v>0</v>
      </c>
      <c r="AJ235" s="25">
        <f t="shared" si="142"/>
        <v>0</v>
      </c>
    </row>
    <row r="236" spans="1:36">
      <c r="A236">
        <f t="shared" si="123"/>
        <v>233</v>
      </c>
      <c r="B236">
        <f t="shared" si="131"/>
        <v>5</v>
      </c>
      <c r="C236">
        <f t="shared" si="109"/>
        <v>240</v>
      </c>
      <c r="D236">
        <f t="shared" si="124"/>
        <v>0</v>
      </c>
      <c r="E236">
        <f t="shared" si="143"/>
        <v>4</v>
      </c>
      <c r="F236">
        <f t="shared" si="110"/>
        <v>270</v>
      </c>
      <c r="G236">
        <f t="shared" si="125"/>
        <v>0</v>
      </c>
      <c r="H236">
        <f t="shared" si="132"/>
        <v>3</v>
      </c>
      <c r="I236">
        <f t="shared" si="111"/>
        <v>240</v>
      </c>
      <c r="J236">
        <f t="shared" si="126"/>
        <v>0</v>
      </c>
      <c r="K236">
        <f t="shared" si="133"/>
        <v>3</v>
      </c>
      <c r="L236">
        <f t="shared" si="112"/>
        <v>360</v>
      </c>
      <c r="M236">
        <f t="shared" si="127"/>
        <v>0</v>
      </c>
      <c r="N236">
        <f t="shared" si="134"/>
        <v>2</v>
      </c>
      <c r="O236">
        <f t="shared" si="113"/>
        <v>300</v>
      </c>
      <c r="P236">
        <f t="shared" si="135"/>
        <v>0</v>
      </c>
      <c r="Q236">
        <f t="shared" si="136"/>
        <v>2</v>
      </c>
      <c r="R236">
        <f t="shared" si="114"/>
        <v>300</v>
      </c>
      <c r="S236">
        <f t="shared" si="137"/>
        <v>0</v>
      </c>
      <c r="T236">
        <f t="shared" si="138"/>
        <v>-1</v>
      </c>
      <c r="U236">
        <f t="shared" si="128"/>
        <v>0</v>
      </c>
      <c r="V236">
        <f t="shared" si="129"/>
        <v>1</v>
      </c>
      <c r="W236">
        <f t="shared" si="115"/>
        <v>0</v>
      </c>
      <c r="X236">
        <f t="shared" si="139"/>
        <v>0</v>
      </c>
      <c r="Y236">
        <f t="shared" si="116"/>
        <v>0</v>
      </c>
      <c r="Z236">
        <f t="shared" si="117"/>
        <v>0</v>
      </c>
      <c r="AA236">
        <f t="shared" si="118"/>
        <v>0</v>
      </c>
      <c r="AB236" s="29">
        <f t="shared" si="119"/>
        <v>0.74178816089935007</v>
      </c>
      <c r="AC236" s="25">
        <f t="shared" si="120"/>
        <v>127.49804426656831</v>
      </c>
      <c r="AD236" s="29">
        <f t="shared" si="121"/>
        <v>1.0808524183153847</v>
      </c>
      <c r="AE236" s="25">
        <f t="shared" si="130"/>
        <v>13.243681724743192</v>
      </c>
      <c r="AF236" s="25">
        <f t="shared" si="122"/>
        <v>13.243681724743192</v>
      </c>
      <c r="AG236" s="25">
        <f>IF($A236&lt;0,0,IF(instatk="bs",(1.5+talSCallInstBon)*(MHavg+(ap+Z236-$Z$1)/APtoDPS*MHnorm+170)*(1+sa*0.1+0.04*opp+0.02*agg+Slayer4value-1),IF(instatk="hemo",Slayer4value*(MHavg+(ap+Z236-$Z$1)/APtoDPS*MHnorm)*(1.1+talSCallInstBon)+420*(1+raidcrit)*debuffon,IF(instatk="ss",(MHavg+(ap+Z236-$Z$1)/APtoDPS*MHnorm+98)*(1+sa*0.1+0.02*agg+Slayer4value-1),IF(instatk="v",(ohavg+(ap+Z236-$Z$1)/APtoDPS*OHnorm)*(1+sa*0.1)*(0.5+0.05*dws)+avipdam,Slayer4value*((1+0.04*opp)*(MHavg+101+(ap+Z236-$Z$1)/APtoDPS*MHnorm+(0.5+0.05*dws)*(ohavg+(ap+Z236-$Z$1)/APtoDPS*OHnorm)+101*(1+0.1*dws))*(1+0.5*IF(Talents!$O$18="Yes",1,0)))))))*(instactualhit+(1+((leth*0.06+2)-1)*(cfact-1))*instactualcrit)*fwfactor*AB236*instsec*(AF236/$AN$45))</f>
        <v>290.78918279358999</v>
      </c>
      <c r="AH236" s="25">
        <f t="shared" si="140"/>
        <v>0</v>
      </c>
      <c r="AI236" s="25">
        <f t="shared" si="141"/>
        <v>0</v>
      </c>
      <c r="AJ236" s="25">
        <f t="shared" si="142"/>
        <v>0</v>
      </c>
    </row>
    <row r="237" spans="1:36">
      <c r="A237">
        <f t="shared" si="123"/>
        <v>234</v>
      </c>
      <c r="B237">
        <f t="shared" si="131"/>
        <v>5</v>
      </c>
      <c r="C237">
        <f t="shared" si="109"/>
        <v>240</v>
      </c>
      <c r="D237">
        <f t="shared" si="124"/>
        <v>0</v>
      </c>
      <c r="E237">
        <f t="shared" si="143"/>
        <v>4</v>
      </c>
      <c r="F237">
        <f t="shared" si="110"/>
        <v>270</v>
      </c>
      <c r="G237">
        <f t="shared" si="125"/>
        <v>0</v>
      </c>
      <c r="H237">
        <f t="shared" si="132"/>
        <v>3</v>
      </c>
      <c r="I237">
        <f t="shared" si="111"/>
        <v>240</v>
      </c>
      <c r="J237">
        <f t="shared" si="126"/>
        <v>0</v>
      </c>
      <c r="K237">
        <f t="shared" si="133"/>
        <v>3</v>
      </c>
      <c r="L237">
        <f t="shared" si="112"/>
        <v>360</v>
      </c>
      <c r="M237">
        <f t="shared" si="127"/>
        <v>0</v>
      </c>
      <c r="N237">
        <f t="shared" si="134"/>
        <v>2</v>
      </c>
      <c r="O237">
        <f t="shared" si="113"/>
        <v>300</v>
      </c>
      <c r="P237">
        <f t="shared" si="135"/>
        <v>0</v>
      </c>
      <c r="Q237">
        <f t="shared" si="136"/>
        <v>2</v>
      </c>
      <c r="R237">
        <f t="shared" si="114"/>
        <v>300</v>
      </c>
      <c r="S237">
        <f t="shared" si="137"/>
        <v>0</v>
      </c>
      <c r="T237">
        <f t="shared" si="138"/>
        <v>-1</v>
      </c>
      <c r="U237">
        <f t="shared" si="128"/>
        <v>0</v>
      </c>
      <c r="V237">
        <f t="shared" si="129"/>
        <v>1</v>
      </c>
      <c r="W237">
        <f t="shared" si="115"/>
        <v>0</v>
      </c>
      <c r="X237">
        <f t="shared" si="139"/>
        <v>0</v>
      </c>
      <c r="Y237">
        <f t="shared" si="116"/>
        <v>0</v>
      </c>
      <c r="Z237">
        <f t="shared" si="117"/>
        <v>0</v>
      </c>
      <c r="AA237">
        <f t="shared" si="118"/>
        <v>0</v>
      </c>
      <c r="AB237" s="29">
        <f t="shared" si="119"/>
        <v>0.74178816089935007</v>
      </c>
      <c r="AC237" s="25">
        <f t="shared" si="120"/>
        <v>127.49804426656831</v>
      </c>
      <c r="AD237" s="29">
        <f t="shared" si="121"/>
        <v>1.0808524183153847</v>
      </c>
      <c r="AE237" s="25">
        <f t="shared" si="130"/>
        <v>13.243681724743192</v>
      </c>
      <c r="AF237" s="25">
        <f t="shared" si="122"/>
        <v>13.243681724743192</v>
      </c>
      <c r="AG237" s="25">
        <f>IF($A237&lt;0,0,IF(instatk="bs",(1.5+talSCallInstBon)*(MHavg+(ap+Z237-$Z$1)/APtoDPS*MHnorm+170)*(1+sa*0.1+0.04*opp+0.02*agg+Slayer4value-1),IF(instatk="hemo",Slayer4value*(MHavg+(ap+Z237-$Z$1)/APtoDPS*MHnorm)*(1.1+talSCallInstBon)+420*(1+raidcrit)*debuffon,IF(instatk="ss",(MHavg+(ap+Z237-$Z$1)/APtoDPS*MHnorm+98)*(1+sa*0.1+0.02*agg+Slayer4value-1),IF(instatk="v",(ohavg+(ap+Z237-$Z$1)/APtoDPS*OHnorm)*(1+sa*0.1)*(0.5+0.05*dws)+avipdam,Slayer4value*((1+0.04*opp)*(MHavg+101+(ap+Z237-$Z$1)/APtoDPS*MHnorm+(0.5+0.05*dws)*(ohavg+(ap+Z237-$Z$1)/APtoDPS*OHnorm)+101*(1+0.1*dws))*(1+0.5*IF(Talents!$O$18="Yes",1,0)))))))*(instactualhit+(1+((leth*0.06+2)-1)*(cfact-1))*instactualcrit)*fwfactor*AB237*instsec*(AF237/$AN$45))</f>
        <v>290.78918279358999</v>
      </c>
      <c r="AH237" s="25">
        <f t="shared" si="140"/>
        <v>0</v>
      </c>
      <c r="AI237" s="25">
        <f t="shared" si="141"/>
        <v>0</v>
      </c>
      <c r="AJ237" s="25">
        <f t="shared" si="142"/>
        <v>0</v>
      </c>
    </row>
    <row r="238" spans="1:36">
      <c r="A238">
        <f t="shared" si="123"/>
        <v>235</v>
      </c>
      <c r="B238">
        <f t="shared" si="131"/>
        <v>5</v>
      </c>
      <c r="C238">
        <f t="shared" si="109"/>
        <v>240</v>
      </c>
      <c r="D238">
        <f t="shared" si="124"/>
        <v>0</v>
      </c>
      <c r="E238">
        <f t="shared" si="143"/>
        <v>4</v>
      </c>
      <c r="F238">
        <f t="shared" si="110"/>
        <v>270</v>
      </c>
      <c r="G238">
        <f t="shared" si="125"/>
        <v>0</v>
      </c>
      <c r="H238">
        <f t="shared" si="132"/>
        <v>3</v>
      </c>
      <c r="I238">
        <f t="shared" si="111"/>
        <v>240</v>
      </c>
      <c r="J238">
        <f t="shared" si="126"/>
        <v>0</v>
      </c>
      <c r="K238">
        <f t="shared" si="133"/>
        <v>3</v>
      </c>
      <c r="L238">
        <f t="shared" si="112"/>
        <v>360</v>
      </c>
      <c r="M238">
        <f t="shared" si="127"/>
        <v>0</v>
      </c>
      <c r="N238">
        <f t="shared" si="134"/>
        <v>2</v>
      </c>
      <c r="O238">
        <f t="shared" si="113"/>
        <v>300</v>
      </c>
      <c r="P238">
        <f t="shared" si="135"/>
        <v>0</v>
      </c>
      <c r="Q238">
        <f t="shared" si="136"/>
        <v>2</v>
      </c>
      <c r="R238">
        <f t="shared" si="114"/>
        <v>300</v>
      </c>
      <c r="S238">
        <f t="shared" si="137"/>
        <v>0</v>
      </c>
      <c r="T238">
        <f t="shared" si="138"/>
        <v>-1</v>
      </c>
      <c r="U238">
        <f t="shared" si="128"/>
        <v>0</v>
      </c>
      <c r="V238">
        <f t="shared" si="129"/>
        <v>1</v>
      </c>
      <c r="W238">
        <f t="shared" si="115"/>
        <v>0</v>
      </c>
      <c r="X238">
        <f t="shared" si="139"/>
        <v>0</v>
      </c>
      <c r="Y238">
        <f t="shared" si="116"/>
        <v>0</v>
      </c>
      <c r="Z238">
        <f t="shared" si="117"/>
        <v>0</v>
      </c>
      <c r="AA238">
        <f t="shared" si="118"/>
        <v>0</v>
      </c>
      <c r="AB238" s="29">
        <f t="shared" si="119"/>
        <v>0.74178816089935007</v>
      </c>
      <c r="AC238" s="25">
        <f t="shared" si="120"/>
        <v>127.49804426656831</v>
      </c>
      <c r="AD238" s="29">
        <f t="shared" si="121"/>
        <v>1.0808524183153847</v>
      </c>
      <c r="AE238" s="25">
        <f t="shared" si="130"/>
        <v>13.243681724743192</v>
      </c>
      <c r="AF238" s="25">
        <f t="shared" si="122"/>
        <v>13.243681724743192</v>
      </c>
      <c r="AG238" s="25">
        <f>IF($A238&lt;0,0,IF(instatk="bs",(1.5+talSCallInstBon)*(MHavg+(ap+Z238-$Z$1)/APtoDPS*MHnorm+170)*(1+sa*0.1+0.04*opp+0.02*agg+Slayer4value-1),IF(instatk="hemo",Slayer4value*(MHavg+(ap+Z238-$Z$1)/APtoDPS*MHnorm)*(1.1+talSCallInstBon)+420*(1+raidcrit)*debuffon,IF(instatk="ss",(MHavg+(ap+Z238-$Z$1)/APtoDPS*MHnorm+98)*(1+sa*0.1+0.02*agg+Slayer4value-1),IF(instatk="v",(ohavg+(ap+Z238-$Z$1)/APtoDPS*OHnorm)*(1+sa*0.1)*(0.5+0.05*dws)+avipdam,Slayer4value*((1+0.04*opp)*(MHavg+101+(ap+Z238-$Z$1)/APtoDPS*MHnorm+(0.5+0.05*dws)*(ohavg+(ap+Z238-$Z$1)/APtoDPS*OHnorm)+101*(1+0.1*dws))*(1+0.5*IF(Talents!$O$18="Yes",1,0)))))))*(instactualhit+(1+((leth*0.06+2)-1)*(cfact-1))*instactualcrit)*fwfactor*AB238*instsec*(AF238/$AN$45))</f>
        <v>290.78918279358999</v>
      </c>
      <c r="AH238" s="25">
        <f t="shared" si="140"/>
        <v>0</v>
      </c>
      <c r="AI238" s="25">
        <f t="shared" si="141"/>
        <v>0</v>
      </c>
      <c r="AJ238" s="25">
        <f t="shared" si="142"/>
        <v>0</v>
      </c>
    </row>
    <row r="239" spans="1:36">
      <c r="A239">
        <f t="shared" si="123"/>
        <v>236</v>
      </c>
      <c r="B239">
        <f t="shared" si="131"/>
        <v>5</v>
      </c>
      <c r="C239">
        <f t="shared" si="109"/>
        <v>240</v>
      </c>
      <c r="D239">
        <f t="shared" si="124"/>
        <v>0</v>
      </c>
      <c r="E239">
        <f t="shared" si="143"/>
        <v>4</v>
      </c>
      <c r="F239">
        <f t="shared" si="110"/>
        <v>270</v>
      </c>
      <c r="G239">
        <f t="shared" si="125"/>
        <v>0</v>
      </c>
      <c r="H239">
        <f t="shared" si="132"/>
        <v>3</v>
      </c>
      <c r="I239">
        <f t="shared" si="111"/>
        <v>240</v>
      </c>
      <c r="J239">
        <f t="shared" si="126"/>
        <v>0</v>
      </c>
      <c r="K239">
        <f t="shared" si="133"/>
        <v>3</v>
      </c>
      <c r="L239">
        <f t="shared" si="112"/>
        <v>360</v>
      </c>
      <c r="M239">
        <f t="shared" si="127"/>
        <v>0</v>
      </c>
      <c r="N239">
        <f t="shared" si="134"/>
        <v>2</v>
      </c>
      <c r="O239">
        <f t="shared" si="113"/>
        <v>300</v>
      </c>
      <c r="P239">
        <f t="shared" si="135"/>
        <v>0</v>
      </c>
      <c r="Q239">
        <f t="shared" si="136"/>
        <v>2</v>
      </c>
      <c r="R239">
        <f t="shared" si="114"/>
        <v>300</v>
      </c>
      <c r="S239">
        <f t="shared" si="137"/>
        <v>0</v>
      </c>
      <c r="T239">
        <f t="shared" si="138"/>
        <v>-1</v>
      </c>
      <c r="U239">
        <f t="shared" si="128"/>
        <v>0</v>
      </c>
      <c r="V239">
        <f t="shared" si="129"/>
        <v>1</v>
      </c>
      <c r="W239">
        <f t="shared" si="115"/>
        <v>0</v>
      </c>
      <c r="X239">
        <f t="shared" si="139"/>
        <v>0</v>
      </c>
      <c r="Y239">
        <f t="shared" si="116"/>
        <v>0</v>
      </c>
      <c r="Z239">
        <f t="shared" si="117"/>
        <v>0</v>
      </c>
      <c r="AA239">
        <f t="shared" si="118"/>
        <v>0</v>
      </c>
      <c r="AB239" s="29">
        <f t="shared" si="119"/>
        <v>0.74178816089935007</v>
      </c>
      <c r="AC239" s="25">
        <f t="shared" si="120"/>
        <v>127.49804426656831</v>
      </c>
      <c r="AD239" s="29">
        <f t="shared" si="121"/>
        <v>1.0808524183153847</v>
      </c>
      <c r="AE239" s="25">
        <f t="shared" si="130"/>
        <v>13.243681724743192</v>
      </c>
      <c r="AF239" s="25">
        <f t="shared" si="122"/>
        <v>13.243681724743192</v>
      </c>
      <c r="AG239" s="25">
        <f>IF($A239&lt;0,0,IF(instatk="bs",(1.5+talSCallInstBon)*(MHavg+(ap+Z239-$Z$1)/APtoDPS*MHnorm+170)*(1+sa*0.1+0.04*opp+0.02*agg+Slayer4value-1),IF(instatk="hemo",Slayer4value*(MHavg+(ap+Z239-$Z$1)/APtoDPS*MHnorm)*(1.1+talSCallInstBon)+420*(1+raidcrit)*debuffon,IF(instatk="ss",(MHavg+(ap+Z239-$Z$1)/APtoDPS*MHnorm+98)*(1+sa*0.1+0.02*agg+Slayer4value-1),IF(instatk="v",(ohavg+(ap+Z239-$Z$1)/APtoDPS*OHnorm)*(1+sa*0.1)*(0.5+0.05*dws)+avipdam,Slayer4value*((1+0.04*opp)*(MHavg+101+(ap+Z239-$Z$1)/APtoDPS*MHnorm+(0.5+0.05*dws)*(ohavg+(ap+Z239-$Z$1)/APtoDPS*OHnorm)+101*(1+0.1*dws))*(1+0.5*IF(Talents!$O$18="Yes",1,0)))))))*(instactualhit+(1+((leth*0.06+2)-1)*(cfact-1))*instactualcrit)*fwfactor*AB239*instsec*(AF239/$AN$45))</f>
        <v>290.78918279358999</v>
      </c>
      <c r="AH239" s="25">
        <f t="shared" si="140"/>
        <v>0</v>
      </c>
      <c r="AI239" s="25">
        <f t="shared" si="141"/>
        <v>0</v>
      </c>
      <c r="AJ239" s="25">
        <f t="shared" si="142"/>
        <v>0</v>
      </c>
    </row>
    <row r="240" spans="1:36">
      <c r="A240">
        <f t="shared" si="123"/>
        <v>237</v>
      </c>
      <c r="B240">
        <f t="shared" si="131"/>
        <v>5</v>
      </c>
      <c r="C240">
        <f t="shared" si="109"/>
        <v>240</v>
      </c>
      <c r="D240">
        <f t="shared" si="124"/>
        <v>0</v>
      </c>
      <c r="E240">
        <f t="shared" si="143"/>
        <v>4</v>
      </c>
      <c r="F240">
        <f t="shared" si="110"/>
        <v>270</v>
      </c>
      <c r="G240">
        <f t="shared" si="125"/>
        <v>0</v>
      </c>
      <c r="H240">
        <f t="shared" si="132"/>
        <v>3</v>
      </c>
      <c r="I240">
        <f t="shared" si="111"/>
        <v>240</v>
      </c>
      <c r="J240">
        <f t="shared" si="126"/>
        <v>0</v>
      </c>
      <c r="K240">
        <f t="shared" si="133"/>
        <v>3</v>
      </c>
      <c r="L240">
        <f t="shared" si="112"/>
        <v>360</v>
      </c>
      <c r="M240">
        <f t="shared" si="127"/>
        <v>0</v>
      </c>
      <c r="N240">
        <f t="shared" si="134"/>
        <v>2</v>
      </c>
      <c r="O240">
        <f t="shared" si="113"/>
        <v>300</v>
      </c>
      <c r="P240">
        <f t="shared" si="135"/>
        <v>0</v>
      </c>
      <c r="Q240">
        <f t="shared" si="136"/>
        <v>2</v>
      </c>
      <c r="R240">
        <f t="shared" si="114"/>
        <v>300</v>
      </c>
      <c r="S240">
        <f t="shared" si="137"/>
        <v>0</v>
      </c>
      <c r="T240">
        <f t="shared" si="138"/>
        <v>-1</v>
      </c>
      <c r="U240">
        <f t="shared" si="128"/>
        <v>0</v>
      </c>
      <c r="V240">
        <f t="shared" si="129"/>
        <v>1</v>
      </c>
      <c r="W240">
        <f t="shared" si="115"/>
        <v>0</v>
      </c>
      <c r="X240">
        <f t="shared" si="139"/>
        <v>0</v>
      </c>
      <c r="Y240">
        <f t="shared" si="116"/>
        <v>0</v>
      </c>
      <c r="Z240">
        <f t="shared" si="117"/>
        <v>0</v>
      </c>
      <c r="AA240">
        <f t="shared" si="118"/>
        <v>0</v>
      </c>
      <c r="AB240" s="29">
        <f t="shared" si="119"/>
        <v>0.74178816089935007</v>
      </c>
      <c r="AC240" s="25">
        <f t="shared" si="120"/>
        <v>127.49804426656831</v>
      </c>
      <c r="AD240" s="29">
        <f t="shared" si="121"/>
        <v>1.0808524183153847</v>
      </c>
      <c r="AE240" s="25">
        <f t="shared" si="130"/>
        <v>13.243681724743192</v>
      </c>
      <c r="AF240" s="25">
        <f t="shared" si="122"/>
        <v>13.243681724743192</v>
      </c>
      <c r="AG240" s="25">
        <f>IF($A240&lt;0,0,IF(instatk="bs",(1.5+talSCallInstBon)*(MHavg+(ap+Z240-$Z$1)/APtoDPS*MHnorm+170)*(1+sa*0.1+0.04*opp+0.02*agg+Slayer4value-1),IF(instatk="hemo",Slayer4value*(MHavg+(ap+Z240-$Z$1)/APtoDPS*MHnorm)*(1.1+talSCallInstBon)+420*(1+raidcrit)*debuffon,IF(instatk="ss",(MHavg+(ap+Z240-$Z$1)/APtoDPS*MHnorm+98)*(1+sa*0.1+0.02*agg+Slayer4value-1),IF(instatk="v",(ohavg+(ap+Z240-$Z$1)/APtoDPS*OHnorm)*(1+sa*0.1)*(0.5+0.05*dws)+avipdam,Slayer4value*((1+0.04*opp)*(MHavg+101+(ap+Z240-$Z$1)/APtoDPS*MHnorm+(0.5+0.05*dws)*(ohavg+(ap+Z240-$Z$1)/APtoDPS*OHnorm)+101*(1+0.1*dws))*(1+0.5*IF(Talents!$O$18="Yes",1,0)))))))*(instactualhit+(1+((leth*0.06+2)-1)*(cfact-1))*instactualcrit)*fwfactor*AB240*instsec*(AF240/$AN$45))</f>
        <v>290.78918279358999</v>
      </c>
      <c r="AH240" s="25">
        <f t="shared" si="140"/>
        <v>0</v>
      </c>
      <c r="AI240" s="25">
        <f t="shared" si="141"/>
        <v>0</v>
      </c>
      <c r="AJ240" s="25">
        <f t="shared" si="142"/>
        <v>0</v>
      </c>
    </row>
    <row r="241" spans="1:36">
      <c r="A241">
        <f t="shared" si="123"/>
        <v>238</v>
      </c>
      <c r="B241">
        <f t="shared" si="131"/>
        <v>5</v>
      </c>
      <c r="C241">
        <f t="shared" si="109"/>
        <v>240</v>
      </c>
      <c r="D241">
        <f t="shared" si="124"/>
        <v>0</v>
      </c>
      <c r="E241">
        <f t="shared" si="143"/>
        <v>4</v>
      </c>
      <c r="F241">
        <f t="shared" si="110"/>
        <v>270</v>
      </c>
      <c r="G241">
        <f t="shared" si="125"/>
        <v>0</v>
      </c>
      <c r="H241">
        <f t="shared" si="132"/>
        <v>3</v>
      </c>
      <c r="I241">
        <f t="shared" si="111"/>
        <v>240</v>
      </c>
      <c r="J241">
        <f t="shared" si="126"/>
        <v>0</v>
      </c>
      <c r="K241">
        <f t="shared" si="133"/>
        <v>3</v>
      </c>
      <c r="L241">
        <f t="shared" si="112"/>
        <v>360</v>
      </c>
      <c r="M241">
        <f t="shared" si="127"/>
        <v>0</v>
      </c>
      <c r="N241">
        <f t="shared" si="134"/>
        <v>2</v>
      </c>
      <c r="O241">
        <f t="shared" si="113"/>
        <v>300</v>
      </c>
      <c r="P241">
        <f t="shared" si="135"/>
        <v>0</v>
      </c>
      <c r="Q241">
        <f t="shared" si="136"/>
        <v>2</v>
      </c>
      <c r="R241">
        <f t="shared" si="114"/>
        <v>300</v>
      </c>
      <c r="S241">
        <f t="shared" si="137"/>
        <v>0</v>
      </c>
      <c r="T241">
        <f t="shared" si="138"/>
        <v>-1</v>
      </c>
      <c r="U241">
        <f t="shared" si="128"/>
        <v>0</v>
      </c>
      <c r="V241">
        <f t="shared" si="129"/>
        <v>1</v>
      </c>
      <c r="W241">
        <f t="shared" si="115"/>
        <v>0</v>
      </c>
      <c r="X241">
        <f t="shared" si="139"/>
        <v>0</v>
      </c>
      <c r="Y241">
        <f t="shared" si="116"/>
        <v>0</v>
      </c>
      <c r="Z241">
        <f t="shared" si="117"/>
        <v>0</v>
      </c>
      <c r="AA241">
        <f t="shared" si="118"/>
        <v>0</v>
      </c>
      <c r="AB241" s="29">
        <f t="shared" si="119"/>
        <v>0.74178816089935007</v>
      </c>
      <c r="AC241" s="25">
        <f t="shared" si="120"/>
        <v>127.49804426656831</v>
      </c>
      <c r="AD241" s="29">
        <f t="shared" si="121"/>
        <v>1.0808524183153847</v>
      </c>
      <c r="AE241" s="25">
        <f t="shared" si="130"/>
        <v>13.243681724743192</v>
      </c>
      <c r="AF241" s="25">
        <f t="shared" si="122"/>
        <v>13.243681724743192</v>
      </c>
      <c r="AG241" s="25">
        <f>IF($A241&lt;0,0,IF(instatk="bs",(1.5+talSCallInstBon)*(MHavg+(ap+Z241-$Z$1)/APtoDPS*MHnorm+170)*(1+sa*0.1+0.04*opp+0.02*agg+Slayer4value-1),IF(instatk="hemo",Slayer4value*(MHavg+(ap+Z241-$Z$1)/APtoDPS*MHnorm)*(1.1+talSCallInstBon)+420*(1+raidcrit)*debuffon,IF(instatk="ss",(MHavg+(ap+Z241-$Z$1)/APtoDPS*MHnorm+98)*(1+sa*0.1+0.02*agg+Slayer4value-1),IF(instatk="v",(ohavg+(ap+Z241-$Z$1)/APtoDPS*OHnorm)*(1+sa*0.1)*(0.5+0.05*dws)+avipdam,Slayer4value*((1+0.04*opp)*(MHavg+101+(ap+Z241-$Z$1)/APtoDPS*MHnorm+(0.5+0.05*dws)*(ohavg+(ap+Z241-$Z$1)/APtoDPS*OHnorm)+101*(1+0.1*dws))*(1+0.5*IF(Talents!$O$18="Yes",1,0)))))))*(instactualhit+(1+((leth*0.06+2)-1)*(cfact-1))*instactualcrit)*fwfactor*AB241*instsec*(AF241/$AN$45))</f>
        <v>290.78918279358999</v>
      </c>
      <c r="AH241" s="25">
        <f t="shared" si="140"/>
        <v>0</v>
      </c>
      <c r="AI241" s="25">
        <f t="shared" si="141"/>
        <v>0</v>
      </c>
      <c r="AJ241" s="25">
        <f t="shared" si="142"/>
        <v>0</v>
      </c>
    </row>
    <row r="242" spans="1:36">
      <c r="A242">
        <f t="shared" si="123"/>
        <v>239</v>
      </c>
      <c r="B242">
        <f t="shared" si="131"/>
        <v>5</v>
      </c>
      <c r="C242">
        <f t="shared" si="109"/>
        <v>240</v>
      </c>
      <c r="D242">
        <f t="shared" si="124"/>
        <v>0</v>
      </c>
      <c r="E242">
        <f t="shared" si="143"/>
        <v>4</v>
      </c>
      <c r="F242">
        <f t="shared" si="110"/>
        <v>270</v>
      </c>
      <c r="G242">
        <f t="shared" si="125"/>
        <v>0</v>
      </c>
      <c r="H242">
        <f t="shared" si="132"/>
        <v>3</v>
      </c>
      <c r="I242">
        <f t="shared" si="111"/>
        <v>240</v>
      </c>
      <c r="J242">
        <f t="shared" si="126"/>
        <v>0</v>
      </c>
      <c r="K242">
        <f t="shared" si="133"/>
        <v>3</v>
      </c>
      <c r="L242">
        <f t="shared" si="112"/>
        <v>360</v>
      </c>
      <c r="M242">
        <f t="shared" si="127"/>
        <v>0</v>
      </c>
      <c r="N242">
        <f t="shared" si="134"/>
        <v>2</v>
      </c>
      <c r="O242">
        <f t="shared" si="113"/>
        <v>300</v>
      </c>
      <c r="P242">
        <f t="shared" si="135"/>
        <v>0</v>
      </c>
      <c r="Q242">
        <f t="shared" si="136"/>
        <v>2</v>
      </c>
      <c r="R242">
        <f t="shared" si="114"/>
        <v>300</v>
      </c>
      <c r="S242">
        <f t="shared" si="137"/>
        <v>0</v>
      </c>
      <c r="T242">
        <f t="shared" si="138"/>
        <v>-1</v>
      </c>
      <c r="U242">
        <f t="shared" si="128"/>
        <v>0</v>
      </c>
      <c r="V242">
        <f t="shared" si="129"/>
        <v>1</v>
      </c>
      <c r="W242">
        <f t="shared" si="115"/>
        <v>0</v>
      </c>
      <c r="X242">
        <f t="shared" si="139"/>
        <v>0</v>
      </c>
      <c r="Y242">
        <f t="shared" si="116"/>
        <v>0</v>
      </c>
      <c r="Z242">
        <f t="shared" si="117"/>
        <v>0</v>
      </c>
      <c r="AA242">
        <f t="shared" si="118"/>
        <v>0</v>
      </c>
      <c r="AB242" s="29">
        <f t="shared" si="119"/>
        <v>0.74178816089935007</v>
      </c>
      <c r="AC242" s="25">
        <f t="shared" si="120"/>
        <v>127.49804426656831</v>
      </c>
      <c r="AD242" s="29">
        <f t="shared" si="121"/>
        <v>1.0808524183153847</v>
      </c>
      <c r="AE242" s="25">
        <f t="shared" si="130"/>
        <v>13.243681724743192</v>
      </c>
      <c r="AF242" s="25">
        <f t="shared" si="122"/>
        <v>13.243681724743192</v>
      </c>
      <c r="AG242" s="25">
        <f>IF($A242&lt;0,0,IF(instatk="bs",(1.5+talSCallInstBon)*(MHavg+(ap+Z242-$Z$1)/APtoDPS*MHnorm+170)*(1+sa*0.1+0.04*opp+0.02*agg+Slayer4value-1),IF(instatk="hemo",Slayer4value*(MHavg+(ap+Z242-$Z$1)/APtoDPS*MHnorm)*(1.1+talSCallInstBon)+420*(1+raidcrit)*debuffon,IF(instatk="ss",(MHavg+(ap+Z242-$Z$1)/APtoDPS*MHnorm+98)*(1+sa*0.1+0.02*agg+Slayer4value-1),IF(instatk="v",(ohavg+(ap+Z242-$Z$1)/APtoDPS*OHnorm)*(1+sa*0.1)*(0.5+0.05*dws)+avipdam,Slayer4value*((1+0.04*opp)*(MHavg+101+(ap+Z242-$Z$1)/APtoDPS*MHnorm+(0.5+0.05*dws)*(ohavg+(ap+Z242-$Z$1)/APtoDPS*OHnorm)+101*(1+0.1*dws))*(1+0.5*IF(Talents!$O$18="Yes",1,0)))))))*(instactualhit+(1+((leth*0.06+2)-1)*(cfact-1))*instactualcrit)*fwfactor*AB242*instsec*(AF242/$AN$45))</f>
        <v>290.78918279358999</v>
      </c>
      <c r="AH242" s="25">
        <f t="shared" si="140"/>
        <v>0</v>
      </c>
      <c r="AI242" s="25">
        <f t="shared" si="141"/>
        <v>0</v>
      </c>
      <c r="AJ242" s="25">
        <f t="shared" si="142"/>
        <v>0</v>
      </c>
    </row>
    <row r="243" spans="1:36">
      <c r="A243">
        <f t="shared" si="123"/>
        <v>240</v>
      </c>
      <c r="B243">
        <f t="shared" si="131"/>
        <v>5</v>
      </c>
      <c r="C243">
        <f t="shared" si="109"/>
        <v>240</v>
      </c>
      <c r="D243">
        <f t="shared" si="124"/>
        <v>1</v>
      </c>
      <c r="E243">
        <f t="shared" si="143"/>
        <v>4</v>
      </c>
      <c r="F243">
        <f t="shared" si="110"/>
        <v>270</v>
      </c>
      <c r="G243">
        <f t="shared" si="125"/>
        <v>0</v>
      </c>
      <c r="H243">
        <f t="shared" si="132"/>
        <v>3</v>
      </c>
      <c r="I243">
        <f t="shared" si="111"/>
        <v>240</v>
      </c>
      <c r="J243">
        <f t="shared" si="126"/>
        <v>1</v>
      </c>
      <c r="K243">
        <f t="shared" si="133"/>
        <v>3</v>
      </c>
      <c r="L243">
        <f t="shared" si="112"/>
        <v>360</v>
      </c>
      <c r="M243">
        <f t="shared" si="127"/>
        <v>0</v>
      </c>
      <c r="N243">
        <f t="shared" si="134"/>
        <v>2</v>
      </c>
      <c r="O243">
        <f t="shared" si="113"/>
        <v>300</v>
      </c>
      <c r="P243">
        <f t="shared" si="135"/>
        <v>0</v>
      </c>
      <c r="Q243">
        <f t="shared" si="136"/>
        <v>2</v>
      </c>
      <c r="R243">
        <f t="shared" si="114"/>
        <v>300</v>
      </c>
      <c r="S243">
        <f t="shared" si="137"/>
        <v>0</v>
      </c>
      <c r="T243">
        <f t="shared" si="138"/>
        <v>-1</v>
      </c>
      <c r="U243">
        <f t="shared" si="128"/>
        <v>0</v>
      </c>
      <c r="V243">
        <f t="shared" si="129"/>
        <v>1</v>
      </c>
      <c r="W243">
        <f t="shared" si="115"/>
        <v>0</v>
      </c>
      <c r="X243">
        <f t="shared" si="139"/>
        <v>0</v>
      </c>
      <c r="Y243">
        <f t="shared" si="116"/>
        <v>0</v>
      </c>
      <c r="Z243">
        <f t="shared" si="117"/>
        <v>278</v>
      </c>
      <c r="AA243">
        <f t="shared" si="118"/>
        <v>0</v>
      </c>
      <c r="AB243" s="29">
        <f t="shared" si="119"/>
        <v>0.74178816089935007</v>
      </c>
      <c r="AC243" s="25">
        <f t="shared" si="120"/>
        <v>607.49804426656829</v>
      </c>
      <c r="AD243" s="29">
        <f t="shared" si="121"/>
        <v>1.6622911946613885</v>
      </c>
      <c r="AE243" s="25">
        <f t="shared" si="130"/>
        <v>-11.756318275256808</v>
      </c>
      <c r="AF243" s="25">
        <f t="shared" si="122"/>
        <v>-11.756318275256808</v>
      </c>
      <c r="AG243" s="25">
        <f>IF($A243&lt;0,0,IF(instatk="bs",(1.5+talSCallInstBon)*(MHavg+(ap+Z243-$Z$1)/APtoDPS*MHnorm+170)*(1+sa*0.1+0.04*opp+0.02*agg+Slayer4value-1),IF(instatk="hemo",Slayer4value*(MHavg+(ap+Z243-$Z$1)/APtoDPS*MHnorm)*(1.1+talSCallInstBon)+420*(1+raidcrit)*debuffon,IF(instatk="ss",(MHavg+(ap+Z243-$Z$1)/APtoDPS*MHnorm+98)*(1+sa*0.1+0.02*agg+Slayer4value-1),IF(instatk="v",(ohavg+(ap+Z243-$Z$1)/APtoDPS*OHnorm)*(1+sa*0.1)*(0.5+0.05*dws)+avipdam,Slayer4value*((1+0.04*opp)*(MHavg+101+(ap+Z243-$Z$1)/APtoDPS*MHnorm+(0.5+0.05*dws)*(ohavg+(ap+Z243-$Z$1)/APtoDPS*OHnorm)+101*(1+0.1*dws))*(1+0.5*IF(Talents!$O$18="Yes",1,0)))))))*(instactualhit+(1+((leth*0.06+2)-1)*(cfact-1))*instactualcrit)*fwfactor*AB243*instsec*(AF243/$AN$45))</f>
        <v>-272.80074649840844</v>
      </c>
      <c r="AH243" s="25">
        <f t="shared" si="140"/>
        <v>11.756318275256808</v>
      </c>
      <c r="AI243" s="25">
        <f t="shared" si="141"/>
        <v>11.756318275256808</v>
      </c>
      <c r="AJ243" s="25">
        <f t="shared" si="142"/>
        <v>11.756318275256808</v>
      </c>
    </row>
    <row r="244" spans="1:36">
      <c r="A244">
        <f t="shared" si="123"/>
        <v>241</v>
      </c>
      <c r="B244">
        <f t="shared" si="131"/>
        <v>6</v>
      </c>
      <c r="C244">
        <f t="shared" si="109"/>
        <v>300</v>
      </c>
      <c r="D244">
        <f t="shared" si="124"/>
        <v>2</v>
      </c>
      <c r="E244">
        <f t="shared" si="143"/>
        <v>4</v>
      </c>
      <c r="F244">
        <f t="shared" si="110"/>
        <v>270</v>
      </c>
      <c r="G244">
        <f t="shared" si="125"/>
        <v>0</v>
      </c>
      <c r="H244">
        <f t="shared" si="132"/>
        <v>4</v>
      </c>
      <c r="I244">
        <f t="shared" si="111"/>
        <v>360</v>
      </c>
      <c r="J244">
        <f t="shared" si="126"/>
        <v>2</v>
      </c>
      <c r="K244">
        <f t="shared" si="133"/>
        <v>3</v>
      </c>
      <c r="L244">
        <f t="shared" si="112"/>
        <v>360</v>
      </c>
      <c r="M244">
        <f t="shared" si="127"/>
        <v>0</v>
      </c>
      <c r="N244">
        <f t="shared" si="134"/>
        <v>2</v>
      </c>
      <c r="O244">
        <f t="shared" si="113"/>
        <v>300</v>
      </c>
      <c r="P244">
        <f t="shared" si="135"/>
        <v>0</v>
      </c>
      <c r="Q244">
        <f t="shared" si="136"/>
        <v>2</v>
      </c>
      <c r="R244">
        <f t="shared" si="114"/>
        <v>300</v>
      </c>
      <c r="S244">
        <f t="shared" si="137"/>
        <v>0</v>
      </c>
      <c r="T244">
        <f t="shared" si="138"/>
        <v>-1</v>
      </c>
      <c r="U244">
        <f t="shared" si="128"/>
        <v>0</v>
      </c>
      <c r="V244">
        <f t="shared" si="129"/>
        <v>1</v>
      </c>
      <c r="W244">
        <f t="shared" si="115"/>
        <v>0</v>
      </c>
      <c r="X244">
        <f t="shared" si="139"/>
        <v>0</v>
      </c>
      <c r="Y244">
        <f t="shared" si="116"/>
        <v>0</v>
      </c>
      <c r="Z244">
        <f t="shared" si="117"/>
        <v>278</v>
      </c>
      <c r="AA244">
        <f t="shared" si="118"/>
        <v>0</v>
      </c>
      <c r="AB244" s="29">
        <f t="shared" si="119"/>
        <v>0.74178816089935007</v>
      </c>
      <c r="AC244" s="25">
        <f t="shared" si="120"/>
        <v>607.49804426656829</v>
      </c>
      <c r="AD244" s="29">
        <f t="shared" si="121"/>
        <v>1.6622911946613885</v>
      </c>
      <c r="AE244" s="25">
        <f t="shared" si="130"/>
        <v>13.243681724743192</v>
      </c>
      <c r="AF244" s="25">
        <f t="shared" si="122"/>
        <v>13.243681724743192</v>
      </c>
      <c r="AG244" s="25">
        <f>IF($A244&lt;0,0,IF(instatk="bs",(1.5+talSCallInstBon)*(MHavg+(ap+Z244-$Z$1)/APtoDPS*MHnorm+170)*(1+sa*0.1+0.04*opp+0.02*agg+Slayer4value-1),IF(instatk="hemo",Slayer4value*(MHavg+(ap+Z244-$Z$1)/APtoDPS*MHnorm)*(1.1+talSCallInstBon)+420*(1+raidcrit)*debuffon,IF(instatk="ss",(MHavg+(ap+Z244-$Z$1)/APtoDPS*MHnorm+98)*(1+sa*0.1+0.02*agg+Slayer4value-1),IF(instatk="v",(ohavg+(ap+Z244-$Z$1)/APtoDPS*OHnorm)*(1+sa*0.1)*(0.5+0.05*dws)+avipdam,Slayer4value*((1+0.04*opp)*(MHavg+101+(ap+Z244-$Z$1)/APtoDPS*MHnorm+(0.5+0.05*dws)*(ohavg+(ap+Z244-$Z$1)/APtoDPS*OHnorm)+101*(1+0.1*dws))*(1+0.5*IF(Talents!$O$18="Yes",1,0)))))))*(instactualhit+(1+((leth*0.06+2)-1)*(cfact-1))*instactualcrit)*fwfactor*AB244*instsec*(AF244/$AN$45))</f>
        <v>307.31443095592368</v>
      </c>
      <c r="AH244" s="25">
        <f t="shared" si="140"/>
        <v>0</v>
      </c>
      <c r="AI244" s="25">
        <f t="shared" si="141"/>
        <v>0</v>
      </c>
      <c r="AJ244" s="25">
        <f t="shared" si="142"/>
        <v>0</v>
      </c>
    </row>
    <row r="245" spans="1:36">
      <c r="A245">
        <f t="shared" si="123"/>
        <v>242</v>
      </c>
      <c r="B245">
        <f t="shared" si="131"/>
        <v>6</v>
      </c>
      <c r="C245">
        <f t="shared" si="109"/>
        <v>300</v>
      </c>
      <c r="D245">
        <f t="shared" si="124"/>
        <v>3</v>
      </c>
      <c r="E245">
        <f t="shared" si="143"/>
        <v>4</v>
      </c>
      <c r="F245">
        <f t="shared" si="110"/>
        <v>270</v>
      </c>
      <c r="G245">
        <f t="shared" si="125"/>
        <v>0</v>
      </c>
      <c r="H245">
        <f t="shared" si="132"/>
        <v>4</v>
      </c>
      <c r="I245">
        <f t="shared" si="111"/>
        <v>360</v>
      </c>
      <c r="J245">
        <f t="shared" si="126"/>
        <v>3</v>
      </c>
      <c r="K245">
        <f t="shared" si="133"/>
        <v>3</v>
      </c>
      <c r="L245">
        <f t="shared" si="112"/>
        <v>360</v>
      </c>
      <c r="M245">
        <f t="shared" si="127"/>
        <v>0</v>
      </c>
      <c r="N245">
        <f t="shared" si="134"/>
        <v>2</v>
      </c>
      <c r="O245">
        <f t="shared" si="113"/>
        <v>300</v>
      </c>
      <c r="P245">
        <f t="shared" si="135"/>
        <v>0</v>
      </c>
      <c r="Q245">
        <f t="shared" si="136"/>
        <v>2</v>
      </c>
      <c r="R245">
        <f t="shared" si="114"/>
        <v>300</v>
      </c>
      <c r="S245">
        <f t="shared" si="137"/>
        <v>0</v>
      </c>
      <c r="T245">
        <f t="shared" si="138"/>
        <v>-1</v>
      </c>
      <c r="U245">
        <f t="shared" si="128"/>
        <v>0</v>
      </c>
      <c r="V245">
        <f t="shared" si="129"/>
        <v>1</v>
      </c>
      <c r="W245">
        <f t="shared" si="115"/>
        <v>0</v>
      </c>
      <c r="X245">
        <f t="shared" si="139"/>
        <v>0</v>
      </c>
      <c r="Y245">
        <f t="shared" si="116"/>
        <v>0</v>
      </c>
      <c r="Z245">
        <f t="shared" si="117"/>
        <v>278</v>
      </c>
      <c r="AA245">
        <f t="shared" si="118"/>
        <v>0</v>
      </c>
      <c r="AB245" s="29">
        <f t="shared" si="119"/>
        <v>0.74178816089935007</v>
      </c>
      <c r="AC245" s="25">
        <f t="shared" si="120"/>
        <v>607.49804426656829</v>
      </c>
      <c r="AD245" s="29">
        <f t="shared" si="121"/>
        <v>1.6622911946613885</v>
      </c>
      <c r="AE245" s="25">
        <f t="shared" si="130"/>
        <v>13.243681724743192</v>
      </c>
      <c r="AF245" s="25">
        <f t="shared" si="122"/>
        <v>13.243681724743192</v>
      </c>
      <c r="AG245" s="25">
        <f>IF($A245&lt;0,0,IF(instatk="bs",(1.5+talSCallInstBon)*(MHavg+(ap+Z245-$Z$1)/APtoDPS*MHnorm+170)*(1+sa*0.1+0.04*opp+0.02*agg+Slayer4value-1),IF(instatk="hemo",Slayer4value*(MHavg+(ap+Z245-$Z$1)/APtoDPS*MHnorm)*(1.1+talSCallInstBon)+420*(1+raidcrit)*debuffon,IF(instatk="ss",(MHavg+(ap+Z245-$Z$1)/APtoDPS*MHnorm+98)*(1+sa*0.1+0.02*agg+Slayer4value-1),IF(instatk="v",(ohavg+(ap+Z245-$Z$1)/APtoDPS*OHnorm)*(1+sa*0.1)*(0.5+0.05*dws)+avipdam,Slayer4value*((1+0.04*opp)*(MHavg+101+(ap+Z245-$Z$1)/APtoDPS*MHnorm+(0.5+0.05*dws)*(ohavg+(ap+Z245-$Z$1)/APtoDPS*OHnorm)+101*(1+0.1*dws))*(1+0.5*IF(Talents!$O$18="Yes",1,0)))))))*(instactualhit+(1+((leth*0.06+2)-1)*(cfact-1))*instactualcrit)*fwfactor*AB245*instsec*(AF245/$AN$45))</f>
        <v>307.31443095592368</v>
      </c>
      <c r="AH245" s="25">
        <f t="shared" si="140"/>
        <v>0</v>
      </c>
      <c r="AI245" s="25">
        <f t="shared" si="141"/>
        <v>0</v>
      </c>
      <c r="AJ245" s="25">
        <f t="shared" si="142"/>
        <v>0</v>
      </c>
    </row>
    <row r="246" spans="1:36">
      <c r="A246">
        <f t="shared" si="123"/>
        <v>243</v>
      </c>
      <c r="B246">
        <f t="shared" si="131"/>
        <v>6</v>
      </c>
      <c r="C246">
        <f t="shared" si="109"/>
        <v>300</v>
      </c>
      <c r="D246">
        <f t="shared" si="124"/>
        <v>4</v>
      </c>
      <c r="E246">
        <f t="shared" si="143"/>
        <v>4</v>
      </c>
      <c r="F246">
        <f t="shared" si="110"/>
        <v>270</v>
      </c>
      <c r="G246">
        <f t="shared" si="125"/>
        <v>0</v>
      </c>
      <c r="H246">
        <f t="shared" si="132"/>
        <v>4</v>
      </c>
      <c r="I246">
        <f t="shared" si="111"/>
        <v>360</v>
      </c>
      <c r="J246">
        <f t="shared" si="126"/>
        <v>4</v>
      </c>
      <c r="K246">
        <f t="shared" si="133"/>
        <v>3</v>
      </c>
      <c r="L246">
        <f t="shared" si="112"/>
        <v>360</v>
      </c>
      <c r="M246">
        <f t="shared" si="127"/>
        <v>0</v>
      </c>
      <c r="N246">
        <f t="shared" si="134"/>
        <v>2</v>
      </c>
      <c r="O246">
        <f t="shared" si="113"/>
        <v>300</v>
      </c>
      <c r="P246">
        <f t="shared" si="135"/>
        <v>0</v>
      </c>
      <c r="Q246">
        <f t="shared" si="136"/>
        <v>2</v>
      </c>
      <c r="R246">
        <f t="shared" si="114"/>
        <v>300</v>
      </c>
      <c r="S246">
        <f t="shared" si="137"/>
        <v>0</v>
      </c>
      <c r="T246">
        <f t="shared" si="138"/>
        <v>-1</v>
      </c>
      <c r="U246">
        <f t="shared" si="128"/>
        <v>0</v>
      </c>
      <c r="V246">
        <f t="shared" si="129"/>
        <v>1</v>
      </c>
      <c r="W246">
        <f t="shared" si="115"/>
        <v>0</v>
      </c>
      <c r="X246">
        <f t="shared" si="139"/>
        <v>0</v>
      </c>
      <c r="Y246">
        <f t="shared" si="116"/>
        <v>0</v>
      </c>
      <c r="Z246">
        <f t="shared" si="117"/>
        <v>278</v>
      </c>
      <c r="AA246">
        <f t="shared" si="118"/>
        <v>0</v>
      </c>
      <c r="AB246" s="29">
        <f t="shared" si="119"/>
        <v>0.74178816089935007</v>
      </c>
      <c r="AC246" s="25">
        <f t="shared" si="120"/>
        <v>607.49804426656829</v>
      </c>
      <c r="AD246" s="29">
        <f t="shared" si="121"/>
        <v>1.6622911946613885</v>
      </c>
      <c r="AE246" s="25">
        <f t="shared" si="130"/>
        <v>13.243681724743192</v>
      </c>
      <c r="AF246" s="25">
        <f t="shared" si="122"/>
        <v>13.243681724743192</v>
      </c>
      <c r="AG246" s="25">
        <f>IF($A246&lt;0,0,IF(instatk="bs",(1.5+talSCallInstBon)*(MHavg+(ap+Z246-$Z$1)/APtoDPS*MHnorm+170)*(1+sa*0.1+0.04*opp+0.02*agg+Slayer4value-1),IF(instatk="hemo",Slayer4value*(MHavg+(ap+Z246-$Z$1)/APtoDPS*MHnorm)*(1.1+talSCallInstBon)+420*(1+raidcrit)*debuffon,IF(instatk="ss",(MHavg+(ap+Z246-$Z$1)/APtoDPS*MHnorm+98)*(1+sa*0.1+0.02*agg+Slayer4value-1),IF(instatk="v",(ohavg+(ap+Z246-$Z$1)/APtoDPS*OHnorm)*(1+sa*0.1)*(0.5+0.05*dws)+avipdam,Slayer4value*((1+0.04*opp)*(MHavg+101+(ap+Z246-$Z$1)/APtoDPS*MHnorm+(0.5+0.05*dws)*(ohavg+(ap+Z246-$Z$1)/APtoDPS*OHnorm)+101*(1+0.1*dws))*(1+0.5*IF(Talents!$O$18="Yes",1,0)))))))*(instactualhit+(1+((leth*0.06+2)-1)*(cfact-1))*instactualcrit)*fwfactor*AB246*instsec*(AF246/$AN$45))</f>
        <v>307.31443095592368</v>
      </c>
      <c r="AH246" s="25">
        <f t="shared" si="140"/>
        <v>0</v>
      </c>
      <c r="AI246" s="25">
        <f t="shared" si="141"/>
        <v>0</v>
      </c>
      <c r="AJ246" s="25">
        <f t="shared" si="142"/>
        <v>0</v>
      </c>
    </row>
    <row r="247" spans="1:36">
      <c r="A247">
        <f t="shared" si="123"/>
        <v>244</v>
      </c>
      <c r="B247">
        <f t="shared" si="131"/>
        <v>6</v>
      </c>
      <c r="C247">
        <f t="shared" si="109"/>
        <v>300</v>
      </c>
      <c r="D247">
        <f t="shared" si="124"/>
        <v>5</v>
      </c>
      <c r="E247">
        <f t="shared" si="143"/>
        <v>4</v>
      </c>
      <c r="F247">
        <f t="shared" si="110"/>
        <v>270</v>
      </c>
      <c r="G247">
        <f t="shared" si="125"/>
        <v>0</v>
      </c>
      <c r="H247">
        <f t="shared" si="132"/>
        <v>4</v>
      </c>
      <c r="I247">
        <f t="shared" si="111"/>
        <v>360</v>
      </c>
      <c r="J247">
        <f t="shared" si="126"/>
        <v>5</v>
      </c>
      <c r="K247">
        <f t="shared" si="133"/>
        <v>3</v>
      </c>
      <c r="L247">
        <f t="shared" si="112"/>
        <v>360</v>
      </c>
      <c r="M247">
        <f t="shared" si="127"/>
        <v>0</v>
      </c>
      <c r="N247">
        <f t="shared" si="134"/>
        <v>2</v>
      </c>
      <c r="O247">
        <f t="shared" si="113"/>
        <v>300</v>
      </c>
      <c r="P247">
        <f t="shared" si="135"/>
        <v>0</v>
      </c>
      <c r="Q247">
        <f t="shared" si="136"/>
        <v>2</v>
      </c>
      <c r="R247">
        <f t="shared" si="114"/>
        <v>300</v>
      </c>
      <c r="S247">
        <f t="shared" si="137"/>
        <v>0</v>
      </c>
      <c r="T247">
        <f t="shared" si="138"/>
        <v>-1</v>
      </c>
      <c r="U247">
        <f t="shared" si="128"/>
        <v>0</v>
      </c>
      <c r="V247">
        <f t="shared" si="129"/>
        <v>1</v>
      </c>
      <c r="W247">
        <f t="shared" si="115"/>
        <v>0</v>
      </c>
      <c r="X247">
        <f t="shared" si="139"/>
        <v>0</v>
      </c>
      <c r="Y247">
        <f t="shared" si="116"/>
        <v>0</v>
      </c>
      <c r="Z247">
        <f t="shared" si="117"/>
        <v>278</v>
      </c>
      <c r="AA247">
        <f t="shared" si="118"/>
        <v>0</v>
      </c>
      <c r="AB247" s="29">
        <f t="shared" si="119"/>
        <v>0.74178816089935007</v>
      </c>
      <c r="AC247" s="25">
        <f t="shared" si="120"/>
        <v>607.49804426656829</v>
      </c>
      <c r="AD247" s="29">
        <f t="shared" si="121"/>
        <v>1.6622911946613885</v>
      </c>
      <c r="AE247" s="25">
        <f t="shared" si="130"/>
        <v>13.243681724743192</v>
      </c>
      <c r="AF247" s="25">
        <f t="shared" si="122"/>
        <v>13.243681724743192</v>
      </c>
      <c r="AG247" s="25">
        <f>IF($A247&lt;0,0,IF(instatk="bs",(1.5+talSCallInstBon)*(MHavg+(ap+Z247-$Z$1)/APtoDPS*MHnorm+170)*(1+sa*0.1+0.04*opp+0.02*agg+Slayer4value-1),IF(instatk="hemo",Slayer4value*(MHavg+(ap+Z247-$Z$1)/APtoDPS*MHnorm)*(1.1+talSCallInstBon)+420*(1+raidcrit)*debuffon,IF(instatk="ss",(MHavg+(ap+Z247-$Z$1)/APtoDPS*MHnorm+98)*(1+sa*0.1+0.02*agg+Slayer4value-1),IF(instatk="v",(ohavg+(ap+Z247-$Z$1)/APtoDPS*OHnorm)*(1+sa*0.1)*(0.5+0.05*dws)+avipdam,Slayer4value*((1+0.04*opp)*(MHavg+101+(ap+Z247-$Z$1)/APtoDPS*MHnorm+(0.5+0.05*dws)*(ohavg+(ap+Z247-$Z$1)/APtoDPS*OHnorm)+101*(1+0.1*dws))*(1+0.5*IF(Talents!$O$18="Yes",1,0)))))))*(instactualhit+(1+((leth*0.06+2)-1)*(cfact-1))*instactualcrit)*fwfactor*AB247*instsec*(AF247/$AN$45))</f>
        <v>307.31443095592368</v>
      </c>
      <c r="AH247" s="25">
        <f t="shared" si="140"/>
        <v>0</v>
      </c>
      <c r="AI247" s="25">
        <f t="shared" si="141"/>
        <v>0</v>
      </c>
      <c r="AJ247" s="25">
        <f t="shared" si="142"/>
        <v>0</v>
      </c>
    </row>
    <row r="248" spans="1:36">
      <c r="A248">
        <f t="shared" si="123"/>
        <v>245</v>
      </c>
      <c r="B248">
        <f t="shared" si="131"/>
        <v>6</v>
      </c>
      <c r="C248">
        <f t="shared" si="109"/>
        <v>300</v>
      </c>
      <c r="D248">
        <f t="shared" si="124"/>
        <v>6</v>
      </c>
      <c r="E248">
        <f t="shared" si="143"/>
        <v>4</v>
      </c>
      <c r="F248">
        <f t="shared" si="110"/>
        <v>270</v>
      </c>
      <c r="G248">
        <f t="shared" si="125"/>
        <v>0</v>
      </c>
      <c r="H248">
        <f t="shared" si="132"/>
        <v>4</v>
      </c>
      <c r="I248">
        <f t="shared" si="111"/>
        <v>360</v>
      </c>
      <c r="J248">
        <f t="shared" si="126"/>
        <v>6</v>
      </c>
      <c r="K248">
        <f t="shared" si="133"/>
        <v>3</v>
      </c>
      <c r="L248">
        <f t="shared" si="112"/>
        <v>360</v>
      </c>
      <c r="M248">
        <f t="shared" si="127"/>
        <v>0</v>
      </c>
      <c r="N248">
        <f t="shared" si="134"/>
        <v>2</v>
      </c>
      <c r="O248">
        <f t="shared" si="113"/>
        <v>300</v>
      </c>
      <c r="P248">
        <f t="shared" si="135"/>
        <v>0</v>
      </c>
      <c r="Q248">
        <f t="shared" si="136"/>
        <v>2</v>
      </c>
      <c r="R248">
        <f t="shared" si="114"/>
        <v>300</v>
      </c>
      <c r="S248">
        <f t="shared" si="137"/>
        <v>0</v>
      </c>
      <c r="T248">
        <f t="shared" si="138"/>
        <v>-1</v>
      </c>
      <c r="U248">
        <f t="shared" si="128"/>
        <v>0</v>
      </c>
      <c r="V248">
        <f t="shared" si="129"/>
        <v>1</v>
      </c>
      <c r="W248">
        <f t="shared" si="115"/>
        <v>0</v>
      </c>
      <c r="X248">
        <f t="shared" si="139"/>
        <v>0</v>
      </c>
      <c r="Y248">
        <f t="shared" si="116"/>
        <v>0</v>
      </c>
      <c r="Z248">
        <f t="shared" si="117"/>
        <v>278</v>
      </c>
      <c r="AA248">
        <f t="shared" si="118"/>
        <v>0</v>
      </c>
      <c r="AB248" s="29">
        <f t="shared" si="119"/>
        <v>0.74178816089935007</v>
      </c>
      <c r="AC248" s="25">
        <f t="shared" si="120"/>
        <v>607.49804426656829</v>
      </c>
      <c r="AD248" s="29">
        <f t="shared" si="121"/>
        <v>1.6622911946613885</v>
      </c>
      <c r="AE248" s="25">
        <f t="shared" si="130"/>
        <v>13.243681724743192</v>
      </c>
      <c r="AF248" s="25">
        <f t="shared" si="122"/>
        <v>13.243681724743192</v>
      </c>
      <c r="AG248" s="25">
        <f>IF($A248&lt;0,0,IF(instatk="bs",(1.5+talSCallInstBon)*(MHavg+(ap+Z248-$Z$1)/APtoDPS*MHnorm+170)*(1+sa*0.1+0.04*opp+0.02*agg+Slayer4value-1),IF(instatk="hemo",Slayer4value*(MHavg+(ap+Z248-$Z$1)/APtoDPS*MHnorm)*(1.1+talSCallInstBon)+420*(1+raidcrit)*debuffon,IF(instatk="ss",(MHavg+(ap+Z248-$Z$1)/APtoDPS*MHnorm+98)*(1+sa*0.1+0.02*agg+Slayer4value-1),IF(instatk="v",(ohavg+(ap+Z248-$Z$1)/APtoDPS*OHnorm)*(1+sa*0.1)*(0.5+0.05*dws)+avipdam,Slayer4value*((1+0.04*opp)*(MHavg+101+(ap+Z248-$Z$1)/APtoDPS*MHnorm+(0.5+0.05*dws)*(ohavg+(ap+Z248-$Z$1)/APtoDPS*OHnorm)+101*(1+0.1*dws))*(1+0.5*IF(Talents!$O$18="Yes",1,0)))))))*(instactualhit+(1+((leth*0.06+2)-1)*(cfact-1))*instactualcrit)*fwfactor*AB248*instsec*(AF248/$AN$45))</f>
        <v>307.31443095592368</v>
      </c>
      <c r="AH248" s="25">
        <f t="shared" si="140"/>
        <v>0</v>
      </c>
      <c r="AI248" s="25">
        <f t="shared" si="141"/>
        <v>0</v>
      </c>
      <c r="AJ248" s="25">
        <f t="shared" si="142"/>
        <v>0</v>
      </c>
    </row>
    <row r="249" spans="1:36">
      <c r="A249">
        <f t="shared" si="123"/>
        <v>246</v>
      </c>
      <c r="B249">
        <f t="shared" si="131"/>
        <v>6</v>
      </c>
      <c r="C249">
        <f t="shared" si="109"/>
        <v>300</v>
      </c>
      <c r="D249">
        <f t="shared" si="124"/>
        <v>7</v>
      </c>
      <c r="E249">
        <f t="shared" si="143"/>
        <v>4</v>
      </c>
      <c r="F249">
        <f t="shared" si="110"/>
        <v>270</v>
      </c>
      <c r="G249">
        <f t="shared" si="125"/>
        <v>0</v>
      </c>
      <c r="H249">
        <f t="shared" si="132"/>
        <v>4</v>
      </c>
      <c r="I249">
        <f t="shared" si="111"/>
        <v>360</v>
      </c>
      <c r="J249">
        <f t="shared" si="126"/>
        <v>7</v>
      </c>
      <c r="K249">
        <f t="shared" si="133"/>
        <v>3</v>
      </c>
      <c r="L249">
        <f t="shared" si="112"/>
        <v>360</v>
      </c>
      <c r="M249">
        <f t="shared" si="127"/>
        <v>0</v>
      </c>
      <c r="N249">
        <f t="shared" si="134"/>
        <v>2</v>
      </c>
      <c r="O249">
        <f t="shared" si="113"/>
        <v>300</v>
      </c>
      <c r="P249">
        <f t="shared" si="135"/>
        <v>0</v>
      </c>
      <c r="Q249">
        <f t="shared" si="136"/>
        <v>2</v>
      </c>
      <c r="R249">
        <f t="shared" si="114"/>
        <v>300</v>
      </c>
      <c r="S249">
        <f t="shared" si="137"/>
        <v>0</v>
      </c>
      <c r="T249">
        <f t="shared" si="138"/>
        <v>-1</v>
      </c>
      <c r="U249">
        <f t="shared" si="128"/>
        <v>0</v>
      </c>
      <c r="V249">
        <f t="shared" si="129"/>
        <v>1</v>
      </c>
      <c r="W249">
        <f t="shared" si="115"/>
        <v>0</v>
      </c>
      <c r="X249">
        <f t="shared" si="139"/>
        <v>0</v>
      </c>
      <c r="Y249">
        <f t="shared" si="116"/>
        <v>0</v>
      </c>
      <c r="Z249">
        <f t="shared" si="117"/>
        <v>278</v>
      </c>
      <c r="AA249">
        <f t="shared" si="118"/>
        <v>0</v>
      </c>
      <c r="AB249" s="29">
        <f t="shared" si="119"/>
        <v>0.74178816089935007</v>
      </c>
      <c r="AC249" s="25">
        <f t="shared" si="120"/>
        <v>607.49804426656829</v>
      </c>
      <c r="AD249" s="29">
        <f t="shared" si="121"/>
        <v>1.6622911946613885</v>
      </c>
      <c r="AE249" s="25">
        <f t="shared" si="130"/>
        <v>13.243681724743192</v>
      </c>
      <c r="AF249" s="25">
        <f t="shared" si="122"/>
        <v>13.243681724743192</v>
      </c>
      <c r="AG249" s="25">
        <f>IF($A249&lt;0,0,IF(instatk="bs",(1.5+talSCallInstBon)*(MHavg+(ap+Z249-$Z$1)/APtoDPS*MHnorm+170)*(1+sa*0.1+0.04*opp+0.02*agg+Slayer4value-1),IF(instatk="hemo",Slayer4value*(MHavg+(ap+Z249-$Z$1)/APtoDPS*MHnorm)*(1.1+talSCallInstBon)+420*(1+raidcrit)*debuffon,IF(instatk="ss",(MHavg+(ap+Z249-$Z$1)/APtoDPS*MHnorm+98)*(1+sa*0.1+0.02*agg+Slayer4value-1),IF(instatk="v",(ohavg+(ap+Z249-$Z$1)/APtoDPS*OHnorm)*(1+sa*0.1)*(0.5+0.05*dws)+avipdam,Slayer4value*((1+0.04*opp)*(MHavg+101+(ap+Z249-$Z$1)/APtoDPS*MHnorm+(0.5+0.05*dws)*(ohavg+(ap+Z249-$Z$1)/APtoDPS*OHnorm)+101*(1+0.1*dws))*(1+0.5*IF(Talents!$O$18="Yes",1,0)))))))*(instactualhit+(1+((leth*0.06+2)-1)*(cfact-1))*instactualcrit)*fwfactor*AB249*instsec*(AF249/$AN$45))</f>
        <v>307.31443095592368</v>
      </c>
      <c r="AH249" s="25">
        <f t="shared" si="140"/>
        <v>0</v>
      </c>
      <c r="AI249" s="25">
        <f t="shared" si="141"/>
        <v>0</v>
      </c>
      <c r="AJ249" s="25">
        <f t="shared" si="142"/>
        <v>0</v>
      </c>
    </row>
    <row r="250" spans="1:36">
      <c r="A250">
        <f t="shared" si="123"/>
        <v>247</v>
      </c>
      <c r="B250">
        <f t="shared" si="131"/>
        <v>6</v>
      </c>
      <c r="C250">
        <f t="shared" si="109"/>
        <v>300</v>
      </c>
      <c r="D250">
        <f t="shared" si="124"/>
        <v>8</v>
      </c>
      <c r="E250">
        <f t="shared" si="143"/>
        <v>4</v>
      </c>
      <c r="F250">
        <f t="shared" si="110"/>
        <v>270</v>
      </c>
      <c r="G250">
        <f t="shared" si="125"/>
        <v>0</v>
      </c>
      <c r="H250">
        <f t="shared" si="132"/>
        <v>4</v>
      </c>
      <c r="I250">
        <f t="shared" si="111"/>
        <v>360</v>
      </c>
      <c r="J250">
        <f t="shared" si="126"/>
        <v>8</v>
      </c>
      <c r="K250">
        <f t="shared" si="133"/>
        <v>3</v>
      </c>
      <c r="L250">
        <f t="shared" si="112"/>
        <v>360</v>
      </c>
      <c r="M250">
        <f t="shared" si="127"/>
        <v>0</v>
      </c>
      <c r="N250">
        <f t="shared" si="134"/>
        <v>2</v>
      </c>
      <c r="O250">
        <f t="shared" si="113"/>
        <v>300</v>
      </c>
      <c r="P250">
        <f t="shared" si="135"/>
        <v>0</v>
      </c>
      <c r="Q250">
        <f t="shared" si="136"/>
        <v>2</v>
      </c>
      <c r="R250">
        <f t="shared" si="114"/>
        <v>300</v>
      </c>
      <c r="S250">
        <f t="shared" si="137"/>
        <v>0</v>
      </c>
      <c r="T250">
        <f t="shared" si="138"/>
        <v>-1</v>
      </c>
      <c r="U250">
        <f t="shared" si="128"/>
        <v>0</v>
      </c>
      <c r="V250">
        <f t="shared" si="129"/>
        <v>1</v>
      </c>
      <c r="W250">
        <f t="shared" si="115"/>
        <v>0</v>
      </c>
      <c r="X250">
        <f t="shared" si="139"/>
        <v>0</v>
      </c>
      <c r="Y250">
        <f t="shared" si="116"/>
        <v>0</v>
      </c>
      <c r="Z250">
        <f t="shared" si="117"/>
        <v>278</v>
      </c>
      <c r="AA250">
        <f t="shared" si="118"/>
        <v>0</v>
      </c>
      <c r="AB250" s="29">
        <f t="shared" si="119"/>
        <v>0.74178816089935007</v>
      </c>
      <c r="AC250" s="25">
        <f t="shared" si="120"/>
        <v>607.49804426656829</v>
      </c>
      <c r="AD250" s="29">
        <f t="shared" si="121"/>
        <v>1.6622911946613885</v>
      </c>
      <c r="AE250" s="25">
        <f t="shared" si="130"/>
        <v>13.243681724743192</v>
      </c>
      <c r="AF250" s="25">
        <f t="shared" si="122"/>
        <v>13.243681724743192</v>
      </c>
      <c r="AG250" s="25">
        <f>IF($A250&lt;0,0,IF(instatk="bs",(1.5+talSCallInstBon)*(MHavg+(ap+Z250-$Z$1)/APtoDPS*MHnorm+170)*(1+sa*0.1+0.04*opp+0.02*agg+Slayer4value-1),IF(instatk="hemo",Slayer4value*(MHavg+(ap+Z250-$Z$1)/APtoDPS*MHnorm)*(1.1+talSCallInstBon)+420*(1+raidcrit)*debuffon,IF(instatk="ss",(MHavg+(ap+Z250-$Z$1)/APtoDPS*MHnorm+98)*(1+sa*0.1+0.02*agg+Slayer4value-1),IF(instatk="v",(ohavg+(ap+Z250-$Z$1)/APtoDPS*OHnorm)*(1+sa*0.1)*(0.5+0.05*dws)+avipdam,Slayer4value*((1+0.04*opp)*(MHavg+101+(ap+Z250-$Z$1)/APtoDPS*MHnorm+(0.5+0.05*dws)*(ohavg+(ap+Z250-$Z$1)/APtoDPS*OHnorm)+101*(1+0.1*dws))*(1+0.5*IF(Talents!$O$18="Yes",1,0)))))))*(instactualhit+(1+((leth*0.06+2)-1)*(cfact-1))*instactualcrit)*fwfactor*AB250*instsec*(AF250/$AN$45))</f>
        <v>307.31443095592368</v>
      </c>
      <c r="AH250" s="25">
        <f t="shared" si="140"/>
        <v>0</v>
      </c>
      <c r="AI250" s="25">
        <f t="shared" si="141"/>
        <v>0</v>
      </c>
      <c r="AJ250" s="25">
        <f t="shared" si="142"/>
        <v>0</v>
      </c>
    </row>
    <row r="251" spans="1:36">
      <c r="A251">
        <f t="shared" si="123"/>
        <v>248</v>
      </c>
      <c r="B251">
        <f t="shared" si="131"/>
        <v>6</v>
      </c>
      <c r="C251">
        <f t="shared" si="109"/>
        <v>300</v>
      </c>
      <c r="D251">
        <f t="shared" si="124"/>
        <v>9</v>
      </c>
      <c r="E251">
        <f t="shared" si="143"/>
        <v>4</v>
      </c>
      <c r="F251">
        <f t="shared" si="110"/>
        <v>270</v>
      </c>
      <c r="G251">
        <f t="shared" si="125"/>
        <v>0</v>
      </c>
      <c r="H251">
        <f t="shared" si="132"/>
        <v>4</v>
      </c>
      <c r="I251">
        <f t="shared" si="111"/>
        <v>360</v>
      </c>
      <c r="J251">
        <f t="shared" si="126"/>
        <v>9</v>
      </c>
      <c r="K251">
        <f t="shared" si="133"/>
        <v>3</v>
      </c>
      <c r="L251">
        <f t="shared" si="112"/>
        <v>360</v>
      </c>
      <c r="M251">
        <f t="shared" si="127"/>
        <v>0</v>
      </c>
      <c r="N251">
        <f t="shared" si="134"/>
        <v>2</v>
      </c>
      <c r="O251">
        <f t="shared" si="113"/>
        <v>300</v>
      </c>
      <c r="P251">
        <f t="shared" si="135"/>
        <v>0</v>
      </c>
      <c r="Q251">
        <f t="shared" si="136"/>
        <v>2</v>
      </c>
      <c r="R251">
        <f t="shared" si="114"/>
        <v>300</v>
      </c>
      <c r="S251">
        <f t="shared" si="137"/>
        <v>0</v>
      </c>
      <c r="T251">
        <f t="shared" si="138"/>
        <v>-1</v>
      </c>
      <c r="U251">
        <f t="shared" si="128"/>
        <v>0</v>
      </c>
      <c r="V251">
        <f t="shared" si="129"/>
        <v>1</v>
      </c>
      <c r="W251">
        <f t="shared" si="115"/>
        <v>0</v>
      </c>
      <c r="X251">
        <f t="shared" si="139"/>
        <v>0</v>
      </c>
      <c r="Y251">
        <f t="shared" si="116"/>
        <v>0</v>
      </c>
      <c r="Z251">
        <f t="shared" si="117"/>
        <v>278</v>
      </c>
      <c r="AA251">
        <f t="shared" si="118"/>
        <v>0</v>
      </c>
      <c r="AB251" s="29">
        <f t="shared" si="119"/>
        <v>0.74178816089935007</v>
      </c>
      <c r="AC251" s="25">
        <f t="shared" si="120"/>
        <v>607.49804426656829</v>
      </c>
      <c r="AD251" s="29">
        <f t="shared" si="121"/>
        <v>1.6622911946613885</v>
      </c>
      <c r="AE251" s="25">
        <f t="shared" si="130"/>
        <v>13.243681724743192</v>
      </c>
      <c r="AF251" s="25">
        <f t="shared" si="122"/>
        <v>13.243681724743192</v>
      </c>
      <c r="AG251" s="25">
        <f>IF($A251&lt;0,0,IF(instatk="bs",(1.5+talSCallInstBon)*(MHavg+(ap+Z251-$Z$1)/APtoDPS*MHnorm+170)*(1+sa*0.1+0.04*opp+0.02*agg+Slayer4value-1),IF(instatk="hemo",Slayer4value*(MHavg+(ap+Z251-$Z$1)/APtoDPS*MHnorm)*(1.1+talSCallInstBon)+420*(1+raidcrit)*debuffon,IF(instatk="ss",(MHavg+(ap+Z251-$Z$1)/APtoDPS*MHnorm+98)*(1+sa*0.1+0.02*agg+Slayer4value-1),IF(instatk="v",(ohavg+(ap+Z251-$Z$1)/APtoDPS*OHnorm)*(1+sa*0.1)*(0.5+0.05*dws)+avipdam,Slayer4value*((1+0.04*opp)*(MHavg+101+(ap+Z251-$Z$1)/APtoDPS*MHnorm+(0.5+0.05*dws)*(ohavg+(ap+Z251-$Z$1)/APtoDPS*OHnorm)+101*(1+0.1*dws))*(1+0.5*IF(Talents!$O$18="Yes",1,0)))))))*(instactualhit+(1+((leth*0.06+2)-1)*(cfact-1))*instactualcrit)*fwfactor*AB251*instsec*(AF251/$AN$45))</f>
        <v>307.31443095592368</v>
      </c>
      <c r="AH251" s="25">
        <f t="shared" si="140"/>
        <v>0</v>
      </c>
      <c r="AI251" s="25">
        <f t="shared" si="141"/>
        <v>0</v>
      </c>
      <c r="AJ251" s="25">
        <f t="shared" si="142"/>
        <v>0</v>
      </c>
    </row>
    <row r="252" spans="1:36">
      <c r="A252">
        <f t="shared" si="123"/>
        <v>249</v>
      </c>
      <c r="B252">
        <f t="shared" si="131"/>
        <v>6</v>
      </c>
      <c r="C252">
        <f t="shared" si="109"/>
        <v>300</v>
      </c>
      <c r="D252">
        <f t="shared" si="124"/>
        <v>10</v>
      </c>
      <c r="E252">
        <f t="shared" si="143"/>
        <v>4</v>
      </c>
      <c r="F252">
        <f t="shared" si="110"/>
        <v>270</v>
      </c>
      <c r="G252">
        <f t="shared" si="125"/>
        <v>0</v>
      </c>
      <c r="H252">
        <f t="shared" si="132"/>
        <v>4</v>
      </c>
      <c r="I252">
        <f t="shared" si="111"/>
        <v>360</v>
      </c>
      <c r="J252">
        <f t="shared" si="126"/>
        <v>10</v>
      </c>
      <c r="K252">
        <f t="shared" si="133"/>
        <v>3</v>
      </c>
      <c r="L252">
        <f t="shared" si="112"/>
        <v>360</v>
      </c>
      <c r="M252">
        <f t="shared" si="127"/>
        <v>0</v>
      </c>
      <c r="N252">
        <f t="shared" si="134"/>
        <v>2</v>
      </c>
      <c r="O252">
        <f t="shared" si="113"/>
        <v>300</v>
      </c>
      <c r="P252">
        <f t="shared" si="135"/>
        <v>0</v>
      </c>
      <c r="Q252">
        <f t="shared" si="136"/>
        <v>2</v>
      </c>
      <c r="R252">
        <f t="shared" si="114"/>
        <v>300</v>
      </c>
      <c r="S252">
        <f t="shared" si="137"/>
        <v>0</v>
      </c>
      <c r="T252">
        <f t="shared" si="138"/>
        <v>-1</v>
      </c>
      <c r="U252">
        <f t="shared" si="128"/>
        <v>0</v>
      </c>
      <c r="V252">
        <f t="shared" si="129"/>
        <v>1</v>
      </c>
      <c r="W252">
        <f t="shared" si="115"/>
        <v>0</v>
      </c>
      <c r="X252">
        <f t="shared" si="139"/>
        <v>0</v>
      </c>
      <c r="Y252">
        <f t="shared" si="116"/>
        <v>0</v>
      </c>
      <c r="Z252">
        <f t="shared" si="117"/>
        <v>278</v>
      </c>
      <c r="AA252">
        <f t="shared" si="118"/>
        <v>0</v>
      </c>
      <c r="AB252" s="29">
        <f t="shared" si="119"/>
        <v>0.74178816089935007</v>
      </c>
      <c r="AC252" s="25">
        <f t="shared" si="120"/>
        <v>607.49804426656829</v>
      </c>
      <c r="AD252" s="29">
        <f t="shared" si="121"/>
        <v>1.6622911946613885</v>
      </c>
      <c r="AE252" s="25">
        <f t="shared" si="130"/>
        <v>13.243681724743192</v>
      </c>
      <c r="AF252" s="25">
        <f t="shared" si="122"/>
        <v>13.243681724743192</v>
      </c>
      <c r="AG252" s="25">
        <f>IF($A252&lt;0,0,IF(instatk="bs",(1.5+talSCallInstBon)*(MHavg+(ap+Z252-$Z$1)/APtoDPS*MHnorm+170)*(1+sa*0.1+0.04*opp+0.02*agg+Slayer4value-1),IF(instatk="hemo",Slayer4value*(MHavg+(ap+Z252-$Z$1)/APtoDPS*MHnorm)*(1.1+talSCallInstBon)+420*(1+raidcrit)*debuffon,IF(instatk="ss",(MHavg+(ap+Z252-$Z$1)/APtoDPS*MHnorm+98)*(1+sa*0.1+0.02*agg+Slayer4value-1),IF(instatk="v",(ohavg+(ap+Z252-$Z$1)/APtoDPS*OHnorm)*(1+sa*0.1)*(0.5+0.05*dws)+avipdam,Slayer4value*((1+0.04*opp)*(MHavg+101+(ap+Z252-$Z$1)/APtoDPS*MHnorm+(0.5+0.05*dws)*(ohavg+(ap+Z252-$Z$1)/APtoDPS*OHnorm)+101*(1+0.1*dws))*(1+0.5*IF(Talents!$O$18="Yes",1,0)))))))*(instactualhit+(1+((leth*0.06+2)-1)*(cfact-1))*instactualcrit)*fwfactor*AB252*instsec*(AF252/$AN$45))</f>
        <v>307.31443095592368</v>
      </c>
      <c r="AH252" s="25">
        <f t="shared" si="140"/>
        <v>0</v>
      </c>
      <c r="AI252" s="25">
        <f t="shared" si="141"/>
        <v>0</v>
      </c>
      <c r="AJ252" s="25">
        <f t="shared" si="142"/>
        <v>0</v>
      </c>
    </row>
    <row r="253" spans="1:36">
      <c r="A253">
        <f t="shared" si="123"/>
        <v>250</v>
      </c>
      <c r="B253">
        <f t="shared" si="131"/>
        <v>6</v>
      </c>
      <c r="C253">
        <f t="shared" si="109"/>
        <v>300</v>
      </c>
      <c r="D253">
        <f t="shared" si="124"/>
        <v>11</v>
      </c>
      <c r="E253">
        <f t="shared" si="143"/>
        <v>4</v>
      </c>
      <c r="F253">
        <f t="shared" si="110"/>
        <v>270</v>
      </c>
      <c r="G253">
        <f t="shared" si="125"/>
        <v>0</v>
      </c>
      <c r="H253">
        <f t="shared" si="132"/>
        <v>4</v>
      </c>
      <c r="I253">
        <f t="shared" si="111"/>
        <v>360</v>
      </c>
      <c r="J253">
        <f t="shared" si="126"/>
        <v>11</v>
      </c>
      <c r="K253">
        <f t="shared" si="133"/>
        <v>3</v>
      </c>
      <c r="L253">
        <f t="shared" si="112"/>
        <v>360</v>
      </c>
      <c r="M253">
        <f t="shared" si="127"/>
        <v>0</v>
      </c>
      <c r="N253">
        <f t="shared" si="134"/>
        <v>2</v>
      </c>
      <c r="O253">
        <f t="shared" si="113"/>
        <v>300</v>
      </c>
      <c r="P253">
        <f t="shared" si="135"/>
        <v>0</v>
      </c>
      <c r="Q253">
        <f t="shared" si="136"/>
        <v>2</v>
      </c>
      <c r="R253">
        <f t="shared" si="114"/>
        <v>300</v>
      </c>
      <c r="S253">
        <f t="shared" si="137"/>
        <v>0</v>
      </c>
      <c r="T253">
        <f t="shared" si="138"/>
        <v>-1</v>
      </c>
      <c r="U253">
        <f t="shared" si="128"/>
        <v>0</v>
      </c>
      <c r="V253">
        <f t="shared" si="129"/>
        <v>1</v>
      </c>
      <c r="W253">
        <f t="shared" si="115"/>
        <v>0</v>
      </c>
      <c r="X253">
        <f t="shared" si="139"/>
        <v>0</v>
      </c>
      <c r="Y253">
        <f t="shared" si="116"/>
        <v>0</v>
      </c>
      <c r="Z253">
        <f t="shared" si="117"/>
        <v>278</v>
      </c>
      <c r="AA253">
        <f t="shared" si="118"/>
        <v>0</v>
      </c>
      <c r="AB253" s="29">
        <f t="shared" si="119"/>
        <v>0.74178816089935007</v>
      </c>
      <c r="AC253" s="25">
        <f t="shared" si="120"/>
        <v>607.49804426656829</v>
      </c>
      <c r="AD253" s="29">
        <f t="shared" si="121"/>
        <v>1.6622911946613885</v>
      </c>
      <c r="AE253" s="25">
        <f t="shared" si="130"/>
        <v>13.243681724743192</v>
      </c>
      <c r="AF253" s="25">
        <f t="shared" si="122"/>
        <v>13.243681724743192</v>
      </c>
      <c r="AG253" s="25">
        <f>IF($A253&lt;0,0,IF(instatk="bs",(1.5+talSCallInstBon)*(MHavg+(ap+Z253-$Z$1)/APtoDPS*MHnorm+170)*(1+sa*0.1+0.04*opp+0.02*agg+Slayer4value-1),IF(instatk="hemo",Slayer4value*(MHavg+(ap+Z253-$Z$1)/APtoDPS*MHnorm)*(1.1+talSCallInstBon)+420*(1+raidcrit)*debuffon,IF(instatk="ss",(MHavg+(ap+Z253-$Z$1)/APtoDPS*MHnorm+98)*(1+sa*0.1+0.02*agg+Slayer4value-1),IF(instatk="v",(ohavg+(ap+Z253-$Z$1)/APtoDPS*OHnorm)*(1+sa*0.1)*(0.5+0.05*dws)+avipdam,Slayer4value*((1+0.04*opp)*(MHavg+101+(ap+Z253-$Z$1)/APtoDPS*MHnorm+(0.5+0.05*dws)*(ohavg+(ap+Z253-$Z$1)/APtoDPS*OHnorm)+101*(1+0.1*dws))*(1+0.5*IF(Talents!$O$18="Yes",1,0)))))))*(instactualhit+(1+((leth*0.06+2)-1)*(cfact-1))*instactualcrit)*fwfactor*AB253*instsec*(AF253/$AN$45))</f>
        <v>307.31443095592368</v>
      </c>
      <c r="AH253" s="25">
        <f t="shared" si="140"/>
        <v>0</v>
      </c>
      <c r="AI253" s="25">
        <f t="shared" si="141"/>
        <v>0</v>
      </c>
      <c r="AJ253" s="25">
        <f t="shared" si="142"/>
        <v>0</v>
      </c>
    </row>
    <row r="254" spans="1:36">
      <c r="A254">
        <f t="shared" si="123"/>
        <v>251</v>
      </c>
      <c r="B254">
        <f t="shared" si="131"/>
        <v>6</v>
      </c>
      <c r="C254">
        <f t="shared" si="109"/>
        <v>300</v>
      </c>
      <c r="D254">
        <f t="shared" si="124"/>
        <v>12</v>
      </c>
      <c r="E254">
        <f t="shared" si="143"/>
        <v>4</v>
      </c>
      <c r="F254">
        <f t="shared" si="110"/>
        <v>270</v>
      </c>
      <c r="G254">
        <f t="shared" si="125"/>
        <v>0</v>
      </c>
      <c r="H254">
        <f t="shared" si="132"/>
        <v>4</v>
      </c>
      <c r="I254">
        <f t="shared" si="111"/>
        <v>360</v>
      </c>
      <c r="J254">
        <f t="shared" si="126"/>
        <v>12</v>
      </c>
      <c r="K254">
        <f t="shared" si="133"/>
        <v>3</v>
      </c>
      <c r="L254">
        <f t="shared" si="112"/>
        <v>360</v>
      </c>
      <c r="M254">
        <f t="shared" si="127"/>
        <v>0</v>
      </c>
      <c r="N254">
        <f t="shared" si="134"/>
        <v>2</v>
      </c>
      <c r="O254">
        <f t="shared" si="113"/>
        <v>300</v>
      </c>
      <c r="P254">
        <f t="shared" si="135"/>
        <v>0</v>
      </c>
      <c r="Q254">
        <f t="shared" si="136"/>
        <v>2</v>
      </c>
      <c r="R254">
        <f t="shared" si="114"/>
        <v>300</v>
      </c>
      <c r="S254">
        <f t="shared" si="137"/>
        <v>0</v>
      </c>
      <c r="T254">
        <f t="shared" si="138"/>
        <v>-1</v>
      </c>
      <c r="U254">
        <f t="shared" si="128"/>
        <v>0</v>
      </c>
      <c r="V254">
        <f t="shared" si="129"/>
        <v>1</v>
      </c>
      <c r="W254">
        <f t="shared" si="115"/>
        <v>0</v>
      </c>
      <c r="X254">
        <f t="shared" si="139"/>
        <v>0</v>
      </c>
      <c r="Y254">
        <f t="shared" si="116"/>
        <v>0</v>
      </c>
      <c r="Z254">
        <f t="shared" si="117"/>
        <v>278</v>
      </c>
      <c r="AA254">
        <f t="shared" si="118"/>
        <v>0</v>
      </c>
      <c r="AB254" s="29">
        <f t="shared" si="119"/>
        <v>0.74178816089935007</v>
      </c>
      <c r="AC254" s="25">
        <f t="shared" si="120"/>
        <v>607.49804426656829</v>
      </c>
      <c r="AD254" s="29">
        <f t="shared" si="121"/>
        <v>1.6622911946613885</v>
      </c>
      <c r="AE254" s="25">
        <f t="shared" si="130"/>
        <v>13.243681724743192</v>
      </c>
      <c r="AF254" s="25">
        <f t="shared" si="122"/>
        <v>13.243681724743192</v>
      </c>
      <c r="AG254" s="25">
        <f>IF($A254&lt;0,0,IF(instatk="bs",(1.5+talSCallInstBon)*(MHavg+(ap+Z254-$Z$1)/APtoDPS*MHnorm+170)*(1+sa*0.1+0.04*opp+0.02*agg+Slayer4value-1),IF(instatk="hemo",Slayer4value*(MHavg+(ap+Z254-$Z$1)/APtoDPS*MHnorm)*(1.1+talSCallInstBon)+420*(1+raidcrit)*debuffon,IF(instatk="ss",(MHavg+(ap+Z254-$Z$1)/APtoDPS*MHnorm+98)*(1+sa*0.1+0.02*agg+Slayer4value-1),IF(instatk="v",(ohavg+(ap+Z254-$Z$1)/APtoDPS*OHnorm)*(1+sa*0.1)*(0.5+0.05*dws)+avipdam,Slayer4value*((1+0.04*opp)*(MHavg+101+(ap+Z254-$Z$1)/APtoDPS*MHnorm+(0.5+0.05*dws)*(ohavg+(ap+Z254-$Z$1)/APtoDPS*OHnorm)+101*(1+0.1*dws))*(1+0.5*IF(Talents!$O$18="Yes",1,0)))))))*(instactualhit+(1+((leth*0.06+2)-1)*(cfact-1))*instactualcrit)*fwfactor*AB254*instsec*(AF254/$AN$45))</f>
        <v>307.31443095592368</v>
      </c>
      <c r="AH254" s="25">
        <f t="shared" si="140"/>
        <v>0</v>
      </c>
      <c r="AI254" s="25">
        <f t="shared" si="141"/>
        <v>0</v>
      </c>
      <c r="AJ254" s="25">
        <f t="shared" si="142"/>
        <v>0</v>
      </c>
    </row>
    <row r="255" spans="1:36">
      <c r="A255">
        <f t="shared" si="123"/>
        <v>252</v>
      </c>
      <c r="B255">
        <f t="shared" si="131"/>
        <v>6</v>
      </c>
      <c r="C255">
        <f t="shared" si="109"/>
        <v>300</v>
      </c>
      <c r="D255">
        <f t="shared" si="124"/>
        <v>13</v>
      </c>
      <c r="E255">
        <f t="shared" si="143"/>
        <v>4</v>
      </c>
      <c r="F255">
        <f t="shared" si="110"/>
        <v>270</v>
      </c>
      <c r="G255">
        <f t="shared" si="125"/>
        <v>0</v>
      </c>
      <c r="H255">
        <f t="shared" si="132"/>
        <v>4</v>
      </c>
      <c r="I255">
        <f t="shared" si="111"/>
        <v>360</v>
      </c>
      <c r="J255">
        <f t="shared" si="126"/>
        <v>13</v>
      </c>
      <c r="K255">
        <f t="shared" si="133"/>
        <v>3</v>
      </c>
      <c r="L255">
        <f t="shared" si="112"/>
        <v>360</v>
      </c>
      <c r="M255">
        <f t="shared" si="127"/>
        <v>0</v>
      </c>
      <c r="N255">
        <f t="shared" si="134"/>
        <v>2</v>
      </c>
      <c r="O255">
        <f t="shared" si="113"/>
        <v>300</v>
      </c>
      <c r="P255">
        <f t="shared" si="135"/>
        <v>0</v>
      </c>
      <c r="Q255">
        <f t="shared" si="136"/>
        <v>2</v>
      </c>
      <c r="R255">
        <f t="shared" si="114"/>
        <v>300</v>
      </c>
      <c r="S255">
        <f t="shared" si="137"/>
        <v>0</v>
      </c>
      <c r="T255">
        <f t="shared" si="138"/>
        <v>-1</v>
      </c>
      <c r="U255">
        <f t="shared" si="128"/>
        <v>0</v>
      </c>
      <c r="V255">
        <f t="shared" si="129"/>
        <v>1</v>
      </c>
      <c r="W255">
        <f t="shared" si="115"/>
        <v>0</v>
      </c>
      <c r="X255">
        <f t="shared" si="139"/>
        <v>0</v>
      </c>
      <c r="Y255">
        <f t="shared" si="116"/>
        <v>0</v>
      </c>
      <c r="Z255">
        <f t="shared" si="117"/>
        <v>278</v>
      </c>
      <c r="AA255">
        <f t="shared" si="118"/>
        <v>0</v>
      </c>
      <c r="AB255" s="29">
        <f t="shared" si="119"/>
        <v>0.74178816089935007</v>
      </c>
      <c r="AC255" s="25">
        <f t="shared" si="120"/>
        <v>607.49804426656829</v>
      </c>
      <c r="AD255" s="29">
        <f t="shared" si="121"/>
        <v>1.6622911946613885</v>
      </c>
      <c r="AE255" s="25">
        <f t="shared" si="130"/>
        <v>13.243681724743192</v>
      </c>
      <c r="AF255" s="25">
        <f t="shared" si="122"/>
        <v>13.243681724743192</v>
      </c>
      <c r="AG255" s="25">
        <f>IF($A255&lt;0,0,IF(instatk="bs",(1.5+talSCallInstBon)*(MHavg+(ap+Z255-$Z$1)/APtoDPS*MHnorm+170)*(1+sa*0.1+0.04*opp+0.02*agg+Slayer4value-1),IF(instatk="hemo",Slayer4value*(MHavg+(ap+Z255-$Z$1)/APtoDPS*MHnorm)*(1.1+talSCallInstBon)+420*(1+raidcrit)*debuffon,IF(instatk="ss",(MHavg+(ap+Z255-$Z$1)/APtoDPS*MHnorm+98)*(1+sa*0.1+0.02*agg+Slayer4value-1),IF(instatk="v",(ohavg+(ap+Z255-$Z$1)/APtoDPS*OHnorm)*(1+sa*0.1)*(0.5+0.05*dws)+avipdam,Slayer4value*((1+0.04*opp)*(MHavg+101+(ap+Z255-$Z$1)/APtoDPS*MHnorm+(0.5+0.05*dws)*(ohavg+(ap+Z255-$Z$1)/APtoDPS*OHnorm)+101*(1+0.1*dws))*(1+0.5*IF(Talents!$O$18="Yes",1,0)))))))*(instactualhit+(1+((leth*0.06+2)-1)*(cfact-1))*instactualcrit)*fwfactor*AB255*instsec*(AF255/$AN$45))</f>
        <v>307.31443095592368</v>
      </c>
      <c r="AH255" s="25">
        <f t="shared" si="140"/>
        <v>0</v>
      </c>
      <c r="AI255" s="25">
        <f t="shared" si="141"/>
        <v>0</v>
      </c>
      <c r="AJ255" s="25">
        <f t="shared" si="142"/>
        <v>0</v>
      </c>
    </row>
    <row r="256" spans="1:36">
      <c r="A256">
        <f t="shared" si="123"/>
        <v>253</v>
      </c>
      <c r="B256">
        <f t="shared" si="131"/>
        <v>6</v>
      </c>
      <c r="C256">
        <f t="shared" si="109"/>
        <v>300</v>
      </c>
      <c r="D256">
        <f t="shared" si="124"/>
        <v>14</v>
      </c>
      <c r="E256">
        <f t="shared" si="143"/>
        <v>4</v>
      </c>
      <c r="F256">
        <f t="shared" si="110"/>
        <v>270</v>
      </c>
      <c r="G256">
        <f t="shared" si="125"/>
        <v>0</v>
      </c>
      <c r="H256">
        <f t="shared" si="132"/>
        <v>4</v>
      </c>
      <c r="I256">
        <f t="shared" si="111"/>
        <v>360</v>
      </c>
      <c r="J256">
        <f t="shared" si="126"/>
        <v>14</v>
      </c>
      <c r="K256">
        <f t="shared" si="133"/>
        <v>3</v>
      </c>
      <c r="L256">
        <f t="shared" si="112"/>
        <v>360</v>
      </c>
      <c r="M256">
        <f t="shared" si="127"/>
        <v>0</v>
      </c>
      <c r="N256">
        <f t="shared" si="134"/>
        <v>2</v>
      </c>
      <c r="O256">
        <f t="shared" si="113"/>
        <v>300</v>
      </c>
      <c r="P256">
        <f t="shared" si="135"/>
        <v>0</v>
      </c>
      <c r="Q256">
        <f t="shared" si="136"/>
        <v>2</v>
      </c>
      <c r="R256">
        <f t="shared" si="114"/>
        <v>300</v>
      </c>
      <c r="S256">
        <f t="shared" si="137"/>
        <v>0</v>
      </c>
      <c r="T256">
        <f t="shared" si="138"/>
        <v>-1</v>
      </c>
      <c r="U256">
        <f t="shared" si="128"/>
        <v>0</v>
      </c>
      <c r="V256">
        <f t="shared" si="129"/>
        <v>1</v>
      </c>
      <c r="W256">
        <f t="shared" si="115"/>
        <v>0</v>
      </c>
      <c r="X256">
        <f t="shared" si="139"/>
        <v>0</v>
      </c>
      <c r="Y256">
        <f t="shared" si="116"/>
        <v>0</v>
      </c>
      <c r="Z256">
        <f t="shared" si="117"/>
        <v>278</v>
      </c>
      <c r="AA256">
        <f t="shared" si="118"/>
        <v>0</v>
      </c>
      <c r="AB256" s="29">
        <f t="shared" si="119"/>
        <v>0.74178816089935007</v>
      </c>
      <c r="AC256" s="25">
        <f t="shared" si="120"/>
        <v>607.49804426656829</v>
      </c>
      <c r="AD256" s="29">
        <f t="shared" si="121"/>
        <v>1.6622911946613885</v>
      </c>
      <c r="AE256" s="25">
        <f t="shared" si="130"/>
        <v>13.243681724743192</v>
      </c>
      <c r="AF256" s="25">
        <f t="shared" si="122"/>
        <v>13.243681724743192</v>
      </c>
      <c r="AG256" s="25">
        <f>IF($A256&lt;0,0,IF(instatk="bs",(1.5+talSCallInstBon)*(MHavg+(ap+Z256-$Z$1)/APtoDPS*MHnorm+170)*(1+sa*0.1+0.04*opp+0.02*agg+Slayer4value-1),IF(instatk="hemo",Slayer4value*(MHavg+(ap+Z256-$Z$1)/APtoDPS*MHnorm)*(1.1+talSCallInstBon)+420*(1+raidcrit)*debuffon,IF(instatk="ss",(MHavg+(ap+Z256-$Z$1)/APtoDPS*MHnorm+98)*(1+sa*0.1+0.02*agg+Slayer4value-1),IF(instatk="v",(ohavg+(ap+Z256-$Z$1)/APtoDPS*OHnorm)*(1+sa*0.1)*(0.5+0.05*dws)+avipdam,Slayer4value*((1+0.04*opp)*(MHavg+101+(ap+Z256-$Z$1)/APtoDPS*MHnorm+(0.5+0.05*dws)*(ohavg+(ap+Z256-$Z$1)/APtoDPS*OHnorm)+101*(1+0.1*dws))*(1+0.5*IF(Talents!$O$18="Yes",1,0)))))))*(instactualhit+(1+((leth*0.06+2)-1)*(cfact-1))*instactualcrit)*fwfactor*AB256*instsec*(AF256/$AN$45))</f>
        <v>307.31443095592368</v>
      </c>
      <c r="AH256" s="25">
        <f t="shared" si="140"/>
        <v>0</v>
      </c>
      <c r="AI256" s="25">
        <f t="shared" si="141"/>
        <v>0</v>
      </c>
      <c r="AJ256" s="25">
        <f t="shared" si="142"/>
        <v>0</v>
      </c>
    </row>
    <row r="257" spans="1:36">
      <c r="A257">
        <f t="shared" si="123"/>
        <v>254</v>
      </c>
      <c r="B257">
        <f t="shared" si="131"/>
        <v>6</v>
      </c>
      <c r="C257">
        <f t="shared" si="109"/>
        <v>300</v>
      </c>
      <c r="D257">
        <f t="shared" si="124"/>
        <v>15</v>
      </c>
      <c r="E257">
        <f t="shared" si="143"/>
        <v>4</v>
      </c>
      <c r="F257">
        <f t="shared" si="110"/>
        <v>270</v>
      </c>
      <c r="G257">
        <f t="shared" si="125"/>
        <v>0</v>
      </c>
      <c r="H257">
        <f t="shared" si="132"/>
        <v>4</v>
      </c>
      <c r="I257">
        <f t="shared" si="111"/>
        <v>360</v>
      </c>
      <c r="J257">
        <f t="shared" si="126"/>
        <v>15</v>
      </c>
      <c r="K257">
        <f t="shared" si="133"/>
        <v>3</v>
      </c>
      <c r="L257">
        <f t="shared" si="112"/>
        <v>360</v>
      </c>
      <c r="M257">
        <f t="shared" si="127"/>
        <v>0</v>
      </c>
      <c r="N257">
        <f t="shared" si="134"/>
        <v>2</v>
      </c>
      <c r="O257">
        <f t="shared" si="113"/>
        <v>300</v>
      </c>
      <c r="P257">
        <f t="shared" si="135"/>
        <v>0</v>
      </c>
      <c r="Q257">
        <f t="shared" si="136"/>
        <v>2</v>
      </c>
      <c r="R257">
        <f t="shared" si="114"/>
        <v>300</v>
      </c>
      <c r="S257">
        <f t="shared" si="137"/>
        <v>0</v>
      </c>
      <c r="T257">
        <f t="shared" si="138"/>
        <v>-1</v>
      </c>
      <c r="U257">
        <f t="shared" si="128"/>
        <v>0</v>
      </c>
      <c r="V257">
        <f t="shared" si="129"/>
        <v>1</v>
      </c>
      <c r="W257">
        <f t="shared" si="115"/>
        <v>0</v>
      </c>
      <c r="X257">
        <f t="shared" si="139"/>
        <v>0</v>
      </c>
      <c r="Y257">
        <f t="shared" si="116"/>
        <v>0</v>
      </c>
      <c r="Z257">
        <f t="shared" si="117"/>
        <v>278</v>
      </c>
      <c r="AA257">
        <f t="shared" si="118"/>
        <v>0</v>
      </c>
      <c r="AB257" s="29">
        <f t="shared" si="119"/>
        <v>0.74178816089935007</v>
      </c>
      <c r="AC257" s="25">
        <f t="shared" si="120"/>
        <v>607.49804426656829</v>
      </c>
      <c r="AD257" s="29">
        <f t="shared" si="121"/>
        <v>1.6622911946613885</v>
      </c>
      <c r="AE257" s="25">
        <f t="shared" si="130"/>
        <v>13.243681724743192</v>
      </c>
      <c r="AF257" s="25">
        <f t="shared" si="122"/>
        <v>13.243681724743192</v>
      </c>
      <c r="AG257" s="25">
        <f>IF($A257&lt;0,0,IF(instatk="bs",(1.5+talSCallInstBon)*(MHavg+(ap+Z257-$Z$1)/APtoDPS*MHnorm+170)*(1+sa*0.1+0.04*opp+0.02*agg+Slayer4value-1),IF(instatk="hemo",Slayer4value*(MHavg+(ap+Z257-$Z$1)/APtoDPS*MHnorm)*(1.1+talSCallInstBon)+420*(1+raidcrit)*debuffon,IF(instatk="ss",(MHavg+(ap+Z257-$Z$1)/APtoDPS*MHnorm+98)*(1+sa*0.1+0.02*agg+Slayer4value-1),IF(instatk="v",(ohavg+(ap+Z257-$Z$1)/APtoDPS*OHnorm)*(1+sa*0.1)*(0.5+0.05*dws)+avipdam,Slayer4value*((1+0.04*opp)*(MHavg+101+(ap+Z257-$Z$1)/APtoDPS*MHnorm+(0.5+0.05*dws)*(ohavg+(ap+Z257-$Z$1)/APtoDPS*OHnorm)+101*(1+0.1*dws))*(1+0.5*IF(Talents!$O$18="Yes",1,0)))))))*(instactualhit+(1+((leth*0.06+2)-1)*(cfact-1))*instactualcrit)*fwfactor*AB257*instsec*(AF257/$AN$45))</f>
        <v>307.31443095592368</v>
      </c>
      <c r="AH257" s="25">
        <f t="shared" si="140"/>
        <v>0</v>
      </c>
      <c r="AI257" s="25">
        <f t="shared" si="141"/>
        <v>0</v>
      </c>
      <c r="AJ257" s="25">
        <f t="shared" si="142"/>
        <v>0</v>
      </c>
    </row>
    <row r="258" spans="1:36">
      <c r="A258">
        <f t="shared" si="123"/>
        <v>255</v>
      </c>
      <c r="B258">
        <f t="shared" si="131"/>
        <v>6</v>
      </c>
      <c r="C258">
        <f t="shared" si="109"/>
        <v>300</v>
      </c>
      <c r="D258">
        <f t="shared" si="124"/>
        <v>16</v>
      </c>
      <c r="E258">
        <f t="shared" si="143"/>
        <v>4</v>
      </c>
      <c r="F258">
        <f t="shared" si="110"/>
        <v>270</v>
      </c>
      <c r="G258">
        <f t="shared" si="125"/>
        <v>0</v>
      </c>
      <c r="H258">
        <f t="shared" si="132"/>
        <v>4</v>
      </c>
      <c r="I258">
        <f t="shared" si="111"/>
        <v>360</v>
      </c>
      <c r="J258">
        <f t="shared" si="126"/>
        <v>16</v>
      </c>
      <c r="K258">
        <f t="shared" si="133"/>
        <v>3</v>
      </c>
      <c r="L258">
        <f t="shared" si="112"/>
        <v>360</v>
      </c>
      <c r="M258">
        <f t="shared" si="127"/>
        <v>0</v>
      </c>
      <c r="N258">
        <f t="shared" si="134"/>
        <v>2</v>
      </c>
      <c r="O258">
        <f t="shared" si="113"/>
        <v>300</v>
      </c>
      <c r="P258">
        <f t="shared" si="135"/>
        <v>0</v>
      </c>
      <c r="Q258">
        <f t="shared" si="136"/>
        <v>2</v>
      </c>
      <c r="R258">
        <f t="shared" si="114"/>
        <v>300</v>
      </c>
      <c r="S258">
        <f t="shared" si="137"/>
        <v>0</v>
      </c>
      <c r="T258">
        <f t="shared" si="138"/>
        <v>-1</v>
      </c>
      <c r="U258">
        <f t="shared" si="128"/>
        <v>0</v>
      </c>
      <c r="V258">
        <f t="shared" si="129"/>
        <v>1</v>
      </c>
      <c r="W258">
        <f t="shared" si="115"/>
        <v>0</v>
      </c>
      <c r="X258">
        <f t="shared" si="139"/>
        <v>0</v>
      </c>
      <c r="Y258">
        <f t="shared" si="116"/>
        <v>0</v>
      </c>
      <c r="Z258">
        <f t="shared" si="117"/>
        <v>278</v>
      </c>
      <c r="AA258">
        <f t="shared" si="118"/>
        <v>0</v>
      </c>
      <c r="AB258" s="29">
        <f t="shared" si="119"/>
        <v>0.74178816089935007</v>
      </c>
      <c r="AC258" s="25">
        <f t="shared" si="120"/>
        <v>207.49804426656831</v>
      </c>
      <c r="AD258" s="29">
        <f t="shared" si="121"/>
        <v>1.1315841256324579</v>
      </c>
      <c r="AE258" s="25">
        <f t="shared" si="130"/>
        <v>13.243681724743192</v>
      </c>
      <c r="AF258" s="25">
        <f t="shared" si="122"/>
        <v>13.243681724743192</v>
      </c>
      <c r="AG258" s="25">
        <f>IF($A258&lt;0,0,IF(instatk="bs",(1.5+talSCallInstBon)*(MHavg+(ap+Z258-$Z$1)/APtoDPS*MHnorm+170)*(1+sa*0.1+0.04*opp+0.02*agg+Slayer4value-1),IF(instatk="hemo",Slayer4value*(MHavg+(ap+Z258-$Z$1)/APtoDPS*MHnorm)*(1.1+talSCallInstBon)+420*(1+raidcrit)*debuffon,IF(instatk="ss",(MHavg+(ap+Z258-$Z$1)/APtoDPS*MHnorm+98)*(1+sa*0.1+0.02*agg+Slayer4value-1),IF(instatk="v",(ohavg+(ap+Z258-$Z$1)/APtoDPS*OHnorm)*(1+sa*0.1)*(0.5+0.05*dws)+avipdam,Slayer4value*((1+0.04*opp)*(MHavg+101+(ap+Z258-$Z$1)/APtoDPS*MHnorm+(0.5+0.05*dws)*(ohavg+(ap+Z258-$Z$1)/APtoDPS*OHnorm)+101*(1+0.1*dws))*(1+0.5*IF(Talents!$O$18="Yes",1,0)))))))*(instactualhit+(1+((leth*0.06+2)-1)*(cfact-1))*instactualcrit)*fwfactor*AB258*instsec*(AF258/$AN$45))</f>
        <v>307.31443095592368</v>
      </c>
      <c r="AH258" s="25">
        <f t="shared" si="140"/>
        <v>0</v>
      </c>
      <c r="AI258" s="25">
        <f t="shared" si="141"/>
        <v>0</v>
      </c>
      <c r="AJ258" s="25">
        <f t="shared" si="142"/>
        <v>0</v>
      </c>
    </row>
    <row r="259" spans="1:36">
      <c r="A259">
        <f t="shared" si="123"/>
        <v>256</v>
      </c>
      <c r="B259">
        <f t="shared" si="131"/>
        <v>6</v>
      </c>
      <c r="C259">
        <f t="shared" ref="C259:C322" si="144">IF(AND(cdspec60,cdspec60plus),CHOOSE($B259,cdspec601,cdspec602,cdspec603,cdspec604,cdspec605,cdspec606,cdspec607,cdspec608,cdspec609,cdspec6010),($B259-1)*60+IF(cdspec60,cdspec601,0))</f>
        <v>300</v>
      </c>
      <c r="D259">
        <f t="shared" si="124"/>
        <v>17</v>
      </c>
      <c r="E259">
        <f t="shared" si="143"/>
        <v>4</v>
      </c>
      <c r="F259">
        <f t="shared" ref="F259:F322" si="145">IF(AND(cdspec90,cdspec90plus),CHOOSE(E259,cdspec901,cdspec902,cdspec903,cdspec904,cdspec905,cdspec906),(E259-1)*IF(cdtreat90as120,120,90)+IF(cdspec90,cdspec901,0))</f>
        <v>270</v>
      </c>
      <c r="G259">
        <f t="shared" si="125"/>
        <v>0</v>
      </c>
      <c r="H259">
        <f t="shared" si="132"/>
        <v>4</v>
      </c>
      <c r="I259">
        <f t="shared" ref="I259:I322" si="146">IF(AND(cdspec120,cdspec120plus),CHOOSE(H259,cdspec1201,cdspec1202,cdspec1203,cdspec1204,cdspec1205),(H259-1)*120+IF(cdspec120,cdspec1201,0))</f>
        <v>360</v>
      </c>
      <c r="J259">
        <f t="shared" si="126"/>
        <v>17</v>
      </c>
      <c r="K259">
        <f t="shared" si="133"/>
        <v>3</v>
      </c>
      <c r="L259">
        <f t="shared" ref="L259:L322" si="147">IF(AND(cdspec180,cdspec180plus),CHOOSE(K259,cdspec1801,cdspec1802,cdspec1803,cdspec1804),(K259-1)*IF(cdtreat180as240,240,180)+IF(cdspec180,cdspec1801,0))</f>
        <v>360</v>
      </c>
      <c r="M259">
        <f t="shared" si="127"/>
        <v>0</v>
      </c>
      <c r="N259">
        <f t="shared" si="134"/>
        <v>2</v>
      </c>
      <c r="O259">
        <f t="shared" ref="O259:O322" si="148">IF(cdspecar,CHOOSE(N259,cdar1,cdar2),(N259-1)*300)</f>
        <v>300</v>
      </c>
      <c r="P259">
        <f t="shared" si="135"/>
        <v>0</v>
      </c>
      <c r="Q259">
        <f t="shared" si="136"/>
        <v>2</v>
      </c>
      <c r="R259">
        <f t="shared" ref="R259:R322" si="149">IF(cdspectea,CHOOSE(Q259,cdtea1,cdtea2),(Q259-1)*300)</f>
        <v>300</v>
      </c>
      <c r="S259">
        <f t="shared" si="137"/>
        <v>0</v>
      </c>
      <c r="T259">
        <f t="shared" si="138"/>
        <v>-1</v>
      </c>
      <c r="U259">
        <f t="shared" si="128"/>
        <v>0</v>
      </c>
      <c r="V259">
        <f t="shared" si="129"/>
        <v>1</v>
      </c>
      <c r="W259">
        <f t="shared" ref="W259:W322" si="150">IF(V259=0,-1,IF(cdspeclust,CHOOSE(V259,cdlust1,cdlust2,cdlust3,cdlust4,cdlust5,cdlust6,cdlust7,cdlust8,cdlust9,cdlust10,cdlust11,cdlust12,cdlust13,cdlust14,cdlust15),(V259-1)*120))</f>
        <v>0</v>
      </c>
      <c r="X259">
        <f t="shared" si="139"/>
        <v>0</v>
      </c>
      <c r="Y259">
        <f t="shared" ref="Y259:Y322" si="151">IF($A259&lt;0, 0, IF($J259=0, 0, $AO$16*($J259&lt;=$AT$16)-IF($AW$14, $AO$3*($J259&lt;=$AT$3)))+IF($U259=0, 0, $AO$3))</f>
        <v>0</v>
      </c>
      <c r="Z259">
        <f t="shared" ref="Z259:Z322" si="152">IF($A259&lt;0, 0, IF($D259=0, 0, $AP$6*($D259&lt;=$AT$6)-IF($AW$5, $AP$3*($D259&lt;=$AT$3)))+IF($G259=0, 0, ($AP$9+$AP$10+$AP$11+$AP$12)*($G259&lt;=$AT$9)-IF($AW$8, $AP$3*($G259&lt;=$AT$3)))+IF($J259=0, 0, ($AP$17+$AP$18+$AP$19+$AP$24)*($J259&lt;=$AT$17)+($AP$23+$AP$25+$AP$27)*($J259&lt;=$AT$23)+$AP$30*($J259&lt;=$AT$30)+$AP$21*ROUNDUP($J259/2,0)*($J259&lt;=$AT$21)-IF($AW$14, IF($AP$3=65,$AP$3*ROUNDUP($J259/2,0)*($J259&lt;=$AT$3),$AP$3*($J259&lt;=$AT$3))))+IF($M259=0, 0, $AP$34*($M259&lt;=$AT$34)-IF($AW$32, $AP$3*($M259&lt;=$AT$3)))+IF($U259=0, 0, IF($AP$3=65,$AP$3*ROUNDUP($U259/2,0),$AP$3)))</f>
        <v>278</v>
      </c>
      <c r="AA259">
        <f t="shared" ref="AA259:AA322" si="153">IF($A259&lt;0,0,IF($J259=0,0,$AQ$20*($J259&lt;=$AT$20)-IF($AW$14,$AQ$3*($J259&lt;=$AT$3)))+IF($M259=0,0,$AQ$33*($M259&lt;=$AT$33))+IF($U259=0,0,$AQ$3))</f>
        <v>0</v>
      </c>
      <c r="AB259" s="29">
        <f t="shared" ref="AB259:AB322" si="154">IF($A259&lt;0,0,1-MAX($AN$44-AA259,0)/(MAX($AN$44-AA259,0)+467.5*CharLevel-22167.5))</f>
        <v>0.74178816089935007</v>
      </c>
      <c r="AC259" s="25">
        <f t="shared" ref="AC259:AC322" si="155">IF($A259&lt;0,0,$AN$43+IF($J259=0, 0, $AR$15*($J259&lt;=$AT$15)+$AR$22*($J259&lt;=$AT$22)+$AR$28*($J259&lt;=$AT$28)+$AR$29*($J259&lt;=$AT$29)-IF($AW$14, $AR$3*($J259&lt;=$AT$3))))</f>
        <v>207.49804426656831</v>
      </c>
      <c r="AD259" s="29">
        <f t="shared" ref="AD259:AD322" si="156">IF($A259&lt;0,0,(1+$AC259/(hasterate*100))*(1+$AS$26/100*AND($J259&gt;0,$J259&lt;=$AT$26))*(1+$AS$35/100*AND($M259&gt;0,$M259&lt;=$AT$35))*(1+0.3*($X259&gt;0)))</f>
        <v>1.1315841256324579</v>
      </c>
      <c r="AE259" s="25">
        <f t="shared" si="130"/>
        <v>13.243681724743192</v>
      </c>
      <c r="AF259" s="25">
        <f t="shared" ref="AF259:AF322" si="157">MIN(instcost,AE259)</f>
        <v>13.243681724743192</v>
      </c>
      <c r="AG259" s="25">
        <f>IF($A259&lt;0,0,IF(instatk="bs",(1.5+talSCallInstBon)*(MHavg+(ap+Z259-$Z$1)/APtoDPS*MHnorm+170)*(1+sa*0.1+0.04*opp+0.02*agg+Slayer4value-1),IF(instatk="hemo",Slayer4value*(MHavg+(ap+Z259-$Z$1)/APtoDPS*MHnorm)*(1.1+talSCallInstBon)+420*(1+raidcrit)*debuffon,IF(instatk="ss",(MHavg+(ap+Z259-$Z$1)/APtoDPS*MHnorm+98)*(1+sa*0.1+0.02*agg+Slayer4value-1),IF(instatk="v",(ohavg+(ap+Z259-$Z$1)/APtoDPS*OHnorm)*(1+sa*0.1)*(0.5+0.05*dws)+avipdam,Slayer4value*((1+0.04*opp)*(MHavg+101+(ap+Z259-$Z$1)/APtoDPS*MHnorm+(0.5+0.05*dws)*(ohavg+(ap+Z259-$Z$1)/APtoDPS*OHnorm)+101*(1+0.1*dws))*(1+0.5*IF(Talents!$O$18="Yes",1,0)))))))*(instactualhit+(1+((leth*0.06+2)-1)*(cfact-1))*instactualcrit)*fwfactor*AB259*instsec*(AF259/$AN$45))</f>
        <v>307.31443095592368</v>
      </c>
      <c r="AH259" s="25">
        <f t="shared" si="140"/>
        <v>0</v>
      </c>
      <c r="AI259" s="25">
        <f t="shared" si="141"/>
        <v>0</v>
      </c>
      <c r="AJ259" s="25">
        <f t="shared" si="142"/>
        <v>0</v>
      </c>
    </row>
    <row r="260" spans="1:36">
      <c r="A260">
        <f t="shared" ref="A260:A323" si="158">IF(A259&lt;0,-1,IF(A259+1&gt;=time,-1,A259+1))</f>
        <v>257</v>
      </c>
      <c r="B260">
        <f t="shared" si="131"/>
        <v>6</v>
      </c>
      <c r="C260">
        <f t="shared" si="144"/>
        <v>300</v>
      </c>
      <c r="D260">
        <f t="shared" ref="D260:D323" si="159">IF($A260=$C260,1,IF(AND($D259&gt;0,$D259&lt;30),$D259+1,0))</f>
        <v>18</v>
      </c>
      <c r="E260">
        <f t="shared" si="143"/>
        <v>4</v>
      </c>
      <c r="F260">
        <f t="shared" si="145"/>
        <v>270</v>
      </c>
      <c r="G260">
        <f t="shared" ref="G260:G323" si="160">IF($A260=F260,1,IF(AND(G259&gt;0,G259&lt;30),G259+1,0))</f>
        <v>0</v>
      </c>
      <c r="H260">
        <f t="shared" si="132"/>
        <v>4</v>
      </c>
      <c r="I260">
        <f t="shared" si="146"/>
        <v>360</v>
      </c>
      <c r="J260">
        <f t="shared" ref="J260:J323" si="161">IF($A260=I260,1,IF(AND(J259&gt;0,J259&lt;30),J259+1,0))</f>
        <v>18</v>
      </c>
      <c r="K260">
        <f t="shared" si="133"/>
        <v>3</v>
      </c>
      <c r="L260">
        <f t="shared" si="147"/>
        <v>360</v>
      </c>
      <c r="M260">
        <f t="shared" ref="M260:M323" si="162">IF($A260=L260,1,IF(AND(M259&gt;0,M259&lt;30),M259+1,0))</f>
        <v>0</v>
      </c>
      <c r="N260">
        <f t="shared" si="134"/>
        <v>2</v>
      </c>
      <c r="O260">
        <f t="shared" si="148"/>
        <v>300</v>
      </c>
      <c r="P260">
        <f t="shared" si="135"/>
        <v>0</v>
      </c>
      <c r="Q260">
        <f t="shared" si="136"/>
        <v>2</v>
      </c>
      <c r="R260">
        <f t="shared" si="149"/>
        <v>300</v>
      </c>
      <c r="S260">
        <f t="shared" si="137"/>
        <v>0</v>
      </c>
      <c r="T260">
        <f t="shared" si="138"/>
        <v>-1</v>
      </c>
      <c r="U260">
        <f t="shared" ref="U260:U323" si="163">IF($A260=T260,1,IF(AND(U259&gt;0,U259&lt;$AT$3),U259+1,0))</f>
        <v>0</v>
      </c>
      <c r="V260">
        <f t="shared" ref="V260:V323" si="164">MIN(IF(X259=1,V259+1,V259),blustcount)</f>
        <v>1</v>
      </c>
      <c r="W260">
        <f t="shared" si="150"/>
        <v>0</v>
      </c>
      <c r="X260">
        <f t="shared" si="139"/>
        <v>0</v>
      </c>
      <c r="Y260">
        <f t="shared" si="151"/>
        <v>0</v>
      </c>
      <c r="Z260">
        <f t="shared" si="152"/>
        <v>278</v>
      </c>
      <c r="AA260">
        <f t="shared" si="153"/>
        <v>0</v>
      </c>
      <c r="AB260" s="29">
        <f t="shared" si="154"/>
        <v>0.74178816089935007</v>
      </c>
      <c r="AC260" s="25">
        <f t="shared" si="155"/>
        <v>207.49804426656831</v>
      </c>
      <c r="AD260" s="29">
        <f t="shared" si="156"/>
        <v>1.1315841256324579</v>
      </c>
      <c r="AE260" s="25">
        <f t="shared" ref="AE260:AE323" si="165">IF($A260&lt;0,0,$AN$45+IF($P260&gt;0,$AN$37*$AL$37,0)+$S260*(60-IF(CharLevel&gt;60,(CharLevel-60)*2,0))*$AL$38+IF($J260=1,$AL$26*-25+IF($AL$39, 30, 0),0)+IF($M260=1,$AL$35*-10,0)+IF(AE259&gt;instcost,AE259-instcost,0))</f>
        <v>13.243681724743192</v>
      </c>
      <c r="AF260" s="25">
        <f t="shared" si="157"/>
        <v>13.243681724743192</v>
      </c>
      <c r="AG260" s="25">
        <f>IF($A260&lt;0,0,IF(instatk="bs",(1.5+talSCallInstBon)*(MHavg+(ap+Z260-$Z$1)/APtoDPS*MHnorm+170)*(1+sa*0.1+0.04*opp+0.02*agg+Slayer4value-1),IF(instatk="hemo",Slayer4value*(MHavg+(ap+Z260-$Z$1)/APtoDPS*MHnorm)*(1.1+talSCallInstBon)+420*(1+raidcrit)*debuffon,IF(instatk="ss",(MHavg+(ap+Z260-$Z$1)/APtoDPS*MHnorm+98)*(1+sa*0.1+0.02*agg+Slayer4value-1),IF(instatk="v",(ohavg+(ap+Z260-$Z$1)/APtoDPS*OHnorm)*(1+sa*0.1)*(0.5+0.05*dws)+avipdam,Slayer4value*((1+0.04*opp)*(MHavg+101+(ap+Z260-$Z$1)/APtoDPS*MHnorm+(0.5+0.05*dws)*(ohavg+(ap+Z260-$Z$1)/APtoDPS*OHnorm)+101*(1+0.1*dws))*(1+0.5*IF(Talents!$O$18="Yes",1,0)))))))*(instactualhit+(1+((leth*0.06+2)-1)*(cfact-1))*instactualcrit)*fwfactor*AB260*instsec*(AF260/$AN$45))</f>
        <v>307.31443095592368</v>
      </c>
      <c r="AH260" s="25">
        <f t="shared" si="140"/>
        <v>0</v>
      </c>
      <c r="AI260" s="25">
        <f t="shared" si="141"/>
        <v>0</v>
      </c>
      <c r="AJ260" s="25">
        <f t="shared" si="142"/>
        <v>0</v>
      </c>
    </row>
    <row r="261" spans="1:36">
      <c r="A261">
        <f t="shared" si="158"/>
        <v>258</v>
      </c>
      <c r="B261">
        <f t="shared" ref="B261:B324" si="166">MIN(IF(D260=1,B260+1,B260),10)</f>
        <v>6</v>
      </c>
      <c r="C261">
        <f t="shared" si="144"/>
        <v>300</v>
      </c>
      <c r="D261">
        <f t="shared" si="159"/>
        <v>19</v>
      </c>
      <c r="E261">
        <f t="shared" si="143"/>
        <v>4</v>
      </c>
      <c r="F261">
        <f t="shared" si="145"/>
        <v>270</v>
      </c>
      <c r="G261">
        <f t="shared" si="160"/>
        <v>0</v>
      </c>
      <c r="H261">
        <f t="shared" ref="H261:H324" si="167">MIN(IF(J260=1,H260+1,H260),5)</f>
        <v>4</v>
      </c>
      <c r="I261">
        <f t="shared" si="146"/>
        <v>360</v>
      </c>
      <c r="J261">
        <f t="shared" si="161"/>
        <v>19</v>
      </c>
      <c r="K261">
        <f t="shared" ref="K261:K324" si="168">MIN(IF(M260=1,K260+1,K260),4)</f>
        <v>3</v>
      </c>
      <c r="L261">
        <f t="shared" si="147"/>
        <v>360</v>
      </c>
      <c r="M261">
        <f t="shared" si="162"/>
        <v>0</v>
      </c>
      <c r="N261">
        <f t="shared" ref="N261:N324" si="169">MIN(IF(P260=1,N260+1,N260),2)</f>
        <v>2</v>
      </c>
      <c r="O261">
        <f t="shared" si="148"/>
        <v>300</v>
      </c>
      <c r="P261">
        <f t="shared" ref="P261:P324" si="170">IF($A261=O261,1,IF(AND(P260&gt;0,P260&lt;15),P260+1,0))</f>
        <v>0</v>
      </c>
      <c r="Q261">
        <f t="shared" ref="Q261:Q324" si="171">MIN(IF(S260=1,Q260+1,Q260),2)</f>
        <v>2</v>
      </c>
      <c r="R261">
        <f t="shared" si="149"/>
        <v>300</v>
      </c>
      <c r="S261">
        <f t="shared" ref="S261:S324" si="172">IF($A261=R261,1,IF(AND(S260&gt;0,S260&lt;1),S260+1,0))</f>
        <v>0</v>
      </c>
      <c r="T261">
        <f t="shared" ref="T261:T324" si="173">IF($AU$3, IF(AND(T260&gt;IF($AV$5,C261,IF($AV$8,F261,IF($AV$14,I261,IF($AV$32,L261))))-$AT$3,T260&lt;IF($AV$5,C261,IF($AV$8,F261,IF($AV$14,I261,IF($AV$32,L261))))+$AU$3), IF($AV$5,C261,IF($AV$8,F261,IF($AV$14,I261,IF($AV$32,L261))))+$AU$3, T260)+IF(T260-A260=0, IF($AW$5,60,IF($AW$8,90,IF($AW$14,120,IF($AW$32,180))))), -1)</f>
        <v>-1</v>
      </c>
      <c r="U261">
        <f t="shared" si="163"/>
        <v>0</v>
      </c>
      <c r="V261">
        <f t="shared" si="164"/>
        <v>1</v>
      </c>
      <c r="W261">
        <f t="shared" si="150"/>
        <v>0</v>
      </c>
      <c r="X261">
        <f t="shared" ref="X261:X324" si="174">IF($A261=W261,1,IF(AND(X260&gt;0,X260&lt;40),X260+1,0))</f>
        <v>0</v>
      </c>
      <c r="Y261">
        <f t="shared" si="151"/>
        <v>0</v>
      </c>
      <c r="Z261">
        <f t="shared" si="152"/>
        <v>278</v>
      </c>
      <c r="AA261">
        <f t="shared" si="153"/>
        <v>0</v>
      </c>
      <c r="AB261" s="29">
        <f t="shared" si="154"/>
        <v>0.74178816089935007</v>
      </c>
      <c r="AC261" s="25">
        <f t="shared" si="155"/>
        <v>207.49804426656831</v>
      </c>
      <c r="AD261" s="29">
        <f t="shared" si="156"/>
        <v>1.1315841256324579</v>
      </c>
      <c r="AE261" s="25">
        <f t="shared" si="165"/>
        <v>13.243681724743192</v>
      </c>
      <c r="AF261" s="25">
        <f t="shared" si="157"/>
        <v>13.243681724743192</v>
      </c>
      <c r="AG261" s="25">
        <f>IF($A261&lt;0,0,IF(instatk="bs",(1.5+talSCallInstBon)*(MHavg+(ap+Z261-$Z$1)/APtoDPS*MHnorm+170)*(1+sa*0.1+0.04*opp+0.02*agg+Slayer4value-1),IF(instatk="hemo",Slayer4value*(MHavg+(ap+Z261-$Z$1)/APtoDPS*MHnorm)*(1.1+talSCallInstBon)+420*(1+raidcrit)*debuffon,IF(instatk="ss",(MHavg+(ap+Z261-$Z$1)/APtoDPS*MHnorm+98)*(1+sa*0.1+0.02*agg+Slayer4value-1),IF(instatk="v",(ohavg+(ap+Z261-$Z$1)/APtoDPS*OHnorm)*(1+sa*0.1)*(0.5+0.05*dws)+avipdam,Slayer4value*((1+0.04*opp)*(MHavg+101+(ap+Z261-$Z$1)/APtoDPS*MHnorm+(0.5+0.05*dws)*(ohavg+(ap+Z261-$Z$1)/APtoDPS*OHnorm)+101*(1+0.1*dws))*(1+0.5*IF(Talents!$O$18="Yes",1,0)))))))*(instactualhit+(1+((leth*0.06+2)-1)*(cfact-1))*instactualcrit)*fwfactor*AB261*instsec*(AF261/$AN$45))</f>
        <v>307.31443095592368</v>
      </c>
      <c r="AH261" s="25">
        <f t="shared" ref="AH261:AH324" si="175">IF(AH260-$AF261&lt;0,0,AH260-$AF261)</f>
        <v>0</v>
      </c>
      <c r="AI261" s="25">
        <f t="shared" ref="AI261:AI324" si="176">IF(AI260-AF261&lt;0,0,AI260-AF261)</f>
        <v>0</v>
      </c>
      <c r="AJ261" s="25">
        <f t="shared" ref="AJ261:AJ324" si="177">IF(AJ260-$AF261&lt;0,0,AJ260-$AF261)</f>
        <v>0</v>
      </c>
    </row>
    <row r="262" spans="1:36">
      <c r="A262">
        <f t="shared" si="158"/>
        <v>259</v>
      </c>
      <c r="B262">
        <f t="shared" si="166"/>
        <v>6</v>
      </c>
      <c r="C262">
        <f t="shared" si="144"/>
        <v>300</v>
      </c>
      <c r="D262">
        <f t="shared" si="159"/>
        <v>20</v>
      </c>
      <c r="E262">
        <f t="shared" ref="E262:E325" si="178">MIN(IF(G261=1,E261+1,E261),6)</f>
        <v>4</v>
      </c>
      <c r="F262">
        <f t="shared" si="145"/>
        <v>270</v>
      </c>
      <c r="G262">
        <f t="shared" si="160"/>
        <v>0</v>
      </c>
      <c r="H262">
        <f t="shared" si="167"/>
        <v>4</v>
      </c>
      <c r="I262">
        <f t="shared" si="146"/>
        <v>360</v>
      </c>
      <c r="J262">
        <f t="shared" si="161"/>
        <v>20</v>
      </c>
      <c r="K262">
        <f t="shared" si="168"/>
        <v>3</v>
      </c>
      <c r="L262">
        <f t="shared" si="147"/>
        <v>360</v>
      </c>
      <c r="M262">
        <f t="shared" si="162"/>
        <v>0</v>
      </c>
      <c r="N262">
        <f t="shared" si="169"/>
        <v>2</v>
      </c>
      <c r="O262">
        <f t="shared" si="148"/>
        <v>300</v>
      </c>
      <c r="P262">
        <f t="shared" si="170"/>
        <v>0</v>
      </c>
      <c r="Q262">
        <f t="shared" si="171"/>
        <v>2</v>
      </c>
      <c r="R262">
        <f t="shared" si="149"/>
        <v>300</v>
      </c>
      <c r="S262">
        <f t="shared" si="172"/>
        <v>0</v>
      </c>
      <c r="T262">
        <f t="shared" si="173"/>
        <v>-1</v>
      </c>
      <c r="U262">
        <f t="shared" si="163"/>
        <v>0</v>
      </c>
      <c r="V262">
        <f t="shared" si="164"/>
        <v>1</v>
      </c>
      <c r="W262">
        <f t="shared" si="150"/>
        <v>0</v>
      </c>
      <c r="X262">
        <f t="shared" si="174"/>
        <v>0</v>
      </c>
      <c r="Y262">
        <f t="shared" si="151"/>
        <v>0</v>
      </c>
      <c r="Z262">
        <f t="shared" si="152"/>
        <v>278</v>
      </c>
      <c r="AA262">
        <f t="shared" si="153"/>
        <v>0</v>
      </c>
      <c r="AB262" s="29">
        <f t="shared" si="154"/>
        <v>0.74178816089935007</v>
      </c>
      <c r="AC262" s="25">
        <f t="shared" si="155"/>
        <v>207.49804426656831</v>
      </c>
      <c r="AD262" s="29">
        <f t="shared" si="156"/>
        <v>1.1315841256324579</v>
      </c>
      <c r="AE262" s="25">
        <f t="shared" si="165"/>
        <v>13.243681724743192</v>
      </c>
      <c r="AF262" s="25">
        <f t="shared" si="157"/>
        <v>13.243681724743192</v>
      </c>
      <c r="AG262" s="25">
        <f>IF($A262&lt;0,0,IF(instatk="bs",(1.5+talSCallInstBon)*(MHavg+(ap+Z262-$Z$1)/APtoDPS*MHnorm+170)*(1+sa*0.1+0.04*opp+0.02*agg+Slayer4value-1),IF(instatk="hemo",Slayer4value*(MHavg+(ap+Z262-$Z$1)/APtoDPS*MHnorm)*(1.1+talSCallInstBon)+420*(1+raidcrit)*debuffon,IF(instatk="ss",(MHavg+(ap+Z262-$Z$1)/APtoDPS*MHnorm+98)*(1+sa*0.1+0.02*agg+Slayer4value-1),IF(instatk="v",(ohavg+(ap+Z262-$Z$1)/APtoDPS*OHnorm)*(1+sa*0.1)*(0.5+0.05*dws)+avipdam,Slayer4value*((1+0.04*opp)*(MHavg+101+(ap+Z262-$Z$1)/APtoDPS*MHnorm+(0.5+0.05*dws)*(ohavg+(ap+Z262-$Z$1)/APtoDPS*OHnorm)+101*(1+0.1*dws))*(1+0.5*IF(Talents!$O$18="Yes",1,0)))))))*(instactualhit+(1+((leth*0.06+2)-1)*(cfact-1))*instactualcrit)*fwfactor*AB262*instsec*(AF262/$AN$45))</f>
        <v>307.31443095592368</v>
      </c>
      <c r="AH262" s="25">
        <f t="shared" si="175"/>
        <v>0</v>
      </c>
      <c r="AI262" s="25">
        <f t="shared" si="176"/>
        <v>0</v>
      </c>
      <c r="AJ262" s="25">
        <f t="shared" si="177"/>
        <v>0</v>
      </c>
    </row>
    <row r="263" spans="1:36">
      <c r="A263">
        <f t="shared" si="158"/>
        <v>260</v>
      </c>
      <c r="B263">
        <f t="shared" si="166"/>
        <v>6</v>
      </c>
      <c r="C263">
        <f t="shared" si="144"/>
        <v>300</v>
      </c>
      <c r="D263">
        <f t="shared" si="159"/>
        <v>21</v>
      </c>
      <c r="E263">
        <f t="shared" si="178"/>
        <v>4</v>
      </c>
      <c r="F263">
        <f t="shared" si="145"/>
        <v>270</v>
      </c>
      <c r="G263">
        <f t="shared" si="160"/>
        <v>0</v>
      </c>
      <c r="H263">
        <f t="shared" si="167"/>
        <v>4</v>
      </c>
      <c r="I263">
        <f t="shared" si="146"/>
        <v>360</v>
      </c>
      <c r="J263">
        <f t="shared" si="161"/>
        <v>21</v>
      </c>
      <c r="K263">
        <f t="shared" si="168"/>
        <v>3</v>
      </c>
      <c r="L263">
        <f t="shared" si="147"/>
        <v>360</v>
      </c>
      <c r="M263">
        <f t="shared" si="162"/>
        <v>0</v>
      </c>
      <c r="N263">
        <f t="shared" si="169"/>
        <v>2</v>
      </c>
      <c r="O263">
        <f t="shared" si="148"/>
        <v>300</v>
      </c>
      <c r="P263">
        <f t="shared" si="170"/>
        <v>0</v>
      </c>
      <c r="Q263">
        <f t="shared" si="171"/>
        <v>2</v>
      </c>
      <c r="R263">
        <f t="shared" si="149"/>
        <v>300</v>
      </c>
      <c r="S263">
        <f t="shared" si="172"/>
        <v>0</v>
      </c>
      <c r="T263">
        <f t="shared" si="173"/>
        <v>-1</v>
      </c>
      <c r="U263">
        <f t="shared" si="163"/>
        <v>0</v>
      </c>
      <c r="V263">
        <f t="shared" si="164"/>
        <v>1</v>
      </c>
      <c r="W263">
        <f t="shared" si="150"/>
        <v>0</v>
      </c>
      <c r="X263">
        <f t="shared" si="174"/>
        <v>0</v>
      </c>
      <c r="Y263">
        <f t="shared" si="151"/>
        <v>0</v>
      </c>
      <c r="Z263">
        <f t="shared" si="152"/>
        <v>0</v>
      </c>
      <c r="AA263">
        <f t="shared" si="153"/>
        <v>0</v>
      </c>
      <c r="AB263" s="29">
        <f t="shared" si="154"/>
        <v>0.74178816089935007</v>
      </c>
      <c r="AC263" s="25">
        <f t="shared" si="155"/>
        <v>207.49804426656831</v>
      </c>
      <c r="AD263" s="29">
        <f t="shared" si="156"/>
        <v>1.1315841256324579</v>
      </c>
      <c r="AE263" s="25">
        <f t="shared" si="165"/>
        <v>13.243681724743192</v>
      </c>
      <c r="AF263" s="25">
        <f t="shared" si="157"/>
        <v>13.243681724743192</v>
      </c>
      <c r="AG263" s="25">
        <f>IF($A263&lt;0,0,IF(instatk="bs",(1.5+talSCallInstBon)*(MHavg+(ap+Z263-$Z$1)/APtoDPS*MHnorm+170)*(1+sa*0.1+0.04*opp+0.02*agg+Slayer4value-1),IF(instatk="hemo",Slayer4value*(MHavg+(ap+Z263-$Z$1)/APtoDPS*MHnorm)*(1.1+talSCallInstBon)+420*(1+raidcrit)*debuffon,IF(instatk="ss",(MHavg+(ap+Z263-$Z$1)/APtoDPS*MHnorm+98)*(1+sa*0.1+0.02*agg+Slayer4value-1),IF(instatk="v",(ohavg+(ap+Z263-$Z$1)/APtoDPS*OHnorm)*(1+sa*0.1)*(0.5+0.05*dws)+avipdam,Slayer4value*((1+0.04*opp)*(MHavg+101+(ap+Z263-$Z$1)/APtoDPS*MHnorm+(0.5+0.05*dws)*(ohavg+(ap+Z263-$Z$1)/APtoDPS*OHnorm)+101*(1+0.1*dws))*(1+0.5*IF(Talents!$O$18="Yes",1,0)))))))*(instactualhit+(1+((leth*0.06+2)-1)*(cfact-1))*instactualcrit)*fwfactor*AB263*instsec*(AF263/$AN$45))</f>
        <v>290.78918279358999</v>
      </c>
      <c r="AH263" s="25">
        <f t="shared" si="175"/>
        <v>0</v>
      </c>
      <c r="AI263" s="25">
        <f t="shared" si="176"/>
        <v>0</v>
      </c>
      <c r="AJ263" s="25">
        <f t="shared" si="177"/>
        <v>0</v>
      </c>
    </row>
    <row r="264" spans="1:36">
      <c r="A264">
        <f t="shared" si="158"/>
        <v>261</v>
      </c>
      <c r="B264">
        <f t="shared" si="166"/>
        <v>6</v>
      </c>
      <c r="C264">
        <f t="shared" si="144"/>
        <v>300</v>
      </c>
      <c r="D264">
        <f t="shared" si="159"/>
        <v>22</v>
      </c>
      <c r="E264">
        <f t="shared" si="178"/>
        <v>4</v>
      </c>
      <c r="F264">
        <f t="shared" si="145"/>
        <v>270</v>
      </c>
      <c r="G264">
        <f t="shared" si="160"/>
        <v>0</v>
      </c>
      <c r="H264">
        <f t="shared" si="167"/>
        <v>4</v>
      </c>
      <c r="I264">
        <f t="shared" si="146"/>
        <v>360</v>
      </c>
      <c r="J264">
        <f t="shared" si="161"/>
        <v>22</v>
      </c>
      <c r="K264">
        <f t="shared" si="168"/>
        <v>3</v>
      </c>
      <c r="L264">
        <f t="shared" si="147"/>
        <v>360</v>
      </c>
      <c r="M264">
        <f t="shared" si="162"/>
        <v>0</v>
      </c>
      <c r="N264">
        <f t="shared" si="169"/>
        <v>2</v>
      </c>
      <c r="O264">
        <f t="shared" si="148"/>
        <v>300</v>
      </c>
      <c r="P264">
        <f t="shared" si="170"/>
        <v>0</v>
      </c>
      <c r="Q264">
        <f t="shared" si="171"/>
        <v>2</v>
      </c>
      <c r="R264">
        <f t="shared" si="149"/>
        <v>300</v>
      </c>
      <c r="S264">
        <f t="shared" si="172"/>
        <v>0</v>
      </c>
      <c r="T264">
        <f t="shared" si="173"/>
        <v>-1</v>
      </c>
      <c r="U264">
        <f t="shared" si="163"/>
        <v>0</v>
      </c>
      <c r="V264">
        <f t="shared" si="164"/>
        <v>1</v>
      </c>
      <c r="W264">
        <f t="shared" si="150"/>
        <v>0</v>
      </c>
      <c r="X264">
        <f t="shared" si="174"/>
        <v>0</v>
      </c>
      <c r="Y264">
        <f t="shared" si="151"/>
        <v>0</v>
      </c>
      <c r="Z264">
        <f t="shared" si="152"/>
        <v>0</v>
      </c>
      <c r="AA264">
        <f t="shared" si="153"/>
        <v>0</v>
      </c>
      <c r="AB264" s="29">
        <f t="shared" si="154"/>
        <v>0.74178816089935007</v>
      </c>
      <c r="AC264" s="25">
        <f t="shared" si="155"/>
        <v>207.49804426656831</v>
      </c>
      <c r="AD264" s="29">
        <f t="shared" si="156"/>
        <v>1.1315841256324579</v>
      </c>
      <c r="AE264" s="25">
        <f t="shared" si="165"/>
        <v>13.243681724743192</v>
      </c>
      <c r="AF264" s="25">
        <f t="shared" si="157"/>
        <v>13.243681724743192</v>
      </c>
      <c r="AG264" s="25">
        <f>IF($A264&lt;0,0,IF(instatk="bs",(1.5+talSCallInstBon)*(MHavg+(ap+Z264-$Z$1)/APtoDPS*MHnorm+170)*(1+sa*0.1+0.04*opp+0.02*agg+Slayer4value-1),IF(instatk="hemo",Slayer4value*(MHavg+(ap+Z264-$Z$1)/APtoDPS*MHnorm)*(1.1+talSCallInstBon)+420*(1+raidcrit)*debuffon,IF(instatk="ss",(MHavg+(ap+Z264-$Z$1)/APtoDPS*MHnorm+98)*(1+sa*0.1+0.02*agg+Slayer4value-1),IF(instatk="v",(ohavg+(ap+Z264-$Z$1)/APtoDPS*OHnorm)*(1+sa*0.1)*(0.5+0.05*dws)+avipdam,Slayer4value*((1+0.04*opp)*(MHavg+101+(ap+Z264-$Z$1)/APtoDPS*MHnorm+(0.5+0.05*dws)*(ohavg+(ap+Z264-$Z$1)/APtoDPS*OHnorm)+101*(1+0.1*dws))*(1+0.5*IF(Talents!$O$18="Yes",1,0)))))))*(instactualhit+(1+((leth*0.06+2)-1)*(cfact-1))*instactualcrit)*fwfactor*AB264*instsec*(AF264/$AN$45))</f>
        <v>290.78918279358999</v>
      </c>
      <c r="AH264" s="25">
        <f t="shared" si="175"/>
        <v>0</v>
      </c>
      <c r="AI264" s="25">
        <f t="shared" si="176"/>
        <v>0</v>
      </c>
      <c r="AJ264" s="25">
        <f t="shared" si="177"/>
        <v>0</v>
      </c>
    </row>
    <row r="265" spans="1:36">
      <c r="A265">
        <f t="shared" si="158"/>
        <v>262</v>
      </c>
      <c r="B265">
        <f t="shared" si="166"/>
        <v>6</v>
      </c>
      <c r="C265">
        <f t="shared" si="144"/>
        <v>300</v>
      </c>
      <c r="D265">
        <f t="shared" si="159"/>
        <v>23</v>
      </c>
      <c r="E265">
        <f t="shared" si="178"/>
        <v>4</v>
      </c>
      <c r="F265">
        <f t="shared" si="145"/>
        <v>270</v>
      </c>
      <c r="G265">
        <f t="shared" si="160"/>
        <v>0</v>
      </c>
      <c r="H265">
        <f t="shared" si="167"/>
        <v>4</v>
      </c>
      <c r="I265">
        <f t="shared" si="146"/>
        <v>360</v>
      </c>
      <c r="J265">
        <f t="shared" si="161"/>
        <v>23</v>
      </c>
      <c r="K265">
        <f t="shared" si="168"/>
        <v>3</v>
      </c>
      <c r="L265">
        <f t="shared" si="147"/>
        <v>360</v>
      </c>
      <c r="M265">
        <f t="shared" si="162"/>
        <v>0</v>
      </c>
      <c r="N265">
        <f t="shared" si="169"/>
        <v>2</v>
      </c>
      <c r="O265">
        <f t="shared" si="148"/>
        <v>300</v>
      </c>
      <c r="P265">
        <f t="shared" si="170"/>
        <v>0</v>
      </c>
      <c r="Q265">
        <f t="shared" si="171"/>
        <v>2</v>
      </c>
      <c r="R265">
        <f t="shared" si="149"/>
        <v>300</v>
      </c>
      <c r="S265">
        <f t="shared" si="172"/>
        <v>0</v>
      </c>
      <c r="T265">
        <f t="shared" si="173"/>
        <v>-1</v>
      </c>
      <c r="U265">
        <f t="shared" si="163"/>
        <v>0</v>
      </c>
      <c r="V265">
        <f t="shared" si="164"/>
        <v>1</v>
      </c>
      <c r="W265">
        <f t="shared" si="150"/>
        <v>0</v>
      </c>
      <c r="X265">
        <f t="shared" si="174"/>
        <v>0</v>
      </c>
      <c r="Y265">
        <f t="shared" si="151"/>
        <v>0</v>
      </c>
      <c r="Z265">
        <f t="shared" si="152"/>
        <v>0</v>
      </c>
      <c r="AA265">
        <f t="shared" si="153"/>
        <v>0</v>
      </c>
      <c r="AB265" s="29">
        <f t="shared" si="154"/>
        <v>0.74178816089935007</v>
      </c>
      <c r="AC265" s="25">
        <f t="shared" si="155"/>
        <v>207.49804426656831</v>
      </c>
      <c r="AD265" s="29">
        <f t="shared" si="156"/>
        <v>1.1315841256324579</v>
      </c>
      <c r="AE265" s="25">
        <f t="shared" si="165"/>
        <v>13.243681724743192</v>
      </c>
      <c r="AF265" s="25">
        <f t="shared" si="157"/>
        <v>13.243681724743192</v>
      </c>
      <c r="AG265" s="25">
        <f>IF($A265&lt;0,0,IF(instatk="bs",(1.5+talSCallInstBon)*(MHavg+(ap+Z265-$Z$1)/APtoDPS*MHnorm+170)*(1+sa*0.1+0.04*opp+0.02*agg+Slayer4value-1),IF(instatk="hemo",Slayer4value*(MHavg+(ap+Z265-$Z$1)/APtoDPS*MHnorm)*(1.1+talSCallInstBon)+420*(1+raidcrit)*debuffon,IF(instatk="ss",(MHavg+(ap+Z265-$Z$1)/APtoDPS*MHnorm+98)*(1+sa*0.1+0.02*agg+Slayer4value-1),IF(instatk="v",(ohavg+(ap+Z265-$Z$1)/APtoDPS*OHnorm)*(1+sa*0.1)*(0.5+0.05*dws)+avipdam,Slayer4value*((1+0.04*opp)*(MHavg+101+(ap+Z265-$Z$1)/APtoDPS*MHnorm+(0.5+0.05*dws)*(ohavg+(ap+Z265-$Z$1)/APtoDPS*OHnorm)+101*(1+0.1*dws))*(1+0.5*IF(Talents!$O$18="Yes",1,0)))))))*(instactualhit+(1+((leth*0.06+2)-1)*(cfact-1))*instactualcrit)*fwfactor*AB265*instsec*(AF265/$AN$45))</f>
        <v>290.78918279358999</v>
      </c>
      <c r="AH265" s="25">
        <f t="shared" si="175"/>
        <v>0</v>
      </c>
      <c r="AI265" s="25">
        <f t="shared" si="176"/>
        <v>0</v>
      </c>
      <c r="AJ265" s="25">
        <f t="shared" si="177"/>
        <v>0</v>
      </c>
    </row>
    <row r="266" spans="1:36">
      <c r="A266">
        <f t="shared" si="158"/>
        <v>263</v>
      </c>
      <c r="B266">
        <f t="shared" si="166"/>
        <v>6</v>
      </c>
      <c r="C266">
        <f t="shared" si="144"/>
        <v>300</v>
      </c>
      <c r="D266">
        <f t="shared" si="159"/>
        <v>24</v>
      </c>
      <c r="E266">
        <f t="shared" si="178"/>
        <v>4</v>
      </c>
      <c r="F266">
        <f t="shared" si="145"/>
        <v>270</v>
      </c>
      <c r="G266">
        <f t="shared" si="160"/>
        <v>0</v>
      </c>
      <c r="H266">
        <f t="shared" si="167"/>
        <v>4</v>
      </c>
      <c r="I266">
        <f t="shared" si="146"/>
        <v>360</v>
      </c>
      <c r="J266">
        <f t="shared" si="161"/>
        <v>24</v>
      </c>
      <c r="K266">
        <f t="shared" si="168"/>
        <v>3</v>
      </c>
      <c r="L266">
        <f t="shared" si="147"/>
        <v>360</v>
      </c>
      <c r="M266">
        <f t="shared" si="162"/>
        <v>0</v>
      </c>
      <c r="N266">
        <f t="shared" si="169"/>
        <v>2</v>
      </c>
      <c r="O266">
        <f t="shared" si="148"/>
        <v>300</v>
      </c>
      <c r="P266">
        <f t="shared" si="170"/>
        <v>0</v>
      </c>
      <c r="Q266">
        <f t="shared" si="171"/>
        <v>2</v>
      </c>
      <c r="R266">
        <f t="shared" si="149"/>
        <v>300</v>
      </c>
      <c r="S266">
        <f t="shared" si="172"/>
        <v>0</v>
      </c>
      <c r="T266">
        <f t="shared" si="173"/>
        <v>-1</v>
      </c>
      <c r="U266">
        <f t="shared" si="163"/>
        <v>0</v>
      </c>
      <c r="V266">
        <f t="shared" si="164"/>
        <v>1</v>
      </c>
      <c r="W266">
        <f t="shared" si="150"/>
        <v>0</v>
      </c>
      <c r="X266">
        <f t="shared" si="174"/>
        <v>0</v>
      </c>
      <c r="Y266">
        <f t="shared" si="151"/>
        <v>0</v>
      </c>
      <c r="Z266">
        <f t="shared" si="152"/>
        <v>0</v>
      </c>
      <c r="AA266">
        <f t="shared" si="153"/>
        <v>0</v>
      </c>
      <c r="AB266" s="29">
        <f t="shared" si="154"/>
        <v>0.74178816089935007</v>
      </c>
      <c r="AC266" s="25">
        <f t="shared" si="155"/>
        <v>207.49804426656831</v>
      </c>
      <c r="AD266" s="29">
        <f t="shared" si="156"/>
        <v>1.1315841256324579</v>
      </c>
      <c r="AE266" s="25">
        <f t="shared" si="165"/>
        <v>13.243681724743192</v>
      </c>
      <c r="AF266" s="25">
        <f t="shared" si="157"/>
        <v>13.243681724743192</v>
      </c>
      <c r="AG266" s="25">
        <f>IF($A266&lt;0,0,IF(instatk="bs",(1.5+talSCallInstBon)*(MHavg+(ap+Z266-$Z$1)/APtoDPS*MHnorm+170)*(1+sa*0.1+0.04*opp+0.02*agg+Slayer4value-1),IF(instatk="hemo",Slayer4value*(MHavg+(ap+Z266-$Z$1)/APtoDPS*MHnorm)*(1.1+talSCallInstBon)+420*(1+raidcrit)*debuffon,IF(instatk="ss",(MHavg+(ap+Z266-$Z$1)/APtoDPS*MHnorm+98)*(1+sa*0.1+0.02*agg+Slayer4value-1),IF(instatk="v",(ohavg+(ap+Z266-$Z$1)/APtoDPS*OHnorm)*(1+sa*0.1)*(0.5+0.05*dws)+avipdam,Slayer4value*((1+0.04*opp)*(MHavg+101+(ap+Z266-$Z$1)/APtoDPS*MHnorm+(0.5+0.05*dws)*(ohavg+(ap+Z266-$Z$1)/APtoDPS*OHnorm)+101*(1+0.1*dws))*(1+0.5*IF(Talents!$O$18="Yes",1,0)))))))*(instactualhit+(1+((leth*0.06+2)-1)*(cfact-1))*instactualcrit)*fwfactor*AB266*instsec*(AF266/$AN$45))</f>
        <v>290.78918279358999</v>
      </c>
      <c r="AH266" s="25">
        <f t="shared" si="175"/>
        <v>0</v>
      </c>
      <c r="AI266" s="25">
        <f t="shared" si="176"/>
        <v>0</v>
      </c>
      <c r="AJ266" s="25">
        <f t="shared" si="177"/>
        <v>0</v>
      </c>
    </row>
    <row r="267" spans="1:36">
      <c r="A267">
        <f t="shared" si="158"/>
        <v>264</v>
      </c>
      <c r="B267">
        <f t="shared" si="166"/>
        <v>6</v>
      </c>
      <c r="C267">
        <f t="shared" si="144"/>
        <v>300</v>
      </c>
      <c r="D267">
        <f t="shared" si="159"/>
        <v>25</v>
      </c>
      <c r="E267">
        <f t="shared" si="178"/>
        <v>4</v>
      </c>
      <c r="F267">
        <f t="shared" si="145"/>
        <v>270</v>
      </c>
      <c r="G267">
        <f t="shared" si="160"/>
        <v>0</v>
      </c>
      <c r="H267">
        <f t="shared" si="167"/>
        <v>4</v>
      </c>
      <c r="I267">
        <f t="shared" si="146"/>
        <v>360</v>
      </c>
      <c r="J267">
        <f t="shared" si="161"/>
        <v>25</v>
      </c>
      <c r="K267">
        <f t="shared" si="168"/>
        <v>3</v>
      </c>
      <c r="L267">
        <f t="shared" si="147"/>
        <v>360</v>
      </c>
      <c r="M267">
        <f t="shared" si="162"/>
        <v>0</v>
      </c>
      <c r="N267">
        <f t="shared" si="169"/>
        <v>2</v>
      </c>
      <c r="O267">
        <f t="shared" si="148"/>
        <v>300</v>
      </c>
      <c r="P267">
        <f t="shared" si="170"/>
        <v>0</v>
      </c>
      <c r="Q267">
        <f t="shared" si="171"/>
        <v>2</v>
      </c>
      <c r="R267">
        <f t="shared" si="149"/>
        <v>300</v>
      </c>
      <c r="S267">
        <f t="shared" si="172"/>
        <v>0</v>
      </c>
      <c r="T267">
        <f t="shared" si="173"/>
        <v>-1</v>
      </c>
      <c r="U267">
        <f t="shared" si="163"/>
        <v>0</v>
      </c>
      <c r="V267">
        <f t="shared" si="164"/>
        <v>1</v>
      </c>
      <c r="W267">
        <f t="shared" si="150"/>
        <v>0</v>
      </c>
      <c r="X267">
        <f t="shared" si="174"/>
        <v>0</v>
      </c>
      <c r="Y267">
        <f t="shared" si="151"/>
        <v>0</v>
      </c>
      <c r="Z267">
        <f t="shared" si="152"/>
        <v>0</v>
      </c>
      <c r="AA267">
        <f t="shared" si="153"/>
        <v>0</v>
      </c>
      <c r="AB267" s="29">
        <f t="shared" si="154"/>
        <v>0.74178816089935007</v>
      </c>
      <c r="AC267" s="25">
        <f t="shared" si="155"/>
        <v>207.49804426656831</v>
      </c>
      <c r="AD267" s="29">
        <f t="shared" si="156"/>
        <v>1.1315841256324579</v>
      </c>
      <c r="AE267" s="25">
        <f t="shared" si="165"/>
        <v>13.243681724743192</v>
      </c>
      <c r="AF267" s="25">
        <f t="shared" si="157"/>
        <v>13.243681724743192</v>
      </c>
      <c r="AG267" s="25">
        <f>IF($A267&lt;0,0,IF(instatk="bs",(1.5+talSCallInstBon)*(MHavg+(ap+Z267-$Z$1)/APtoDPS*MHnorm+170)*(1+sa*0.1+0.04*opp+0.02*agg+Slayer4value-1),IF(instatk="hemo",Slayer4value*(MHavg+(ap+Z267-$Z$1)/APtoDPS*MHnorm)*(1.1+talSCallInstBon)+420*(1+raidcrit)*debuffon,IF(instatk="ss",(MHavg+(ap+Z267-$Z$1)/APtoDPS*MHnorm+98)*(1+sa*0.1+0.02*agg+Slayer4value-1),IF(instatk="v",(ohavg+(ap+Z267-$Z$1)/APtoDPS*OHnorm)*(1+sa*0.1)*(0.5+0.05*dws)+avipdam,Slayer4value*((1+0.04*opp)*(MHavg+101+(ap+Z267-$Z$1)/APtoDPS*MHnorm+(0.5+0.05*dws)*(ohavg+(ap+Z267-$Z$1)/APtoDPS*OHnorm)+101*(1+0.1*dws))*(1+0.5*IF(Talents!$O$18="Yes",1,0)))))))*(instactualhit+(1+((leth*0.06+2)-1)*(cfact-1))*instactualcrit)*fwfactor*AB267*instsec*(AF267/$AN$45))</f>
        <v>290.78918279358999</v>
      </c>
      <c r="AH267" s="25">
        <f t="shared" si="175"/>
        <v>0</v>
      </c>
      <c r="AI267" s="25">
        <f t="shared" si="176"/>
        <v>0</v>
      </c>
      <c r="AJ267" s="25">
        <f t="shared" si="177"/>
        <v>0</v>
      </c>
    </row>
    <row r="268" spans="1:36">
      <c r="A268">
        <f t="shared" si="158"/>
        <v>265</v>
      </c>
      <c r="B268">
        <f t="shared" si="166"/>
        <v>6</v>
      </c>
      <c r="C268">
        <f t="shared" si="144"/>
        <v>300</v>
      </c>
      <c r="D268">
        <f t="shared" si="159"/>
        <v>26</v>
      </c>
      <c r="E268">
        <f t="shared" si="178"/>
        <v>4</v>
      </c>
      <c r="F268">
        <f t="shared" si="145"/>
        <v>270</v>
      </c>
      <c r="G268">
        <f t="shared" si="160"/>
        <v>0</v>
      </c>
      <c r="H268">
        <f t="shared" si="167"/>
        <v>4</v>
      </c>
      <c r="I268">
        <f t="shared" si="146"/>
        <v>360</v>
      </c>
      <c r="J268">
        <f t="shared" si="161"/>
        <v>26</v>
      </c>
      <c r="K268">
        <f t="shared" si="168"/>
        <v>3</v>
      </c>
      <c r="L268">
        <f t="shared" si="147"/>
        <v>360</v>
      </c>
      <c r="M268">
        <f t="shared" si="162"/>
        <v>0</v>
      </c>
      <c r="N268">
        <f t="shared" si="169"/>
        <v>2</v>
      </c>
      <c r="O268">
        <f t="shared" si="148"/>
        <v>300</v>
      </c>
      <c r="P268">
        <f t="shared" si="170"/>
        <v>0</v>
      </c>
      <c r="Q268">
        <f t="shared" si="171"/>
        <v>2</v>
      </c>
      <c r="R268">
        <f t="shared" si="149"/>
        <v>300</v>
      </c>
      <c r="S268">
        <f t="shared" si="172"/>
        <v>0</v>
      </c>
      <c r="T268">
        <f t="shared" si="173"/>
        <v>-1</v>
      </c>
      <c r="U268">
        <f t="shared" si="163"/>
        <v>0</v>
      </c>
      <c r="V268">
        <f t="shared" si="164"/>
        <v>1</v>
      </c>
      <c r="W268">
        <f t="shared" si="150"/>
        <v>0</v>
      </c>
      <c r="X268">
        <f t="shared" si="174"/>
        <v>0</v>
      </c>
      <c r="Y268">
        <f t="shared" si="151"/>
        <v>0</v>
      </c>
      <c r="Z268">
        <f t="shared" si="152"/>
        <v>0</v>
      </c>
      <c r="AA268">
        <f t="shared" si="153"/>
        <v>0</v>
      </c>
      <c r="AB268" s="29">
        <f t="shared" si="154"/>
        <v>0.74178816089935007</v>
      </c>
      <c r="AC268" s="25">
        <f t="shared" si="155"/>
        <v>207.49804426656831</v>
      </c>
      <c r="AD268" s="29">
        <f t="shared" si="156"/>
        <v>1.1315841256324579</v>
      </c>
      <c r="AE268" s="25">
        <f t="shared" si="165"/>
        <v>13.243681724743192</v>
      </c>
      <c r="AF268" s="25">
        <f t="shared" si="157"/>
        <v>13.243681724743192</v>
      </c>
      <c r="AG268" s="25">
        <f>IF($A268&lt;0,0,IF(instatk="bs",(1.5+talSCallInstBon)*(MHavg+(ap+Z268-$Z$1)/APtoDPS*MHnorm+170)*(1+sa*0.1+0.04*opp+0.02*agg+Slayer4value-1),IF(instatk="hemo",Slayer4value*(MHavg+(ap+Z268-$Z$1)/APtoDPS*MHnorm)*(1.1+talSCallInstBon)+420*(1+raidcrit)*debuffon,IF(instatk="ss",(MHavg+(ap+Z268-$Z$1)/APtoDPS*MHnorm+98)*(1+sa*0.1+0.02*agg+Slayer4value-1),IF(instatk="v",(ohavg+(ap+Z268-$Z$1)/APtoDPS*OHnorm)*(1+sa*0.1)*(0.5+0.05*dws)+avipdam,Slayer4value*((1+0.04*opp)*(MHavg+101+(ap+Z268-$Z$1)/APtoDPS*MHnorm+(0.5+0.05*dws)*(ohavg+(ap+Z268-$Z$1)/APtoDPS*OHnorm)+101*(1+0.1*dws))*(1+0.5*IF(Talents!$O$18="Yes",1,0)))))))*(instactualhit+(1+((leth*0.06+2)-1)*(cfact-1))*instactualcrit)*fwfactor*AB268*instsec*(AF268/$AN$45))</f>
        <v>290.78918279358999</v>
      </c>
      <c r="AH268" s="25">
        <f t="shared" si="175"/>
        <v>0</v>
      </c>
      <c r="AI268" s="25">
        <f t="shared" si="176"/>
        <v>0</v>
      </c>
      <c r="AJ268" s="25">
        <f t="shared" si="177"/>
        <v>0</v>
      </c>
    </row>
    <row r="269" spans="1:36">
      <c r="A269">
        <f t="shared" si="158"/>
        <v>266</v>
      </c>
      <c r="B269">
        <f t="shared" si="166"/>
        <v>6</v>
      </c>
      <c r="C269">
        <f t="shared" si="144"/>
        <v>300</v>
      </c>
      <c r="D269">
        <f t="shared" si="159"/>
        <v>27</v>
      </c>
      <c r="E269">
        <f t="shared" si="178"/>
        <v>4</v>
      </c>
      <c r="F269">
        <f t="shared" si="145"/>
        <v>270</v>
      </c>
      <c r="G269">
        <f t="shared" si="160"/>
        <v>0</v>
      </c>
      <c r="H269">
        <f t="shared" si="167"/>
        <v>4</v>
      </c>
      <c r="I269">
        <f t="shared" si="146"/>
        <v>360</v>
      </c>
      <c r="J269">
        <f t="shared" si="161"/>
        <v>27</v>
      </c>
      <c r="K269">
        <f t="shared" si="168"/>
        <v>3</v>
      </c>
      <c r="L269">
        <f t="shared" si="147"/>
        <v>360</v>
      </c>
      <c r="M269">
        <f t="shared" si="162"/>
        <v>0</v>
      </c>
      <c r="N269">
        <f t="shared" si="169"/>
        <v>2</v>
      </c>
      <c r="O269">
        <f t="shared" si="148"/>
        <v>300</v>
      </c>
      <c r="P269">
        <f t="shared" si="170"/>
        <v>0</v>
      </c>
      <c r="Q269">
        <f t="shared" si="171"/>
        <v>2</v>
      </c>
      <c r="R269">
        <f t="shared" si="149"/>
        <v>300</v>
      </c>
      <c r="S269">
        <f t="shared" si="172"/>
        <v>0</v>
      </c>
      <c r="T269">
        <f t="shared" si="173"/>
        <v>-1</v>
      </c>
      <c r="U269">
        <f t="shared" si="163"/>
        <v>0</v>
      </c>
      <c r="V269">
        <f t="shared" si="164"/>
        <v>1</v>
      </c>
      <c r="W269">
        <f t="shared" si="150"/>
        <v>0</v>
      </c>
      <c r="X269">
        <f t="shared" si="174"/>
        <v>0</v>
      </c>
      <c r="Y269">
        <f t="shared" si="151"/>
        <v>0</v>
      </c>
      <c r="Z269">
        <f t="shared" si="152"/>
        <v>0</v>
      </c>
      <c r="AA269">
        <f t="shared" si="153"/>
        <v>0</v>
      </c>
      <c r="AB269" s="29">
        <f t="shared" si="154"/>
        <v>0.74178816089935007</v>
      </c>
      <c r="AC269" s="25">
        <f t="shared" si="155"/>
        <v>207.49804426656831</v>
      </c>
      <c r="AD269" s="29">
        <f t="shared" si="156"/>
        <v>1.1315841256324579</v>
      </c>
      <c r="AE269" s="25">
        <f t="shared" si="165"/>
        <v>13.243681724743192</v>
      </c>
      <c r="AF269" s="25">
        <f t="shared" si="157"/>
        <v>13.243681724743192</v>
      </c>
      <c r="AG269" s="25">
        <f>IF($A269&lt;0,0,IF(instatk="bs",(1.5+talSCallInstBon)*(MHavg+(ap+Z269-$Z$1)/APtoDPS*MHnorm+170)*(1+sa*0.1+0.04*opp+0.02*agg+Slayer4value-1),IF(instatk="hemo",Slayer4value*(MHavg+(ap+Z269-$Z$1)/APtoDPS*MHnorm)*(1.1+talSCallInstBon)+420*(1+raidcrit)*debuffon,IF(instatk="ss",(MHavg+(ap+Z269-$Z$1)/APtoDPS*MHnorm+98)*(1+sa*0.1+0.02*agg+Slayer4value-1),IF(instatk="v",(ohavg+(ap+Z269-$Z$1)/APtoDPS*OHnorm)*(1+sa*0.1)*(0.5+0.05*dws)+avipdam,Slayer4value*((1+0.04*opp)*(MHavg+101+(ap+Z269-$Z$1)/APtoDPS*MHnorm+(0.5+0.05*dws)*(ohavg+(ap+Z269-$Z$1)/APtoDPS*OHnorm)+101*(1+0.1*dws))*(1+0.5*IF(Talents!$O$18="Yes",1,0)))))))*(instactualhit+(1+((leth*0.06+2)-1)*(cfact-1))*instactualcrit)*fwfactor*AB269*instsec*(AF269/$AN$45))</f>
        <v>290.78918279358999</v>
      </c>
      <c r="AH269" s="25">
        <f t="shared" si="175"/>
        <v>0</v>
      </c>
      <c r="AI269" s="25">
        <f t="shared" si="176"/>
        <v>0</v>
      </c>
      <c r="AJ269" s="25">
        <f t="shared" si="177"/>
        <v>0</v>
      </c>
    </row>
    <row r="270" spans="1:36">
      <c r="A270">
        <f t="shared" si="158"/>
        <v>267</v>
      </c>
      <c r="B270">
        <f t="shared" si="166"/>
        <v>6</v>
      </c>
      <c r="C270">
        <f t="shared" si="144"/>
        <v>300</v>
      </c>
      <c r="D270">
        <f t="shared" si="159"/>
        <v>28</v>
      </c>
      <c r="E270">
        <f t="shared" si="178"/>
        <v>4</v>
      </c>
      <c r="F270">
        <f t="shared" si="145"/>
        <v>270</v>
      </c>
      <c r="G270">
        <f t="shared" si="160"/>
        <v>0</v>
      </c>
      <c r="H270">
        <f t="shared" si="167"/>
        <v>4</v>
      </c>
      <c r="I270">
        <f t="shared" si="146"/>
        <v>360</v>
      </c>
      <c r="J270">
        <f t="shared" si="161"/>
        <v>28</v>
      </c>
      <c r="K270">
        <f t="shared" si="168"/>
        <v>3</v>
      </c>
      <c r="L270">
        <f t="shared" si="147"/>
        <v>360</v>
      </c>
      <c r="M270">
        <f t="shared" si="162"/>
        <v>0</v>
      </c>
      <c r="N270">
        <f t="shared" si="169"/>
        <v>2</v>
      </c>
      <c r="O270">
        <f t="shared" si="148"/>
        <v>300</v>
      </c>
      <c r="P270">
        <f t="shared" si="170"/>
        <v>0</v>
      </c>
      <c r="Q270">
        <f t="shared" si="171"/>
        <v>2</v>
      </c>
      <c r="R270">
        <f t="shared" si="149"/>
        <v>300</v>
      </c>
      <c r="S270">
        <f t="shared" si="172"/>
        <v>0</v>
      </c>
      <c r="T270">
        <f t="shared" si="173"/>
        <v>-1</v>
      </c>
      <c r="U270">
        <f t="shared" si="163"/>
        <v>0</v>
      </c>
      <c r="V270">
        <f t="shared" si="164"/>
        <v>1</v>
      </c>
      <c r="W270">
        <f t="shared" si="150"/>
        <v>0</v>
      </c>
      <c r="X270">
        <f t="shared" si="174"/>
        <v>0</v>
      </c>
      <c r="Y270">
        <f t="shared" si="151"/>
        <v>0</v>
      </c>
      <c r="Z270">
        <f t="shared" si="152"/>
        <v>0</v>
      </c>
      <c r="AA270">
        <f t="shared" si="153"/>
        <v>0</v>
      </c>
      <c r="AB270" s="29">
        <f t="shared" si="154"/>
        <v>0.74178816089935007</v>
      </c>
      <c r="AC270" s="25">
        <f t="shared" si="155"/>
        <v>207.49804426656831</v>
      </c>
      <c r="AD270" s="29">
        <f t="shared" si="156"/>
        <v>1.1315841256324579</v>
      </c>
      <c r="AE270" s="25">
        <f t="shared" si="165"/>
        <v>13.243681724743192</v>
      </c>
      <c r="AF270" s="25">
        <f t="shared" si="157"/>
        <v>13.243681724743192</v>
      </c>
      <c r="AG270" s="25">
        <f>IF($A270&lt;0,0,IF(instatk="bs",(1.5+talSCallInstBon)*(MHavg+(ap+Z270-$Z$1)/APtoDPS*MHnorm+170)*(1+sa*0.1+0.04*opp+0.02*agg+Slayer4value-1),IF(instatk="hemo",Slayer4value*(MHavg+(ap+Z270-$Z$1)/APtoDPS*MHnorm)*(1.1+talSCallInstBon)+420*(1+raidcrit)*debuffon,IF(instatk="ss",(MHavg+(ap+Z270-$Z$1)/APtoDPS*MHnorm+98)*(1+sa*0.1+0.02*agg+Slayer4value-1),IF(instatk="v",(ohavg+(ap+Z270-$Z$1)/APtoDPS*OHnorm)*(1+sa*0.1)*(0.5+0.05*dws)+avipdam,Slayer4value*((1+0.04*opp)*(MHavg+101+(ap+Z270-$Z$1)/APtoDPS*MHnorm+(0.5+0.05*dws)*(ohavg+(ap+Z270-$Z$1)/APtoDPS*OHnorm)+101*(1+0.1*dws))*(1+0.5*IF(Talents!$O$18="Yes",1,0)))))))*(instactualhit+(1+((leth*0.06+2)-1)*(cfact-1))*instactualcrit)*fwfactor*AB270*instsec*(AF270/$AN$45))</f>
        <v>290.78918279358999</v>
      </c>
      <c r="AH270" s="25">
        <f t="shared" si="175"/>
        <v>0</v>
      </c>
      <c r="AI270" s="25">
        <f t="shared" si="176"/>
        <v>0</v>
      </c>
      <c r="AJ270" s="25">
        <f t="shared" si="177"/>
        <v>0</v>
      </c>
    </row>
    <row r="271" spans="1:36">
      <c r="A271">
        <f t="shared" si="158"/>
        <v>268</v>
      </c>
      <c r="B271">
        <f t="shared" si="166"/>
        <v>6</v>
      </c>
      <c r="C271">
        <f t="shared" si="144"/>
        <v>300</v>
      </c>
      <c r="D271">
        <f t="shared" si="159"/>
        <v>29</v>
      </c>
      <c r="E271">
        <f t="shared" si="178"/>
        <v>4</v>
      </c>
      <c r="F271">
        <f t="shared" si="145"/>
        <v>270</v>
      </c>
      <c r="G271">
        <f t="shared" si="160"/>
        <v>0</v>
      </c>
      <c r="H271">
        <f t="shared" si="167"/>
        <v>4</v>
      </c>
      <c r="I271">
        <f t="shared" si="146"/>
        <v>360</v>
      </c>
      <c r="J271">
        <f t="shared" si="161"/>
        <v>29</v>
      </c>
      <c r="K271">
        <f t="shared" si="168"/>
        <v>3</v>
      </c>
      <c r="L271">
        <f t="shared" si="147"/>
        <v>360</v>
      </c>
      <c r="M271">
        <f t="shared" si="162"/>
        <v>0</v>
      </c>
      <c r="N271">
        <f t="shared" si="169"/>
        <v>2</v>
      </c>
      <c r="O271">
        <f t="shared" si="148"/>
        <v>300</v>
      </c>
      <c r="P271">
        <f t="shared" si="170"/>
        <v>0</v>
      </c>
      <c r="Q271">
        <f t="shared" si="171"/>
        <v>2</v>
      </c>
      <c r="R271">
        <f t="shared" si="149"/>
        <v>300</v>
      </c>
      <c r="S271">
        <f t="shared" si="172"/>
        <v>0</v>
      </c>
      <c r="T271">
        <f t="shared" si="173"/>
        <v>-1</v>
      </c>
      <c r="U271">
        <f t="shared" si="163"/>
        <v>0</v>
      </c>
      <c r="V271">
        <f t="shared" si="164"/>
        <v>1</v>
      </c>
      <c r="W271">
        <f t="shared" si="150"/>
        <v>0</v>
      </c>
      <c r="X271">
        <f t="shared" si="174"/>
        <v>0</v>
      </c>
      <c r="Y271">
        <f t="shared" si="151"/>
        <v>0</v>
      </c>
      <c r="Z271">
        <f t="shared" si="152"/>
        <v>0</v>
      </c>
      <c r="AA271">
        <f t="shared" si="153"/>
        <v>0</v>
      </c>
      <c r="AB271" s="29">
        <f t="shared" si="154"/>
        <v>0.74178816089935007</v>
      </c>
      <c r="AC271" s="25">
        <f t="shared" si="155"/>
        <v>207.49804426656831</v>
      </c>
      <c r="AD271" s="29">
        <f t="shared" si="156"/>
        <v>1.1315841256324579</v>
      </c>
      <c r="AE271" s="25">
        <f t="shared" si="165"/>
        <v>13.243681724743192</v>
      </c>
      <c r="AF271" s="25">
        <f t="shared" si="157"/>
        <v>13.243681724743192</v>
      </c>
      <c r="AG271" s="25">
        <f>IF($A271&lt;0,0,IF(instatk="bs",(1.5+talSCallInstBon)*(MHavg+(ap+Z271-$Z$1)/APtoDPS*MHnorm+170)*(1+sa*0.1+0.04*opp+0.02*agg+Slayer4value-1),IF(instatk="hemo",Slayer4value*(MHavg+(ap+Z271-$Z$1)/APtoDPS*MHnorm)*(1.1+talSCallInstBon)+420*(1+raidcrit)*debuffon,IF(instatk="ss",(MHavg+(ap+Z271-$Z$1)/APtoDPS*MHnorm+98)*(1+sa*0.1+0.02*agg+Slayer4value-1),IF(instatk="v",(ohavg+(ap+Z271-$Z$1)/APtoDPS*OHnorm)*(1+sa*0.1)*(0.5+0.05*dws)+avipdam,Slayer4value*((1+0.04*opp)*(MHavg+101+(ap+Z271-$Z$1)/APtoDPS*MHnorm+(0.5+0.05*dws)*(ohavg+(ap+Z271-$Z$1)/APtoDPS*OHnorm)+101*(1+0.1*dws))*(1+0.5*IF(Talents!$O$18="Yes",1,0)))))))*(instactualhit+(1+((leth*0.06+2)-1)*(cfact-1))*instactualcrit)*fwfactor*AB271*instsec*(AF271/$AN$45))</f>
        <v>290.78918279358999</v>
      </c>
      <c r="AH271" s="25">
        <f t="shared" si="175"/>
        <v>0</v>
      </c>
      <c r="AI271" s="25">
        <f t="shared" si="176"/>
        <v>0</v>
      </c>
      <c r="AJ271" s="25">
        <f t="shared" si="177"/>
        <v>0</v>
      </c>
    </row>
    <row r="272" spans="1:36">
      <c r="A272">
        <f t="shared" si="158"/>
        <v>269</v>
      </c>
      <c r="B272">
        <f t="shared" si="166"/>
        <v>6</v>
      </c>
      <c r="C272">
        <f t="shared" si="144"/>
        <v>300</v>
      </c>
      <c r="D272">
        <f t="shared" si="159"/>
        <v>30</v>
      </c>
      <c r="E272">
        <f t="shared" si="178"/>
        <v>4</v>
      </c>
      <c r="F272">
        <f t="shared" si="145"/>
        <v>270</v>
      </c>
      <c r="G272">
        <f t="shared" si="160"/>
        <v>0</v>
      </c>
      <c r="H272">
        <f t="shared" si="167"/>
        <v>4</v>
      </c>
      <c r="I272">
        <f t="shared" si="146"/>
        <v>360</v>
      </c>
      <c r="J272">
        <f t="shared" si="161"/>
        <v>30</v>
      </c>
      <c r="K272">
        <f t="shared" si="168"/>
        <v>3</v>
      </c>
      <c r="L272">
        <f t="shared" si="147"/>
        <v>360</v>
      </c>
      <c r="M272">
        <f t="shared" si="162"/>
        <v>0</v>
      </c>
      <c r="N272">
        <f t="shared" si="169"/>
        <v>2</v>
      </c>
      <c r="O272">
        <f t="shared" si="148"/>
        <v>300</v>
      </c>
      <c r="P272">
        <f t="shared" si="170"/>
        <v>0</v>
      </c>
      <c r="Q272">
        <f t="shared" si="171"/>
        <v>2</v>
      </c>
      <c r="R272">
        <f t="shared" si="149"/>
        <v>300</v>
      </c>
      <c r="S272">
        <f t="shared" si="172"/>
        <v>0</v>
      </c>
      <c r="T272">
        <f t="shared" si="173"/>
        <v>-1</v>
      </c>
      <c r="U272">
        <f t="shared" si="163"/>
        <v>0</v>
      </c>
      <c r="V272">
        <f t="shared" si="164"/>
        <v>1</v>
      </c>
      <c r="W272">
        <f t="shared" si="150"/>
        <v>0</v>
      </c>
      <c r="X272">
        <f t="shared" si="174"/>
        <v>0</v>
      </c>
      <c r="Y272">
        <f t="shared" si="151"/>
        <v>0</v>
      </c>
      <c r="Z272">
        <f t="shared" si="152"/>
        <v>0</v>
      </c>
      <c r="AA272">
        <f t="shared" si="153"/>
        <v>0</v>
      </c>
      <c r="AB272" s="29">
        <f t="shared" si="154"/>
        <v>0.74178816089935007</v>
      </c>
      <c r="AC272" s="25">
        <f t="shared" si="155"/>
        <v>207.49804426656831</v>
      </c>
      <c r="AD272" s="29">
        <f t="shared" si="156"/>
        <v>1.1315841256324579</v>
      </c>
      <c r="AE272" s="25">
        <f t="shared" si="165"/>
        <v>13.243681724743192</v>
      </c>
      <c r="AF272" s="25">
        <f t="shared" si="157"/>
        <v>13.243681724743192</v>
      </c>
      <c r="AG272" s="25">
        <f>IF($A272&lt;0,0,IF(instatk="bs",(1.5+talSCallInstBon)*(MHavg+(ap+Z272-$Z$1)/APtoDPS*MHnorm+170)*(1+sa*0.1+0.04*opp+0.02*agg+Slayer4value-1),IF(instatk="hemo",Slayer4value*(MHavg+(ap+Z272-$Z$1)/APtoDPS*MHnorm)*(1.1+talSCallInstBon)+420*(1+raidcrit)*debuffon,IF(instatk="ss",(MHavg+(ap+Z272-$Z$1)/APtoDPS*MHnorm+98)*(1+sa*0.1+0.02*agg+Slayer4value-1),IF(instatk="v",(ohavg+(ap+Z272-$Z$1)/APtoDPS*OHnorm)*(1+sa*0.1)*(0.5+0.05*dws)+avipdam,Slayer4value*((1+0.04*opp)*(MHavg+101+(ap+Z272-$Z$1)/APtoDPS*MHnorm+(0.5+0.05*dws)*(ohavg+(ap+Z272-$Z$1)/APtoDPS*OHnorm)+101*(1+0.1*dws))*(1+0.5*IF(Talents!$O$18="Yes",1,0)))))))*(instactualhit+(1+((leth*0.06+2)-1)*(cfact-1))*instactualcrit)*fwfactor*AB272*instsec*(AF272/$AN$45))</f>
        <v>290.78918279358999</v>
      </c>
      <c r="AH272" s="25">
        <f t="shared" si="175"/>
        <v>0</v>
      </c>
      <c r="AI272" s="25">
        <f t="shared" si="176"/>
        <v>0</v>
      </c>
      <c r="AJ272" s="25">
        <f t="shared" si="177"/>
        <v>0</v>
      </c>
    </row>
    <row r="273" spans="1:36">
      <c r="A273">
        <f t="shared" si="158"/>
        <v>270</v>
      </c>
      <c r="B273">
        <f t="shared" si="166"/>
        <v>6</v>
      </c>
      <c r="C273">
        <f t="shared" si="144"/>
        <v>300</v>
      </c>
      <c r="D273">
        <f t="shared" si="159"/>
        <v>0</v>
      </c>
      <c r="E273">
        <f t="shared" si="178"/>
        <v>4</v>
      </c>
      <c r="F273">
        <f t="shared" si="145"/>
        <v>270</v>
      </c>
      <c r="G273">
        <f t="shared" si="160"/>
        <v>1</v>
      </c>
      <c r="H273">
        <f t="shared" si="167"/>
        <v>4</v>
      </c>
      <c r="I273">
        <f t="shared" si="146"/>
        <v>360</v>
      </c>
      <c r="J273">
        <f t="shared" si="161"/>
        <v>0</v>
      </c>
      <c r="K273">
        <f t="shared" si="168"/>
        <v>3</v>
      </c>
      <c r="L273">
        <f t="shared" si="147"/>
        <v>360</v>
      </c>
      <c r="M273">
        <f t="shared" si="162"/>
        <v>0</v>
      </c>
      <c r="N273">
        <f t="shared" si="169"/>
        <v>2</v>
      </c>
      <c r="O273">
        <f t="shared" si="148"/>
        <v>300</v>
      </c>
      <c r="P273">
        <f t="shared" si="170"/>
        <v>0</v>
      </c>
      <c r="Q273">
        <f t="shared" si="171"/>
        <v>2</v>
      </c>
      <c r="R273">
        <f t="shared" si="149"/>
        <v>300</v>
      </c>
      <c r="S273">
        <f t="shared" si="172"/>
        <v>0</v>
      </c>
      <c r="T273">
        <f t="shared" si="173"/>
        <v>-1</v>
      </c>
      <c r="U273">
        <f t="shared" si="163"/>
        <v>0</v>
      </c>
      <c r="V273">
        <f t="shared" si="164"/>
        <v>1</v>
      </c>
      <c r="W273">
        <f t="shared" si="150"/>
        <v>0</v>
      </c>
      <c r="X273">
        <f t="shared" si="174"/>
        <v>0</v>
      </c>
      <c r="Y273">
        <f t="shared" si="151"/>
        <v>0</v>
      </c>
      <c r="Z273">
        <f t="shared" si="152"/>
        <v>0</v>
      </c>
      <c r="AA273">
        <f t="shared" si="153"/>
        <v>0</v>
      </c>
      <c r="AB273" s="29">
        <f t="shared" si="154"/>
        <v>0.74178816089935007</v>
      </c>
      <c r="AC273" s="25">
        <f t="shared" si="155"/>
        <v>127.49804426656831</v>
      </c>
      <c r="AD273" s="29">
        <f t="shared" si="156"/>
        <v>1.0808524183153847</v>
      </c>
      <c r="AE273" s="25">
        <f t="shared" si="165"/>
        <v>13.243681724743192</v>
      </c>
      <c r="AF273" s="25">
        <f t="shared" si="157"/>
        <v>13.243681724743192</v>
      </c>
      <c r="AG273" s="25">
        <f>IF($A273&lt;0,0,IF(instatk="bs",(1.5+talSCallInstBon)*(MHavg+(ap+Z273-$Z$1)/APtoDPS*MHnorm+170)*(1+sa*0.1+0.04*opp+0.02*agg+Slayer4value-1),IF(instatk="hemo",Slayer4value*(MHavg+(ap+Z273-$Z$1)/APtoDPS*MHnorm)*(1.1+talSCallInstBon)+420*(1+raidcrit)*debuffon,IF(instatk="ss",(MHavg+(ap+Z273-$Z$1)/APtoDPS*MHnorm+98)*(1+sa*0.1+0.02*agg+Slayer4value-1),IF(instatk="v",(ohavg+(ap+Z273-$Z$1)/APtoDPS*OHnorm)*(1+sa*0.1)*(0.5+0.05*dws)+avipdam,Slayer4value*((1+0.04*opp)*(MHavg+101+(ap+Z273-$Z$1)/APtoDPS*MHnorm+(0.5+0.05*dws)*(ohavg+(ap+Z273-$Z$1)/APtoDPS*OHnorm)+101*(1+0.1*dws))*(1+0.5*IF(Talents!$O$18="Yes",1,0)))))))*(instactualhit+(1+((leth*0.06+2)-1)*(cfact-1))*instactualcrit)*fwfactor*AB273*instsec*(AF273/$AN$45))</f>
        <v>290.78918279358999</v>
      </c>
      <c r="AH273" s="25">
        <f t="shared" si="175"/>
        <v>0</v>
      </c>
      <c r="AI273" s="25">
        <f t="shared" si="176"/>
        <v>0</v>
      </c>
      <c r="AJ273" s="25">
        <f t="shared" si="177"/>
        <v>0</v>
      </c>
    </row>
    <row r="274" spans="1:36">
      <c r="A274">
        <f t="shared" si="158"/>
        <v>271</v>
      </c>
      <c r="B274">
        <f t="shared" si="166"/>
        <v>6</v>
      </c>
      <c r="C274">
        <f t="shared" si="144"/>
        <v>300</v>
      </c>
      <c r="D274">
        <f t="shared" si="159"/>
        <v>0</v>
      </c>
      <c r="E274">
        <f t="shared" si="178"/>
        <v>5</v>
      </c>
      <c r="F274">
        <f t="shared" si="145"/>
        <v>360</v>
      </c>
      <c r="G274">
        <f t="shared" si="160"/>
        <v>2</v>
      </c>
      <c r="H274">
        <f t="shared" si="167"/>
        <v>4</v>
      </c>
      <c r="I274">
        <f t="shared" si="146"/>
        <v>360</v>
      </c>
      <c r="J274">
        <f t="shared" si="161"/>
        <v>0</v>
      </c>
      <c r="K274">
        <f t="shared" si="168"/>
        <v>3</v>
      </c>
      <c r="L274">
        <f t="shared" si="147"/>
        <v>360</v>
      </c>
      <c r="M274">
        <f t="shared" si="162"/>
        <v>0</v>
      </c>
      <c r="N274">
        <f t="shared" si="169"/>
        <v>2</v>
      </c>
      <c r="O274">
        <f t="shared" si="148"/>
        <v>300</v>
      </c>
      <c r="P274">
        <f t="shared" si="170"/>
        <v>0</v>
      </c>
      <c r="Q274">
        <f t="shared" si="171"/>
        <v>2</v>
      </c>
      <c r="R274">
        <f t="shared" si="149"/>
        <v>300</v>
      </c>
      <c r="S274">
        <f t="shared" si="172"/>
        <v>0</v>
      </c>
      <c r="T274">
        <f t="shared" si="173"/>
        <v>-1</v>
      </c>
      <c r="U274">
        <f t="shared" si="163"/>
        <v>0</v>
      </c>
      <c r="V274">
        <f t="shared" si="164"/>
        <v>1</v>
      </c>
      <c r="W274">
        <f t="shared" si="150"/>
        <v>0</v>
      </c>
      <c r="X274">
        <f t="shared" si="174"/>
        <v>0</v>
      </c>
      <c r="Y274">
        <f t="shared" si="151"/>
        <v>0</v>
      </c>
      <c r="Z274">
        <f t="shared" si="152"/>
        <v>0</v>
      </c>
      <c r="AA274">
        <f t="shared" si="153"/>
        <v>0</v>
      </c>
      <c r="AB274" s="29">
        <f t="shared" si="154"/>
        <v>0.74178816089935007</v>
      </c>
      <c r="AC274" s="25">
        <f t="shared" si="155"/>
        <v>127.49804426656831</v>
      </c>
      <c r="AD274" s="29">
        <f t="shared" si="156"/>
        <v>1.0808524183153847</v>
      </c>
      <c r="AE274" s="25">
        <f t="shared" si="165"/>
        <v>13.243681724743192</v>
      </c>
      <c r="AF274" s="25">
        <f t="shared" si="157"/>
        <v>13.243681724743192</v>
      </c>
      <c r="AG274" s="25">
        <f>IF($A274&lt;0,0,IF(instatk="bs",(1.5+talSCallInstBon)*(MHavg+(ap+Z274-$Z$1)/APtoDPS*MHnorm+170)*(1+sa*0.1+0.04*opp+0.02*agg+Slayer4value-1),IF(instatk="hemo",Slayer4value*(MHavg+(ap+Z274-$Z$1)/APtoDPS*MHnorm)*(1.1+talSCallInstBon)+420*(1+raidcrit)*debuffon,IF(instatk="ss",(MHavg+(ap+Z274-$Z$1)/APtoDPS*MHnorm+98)*(1+sa*0.1+0.02*agg+Slayer4value-1),IF(instatk="v",(ohavg+(ap+Z274-$Z$1)/APtoDPS*OHnorm)*(1+sa*0.1)*(0.5+0.05*dws)+avipdam,Slayer4value*((1+0.04*opp)*(MHavg+101+(ap+Z274-$Z$1)/APtoDPS*MHnorm+(0.5+0.05*dws)*(ohavg+(ap+Z274-$Z$1)/APtoDPS*OHnorm)+101*(1+0.1*dws))*(1+0.5*IF(Talents!$O$18="Yes",1,0)))))))*(instactualhit+(1+((leth*0.06+2)-1)*(cfact-1))*instactualcrit)*fwfactor*AB274*instsec*(AF274/$AN$45))</f>
        <v>290.78918279358999</v>
      </c>
      <c r="AH274" s="25">
        <f t="shared" si="175"/>
        <v>0</v>
      </c>
      <c r="AI274" s="25">
        <f t="shared" si="176"/>
        <v>0</v>
      </c>
      <c r="AJ274" s="25">
        <f t="shared" si="177"/>
        <v>0</v>
      </c>
    </row>
    <row r="275" spans="1:36">
      <c r="A275">
        <f t="shared" si="158"/>
        <v>272</v>
      </c>
      <c r="B275">
        <f t="shared" si="166"/>
        <v>6</v>
      </c>
      <c r="C275">
        <f t="shared" si="144"/>
        <v>300</v>
      </c>
      <c r="D275">
        <f t="shared" si="159"/>
        <v>0</v>
      </c>
      <c r="E275">
        <f t="shared" si="178"/>
        <v>5</v>
      </c>
      <c r="F275">
        <f t="shared" si="145"/>
        <v>360</v>
      </c>
      <c r="G275">
        <f t="shared" si="160"/>
        <v>3</v>
      </c>
      <c r="H275">
        <f t="shared" si="167"/>
        <v>4</v>
      </c>
      <c r="I275">
        <f t="shared" si="146"/>
        <v>360</v>
      </c>
      <c r="J275">
        <f t="shared" si="161"/>
        <v>0</v>
      </c>
      <c r="K275">
        <f t="shared" si="168"/>
        <v>3</v>
      </c>
      <c r="L275">
        <f t="shared" si="147"/>
        <v>360</v>
      </c>
      <c r="M275">
        <f t="shared" si="162"/>
        <v>0</v>
      </c>
      <c r="N275">
        <f t="shared" si="169"/>
        <v>2</v>
      </c>
      <c r="O275">
        <f t="shared" si="148"/>
        <v>300</v>
      </c>
      <c r="P275">
        <f t="shared" si="170"/>
        <v>0</v>
      </c>
      <c r="Q275">
        <f t="shared" si="171"/>
        <v>2</v>
      </c>
      <c r="R275">
        <f t="shared" si="149"/>
        <v>300</v>
      </c>
      <c r="S275">
        <f t="shared" si="172"/>
        <v>0</v>
      </c>
      <c r="T275">
        <f t="shared" si="173"/>
        <v>-1</v>
      </c>
      <c r="U275">
        <f t="shared" si="163"/>
        <v>0</v>
      </c>
      <c r="V275">
        <f t="shared" si="164"/>
        <v>1</v>
      </c>
      <c r="W275">
        <f t="shared" si="150"/>
        <v>0</v>
      </c>
      <c r="X275">
        <f t="shared" si="174"/>
        <v>0</v>
      </c>
      <c r="Y275">
        <f t="shared" si="151"/>
        <v>0</v>
      </c>
      <c r="Z275">
        <f t="shared" si="152"/>
        <v>0</v>
      </c>
      <c r="AA275">
        <f t="shared" si="153"/>
        <v>0</v>
      </c>
      <c r="AB275" s="29">
        <f t="shared" si="154"/>
        <v>0.74178816089935007</v>
      </c>
      <c r="AC275" s="25">
        <f t="shared" si="155"/>
        <v>127.49804426656831</v>
      </c>
      <c r="AD275" s="29">
        <f t="shared" si="156"/>
        <v>1.0808524183153847</v>
      </c>
      <c r="AE275" s="25">
        <f t="shared" si="165"/>
        <v>13.243681724743192</v>
      </c>
      <c r="AF275" s="25">
        <f t="shared" si="157"/>
        <v>13.243681724743192</v>
      </c>
      <c r="AG275" s="25">
        <f>IF($A275&lt;0,0,IF(instatk="bs",(1.5+talSCallInstBon)*(MHavg+(ap+Z275-$Z$1)/APtoDPS*MHnorm+170)*(1+sa*0.1+0.04*opp+0.02*agg+Slayer4value-1),IF(instatk="hemo",Slayer4value*(MHavg+(ap+Z275-$Z$1)/APtoDPS*MHnorm)*(1.1+talSCallInstBon)+420*(1+raidcrit)*debuffon,IF(instatk="ss",(MHavg+(ap+Z275-$Z$1)/APtoDPS*MHnorm+98)*(1+sa*0.1+0.02*agg+Slayer4value-1),IF(instatk="v",(ohavg+(ap+Z275-$Z$1)/APtoDPS*OHnorm)*(1+sa*0.1)*(0.5+0.05*dws)+avipdam,Slayer4value*((1+0.04*opp)*(MHavg+101+(ap+Z275-$Z$1)/APtoDPS*MHnorm+(0.5+0.05*dws)*(ohavg+(ap+Z275-$Z$1)/APtoDPS*OHnorm)+101*(1+0.1*dws))*(1+0.5*IF(Talents!$O$18="Yes",1,0)))))))*(instactualhit+(1+((leth*0.06+2)-1)*(cfact-1))*instactualcrit)*fwfactor*AB275*instsec*(AF275/$AN$45))</f>
        <v>290.78918279358999</v>
      </c>
      <c r="AH275" s="25">
        <f t="shared" si="175"/>
        <v>0</v>
      </c>
      <c r="AI275" s="25">
        <f t="shared" si="176"/>
        <v>0</v>
      </c>
      <c r="AJ275" s="25">
        <f t="shared" si="177"/>
        <v>0</v>
      </c>
    </row>
    <row r="276" spans="1:36">
      <c r="A276">
        <f t="shared" si="158"/>
        <v>273</v>
      </c>
      <c r="B276">
        <f t="shared" si="166"/>
        <v>6</v>
      </c>
      <c r="C276">
        <f t="shared" si="144"/>
        <v>300</v>
      </c>
      <c r="D276">
        <f t="shared" si="159"/>
        <v>0</v>
      </c>
      <c r="E276">
        <f t="shared" si="178"/>
        <v>5</v>
      </c>
      <c r="F276">
        <f t="shared" si="145"/>
        <v>360</v>
      </c>
      <c r="G276">
        <f t="shared" si="160"/>
        <v>4</v>
      </c>
      <c r="H276">
        <f t="shared" si="167"/>
        <v>4</v>
      </c>
      <c r="I276">
        <f t="shared" si="146"/>
        <v>360</v>
      </c>
      <c r="J276">
        <f t="shared" si="161"/>
        <v>0</v>
      </c>
      <c r="K276">
        <f t="shared" si="168"/>
        <v>3</v>
      </c>
      <c r="L276">
        <f t="shared" si="147"/>
        <v>360</v>
      </c>
      <c r="M276">
        <f t="shared" si="162"/>
        <v>0</v>
      </c>
      <c r="N276">
        <f t="shared" si="169"/>
        <v>2</v>
      </c>
      <c r="O276">
        <f t="shared" si="148"/>
        <v>300</v>
      </c>
      <c r="P276">
        <f t="shared" si="170"/>
        <v>0</v>
      </c>
      <c r="Q276">
        <f t="shared" si="171"/>
        <v>2</v>
      </c>
      <c r="R276">
        <f t="shared" si="149"/>
        <v>300</v>
      </c>
      <c r="S276">
        <f t="shared" si="172"/>
        <v>0</v>
      </c>
      <c r="T276">
        <f t="shared" si="173"/>
        <v>-1</v>
      </c>
      <c r="U276">
        <f t="shared" si="163"/>
        <v>0</v>
      </c>
      <c r="V276">
        <f t="shared" si="164"/>
        <v>1</v>
      </c>
      <c r="W276">
        <f t="shared" si="150"/>
        <v>0</v>
      </c>
      <c r="X276">
        <f t="shared" si="174"/>
        <v>0</v>
      </c>
      <c r="Y276">
        <f t="shared" si="151"/>
        <v>0</v>
      </c>
      <c r="Z276">
        <f t="shared" si="152"/>
        <v>0</v>
      </c>
      <c r="AA276">
        <f t="shared" si="153"/>
        <v>0</v>
      </c>
      <c r="AB276" s="29">
        <f t="shared" si="154"/>
        <v>0.74178816089935007</v>
      </c>
      <c r="AC276" s="25">
        <f t="shared" si="155"/>
        <v>127.49804426656831</v>
      </c>
      <c r="AD276" s="29">
        <f t="shared" si="156"/>
        <v>1.0808524183153847</v>
      </c>
      <c r="AE276" s="25">
        <f t="shared" si="165"/>
        <v>13.243681724743192</v>
      </c>
      <c r="AF276" s="25">
        <f t="shared" si="157"/>
        <v>13.243681724743192</v>
      </c>
      <c r="AG276" s="25">
        <f>IF($A276&lt;0,0,IF(instatk="bs",(1.5+talSCallInstBon)*(MHavg+(ap+Z276-$Z$1)/APtoDPS*MHnorm+170)*(1+sa*0.1+0.04*opp+0.02*agg+Slayer4value-1),IF(instatk="hemo",Slayer4value*(MHavg+(ap+Z276-$Z$1)/APtoDPS*MHnorm)*(1.1+talSCallInstBon)+420*(1+raidcrit)*debuffon,IF(instatk="ss",(MHavg+(ap+Z276-$Z$1)/APtoDPS*MHnorm+98)*(1+sa*0.1+0.02*agg+Slayer4value-1),IF(instatk="v",(ohavg+(ap+Z276-$Z$1)/APtoDPS*OHnorm)*(1+sa*0.1)*(0.5+0.05*dws)+avipdam,Slayer4value*((1+0.04*opp)*(MHavg+101+(ap+Z276-$Z$1)/APtoDPS*MHnorm+(0.5+0.05*dws)*(ohavg+(ap+Z276-$Z$1)/APtoDPS*OHnorm)+101*(1+0.1*dws))*(1+0.5*IF(Talents!$O$18="Yes",1,0)))))))*(instactualhit+(1+((leth*0.06+2)-1)*(cfact-1))*instactualcrit)*fwfactor*AB276*instsec*(AF276/$AN$45))</f>
        <v>290.78918279358999</v>
      </c>
      <c r="AH276" s="25">
        <f t="shared" si="175"/>
        <v>0</v>
      </c>
      <c r="AI276" s="25">
        <f t="shared" si="176"/>
        <v>0</v>
      </c>
      <c r="AJ276" s="25">
        <f t="shared" si="177"/>
        <v>0</v>
      </c>
    </row>
    <row r="277" spans="1:36">
      <c r="A277">
        <f t="shared" si="158"/>
        <v>274</v>
      </c>
      <c r="B277">
        <f t="shared" si="166"/>
        <v>6</v>
      </c>
      <c r="C277">
        <f t="shared" si="144"/>
        <v>300</v>
      </c>
      <c r="D277">
        <f t="shared" si="159"/>
        <v>0</v>
      </c>
      <c r="E277">
        <f t="shared" si="178"/>
        <v>5</v>
      </c>
      <c r="F277">
        <f t="shared" si="145"/>
        <v>360</v>
      </c>
      <c r="G277">
        <f t="shared" si="160"/>
        <v>5</v>
      </c>
      <c r="H277">
        <f t="shared" si="167"/>
        <v>4</v>
      </c>
      <c r="I277">
        <f t="shared" si="146"/>
        <v>360</v>
      </c>
      <c r="J277">
        <f t="shared" si="161"/>
        <v>0</v>
      </c>
      <c r="K277">
        <f t="shared" si="168"/>
        <v>3</v>
      </c>
      <c r="L277">
        <f t="shared" si="147"/>
        <v>360</v>
      </c>
      <c r="M277">
        <f t="shared" si="162"/>
        <v>0</v>
      </c>
      <c r="N277">
        <f t="shared" si="169"/>
        <v>2</v>
      </c>
      <c r="O277">
        <f t="shared" si="148"/>
        <v>300</v>
      </c>
      <c r="P277">
        <f t="shared" si="170"/>
        <v>0</v>
      </c>
      <c r="Q277">
        <f t="shared" si="171"/>
        <v>2</v>
      </c>
      <c r="R277">
        <f t="shared" si="149"/>
        <v>300</v>
      </c>
      <c r="S277">
        <f t="shared" si="172"/>
        <v>0</v>
      </c>
      <c r="T277">
        <f t="shared" si="173"/>
        <v>-1</v>
      </c>
      <c r="U277">
        <f t="shared" si="163"/>
        <v>0</v>
      </c>
      <c r="V277">
        <f t="shared" si="164"/>
        <v>1</v>
      </c>
      <c r="W277">
        <f t="shared" si="150"/>
        <v>0</v>
      </c>
      <c r="X277">
        <f t="shared" si="174"/>
        <v>0</v>
      </c>
      <c r="Y277">
        <f t="shared" si="151"/>
        <v>0</v>
      </c>
      <c r="Z277">
        <f t="shared" si="152"/>
        <v>0</v>
      </c>
      <c r="AA277">
        <f t="shared" si="153"/>
        <v>0</v>
      </c>
      <c r="AB277" s="29">
        <f t="shared" si="154"/>
        <v>0.74178816089935007</v>
      </c>
      <c r="AC277" s="25">
        <f t="shared" si="155"/>
        <v>127.49804426656831</v>
      </c>
      <c r="AD277" s="29">
        <f t="shared" si="156"/>
        <v>1.0808524183153847</v>
      </c>
      <c r="AE277" s="25">
        <f t="shared" si="165"/>
        <v>13.243681724743192</v>
      </c>
      <c r="AF277" s="25">
        <f t="shared" si="157"/>
        <v>13.243681724743192</v>
      </c>
      <c r="AG277" s="25">
        <f>IF($A277&lt;0,0,IF(instatk="bs",(1.5+talSCallInstBon)*(MHavg+(ap+Z277-$Z$1)/APtoDPS*MHnorm+170)*(1+sa*0.1+0.04*opp+0.02*agg+Slayer4value-1),IF(instatk="hemo",Slayer4value*(MHavg+(ap+Z277-$Z$1)/APtoDPS*MHnorm)*(1.1+talSCallInstBon)+420*(1+raidcrit)*debuffon,IF(instatk="ss",(MHavg+(ap+Z277-$Z$1)/APtoDPS*MHnorm+98)*(1+sa*0.1+0.02*agg+Slayer4value-1),IF(instatk="v",(ohavg+(ap+Z277-$Z$1)/APtoDPS*OHnorm)*(1+sa*0.1)*(0.5+0.05*dws)+avipdam,Slayer4value*((1+0.04*opp)*(MHavg+101+(ap+Z277-$Z$1)/APtoDPS*MHnorm+(0.5+0.05*dws)*(ohavg+(ap+Z277-$Z$1)/APtoDPS*OHnorm)+101*(1+0.1*dws))*(1+0.5*IF(Talents!$O$18="Yes",1,0)))))))*(instactualhit+(1+((leth*0.06+2)-1)*(cfact-1))*instactualcrit)*fwfactor*AB277*instsec*(AF277/$AN$45))</f>
        <v>290.78918279358999</v>
      </c>
      <c r="AH277" s="25">
        <f t="shared" si="175"/>
        <v>0</v>
      </c>
      <c r="AI277" s="25">
        <f t="shared" si="176"/>
        <v>0</v>
      </c>
      <c r="AJ277" s="25">
        <f t="shared" si="177"/>
        <v>0</v>
      </c>
    </row>
    <row r="278" spans="1:36">
      <c r="A278">
        <f t="shared" si="158"/>
        <v>275</v>
      </c>
      <c r="B278">
        <f t="shared" si="166"/>
        <v>6</v>
      </c>
      <c r="C278">
        <f t="shared" si="144"/>
        <v>300</v>
      </c>
      <c r="D278">
        <f t="shared" si="159"/>
        <v>0</v>
      </c>
      <c r="E278">
        <f t="shared" si="178"/>
        <v>5</v>
      </c>
      <c r="F278">
        <f t="shared" si="145"/>
        <v>360</v>
      </c>
      <c r="G278">
        <f t="shared" si="160"/>
        <v>6</v>
      </c>
      <c r="H278">
        <f t="shared" si="167"/>
        <v>4</v>
      </c>
      <c r="I278">
        <f t="shared" si="146"/>
        <v>360</v>
      </c>
      <c r="J278">
        <f t="shared" si="161"/>
        <v>0</v>
      </c>
      <c r="K278">
        <f t="shared" si="168"/>
        <v>3</v>
      </c>
      <c r="L278">
        <f t="shared" si="147"/>
        <v>360</v>
      </c>
      <c r="M278">
        <f t="shared" si="162"/>
        <v>0</v>
      </c>
      <c r="N278">
        <f t="shared" si="169"/>
        <v>2</v>
      </c>
      <c r="O278">
        <f t="shared" si="148"/>
        <v>300</v>
      </c>
      <c r="P278">
        <f t="shared" si="170"/>
        <v>0</v>
      </c>
      <c r="Q278">
        <f t="shared" si="171"/>
        <v>2</v>
      </c>
      <c r="R278">
        <f t="shared" si="149"/>
        <v>300</v>
      </c>
      <c r="S278">
        <f t="shared" si="172"/>
        <v>0</v>
      </c>
      <c r="T278">
        <f t="shared" si="173"/>
        <v>-1</v>
      </c>
      <c r="U278">
        <f t="shared" si="163"/>
        <v>0</v>
      </c>
      <c r="V278">
        <f t="shared" si="164"/>
        <v>1</v>
      </c>
      <c r="W278">
        <f t="shared" si="150"/>
        <v>0</v>
      </c>
      <c r="X278">
        <f t="shared" si="174"/>
        <v>0</v>
      </c>
      <c r="Y278">
        <f t="shared" si="151"/>
        <v>0</v>
      </c>
      <c r="Z278">
        <f t="shared" si="152"/>
        <v>0</v>
      </c>
      <c r="AA278">
        <f t="shared" si="153"/>
        <v>0</v>
      </c>
      <c r="AB278" s="29">
        <f t="shared" si="154"/>
        <v>0.74178816089935007</v>
      </c>
      <c r="AC278" s="25">
        <f t="shared" si="155"/>
        <v>127.49804426656831</v>
      </c>
      <c r="AD278" s="29">
        <f t="shared" si="156"/>
        <v>1.0808524183153847</v>
      </c>
      <c r="AE278" s="25">
        <f t="shared" si="165"/>
        <v>13.243681724743192</v>
      </c>
      <c r="AF278" s="25">
        <f t="shared" si="157"/>
        <v>13.243681724743192</v>
      </c>
      <c r="AG278" s="25">
        <f>IF($A278&lt;0,0,IF(instatk="bs",(1.5+talSCallInstBon)*(MHavg+(ap+Z278-$Z$1)/APtoDPS*MHnorm+170)*(1+sa*0.1+0.04*opp+0.02*agg+Slayer4value-1),IF(instatk="hemo",Slayer4value*(MHavg+(ap+Z278-$Z$1)/APtoDPS*MHnorm)*(1.1+talSCallInstBon)+420*(1+raidcrit)*debuffon,IF(instatk="ss",(MHavg+(ap+Z278-$Z$1)/APtoDPS*MHnorm+98)*(1+sa*0.1+0.02*agg+Slayer4value-1),IF(instatk="v",(ohavg+(ap+Z278-$Z$1)/APtoDPS*OHnorm)*(1+sa*0.1)*(0.5+0.05*dws)+avipdam,Slayer4value*((1+0.04*opp)*(MHavg+101+(ap+Z278-$Z$1)/APtoDPS*MHnorm+(0.5+0.05*dws)*(ohavg+(ap+Z278-$Z$1)/APtoDPS*OHnorm)+101*(1+0.1*dws))*(1+0.5*IF(Talents!$O$18="Yes",1,0)))))))*(instactualhit+(1+((leth*0.06+2)-1)*(cfact-1))*instactualcrit)*fwfactor*AB278*instsec*(AF278/$AN$45))</f>
        <v>290.78918279358999</v>
      </c>
      <c r="AH278" s="25">
        <f t="shared" si="175"/>
        <v>0</v>
      </c>
      <c r="AI278" s="25">
        <f t="shared" si="176"/>
        <v>0</v>
      </c>
      <c r="AJ278" s="25">
        <f t="shared" si="177"/>
        <v>0</v>
      </c>
    </row>
    <row r="279" spans="1:36">
      <c r="A279">
        <f t="shared" si="158"/>
        <v>276</v>
      </c>
      <c r="B279">
        <f t="shared" si="166"/>
        <v>6</v>
      </c>
      <c r="C279">
        <f t="shared" si="144"/>
        <v>300</v>
      </c>
      <c r="D279">
        <f t="shared" si="159"/>
        <v>0</v>
      </c>
      <c r="E279">
        <f t="shared" si="178"/>
        <v>5</v>
      </c>
      <c r="F279">
        <f t="shared" si="145"/>
        <v>360</v>
      </c>
      <c r="G279">
        <f t="shared" si="160"/>
        <v>7</v>
      </c>
      <c r="H279">
        <f t="shared" si="167"/>
        <v>4</v>
      </c>
      <c r="I279">
        <f t="shared" si="146"/>
        <v>360</v>
      </c>
      <c r="J279">
        <f t="shared" si="161"/>
        <v>0</v>
      </c>
      <c r="K279">
        <f t="shared" si="168"/>
        <v>3</v>
      </c>
      <c r="L279">
        <f t="shared" si="147"/>
        <v>360</v>
      </c>
      <c r="M279">
        <f t="shared" si="162"/>
        <v>0</v>
      </c>
      <c r="N279">
        <f t="shared" si="169"/>
        <v>2</v>
      </c>
      <c r="O279">
        <f t="shared" si="148"/>
        <v>300</v>
      </c>
      <c r="P279">
        <f t="shared" si="170"/>
        <v>0</v>
      </c>
      <c r="Q279">
        <f t="shared" si="171"/>
        <v>2</v>
      </c>
      <c r="R279">
        <f t="shared" si="149"/>
        <v>300</v>
      </c>
      <c r="S279">
        <f t="shared" si="172"/>
        <v>0</v>
      </c>
      <c r="T279">
        <f t="shared" si="173"/>
        <v>-1</v>
      </c>
      <c r="U279">
        <f t="shared" si="163"/>
        <v>0</v>
      </c>
      <c r="V279">
        <f t="shared" si="164"/>
        <v>1</v>
      </c>
      <c r="W279">
        <f t="shared" si="150"/>
        <v>0</v>
      </c>
      <c r="X279">
        <f t="shared" si="174"/>
        <v>0</v>
      </c>
      <c r="Y279">
        <f t="shared" si="151"/>
        <v>0</v>
      </c>
      <c r="Z279">
        <f t="shared" si="152"/>
        <v>0</v>
      </c>
      <c r="AA279">
        <f t="shared" si="153"/>
        <v>0</v>
      </c>
      <c r="AB279" s="29">
        <f t="shared" si="154"/>
        <v>0.74178816089935007</v>
      </c>
      <c r="AC279" s="25">
        <f t="shared" si="155"/>
        <v>127.49804426656831</v>
      </c>
      <c r="AD279" s="29">
        <f t="shared" si="156"/>
        <v>1.0808524183153847</v>
      </c>
      <c r="AE279" s="25">
        <f t="shared" si="165"/>
        <v>13.243681724743192</v>
      </c>
      <c r="AF279" s="25">
        <f t="shared" si="157"/>
        <v>13.243681724743192</v>
      </c>
      <c r="AG279" s="25">
        <f>IF($A279&lt;0,0,IF(instatk="bs",(1.5+talSCallInstBon)*(MHavg+(ap+Z279-$Z$1)/APtoDPS*MHnorm+170)*(1+sa*0.1+0.04*opp+0.02*agg+Slayer4value-1),IF(instatk="hemo",Slayer4value*(MHavg+(ap+Z279-$Z$1)/APtoDPS*MHnorm)*(1.1+talSCallInstBon)+420*(1+raidcrit)*debuffon,IF(instatk="ss",(MHavg+(ap+Z279-$Z$1)/APtoDPS*MHnorm+98)*(1+sa*0.1+0.02*agg+Slayer4value-1),IF(instatk="v",(ohavg+(ap+Z279-$Z$1)/APtoDPS*OHnorm)*(1+sa*0.1)*(0.5+0.05*dws)+avipdam,Slayer4value*((1+0.04*opp)*(MHavg+101+(ap+Z279-$Z$1)/APtoDPS*MHnorm+(0.5+0.05*dws)*(ohavg+(ap+Z279-$Z$1)/APtoDPS*OHnorm)+101*(1+0.1*dws))*(1+0.5*IF(Talents!$O$18="Yes",1,0)))))))*(instactualhit+(1+((leth*0.06+2)-1)*(cfact-1))*instactualcrit)*fwfactor*AB279*instsec*(AF279/$AN$45))</f>
        <v>290.78918279358999</v>
      </c>
      <c r="AH279" s="25">
        <f t="shared" si="175"/>
        <v>0</v>
      </c>
      <c r="AI279" s="25">
        <f t="shared" si="176"/>
        <v>0</v>
      </c>
      <c r="AJ279" s="25">
        <f t="shared" si="177"/>
        <v>0</v>
      </c>
    </row>
    <row r="280" spans="1:36">
      <c r="A280">
        <f t="shared" si="158"/>
        <v>277</v>
      </c>
      <c r="B280">
        <f t="shared" si="166"/>
        <v>6</v>
      </c>
      <c r="C280">
        <f t="shared" si="144"/>
        <v>300</v>
      </c>
      <c r="D280">
        <f t="shared" si="159"/>
        <v>0</v>
      </c>
      <c r="E280">
        <f t="shared" si="178"/>
        <v>5</v>
      </c>
      <c r="F280">
        <f t="shared" si="145"/>
        <v>360</v>
      </c>
      <c r="G280">
        <f t="shared" si="160"/>
        <v>8</v>
      </c>
      <c r="H280">
        <f t="shared" si="167"/>
        <v>4</v>
      </c>
      <c r="I280">
        <f t="shared" si="146"/>
        <v>360</v>
      </c>
      <c r="J280">
        <f t="shared" si="161"/>
        <v>0</v>
      </c>
      <c r="K280">
        <f t="shared" si="168"/>
        <v>3</v>
      </c>
      <c r="L280">
        <f t="shared" si="147"/>
        <v>360</v>
      </c>
      <c r="M280">
        <f t="shared" si="162"/>
        <v>0</v>
      </c>
      <c r="N280">
        <f t="shared" si="169"/>
        <v>2</v>
      </c>
      <c r="O280">
        <f t="shared" si="148"/>
        <v>300</v>
      </c>
      <c r="P280">
        <f t="shared" si="170"/>
        <v>0</v>
      </c>
      <c r="Q280">
        <f t="shared" si="171"/>
        <v>2</v>
      </c>
      <c r="R280">
        <f t="shared" si="149"/>
        <v>300</v>
      </c>
      <c r="S280">
        <f t="shared" si="172"/>
        <v>0</v>
      </c>
      <c r="T280">
        <f t="shared" si="173"/>
        <v>-1</v>
      </c>
      <c r="U280">
        <f t="shared" si="163"/>
        <v>0</v>
      </c>
      <c r="V280">
        <f t="shared" si="164"/>
        <v>1</v>
      </c>
      <c r="W280">
        <f t="shared" si="150"/>
        <v>0</v>
      </c>
      <c r="X280">
        <f t="shared" si="174"/>
        <v>0</v>
      </c>
      <c r="Y280">
        <f t="shared" si="151"/>
        <v>0</v>
      </c>
      <c r="Z280">
        <f t="shared" si="152"/>
        <v>0</v>
      </c>
      <c r="AA280">
        <f t="shared" si="153"/>
        <v>0</v>
      </c>
      <c r="AB280" s="29">
        <f t="shared" si="154"/>
        <v>0.74178816089935007</v>
      </c>
      <c r="AC280" s="25">
        <f t="shared" si="155"/>
        <v>127.49804426656831</v>
      </c>
      <c r="AD280" s="29">
        <f t="shared" si="156"/>
        <v>1.0808524183153847</v>
      </c>
      <c r="AE280" s="25">
        <f t="shared" si="165"/>
        <v>13.243681724743192</v>
      </c>
      <c r="AF280" s="25">
        <f t="shared" si="157"/>
        <v>13.243681724743192</v>
      </c>
      <c r="AG280" s="25">
        <f>IF($A280&lt;0,0,IF(instatk="bs",(1.5+talSCallInstBon)*(MHavg+(ap+Z280-$Z$1)/APtoDPS*MHnorm+170)*(1+sa*0.1+0.04*opp+0.02*agg+Slayer4value-1),IF(instatk="hemo",Slayer4value*(MHavg+(ap+Z280-$Z$1)/APtoDPS*MHnorm)*(1.1+talSCallInstBon)+420*(1+raidcrit)*debuffon,IF(instatk="ss",(MHavg+(ap+Z280-$Z$1)/APtoDPS*MHnorm+98)*(1+sa*0.1+0.02*agg+Slayer4value-1),IF(instatk="v",(ohavg+(ap+Z280-$Z$1)/APtoDPS*OHnorm)*(1+sa*0.1)*(0.5+0.05*dws)+avipdam,Slayer4value*((1+0.04*opp)*(MHavg+101+(ap+Z280-$Z$1)/APtoDPS*MHnorm+(0.5+0.05*dws)*(ohavg+(ap+Z280-$Z$1)/APtoDPS*OHnorm)+101*(1+0.1*dws))*(1+0.5*IF(Talents!$O$18="Yes",1,0)))))))*(instactualhit+(1+((leth*0.06+2)-1)*(cfact-1))*instactualcrit)*fwfactor*AB280*instsec*(AF280/$AN$45))</f>
        <v>290.78918279358999</v>
      </c>
      <c r="AH280" s="25">
        <f t="shared" si="175"/>
        <v>0</v>
      </c>
      <c r="AI280" s="25">
        <f t="shared" si="176"/>
        <v>0</v>
      </c>
      <c r="AJ280" s="25">
        <f t="shared" si="177"/>
        <v>0</v>
      </c>
    </row>
    <row r="281" spans="1:36">
      <c r="A281">
        <f t="shared" si="158"/>
        <v>278</v>
      </c>
      <c r="B281">
        <f t="shared" si="166"/>
        <v>6</v>
      </c>
      <c r="C281">
        <f t="shared" si="144"/>
        <v>300</v>
      </c>
      <c r="D281">
        <f t="shared" si="159"/>
        <v>0</v>
      </c>
      <c r="E281">
        <f t="shared" si="178"/>
        <v>5</v>
      </c>
      <c r="F281">
        <f t="shared" si="145"/>
        <v>360</v>
      </c>
      <c r="G281">
        <f t="shared" si="160"/>
        <v>9</v>
      </c>
      <c r="H281">
        <f t="shared" si="167"/>
        <v>4</v>
      </c>
      <c r="I281">
        <f t="shared" si="146"/>
        <v>360</v>
      </c>
      <c r="J281">
        <f t="shared" si="161"/>
        <v>0</v>
      </c>
      <c r="K281">
        <f t="shared" si="168"/>
        <v>3</v>
      </c>
      <c r="L281">
        <f t="shared" si="147"/>
        <v>360</v>
      </c>
      <c r="M281">
        <f t="shared" si="162"/>
        <v>0</v>
      </c>
      <c r="N281">
        <f t="shared" si="169"/>
        <v>2</v>
      </c>
      <c r="O281">
        <f t="shared" si="148"/>
        <v>300</v>
      </c>
      <c r="P281">
        <f t="shared" si="170"/>
        <v>0</v>
      </c>
      <c r="Q281">
        <f t="shared" si="171"/>
        <v>2</v>
      </c>
      <c r="R281">
        <f t="shared" si="149"/>
        <v>300</v>
      </c>
      <c r="S281">
        <f t="shared" si="172"/>
        <v>0</v>
      </c>
      <c r="T281">
        <f t="shared" si="173"/>
        <v>-1</v>
      </c>
      <c r="U281">
        <f t="shared" si="163"/>
        <v>0</v>
      </c>
      <c r="V281">
        <f t="shared" si="164"/>
        <v>1</v>
      </c>
      <c r="W281">
        <f t="shared" si="150"/>
        <v>0</v>
      </c>
      <c r="X281">
        <f t="shared" si="174"/>
        <v>0</v>
      </c>
      <c r="Y281">
        <f t="shared" si="151"/>
        <v>0</v>
      </c>
      <c r="Z281">
        <f t="shared" si="152"/>
        <v>0</v>
      </c>
      <c r="AA281">
        <f t="shared" si="153"/>
        <v>0</v>
      </c>
      <c r="AB281" s="29">
        <f t="shared" si="154"/>
        <v>0.74178816089935007</v>
      </c>
      <c r="AC281" s="25">
        <f t="shared" si="155"/>
        <v>127.49804426656831</v>
      </c>
      <c r="AD281" s="29">
        <f t="shared" si="156"/>
        <v>1.0808524183153847</v>
      </c>
      <c r="AE281" s="25">
        <f t="shared" si="165"/>
        <v>13.243681724743192</v>
      </c>
      <c r="AF281" s="25">
        <f t="shared" si="157"/>
        <v>13.243681724743192</v>
      </c>
      <c r="AG281" s="25">
        <f>IF($A281&lt;0,0,IF(instatk="bs",(1.5+talSCallInstBon)*(MHavg+(ap+Z281-$Z$1)/APtoDPS*MHnorm+170)*(1+sa*0.1+0.04*opp+0.02*agg+Slayer4value-1),IF(instatk="hemo",Slayer4value*(MHavg+(ap+Z281-$Z$1)/APtoDPS*MHnorm)*(1.1+talSCallInstBon)+420*(1+raidcrit)*debuffon,IF(instatk="ss",(MHavg+(ap+Z281-$Z$1)/APtoDPS*MHnorm+98)*(1+sa*0.1+0.02*agg+Slayer4value-1),IF(instatk="v",(ohavg+(ap+Z281-$Z$1)/APtoDPS*OHnorm)*(1+sa*0.1)*(0.5+0.05*dws)+avipdam,Slayer4value*((1+0.04*opp)*(MHavg+101+(ap+Z281-$Z$1)/APtoDPS*MHnorm+(0.5+0.05*dws)*(ohavg+(ap+Z281-$Z$1)/APtoDPS*OHnorm)+101*(1+0.1*dws))*(1+0.5*IF(Talents!$O$18="Yes",1,0)))))))*(instactualhit+(1+((leth*0.06+2)-1)*(cfact-1))*instactualcrit)*fwfactor*AB281*instsec*(AF281/$AN$45))</f>
        <v>290.78918279358999</v>
      </c>
      <c r="AH281" s="25">
        <f t="shared" si="175"/>
        <v>0</v>
      </c>
      <c r="AI281" s="25">
        <f t="shared" si="176"/>
        <v>0</v>
      </c>
      <c r="AJ281" s="25">
        <f t="shared" si="177"/>
        <v>0</v>
      </c>
    </row>
    <row r="282" spans="1:36">
      <c r="A282">
        <f t="shared" si="158"/>
        <v>279</v>
      </c>
      <c r="B282">
        <f t="shared" si="166"/>
        <v>6</v>
      </c>
      <c r="C282">
        <f t="shared" si="144"/>
        <v>300</v>
      </c>
      <c r="D282">
        <f t="shared" si="159"/>
        <v>0</v>
      </c>
      <c r="E282">
        <f t="shared" si="178"/>
        <v>5</v>
      </c>
      <c r="F282">
        <f t="shared" si="145"/>
        <v>360</v>
      </c>
      <c r="G282">
        <f t="shared" si="160"/>
        <v>10</v>
      </c>
      <c r="H282">
        <f t="shared" si="167"/>
        <v>4</v>
      </c>
      <c r="I282">
        <f t="shared" si="146"/>
        <v>360</v>
      </c>
      <c r="J282">
        <f t="shared" si="161"/>
        <v>0</v>
      </c>
      <c r="K282">
        <f t="shared" si="168"/>
        <v>3</v>
      </c>
      <c r="L282">
        <f t="shared" si="147"/>
        <v>360</v>
      </c>
      <c r="M282">
        <f t="shared" si="162"/>
        <v>0</v>
      </c>
      <c r="N282">
        <f t="shared" si="169"/>
        <v>2</v>
      </c>
      <c r="O282">
        <f t="shared" si="148"/>
        <v>300</v>
      </c>
      <c r="P282">
        <f t="shared" si="170"/>
        <v>0</v>
      </c>
      <c r="Q282">
        <f t="shared" si="171"/>
        <v>2</v>
      </c>
      <c r="R282">
        <f t="shared" si="149"/>
        <v>300</v>
      </c>
      <c r="S282">
        <f t="shared" si="172"/>
        <v>0</v>
      </c>
      <c r="T282">
        <f t="shared" si="173"/>
        <v>-1</v>
      </c>
      <c r="U282">
        <f t="shared" si="163"/>
        <v>0</v>
      </c>
      <c r="V282">
        <f t="shared" si="164"/>
        <v>1</v>
      </c>
      <c r="W282">
        <f t="shared" si="150"/>
        <v>0</v>
      </c>
      <c r="X282">
        <f t="shared" si="174"/>
        <v>0</v>
      </c>
      <c r="Y282">
        <f t="shared" si="151"/>
        <v>0</v>
      </c>
      <c r="Z282">
        <f t="shared" si="152"/>
        <v>0</v>
      </c>
      <c r="AA282">
        <f t="shared" si="153"/>
        <v>0</v>
      </c>
      <c r="AB282" s="29">
        <f t="shared" si="154"/>
        <v>0.74178816089935007</v>
      </c>
      <c r="AC282" s="25">
        <f t="shared" si="155"/>
        <v>127.49804426656831</v>
      </c>
      <c r="AD282" s="29">
        <f t="shared" si="156"/>
        <v>1.0808524183153847</v>
      </c>
      <c r="AE282" s="25">
        <f t="shared" si="165"/>
        <v>13.243681724743192</v>
      </c>
      <c r="AF282" s="25">
        <f t="shared" si="157"/>
        <v>13.243681724743192</v>
      </c>
      <c r="AG282" s="25">
        <f>IF($A282&lt;0,0,IF(instatk="bs",(1.5+talSCallInstBon)*(MHavg+(ap+Z282-$Z$1)/APtoDPS*MHnorm+170)*(1+sa*0.1+0.04*opp+0.02*agg+Slayer4value-1),IF(instatk="hemo",Slayer4value*(MHavg+(ap+Z282-$Z$1)/APtoDPS*MHnorm)*(1.1+talSCallInstBon)+420*(1+raidcrit)*debuffon,IF(instatk="ss",(MHavg+(ap+Z282-$Z$1)/APtoDPS*MHnorm+98)*(1+sa*0.1+0.02*agg+Slayer4value-1),IF(instatk="v",(ohavg+(ap+Z282-$Z$1)/APtoDPS*OHnorm)*(1+sa*0.1)*(0.5+0.05*dws)+avipdam,Slayer4value*((1+0.04*opp)*(MHavg+101+(ap+Z282-$Z$1)/APtoDPS*MHnorm+(0.5+0.05*dws)*(ohavg+(ap+Z282-$Z$1)/APtoDPS*OHnorm)+101*(1+0.1*dws))*(1+0.5*IF(Talents!$O$18="Yes",1,0)))))))*(instactualhit+(1+((leth*0.06+2)-1)*(cfact-1))*instactualcrit)*fwfactor*AB282*instsec*(AF282/$AN$45))</f>
        <v>290.78918279358999</v>
      </c>
      <c r="AH282" s="25">
        <f t="shared" si="175"/>
        <v>0</v>
      </c>
      <c r="AI282" s="25">
        <f t="shared" si="176"/>
        <v>0</v>
      </c>
      <c r="AJ282" s="25">
        <f t="shared" si="177"/>
        <v>0</v>
      </c>
    </row>
    <row r="283" spans="1:36">
      <c r="A283">
        <f t="shared" si="158"/>
        <v>280</v>
      </c>
      <c r="B283">
        <f t="shared" si="166"/>
        <v>6</v>
      </c>
      <c r="C283">
        <f t="shared" si="144"/>
        <v>300</v>
      </c>
      <c r="D283">
        <f t="shared" si="159"/>
        <v>0</v>
      </c>
      <c r="E283">
        <f t="shared" si="178"/>
        <v>5</v>
      </c>
      <c r="F283">
        <f t="shared" si="145"/>
        <v>360</v>
      </c>
      <c r="G283">
        <f t="shared" si="160"/>
        <v>11</v>
      </c>
      <c r="H283">
        <f t="shared" si="167"/>
        <v>4</v>
      </c>
      <c r="I283">
        <f t="shared" si="146"/>
        <v>360</v>
      </c>
      <c r="J283">
        <f t="shared" si="161"/>
        <v>0</v>
      </c>
      <c r="K283">
        <f t="shared" si="168"/>
        <v>3</v>
      </c>
      <c r="L283">
        <f t="shared" si="147"/>
        <v>360</v>
      </c>
      <c r="M283">
        <f t="shared" si="162"/>
        <v>0</v>
      </c>
      <c r="N283">
        <f t="shared" si="169"/>
        <v>2</v>
      </c>
      <c r="O283">
        <f t="shared" si="148"/>
        <v>300</v>
      </c>
      <c r="P283">
        <f t="shared" si="170"/>
        <v>0</v>
      </c>
      <c r="Q283">
        <f t="shared" si="171"/>
        <v>2</v>
      </c>
      <c r="R283">
        <f t="shared" si="149"/>
        <v>300</v>
      </c>
      <c r="S283">
        <f t="shared" si="172"/>
        <v>0</v>
      </c>
      <c r="T283">
        <f t="shared" si="173"/>
        <v>-1</v>
      </c>
      <c r="U283">
        <f t="shared" si="163"/>
        <v>0</v>
      </c>
      <c r="V283">
        <f t="shared" si="164"/>
        <v>1</v>
      </c>
      <c r="W283">
        <f t="shared" si="150"/>
        <v>0</v>
      </c>
      <c r="X283">
        <f t="shared" si="174"/>
        <v>0</v>
      </c>
      <c r="Y283">
        <f t="shared" si="151"/>
        <v>0</v>
      </c>
      <c r="Z283">
        <f t="shared" si="152"/>
        <v>0</v>
      </c>
      <c r="AA283">
        <f t="shared" si="153"/>
        <v>0</v>
      </c>
      <c r="AB283" s="29">
        <f t="shared" si="154"/>
        <v>0.74178816089935007</v>
      </c>
      <c r="AC283" s="25">
        <f t="shared" si="155"/>
        <v>127.49804426656831</v>
      </c>
      <c r="AD283" s="29">
        <f t="shared" si="156"/>
        <v>1.0808524183153847</v>
      </c>
      <c r="AE283" s="25">
        <f t="shared" si="165"/>
        <v>13.243681724743192</v>
      </c>
      <c r="AF283" s="25">
        <f t="shared" si="157"/>
        <v>13.243681724743192</v>
      </c>
      <c r="AG283" s="25">
        <f>IF($A283&lt;0,0,IF(instatk="bs",(1.5+talSCallInstBon)*(MHavg+(ap+Z283-$Z$1)/APtoDPS*MHnorm+170)*(1+sa*0.1+0.04*opp+0.02*agg+Slayer4value-1),IF(instatk="hemo",Slayer4value*(MHavg+(ap+Z283-$Z$1)/APtoDPS*MHnorm)*(1.1+talSCallInstBon)+420*(1+raidcrit)*debuffon,IF(instatk="ss",(MHavg+(ap+Z283-$Z$1)/APtoDPS*MHnorm+98)*(1+sa*0.1+0.02*agg+Slayer4value-1),IF(instatk="v",(ohavg+(ap+Z283-$Z$1)/APtoDPS*OHnorm)*(1+sa*0.1)*(0.5+0.05*dws)+avipdam,Slayer4value*((1+0.04*opp)*(MHavg+101+(ap+Z283-$Z$1)/APtoDPS*MHnorm+(0.5+0.05*dws)*(ohavg+(ap+Z283-$Z$1)/APtoDPS*OHnorm)+101*(1+0.1*dws))*(1+0.5*IF(Talents!$O$18="Yes",1,0)))))))*(instactualhit+(1+((leth*0.06+2)-1)*(cfact-1))*instactualcrit)*fwfactor*AB283*instsec*(AF283/$AN$45))</f>
        <v>290.78918279358999</v>
      </c>
      <c r="AH283" s="25">
        <f t="shared" si="175"/>
        <v>0</v>
      </c>
      <c r="AI283" s="25">
        <f t="shared" si="176"/>
        <v>0</v>
      </c>
      <c r="AJ283" s="25">
        <f t="shared" si="177"/>
        <v>0</v>
      </c>
    </row>
    <row r="284" spans="1:36">
      <c r="A284">
        <f t="shared" si="158"/>
        <v>281</v>
      </c>
      <c r="B284">
        <f t="shared" si="166"/>
        <v>6</v>
      </c>
      <c r="C284">
        <f t="shared" si="144"/>
        <v>300</v>
      </c>
      <c r="D284">
        <f t="shared" si="159"/>
        <v>0</v>
      </c>
      <c r="E284">
        <f t="shared" si="178"/>
        <v>5</v>
      </c>
      <c r="F284">
        <f t="shared" si="145"/>
        <v>360</v>
      </c>
      <c r="G284">
        <f t="shared" si="160"/>
        <v>12</v>
      </c>
      <c r="H284">
        <f t="shared" si="167"/>
        <v>4</v>
      </c>
      <c r="I284">
        <f t="shared" si="146"/>
        <v>360</v>
      </c>
      <c r="J284">
        <f t="shared" si="161"/>
        <v>0</v>
      </c>
      <c r="K284">
        <f t="shared" si="168"/>
        <v>3</v>
      </c>
      <c r="L284">
        <f t="shared" si="147"/>
        <v>360</v>
      </c>
      <c r="M284">
        <f t="shared" si="162"/>
        <v>0</v>
      </c>
      <c r="N284">
        <f t="shared" si="169"/>
        <v>2</v>
      </c>
      <c r="O284">
        <f t="shared" si="148"/>
        <v>300</v>
      </c>
      <c r="P284">
        <f t="shared" si="170"/>
        <v>0</v>
      </c>
      <c r="Q284">
        <f t="shared" si="171"/>
        <v>2</v>
      </c>
      <c r="R284">
        <f t="shared" si="149"/>
        <v>300</v>
      </c>
      <c r="S284">
        <f t="shared" si="172"/>
        <v>0</v>
      </c>
      <c r="T284">
        <f t="shared" si="173"/>
        <v>-1</v>
      </c>
      <c r="U284">
        <f t="shared" si="163"/>
        <v>0</v>
      </c>
      <c r="V284">
        <f t="shared" si="164"/>
        <v>1</v>
      </c>
      <c r="W284">
        <f t="shared" si="150"/>
        <v>0</v>
      </c>
      <c r="X284">
        <f t="shared" si="174"/>
        <v>0</v>
      </c>
      <c r="Y284">
        <f t="shared" si="151"/>
        <v>0</v>
      </c>
      <c r="Z284">
        <f t="shared" si="152"/>
        <v>0</v>
      </c>
      <c r="AA284">
        <f t="shared" si="153"/>
        <v>0</v>
      </c>
      <c r="AB284" s="29">
        <f t="shared" si="154"/>
        <v>0.74178816089935007</v>
      </c>
      <c r="AC284" s="25">
        <f t="shared" si="155"/>
        <v>127.49804426656831</v>
      </c>
      <c r="AD284" s="29">
        <f t="shared" si="156"/>
        <v>1.0808524183153847</v>
      </c>
      <c r="AE284" s="25">
        <f t="shared" si="165"/>
        <v>13.243681724743192</v>
      </c>
      <c r="AF284" s="25">
        <f t="shared" si="157"/>
        <v>13.243681724743192</v>
      </c>
      <c r="AG284" s="25">
        <f>IF($A284&lt;0,0,IF(instatk="bs",(1.5+talSCallInstBon)*(MHavg+(ap+Z284-$Z$1)/APtoDPS*MHnorm+170)*(1+sa*0.1+0.04*opp+0.02*agg+Slayer4value-1),IF(instatk="hemo",Slayer4value*(MHavg+(ap+Z284-$Z$1)/APtoDPS*MHnorm)*(1.1+talSCallInstBon)+420*(1+raidcrit)*debuffon,IF(instatk="ss",(MHavg+(ap+Z284-$Z$1)/APtoDPS*MHnorm+98)*(1+sa*0.1+0.02*agg+Slayer4value-1),IF(instatk="v",(ohavg+(ap+Z284-$Z$1)/APtoDPS*OHnorm)*(1+sa*0.1)*(0.5+0.05*dws)+avipdam,Slayer4value*((1+0.04*opp)*(MHavg+101+(ap+Z284-$Z$1)/APtoDPS*MHnorm+(0.5+0.05*dws)*(ohavg+(ap+Z284-$Z$1)/APtoDPS*OHnorm)+101*(1+0.1*dws))*(1+0.5*IF(Talents!$O$18="Yes",1,0)))))))*(instactualhit+(1+((leth*0.06+2)-1)*(cfact-1))*instactualcrit)*fwfactor*AB284*instsec*(AF284/$AN$45))</f>
        <v>290.78918279358999</v>
      </c>
      <c r="AH284" s="25">
        <f t="shared" si="175"/>
        <v>0</v>
      </c>
      <c r="AI284" s="25">
        <f t="shared" si="176"/>
        <v>0</v>
      </c>
      <c r="AJ284" s="25">
        <f t="shared" si="177"/>
        <v>0</v>
      </c>
    </row>
    <row r="285" spans="1:36">
      <c r="A285">
        <f t="shared" si="158"/>
        <v>282</v>
      </c>
      <c r="B285">
        <f t="shared" si="166"/>
        <v>6</v>
      </c>
      <c r="C285">
        <f t="shared" si="144"/>
        <v>300</v>
      </c>
      <c r="D285">
        <f t="shared" si="159"/>
        <v>0</v>
      </c>
      <c r="E285">
        <f t="shared" si="178"/>
        <v>5</v>
      </c>
      <c r="F285">
        <f t="shared" si="145"/>
        <v>360</v>
      </c>
      <c r="G285">
        <f t="shared" si="160"/>
        <v>13</v>
      </c>
      <c r="H285">
        <f t="shared" si="167"/>
        <v>4</v>
      </c>
      <c r="I285">
        <f t="shared" si="146"/>
        <v>360</v>
      </c>
      <c r="J285">
        <f t="shared" si="161"/>
        <v>0</v>
      </c>
      <c r="K285">
        <f t="shared" si="168"/>
        <v>3</v>
      </c>
      <c r="L285">
        <f t="shared" si="147"/>
        <v>360</v>
      </c>
      <c r="M285">
        <f t="shared" si="162"/>
        <v>0</v>
      </c>
      <c r="N285">
        <f t="shared" si="169"/>
        <v>2</v>
      </c>
      <c r="O285">
        <f t="shared" si="148"/>
        <v>300</v>
      </c>
      <c r="P285">
        <f t="shared" si="170"/>
        <v>0</v>
      </c>
      <c r="Q285">
        <f t="shared" si="171"/>
        <v>2</v>
      </c>
      <c r="R285">
        <f t="shared" si="149"/>
        <v>300</v>
      </c>
      <c r="S285">
        <f t="shared" si="172"/>
        <v>0</v>
      </c>
      <c r="T285">
        <f t="shared" si="173"/>
        <v>-1</v>
      </c>
      <c r="U285">
        <f t="shared" si="163"/>
        <v>0</v>
      </c>
      <c r="V285">
        <f t="shared" si="164"/>
        <v>1</v>
      </c>
      <c r="W285">
        <f t="shared" si="150"/>
        <v>0</v>
      </c>
      <c r="X285">
        <f t="shared" si="174"/>
        <v>0</v>
      </c>
      <c r="Y285">
        <f t="shared" si="151"/>
        <v>0</v>
      </c>
      <c r="Z285">
        <f t="shared" si="152"/>
        <v>0</v>
      </c>
      <c r="AA285">
        <f t="shared" si="153"/>
        <v>0</v>
      </c>
      <c r="AB285" s="29">
        <f t="shared" si="154"/>
        <v>0.74178816089935007</v>
      </c>
      <c r="AC285" s="25">
        <f t="shared" si="155"/>
        <v>127.49804426656831</v>
      </c>
      <c r="AD285" s="29">
        <f t="shared" si="156"/>
        <v>1.0808524183153847</v>
      </c>
      <c r="AE285" s="25">
        <f t="shared" si="165"/>
        <v>13.243681724743192</v>
      </c>
      <c r="AF285" s="25">
        <f t="shared" si="157"/>
        <v>13.243681724743192</v>
      </c>
      <c r="AG285" s="25">
        <f>IF($A285&lt;0,0,IF(instatk="bs",(1.5+talSCallInstBon)*(MHavg+(ap+Z285-$Z$1)/APtoDPS*MHnorm+170)*(1+sa*0.1+0.04*opp+0.02*agg+Slayer4value-1),IF(instatk="hemo",Slayer4value*(MHavg+(ap+Z285-$Z$1)/APtoDPS*MHnorm)*(1.1+talSCallInstBon)+420*(1+raidcrit)*debuffon,IF(instatk="ss",(MHavg+(ap+Z285-$Z$1)/APtoDPS*MHnorm+98)*(1+sa*0.1+0.02*agg+Slayer4value-1),IF(instatk="v",(ohavg+(ap+Z285-$Z$1)/APtoDPS*OHnorm)*(1+sa*0.1)*(0.5+0.05*dws)+avipdam,Slayer4value*((1+0.04*opp)*(MHavg+101+(ap+Z285-$Z$1)/APtoDPS*MHnorm+(0.5+0.05*dws)*(ohavg+(ap+Z285-$Z$1)/APtoDPS*OHnorm)+101*(1+0.1*dws))*(1+0.5*IF(Talents!$O$18="Yes",1,0)))))))*(instactualhit+(1+((leth*0.06+2)-1)*(cfact-1))*instactualcrit)*fwfactor*AB285*instsec*(AF285/$AN$45))</f>
        <v>290.78918279358999</v>
      </c>
      <c r="AH285" s="25">
        <f t="shared" si="175"/>
        <v>0</v>
      </c>
      <c r="AI285" s="25">
        <f t="shared" si="176"/>
        <v>0</v>
      </c>
      <c r="AJ285" s="25">
        <f t="shared" si="177"/>
        <v>0</v>
      </c>
    </row>
    <row r="286" spans="1:36">
      <c r="A286">
        <f t="shared" si="158"/>
        <v>283</v>
      </c>
      <c r="B286">
        <f t="shared" si="166"/>
        <v>6</v>
      </c>
      <c r="C286">
        <f t="shared" si="144"/>
        <v>300</v>
      </c>
      <c r="D286">
        <f t="shared" si="159"/>
        <v>0</v>
      </c>
      <c r="E286">
        <f t="shared" si="178"/>
        <v>5</v>
      </c>
      <c r="F286">
        <f t="shared" si="145"/>
        <v>360</v>
      </c>
      <c r="G286">
        <f t="shared" si="160"/>
        <v>14</v>
      </c>
      <c r="H286">
        <f t="shared" si="167"/>
        <v>4</v>
      </c>
      <c r="I286">
        <f t="shared" si="146"/>
        <v>360</v>
      </c>
      <c r="J286">
        <f t="shared" si="161"/>
        <v>0</v>
      </c>
      <c r="K286">
        <f t="shared" si="168"/>
        <v>3</v>
      </c>
      <c r="L286">
        <f t="shared" si="147"/>
        <v>360</v>
      </c>
      <c r="M286">
        <f t="shared" si="162"/>
        <v>0</v>
      </c>
      <c r="N286">
        <f t="shared" si="169"/>
        <v>2</v>
      </c>
      <c r="O286">
        <f t="shared" si="148"/>
        <v>300</v>
      </c>
      <c r="P286">
        <f t="shared" si="170"/>
        <v>0</v>
      </c>
      <c r="Q286">
        <f t="shared" si="171"/>
        <v>2</v>
      </c>
      <c r="R286">
        <f t="shared" si="149"/>
        <v>300</v>
      </c>
      <c r="S286">
        <f t="shared" si="172"/>
        <v>0</v>
      </c>
      <c r="T286">
        <f t="shared" si="173"/>
        <v>-1</v>
      </c>
      <c r="U286">
        <f t="shared" si="163"/>
        <v>0</v>
      </c>
      <c r="V286">
        <f t="shared" si="164"/>
        <v>1</v>
      </c>
      <c r="W286">
        <f t="shared" si="150"/>
        <v>0</v>
      </c>
      <c r="X286">
        <f t="shared" si="174"/>
        <v>0</v>
      </c>
      <c r="Y286">
        <f t="shared" si="151"/>
        <v>0</v>
      </c>
      <c r="Z286">
        <f t="shared" si="152"/>
        <v>0</v>
      </c>
      <c r="AA286">
        <f t="shared" si="153"/>
        <v>0</v>
      </c>
      <c r="AB286" s="29">
        <f t="shared" si="154"/>
        <v>0.74178816089935007</v>
      </c>
      <c r="AC286" s="25">
        <f t="shared" si="155"/>
        <v>127.49804426656831</v>
      </c>
      <c r="AD286" s="29">
        <f t="shared" si="156"/>
        <v>1.0808524183153847</v>
      </c>
      <c r="AE286" s="25">
        <f t="shared" si="165"/>
        <v>13.243681724743192</v>
      </c>
      <c r="AF286" s="25">
        <f t="shared" si="157"/>
        <v>13.243681724743192</v>
      </c>
      <c r="AG286" s="25">
        <f>IF($A286&lt;0,0,IF(instatk="bs",(1.5+talSCallInstBon)*(MHavg+(ap+Z286-$Z$1)/APtoDPS*MHnorm+170)*(1+sa*0.1+0.04*opp+0.02*agg+Slayer4value-1),IF(instatk="hemo",Slayer4value*(MHavg+(ap+Z286-$Z$1)/APtoDPS*MHnorm)*(1.1+talSCallInstBon)+420*(1+raidcrit)*debuffon,IF(instatk="ss",(MHavg+(ap+Z286-$Z$1)/APtoDPS*MHnorm+98)*(1+sa*0.1+0.02*agg+Slayer4value-1),IF(instatk="v",(ohavg+(ap+Z286-$Z$1)/APtoDPS*OHnorm)*(1+sa*0.1)*(0.5+0.05*dws)+avipdam,Slayer4value*((1+0.04*opp)*(MHavg+101+(ap+Z286-$Z$1)/APtoDPS*MHnorm+(0.5+0.05*dws)*(ohavg+(ap+Z286-$Z$1)/APtoDPS*OHnorm)+101*(1+0.1*dws))*(1+0.5*IF(Talents!$O$18="Yes",1,0)))))))*(instactualhit+(1+((leth*0.06+2)-1)*(cfact-1))*instactualcrit)*fwfactor*AB286*instsec*(AF286/$AN$45))</f>
        <v>290.78918279358999</v>
      </c>
      <c r="AH286" s="25">
        <f t="shared" si="175"/>
        <v>0</v>
      </c>
      <c r="AI286" s="25">
        <f t="shared" si="176"/>
        <v>0</v>
      </c>
      <c r="AJ286" s="25">
        <f t="shared" si="177"/>
        <v>0</v>
      </c>
    </row>
    <row r="287" spans="1:36">
      <c r="A287">
        <f t="shared" si="158"/>
        <v>284</v>
      </c>
      <c r="B287">
        <f t="shared" si="166"/>
        <v>6</v>
      </c>
      <c r="C287">
        <f t="shared" si="144"/>
        <v>300</v>
      </c>
      <c r="D287">
        <f t="shared" si="159"/>
        <v>0</v>
      </c>
      <c r="E287">
        <f t="shared" si="178"/>
        <v>5</v>
      </c>
      <c r="F287">
        <f t="shared" si="145"/>
        <v>360</v>
      </c>
      <c r="G287">
        <f t="shared" si="160"/>
        <v>15</v>
      </c>
      <c r="H287">
        <f t="shared" si="167"/>
        <v>4</v>
      </c>
      <c r="I287">
        <f t="shared" si="146"/>
        <v>360</v>
      </c>
      <c r="J287">
        <f t="shared" si="161"/>
        <v>0</v>
      </c>
      <c r="K287">
        <f t="shared" si="168"/>
        <v>3</v>
      </c>
      <c r="L287">
        <f t="shared" si="147"/>
        <v>360</v>
      </c>
      <c r="M287">
        <f t="shared" si="162"/>
        <v>0</v>
      </c>
      <c r="N287">
        <f t="shared" si="169"/>
        <v>2</v>
      </c>
      <c r="O287">
        <f t="shared" si="148"/>
        <v>300</v>
      </c>
      <c r="P287">
        <f t="shared" si="170"/>
        <v>0</v>
      </c>
      <c r="Q287">
        <f t="shared" si="171"/>
        <v>2</v>
      </c>
      <c r="R287">
        <f t="shared" si="149"/>
        <v>300</v>
      </c>
      <c r="S287">
        <f t="shared" si="172"/>
        <v>0</v>
      </c>
      <c r="T287">
        <f t="shared" si="173"/>
        <v>-1</v>
      </c>
      <c r="U287">
        <f t="shared" si="163"/>
        <v>0</v>
      </c>
      <c r="V287">
        <f t="shared" si="164"/>
        <v>1</v>
      </c>
      <c r="W287">
        <f t="shared" si="150"/>
        <v>0</v>
      </c>
      <c r="X287">
        <f t="shared" si="174"/>
        <v>0</v>
      </c>
      <c r="Y287">
        <f t="shared" si="151"/>
        <v>0</v>
      </c>
      <c r="Z287">
        <f t="shared" si="152"/>
        <v>0</v>
      </c>
      <c r="AA287">
        <f t="shared" si="153"/>
        <v>0</v>
      </c>
      <c r="AB287" s="29">
        <f t="shared" si="154"/>
        <v>0.74178816089935007</v>
      </c>
      <c r="AC287" s="25">
        <f t="shared" si="155"/>
        <v>127.49804426656831</v>
      </c>
      <c r="AD287" s="29">
        <f t="shared" si="156"/>
        <v>1.0808524183153847</v>
      </c>
      <c r="AE287" s="25">
        <f t="shared" si="165"/>
        <v>13.243681724743192</v>
      </c>
      <c r="AF287" s="25">
        <f t="shared" si="157"/>
        <v>13.243681724743192</v>
      </c>
      <c r="AG287" s="25">
        <f>IF($A287&lt;0,0,IF(instatk="bs",(1.5+talSCallInstBon)*(MHavg+(ap+Z287-$Z$1)/APtoDPS*MHnorm+170)*(1+sa*0.1+0.04*opp+0.02*agg+Slayer4value-1),IF(instatk="hemo",Slayer4value*(MHavg+(ap+Z287-$Z$1)/APtoDPS*MHnorm)*(1.1+talSCallInstBon)+420*(1+raidcrit)*debuffon,IF(instatk="ss",(MHavg+(ap+Z287-$Z$1)/APtoDPS*MHnorm+98)*(1+sa*0.1+0.02*agg+Slayer4value-1),IF(instatk="v",(ohavg+(ap+Z287-$Z$1)/APtoDPS*OHnorm)*(1+sa*0.1)*(0.5+0.05*dws)+avipdam,Slayer4value*((1+0.04*opp)*(MHavg+101+(ap+Z287-$Z$1)/APtoDPS*MHnorm+(0.5+0.05*dws)*(ohavg+(ap+Z287-$Z$1)/APtoDPS*OHnorm)+101*(1+0.1*dws))*(1+0.5*IF(Talents!$O$18="Yes",1,0)))))))*(instactualhit+(1+((leth*0.06+2)-1)*(cfact-1))*instactualcrit)*fwfactor*AB287*instsec*(AF287/$AN$45))</f>
        <v>290.78918279358999</v>
      </c>
      <c r="AH287" s="25">
        <f t="shared" si="175"/>
        <v>0</v>
      </c>
      <c r="AI287" s="25">
        <f t="shared" si="176"/>
        <v>0</v>
      </c>
      <c r="AJ287" s="25">
        <f t="shared" si="177"/>
        <v>0</v>
      </c>
    </row>
    <row r="288" spans="1:36">
      <c r="A288">
        <f t="shared" si="158"/>
        <v>285</v>
      </c>
      <c r="B288">
        <f t="shared" si="166"/>
        <v>6</v>
      </c>
      <c r="C288">
        <f t="shared" si="144"/>
        <v>300</v>
      </c>
      <c r="D288">
        <f t="shared" si="159"/>
        <v>0</v>
      </c>
      <c r="E288">
        <f t="shared" si="178"/>
        <v>5</v>
      </c>
      <c r="F288">
        <f t="shared" si="145"/>
        <v>360</v>
      </c>
      <c r="G288">
        <f t="shared" si="160"/>
        <v>16</v>
      </c>
      <c r="H288">
        <f t="shared" si="167"/>
        <v>4</v>
      </c>
      <c r="I288">
        <f t="shared" si="146"/>
        <v>360</v>
      </c>
      <c r="J288">
        <f t="shared" si="161"/>
        <v>0</v>
      </c>
      <c r="K288">
        <f t="shared" si="168"/>
        <v>3</v>
      </c>
      <c r="L288">
        <f t="shared" si="147"/>
        <v>360</v>
      </c>
      <c r="M288">
        <f t="shared" si="162"/>
        <v>0</v>
      </c>
      <c r="N288">
        <f t="shared" si="169"/>
        <v>2</v>
      </c>
      <c r="O288">
        <f t="shared" si="148"/>
        <v>300</v>
      </c>
      <c r="P288">
        <f t="shared" si="170"/>
        <v>0</v>
      </c>
      <c r="Q288">
        <f t="shared" si="171"/>
        <v>2</v>
      </c>
      <c r="R288">
        <f t="shared" si="149"/>
        <v>300</v>
      </c>
      <c r="S288">
        <f t="shared" si="172"/>
        <v>0</v>
      </c>
      <c r="T288">
        <f t="shared" si="173"/>
        <v>-1</v>
      </c>
      <c r="U288">
        <f t="shared" si="163"/>
        <v>0</v>
      </c>
      <c r="V288">
        <f t="shared" si="164"/>
        <v>1</v>
      </c>
      <c r="W288">
        <f t="shared" si="150"/>
        <v>0</v>
      </c>
      <c r="X288">
        <f t="shared" si="174"/>
        <v>0</v>
      </c>
      <c r="Y288">
        <f t="shared" si="151"/>
        <v>0</v>
      </c>
      <c r="Z288">
        <f t="shared" si="152"/>
        <v>0</v>
      </c>
      <c r="AA288">
        <f t="shared" si="153"/>
        <v>0</v>
      </c>
      <c r="AB288" s="29">
        <f t="shared" si="154"/>
        <v>0.74178816089935007</v>
      </c>
      <c r="AC288" s="25">
        <f t="shared" si="155"/>
        <v>127.49804426656831</v>
      </c>
      <c r="AD288" s="29">
        <f t="shared" si="156"/>
        <v>1.0808524183153847</v>
      </c>
      <c r="AE288" s="25">
        <f t="shared" si="165"/>
        <v>13.243681724743192</v>
      </c>
      <c r="AF288" s="25">
        <f t="shared" si="157"/>
        <v>13.243681724743192</v>
      </c>
      <c r="AG288" s="25">
        <f>IF($A288&lt;0,0,IF(instatk="bs",(1.5+talSCallInstBon)*(MHavg+(ap+Z288-$Z$1)/APtoDPS*MHnorm+170)*(1+sa*0.1+0.04*opp+0.02*agg+Slayer4value-1),IF(instatk="hemo",Slayer4value*(MHavg+(ap+Z288-$Z$1)/APtoDPS*MHnorm)*(1.1+talSCallInstBon)+420*(1+raidcrit)*debuffon,IF(instatk="ss",(MHavg+(ap+Z288-$Z$1)/APtoDPS*MHnorm+98)*(1+sa*0.1+0.02*agg+Slayer4value-1),IF(instatk="v",(ohavg+(ap+Z288-$Z$1)/APtoDPS*OHnorm)*(1+sa*0.1)*(0.5+0.05*dws)+avipdam,Slayer4value*((1+0.04*opp)*(MHavg+101+(ap+Z288-$Z$1)/APtoDPS*MHnorm+(0.5+0.05*dws)*(ohavg+(ap+Z288-$Z$1)/APtoDPS*OHnorm)+101*(1+0.1*dws))*(1+0.5*IF(Talents!$O$18="Yes",1,0)))))))*(instactualhit+(1+((leth*0.06+2)-1)*(cfact-1))*instactualcrit)*fwfactor*AB288*instsec*(AF288/$AN$45))</f>
        <v>290.78918279358999</v>
      </c>
      <c r="AH288" s="25">
        <f t="shared" si="175"/>
        <v>0</v>
      </c>
      <c r="AI288" s="25">
        <f t="shared" si="176"/>
        <v>0</v>
      </c>
      <c r="AJ288" s="25">
        <f t="shared" si="177"/>
        <v>0</v>
      </c>
    </row>
    <row r="289" spans="1:36">
      <c r="A289">
        <f t="shared" si="158"/>
        <v>286</v>
      </c>
      <c r="B289">
        <f t="shared" si="166"/>
        <v>6</v>
      </c>
      <c r="C289">
        <f t="shared" si="144"/>
        <v>300</v>
      </c>
      <c r="D289">
        <f t="shared" si="159"/>
        <v>0</v>
      </c>
      <c r="E289">
        <f t="shared" si="178"/>
        <v>5</v>
      </c>
      <c r="F289">
        <f t="shared" si="145"/>
        <v>360</v>
      </c>
      <c r="G289">
        <f t="shared" si="160"/>
        <v>17</v>
      </c>
      <c r="H289">
        <f t="shared" si="167"/>
        <v>4</v>
      </c>
      <c r="I289">
        <f t="shared" si="146"/>
        <v>360</v>
      </c>
      <c r="J289">
        <f t="shared" si="161"/>
        <v>0</v>
      </c>
      <c r="K289">
        <f t="shared" si="168"/>
        <v>3</v>
      </c>
      <c r="L289">
        <f t="shared" si="147"/>
        <v>360</v>
      </c>
      <c r="M289">
        <f t="shared" si="162"/>
        <v>0</v>
      </c>
      <c r="N289">
        <f t="shared" si="169"/>
        <v>2</v>
      </c>
      <c r="O289">
        <f t="shared" si="148"/>
        <v>300</v>
      </c>
      <c r="P289">
        <f t="shared" si="170"/>
        <v>0</v>
      </c>
      <c r="Q289">
        <f t="shared" si="171"/>
        <v>2</v>
      </c>
      <c r="R289">
        <f t="shared" si="149"/>
        <v>300</v>
      </c>
      <c r="S289">
        <f t="shared" si="172"/>
        <v>0</v>
      </c>
      <c r="T289">
        <f t="shared" si="173"/>
        <v>-1</v>
      </c>
      <c r="U289">
        <f t="shared" si="163"/>
        <v>0</v>
      </c>
      <c r="V289">
        <f t="shared" si="164"/>
        <v>1</v>
      </c>
      <c r="W289">
        <f t="shared" si="150"/>
        <v>0</v>
      </c>
      <c r="X289">
        <f t="shared" si="174"/>
        <v>0</v>
      </c>
      <c r="Y289">
        <f t="shared" si="151"/>
        <v>0</v>
      </c>
      <c r="Z289">
        <f t="shared" si="152"/>
        <v>0</v>
      </c>
      <c r="AA289">
        <f t="shared" si="153"/>
        <v>0</v>
      </c>
      <c r="AB289" s="29">
        <f t="shared" si="154"/>
        <v>0.74178816089935007</v>
      </c>
      <c r="AC289" s="25">
        <f t="shared" si="155"/>
        <v>127.49804426656831</v>
      </c>
      <c r="AD289" s="29">
        <f t="shared" si="156"/>
        <v>1.0808524183153847</v>
      </c>
      <c r="AE289" s="25">
        <f t="shared" si="165"/>
        <v>13.243681724743192</v>
      </c>
      <c r="AF289" s="25">
        <f t="shared" si="157"/>
        <v>13.243681724743192</v>
      </c>
      <c r="AG289" s="25">
        <f>IF($A289&lt;0,0,IF(instatk="bs",(1.5+talSCallInstBon)*(MHavg+(ap+Z289-$Z$1)/APtoDPS*MHnorm+170)*(1+sa*0.1+0.04*opp+0.02*agg+Slayer4value-1),IF(instatk="hemo",Slayer4value*(MHavg+(ap+Z289-$Z$1)/APtoDPS*MHnorm)*(1.1+talSCallInstBon)+420*(1+raidcrit)*debuffon,IF(instatk="ss",(MHavg+(ap+Z289-$Z$1)/APtoDPS*MHnorm+98)*(1+sa*0.1+0.02*agg+Slayer4value-1),IF(instatk="v",(ohavg+(ap+Z289-$Z$1)/APtoDPS*OHnorm)*(1+sa*0.1)*(0.5+0.05*dws)+avipdam,Slayer4value*((1+0.04*opp)*(MHavg+101+(ap+Z289-$Z$1)/APtoDPS*MHnorm+(0.5+0.05*dws)*(ohavg+(ap+Z289-$Z$1)/APtoDPS*OHnorm)+101*(1+0.1*dws))*(1+0.5*IF(Talents!$O$18="Yes",1,0)))))))*(instactualhit+(1+((leth*0.06+2)-1)*(cfact-1))*instactualcrit)*fwfactor*AB289*instsec*(AF289/$AN$45))</f>
        <v>290.78918279358999</v>
      </c>
      <c r="AH289" s="25">
        <f t="shared" si="175"/>
        <v>0</v>
      </c>
      <c r="AI289" s="25">
        <f t="shared" si="176"/>
        <v>0</v>
      </c>
      <c r="AJ289" s="25">
        <f t="shared" si="177"/>
        <v>0</v>
      </c>
    </row>
    <row r="290" spans="1:36">
      <c r="A290">
        <f t="shared" si="158"/>
        <v>287</v>
      </c>
      <c r="B290">
        <f t="shared" si="166"/>
        <v>6</v>
      </c>
      <c r="C290">
        <f t="shared" si="144"/>
        <v>300</v>
      </c>
      <c r="D290">
        <f t="shared" si="159"/>
        <v>0</v>
      </c>
      <c r="E290">
        <f t="shared" si="178"/>
        <v>5</v>
      </c>
      <c r="F290">
        <f t="shared" si="145"/>
        <v>360</v>
      </c>
      <c r="G290">
        <f t="shared" si="160"/>
        <v>18</v>
      </c>
      <c r="H290">
        <f t="shared" si="167"/>
        <v>4</v>
      </c>
      <c r="I290">
        <f t="shared" si="146"/>
        <v>360</v>
      </c>
      <c r="J290">
        <f t="shared" si="161"/>
        <v>0</v>
      </c>
      <c r="K290">
        <f t="shared" si="168"/>
        <v>3</v>
      </c>
      <c r="L290">
        <f t="shared" si="147"/>
        <v>360</v>
      </c>
      <c r="M290">
        <f t="shared" si="162"/>
        <v>0</v>
      </c>
      <c r="N290">
        <f t="shared" si="169"/>
        <v>2</v>
      </c>
      <c r="O290">
        <f t="shared" si="148"/>
        <v>300</v>
      </c>
      <c r="P290">
        <f t="shared" si="170"/>
        <v>0</v>
      </c>
      <c r="Q290">
        <f t="shared" si="171"/>
        <v>2</v>
      </c>
      <c r="R290">
        <f t="shared" si="149"/>
        <v>300</v>
      </c>
      <c r="S290">
        <f t="shared" si="172"/>
        <v>0</v>
      </c>
      <c r="T290">
        <f t="shared" si="173"/>
        <v>-1</v>
      </c>
      <c r="U290">
        <f t="shared" si="163"/>
        <v>0</v>
      </c>
      <c r="V290">
        <f t="shared" si="164"/>
        <v>1</v>
      </c>
      <c r="W290">
        <f t="shared" si="150"/>
        <v>0</v>
      </c>
      <c r="X290">
        <f t="shared" si="174"/>
        <v>0</v>
      </c>
      <c r="Y290">
        <f t="shared" si="151"/>
        <v>0</v>
      </c>
      <c r="Z290">
        <f t="shared" si="152"/>
        <v>0</v>
      </c>
      <c r="AA290">
        <f t="shared" si="153"/>
        <v>0</v>
      </c>
      <c r="AB290" s="29">
        <f t="shared" si="154"/>
        <v>0.74178816089935007</v>
      </c>
      <c r="AC290" s="25">
        <f t="shared" si="155"/>
        <v>127.49804426656831</v>
      </c>
      <c r="AD290" s="29">
        <f t="shared" si="156"/>
        <v>1.0808524183153847</v>
      </c>
      <c r="AE290" s="25">
        <f t="shared" si="165"/>
        <v>13.243681724743192</v>
      </c>
      <c r="AF290" s="25">
        <f t="shared" si="157"/>
        <v>13.243681724743192</v>
      </c>
      <c r="AG290" s="25">
        <f>IF($A290&lt;0,0,IF(instatk="bs",(1.5+talSCallInstBon)*(MHavg+(ap+Z290-$Z$1)/APtoDPS*MHnorm+170)*(1+sa*0.1+0.04*opp+0.02*agg+Slayer4value-1),IF(instatk="hemo",Slayer4value*(MHavg+(ap+Z290-$Z$1)/APtoDPS*MHnorm)*(1.1+talSCallInstBon)+420*(1+raidcrit)*debuffon,IF(instatk="ss",(MHavg+(ap+Z290-$Z$1)/APtoDPS*MHnorm+98)*(1+sa*0.1+0.02*agg+Slayer4value-1),IF(instatk="v",(ohavg+(ap+Z290-$Z$1)/APtoDPS*OHnorm)*(1+sa*0.1)*(0.5+0.05*dws)+avipdam,Slayer4value*((1+0.04*opp)*(MHavg+101+(ap+Z290-$Z$1)/APtoDPS*MHnorm+(0.5+0.05*dws)*(ohavg+(ap+Z290-$Z$1)/APtoDPS*OHnorm)+101*(1+0.1*dws))*(1+0.5*IF(Talents!$O$18="Yes",1,0)))))))*(instactualhit+(1+((leth*0.06+2)-1)*(cfact-1))*instactualcrit)*fwfactor*AB290*instsec*(AF290/$AN$45))</f>
        <v>290.78918279358999</v>
      </c>
      <c r="AH290" s="25">
        <f t="shared" si="175"/>
        <v>0</v>
      </c>
      <c r="AI290" s="25">
        <f t="shared" si="176"/>
        <v>0</v>
      </c>
      <c r="AJ290" s="25">
        <f t="shared" si="177"/>
        <v>0</v>
      </c>
    </row>
    <row r="291" spans="1:36">
      <c r="A291">
        <f t="shared" si="158"/>
        <v>288</v>
      </c>
      <c r="B291">
        <f t="shared" si="166"/>
        <v>6</v>
      </c>
      <c r="C291">
        <f t="shared" si="144"/>
        <v>300</v>
      </c>
      <c r="D291">
        <f t="shared" si="159"/>
        <v>0</v>
      </c>
      <c r="E291">
        <f t="shared" si="178"/>
        <v>5</v>
      </c>
      <c r="F291">
        <f t="shared" si="145"/>
        <v>360</v>
      </c>
      <c r="G291">
        <f t="shared" si="160"/>
        <v>19</v>
      </c>
      <c r="H291">
        <f t="shared" si="167"/>
        <v>4</v>
      </c>
      <c r="I291">
        <f t="shared" si="146"/>
        <v>360</v>
      </c>
      <c r="J291">
        <f t="shared" si="161"/>
        <v>0</v>
      </c>
      <c r="K291">
        <f t="shared" si="168"/>
        <v>3</v>
      </c>
      <c r="L291">
        <f t="shared" si="147"/>
        <v>360</v>
      </c>
      <c r="M291">
        <f t="shared" si="162"/>
        <v>0</v>
      </c>
      <c r="N291">
        <f t="shared" si="169"/>
        <v>2</v>
      </c>
      <c r="O291">
        <f t="shared" si="148"/>
        <v>300</v>
      </c>
      <c r="P291">
        <f t="shared" si="170"/>
        <v>0</v>
      </c>
      <c r="Q291">
        <f t="shared" si="171"/>
        <v>2</v>
      </c>
      <c r="R291">
        <f t="shared" si="149"/>
        <v>300</v>
      </c>
      <c r="S291">
        <f t="shared" si="172"/>
        <v>0</v>
      </c>
      <c r="T291">
        <f t="shared" si="173"/>
        <v>-1</v>
      </c>
      <c r="U291">
        <f t="shared" si="163"/>
        <v>0</v>
      </c>
      <c r="V291">
        <f t="shared" si="164"/>
        <v>1</v>
      </c>
      <c r="W291">
        <f t="shared" si="150"/>
        <v>0</v>
      </c>
      <c r="X291">
        <f t="shared" si="174"/>
        <v>0</v>
      </c>
      <c r="Y291">
        <f t="shared" si="151"/>
        <v>0</v>
      </c>
      <c r="Z291">
        <f t="shared" si="152"/>
        <v>0</v>
      </c>
      <c r="AA291">
        <f t="shared" si="153"/>
        <v>0</v>
      </c>
      <c r="AB291" s="29">
        <f t="shared" si="154"/>
        <v>0.74178816089935007</v>
      </c>
      <c r="AC291" s="25">
        <f t="shared" si="155"/>
        <v>127.49804426656831</v>
      </c>
      <c r="AD291" s="29">
        <f t="shared" si="156"/>
        <v>1.0808524183153847</v>
      </c>
      <c r="AE291" s="25">
        <f t="shared" si="165"/>
        <v>13.243681724743192</v>
      </c>
      <c r="AF291" s="25">
        <f t="shared" si="157"/>
        <v>13.243681724743192</v>
      </c>
      <c r="AG291" s="25">
        <f>IF($A291&lt;0,0,IF(instatk="bs",(1.5+talSCallInstBon)*(MHavg+(ap+Z291-$Z$1)/APtoDPS*MHnorm+170)*(1+sa*0.1+0.04*opp+0.02*agg+Slayer4value-1),IF(instatk="hemo",Slayer4value*(MHavg+(ap+Z291-$Z$1)/APtoDPS*MHnorm)*(1.1+talSCallInstBon)+420*(1+raidcrit)*debuffon,IF(instatk="ss",(MHavg+(ap+Z291-$Z$1)/APtoDPS*MHnorm+98)*(1+sa*0.1+0.02*agg+Slayer4value-1),IF(instatk="v",(ohavg+(ap+Z291-$Z$1)/APtoDPS*OHnorm)*(1+sa*0.1)*(0.5+0.05*dws)+avipdam,Slayer4value*((1+0.04*opp)*(MHavg+101+(ap+Z291-$Z$1)/APtoDPS*MHnorm+(0.5+0.05*dws)*(ohavg+(ap+Z291-$Z$1)/APtoDPS*OHnorm)+101*(1+0.1*dws))*(1+0.5*IF(Talents!$O$18="Yes",1,0)))))))*(instactualhit+(1+((leth*0.06+2)-1)*(cfact-1))*instactualcrit)*fwfactor*AB291*instsec*(AF291/$AN$45))</f>
        <v>290.78918279358999</v>
      </c>
      <c r="AH291" s="25">
        <f t="shared" si="175"/>
        <v>0</v>
      </c>
      <c r="AI291" s="25">
        <f t="shared" si="176"/>
        <v>0</v>
      </c>
      <c r="AJ291" s="25">
        <f t="shared" si="177"/>
        <v>0</v>
      </c>
    </row>
    <row r="292" spans="1:36">
      <c r="A292">
        <f t="shared" si="158"/>
        <v>289</v>
      </c>
      <c r="B292">
        <f t="shared" si="166"/>
        <v>6</v>
      </c>
      <c r="C292">
        <f t="shared" si="144"/>
        <v>300</v>
      </c>
      <c r="D292">
        <f t="shared" si="159"/>
        <v>0</v>
      </c>
      <c r="E292">
        <f t="shared" si="178"/>
        <v>5</v>
      </c>
      <c r="F292">
        <f t="shared" si="145"/>
        <v>360</v>
      </c>
      <c r="G292">
        <f t="shared" si="160"/>
        <v>20</v>
      </c>
      <c r="H292">
        <f t="shared" si="167"/>
        <v>4</v>
      </c>
      <c r="I292">
        <f t="shared" si="146"/>
        <v>360</v>
      </c>
      <c r="J292">
        <f t="shared" si="161"/>
        <v>0</v>
      </c>
      <c r="K292">
        <f t="shared" si="168"/>
        <v>3</v>
      </c>
      <c r="L292">
        <f t="shared" si="147"/>
        <v>360</v>
      </c>
      <c r="M292">
        <f t="shared" si="162"/>
        <v>0</v>
      </c>
      <c r="N292">
        <f t="shared" si="169"/>
        <v>2</v>
      </c>
      <c r="O292">
        <f t="shared" si="148"/>
        <v>300</v>
      </c>
      <c r="P292">
        <f t="shared" si="170"/>
        <v>0</v>
      </c>
      <c r="Q292">
        <f t="shared" si="171"/>
        <v>2</v>
      </c>
      <c r="R292">
        <f t="shared" si="149"/>
        <v>300</v>
      </c>
      <c r="S292">
        <f t="shared" si="172"/>
        <v>0</v>
      </c>
      <c r="T292">
        <f t="shared" si="173"/>
        <v>-1</v>
      </c>
      <c r="U292">
        <f t="shared" si="163"/>
        <v>0</v>
      </c>
      <c r="V292">
        <f t="shared" si="164"/>
        <v>1</v>
      </c>
      <c r="W292">
        <f t="shared" si="150"/>
        <v>0</v>
      </c>
      <c r="X292">
        <f t="shared" si="174"/>
        <v>0</v>
      </c>
      <c r="Y292">
        <f t="shared" si="151"/>
        <v>0</v>
      </c>
      <c r="Z292">
        <f t="shared" si="152"/>
        <v>0</v>
      </c>
      <c r="AA292">
        <f t="shared" si="153"/>
        <v>0</v>
      </c>
      <c r="AB292" s="29">
        <f t="shared" si="154"/>
        <v>0.74178816089935007</v>
      </c>
      <c r="AC292" s="25">
        <f t="shared" si="155"/>
        <v>127.49804426656831</v>
      </c>
      <c r="AD292" s="29">
        <f t="shared" si="156"/>
        <v>1.0808524183153847</v>
      </c>
      <c r="AE292" s="25">
        <f t="shared" si="165"/>
        <v>13.243681724743192</v>
      </c>
      <c r="AF292" s="25">
        <f t="shared" si="157"/>
        <v>13.243681724743192</v>
      </c>
      <c r="AG292" s="25">
        <f>IF($A292&lt;0,0,IF(instatk="bs",(1.5+talSCallInstBon)*(MHavg+(ap+Z292-$Z$1)/APtoDPS*MHnorm+170)*(1+sa*0.1+0.04*opp+0.02*agg+Slayer4value-1),IF(instatk="hemo",Slayer4value*(MHavg+(ap+Z292-$Z$1)/APtoDPS*MHnorm)*(1.1+talSCallInstBon)+420*(1+raidcrit)*debuffon,IF(instatk="ss",(MHavg+(ap+Z292-$Z$1)/APtoDPS*MHnorm+98)*(1+sa*0.1+0.02*agg+Slayer4value-1),IF(instatk="v",(ohavg+(ap+Z292-$Z$1)/APtoDPS*OHnorm)*(1+sa*0.1)*(0.5+0.05*dws)+avipdam,Slayer4value*((1+0.04*opp)*(MHavg+101+(ap+Z292-$Z$1)/APtoDPS*MHnorm+(0.5+0.05*dws)*(ohavg+(ap+Z292-$Z$1)/APtoDPS*OHnorm)+101*(1+0.1*dws))*(1+0.5*IF(Talents!$O$18="Yes",1,0)))))))*(instactualhit+(1+((leth*0.06+2)-1)*(cfact-1))*instactualcrit)*fwfactor*AB292*instsec*(AF292/$AN$45))</f>
        <v>290.78918279358999</v>
      </c>
      <c r="AH292" s="25">
        <f t="shared" si="175"/>
        <v>0</v>
      </c>
      <c r="AI292" s="25">
        <f t="shared" si="176"/>
        <v>0</v>
      </c>
      <c r="AJ292" s="25">
        <f t="shared" si="177"/>
        <v>0</v>
      </c>
    </row>
    <row r="293" spans="1:36">
      <c r="A293">
        <f t="shared" si="158"/>
        <v>290</v>
      </c>
      <c r="B293">
        <f t="shared" si="166"/>
        <v>6</v>
      </c>
      <c r="C293">
        <f t="shared" si="144"/>
        <v>300</v>
      </c>
      <c r="D293">
        <f t="shared" si="159"/>
        <v>0</v>
      </c>
      <c r="E293">
        <f t="shared" si="178"/>
        <v>5</v>
      </c>
      <c r="F293">
        <f t="shared" si="145"/>
        <v>360</v>
      </c>
      <c r="G293">
        <f t="shared" si="160"/>
        <v>21</v>
      </c>
      <c r="H293">
        <f t="shared" si="167"/>
        <v>4</v>
      </c>
      <c r="I293">
        <f t="shared" si="146"/>
        <v>360</v>
      </c>
      <c r="J293">
        <f t="shared" si="161"/>
        <v>0</v>
      </c>
      <c r="K293">
        <f t="shared" si="168"/>
        <v>3</v>
      </c>
      <c r="L293">
        <f t="shared" si="147"/>
        <v>360</v>
      </c>
      <c r="M293">
        <f t="shared" si="162"/>
        <v>0</v>
      </c>
      <c r="N293">
        <f t="shared" si="169"/>
        <v>2</v>
      </c>
      <c r="O293">
        <f t="shared" si="148"/>
        <v>300</v>
      </c>
      <c r="P293">
        <f t="shared" si="170"/>
        <v>0</v>
      </c>
      <c r="Q293">
        <f t="shared" si="171"/>
        <v>2</v>
      </c>
      <c r="R293">
        <f t="shared" si="149"/>
        <v>300</v>
      </c>
      <c r="S293">
        <f t="shared" si="172"/>
        <v>0</v>
      </c>
      <c r="T293">
        <f t="shared" si="173"/>
        <v>-1</v>
      </c>
      <c r="U293">
        <f t="shared" si="163"/>
        <v>0</v>
      </c>
      <c r="V293">
        <f t="shared" si="164"/>
        <v>1</v>
      </c>
      <c r="W293">
        <f t="shared" si="150"/>
        <v>0</v>
      </c>
      <c r="X293">
        <f t="shared" si="174"/>
        <v>0</v>
      </c>
      <c r="Y293">
        <f t="shared" si="151"/>
        <v>0</v>
      </c>
      <c r="Z293">
        <f t="shared" si="152"/>
        <v>0</v>
      </c>
      <c r="AA293">
        <f t="shared" si="153"/>
        <v>0</v>
      </c>
      <c r="AB293" s="29">
        <f t="shared" si="154"/>
        <v>0.74178816089935007</v>
      </c>
      <c r="AC293" s="25">
        <f t="shared" si="155"/>
        <v>127.49804426656831</v>
      </c>
      <c r="AD293" s="29">
        <f t="shared" si="156"/>
        <v>1.0808524183153847</v>
      </c>
      <c r="AE293" s="25">
        <f t="shared" si="165"/>
        <v>13.243681724743192</v>
      </c>
      <c r="AF293" s="25">
        <f t="shared" si="157"/>
        <v>13.243681724743192</v>
      </c>
      <c r="AG293" s="25">
        <f>IF($A293&lt;0,0,IF(instatk="bs",(1.5+talSCallInstBon)*(MHavg+(ap+Z293-$Z$1)/APtoDPS*MHnorm+170)*(1+sa*0.1+0.04*opp+0.02*agg+Slayer4value-1),IF(instatk="hemo",Slayer4value*(MHavg+(ap+Z293-$Z$1)/APtoDPS*MHnorm)*(1.1+talSCallInstBon)+420*(1+raidcrit)*debuffon,IF(instatk="ss",(MHavg+(ap+Z293-$Z$1)/APtoDPS*MHnorm+98)*(1+sa*0.1+0.02*agg+Slayer4value-1),IF(instatk="v",(ohavg+(ap+Z293-$Z$1)/APtoDPS*OHnorm)*(1+sa*0.1)*(0.5+0.05*dws)+avipdam,Slayer4value*((1+0.04*opp)*(MHavg+101+(ap+Z293-$Z$1)/APtoDPS*MHnorm+(0.5+0.05*dws)*(ohavg+(ap+Z293-$Z$1)/APtoDPS*OHnorm)+101*(1+0.1*dws))*(1+0.5*IF(Talents!$O$18="Yes",1,0)))))))*(instactualhit+(1+((leth*0.06+2)-1)*(cfact-1))*instactualcrit)*fwfactor*AB293*instsec*(AF293/$AN$45))</f>
        <v>290.78918279358999</v>
      </c>
      <c r="AH293" s="25">
        <f t="shared" si="175"/>
        <v>0</v>
      </c>
      <c r="AI293" s="25">
        <f t="shared" si="176"/>
        <v>0</v>
      </c>
      <c r="AJ293" s="25">
        <f t="shared" si="177"/>
        <v>0</v>
      </c>
    </row>
    <row r="294" spans="1:36">
      <c r="A294">
        <f t="shared" si="158"/>
        <v>291</v>
      </c>
      <c r="B294">
        <f t="shared" si="166"/>
        <v>6</v>
      </c>
      <c r="C294">
        <f t="shared" si="144"/>
        <v>300</v>
      </c>
      <c r="D294">
        <f t="shared" si="159"/>
        <v>0</v>
      </c>
      <c r="E294">
        <f t="shared" si="178"/>
        <v>5</v>
      </c>
      <c r="F294">
        <f t="shared" si="145"/>
        <v>360</v>
      </c>
      <c r="G294">
        <f t="shared" si="160"/>
        <v>22</v>
      </c>
      <c r="H294">
        <f t="shared" si="167"/>
        <v>4</v>
      </c>
      <c r="I294">
        <f t="shared" si="146"/>
        <v>360</v>
      </c>
      <c r="J294">
        <f t="shared" si="161"/>
        <v>0</v>
      </c>
      <c r="K294">
        <f t="shared" si="168"/>
        <v>3</v>
      </c>
      <c r="L294">
        <f t="shared" si="147"/>
        <v>360</v>
      </c>
      <c r="M294">
        <f t="shared" si="162"/>
        <v>0</v>
      </c>
      <c r="N294">
        <f t="shared" si="169"/>
        <v>2</v>
      </c>
      <c r="O294">
        <f t="shared" si="148"/>
        <v>300</v>
      </c>
      <c r="P294">
        <f t="shared" si="170"/>
        <v>0</v>
      </c>
      <c r="Q294">
        <f t="shared" si="171"/>
        <v>2</v>
      </c>
      <c r="R294">
        <f t="shared" si="149"/>
        <v>300</v>
      </c>
      <c r="S294">
        <f t="shared" si="172"/>
        <v>0</v>
      </c>
      <c r="T294">
        <f t="shared" si="173"/>
        <v>-1</v>
      </c>
      <c r="U294">
        <f t="shared" si="163"/>
        <v>0</v>
      </c>
      <c r="V294">
        <f t="shared" si="164"/>
        <v>1</v>
      </c>
      <c r="W294">
        <f t="shared" si="150"/>
        <v>0</v>
      </c>
      <c r="X294">
        <f t="shared" si="174"/>
        <v>0</v>
      </c>
      <c r="Y294">
        <f t="shared" si="151"/>
        <v>0</v>
      </c>
      <c r="Z294">
        <f t="shared" si="152"/>
        <v>0</v>
      </c>
      <c r="AA294">
        <f t="shared" si="153"/>
        <v>0</v>
      </c>
      <c r="AB294" s="29">
        <f t="shared" si="154"/>
        <v>0.74178816089935007</v>
      </c>
      <c r="AC294" s="25">
        <f t="shared" si="155"/>
        <v>127.49804426656831</v>
      </c>
      <c r="AD294" s="29">
        <f t="shared" si="156"/>
        <v>1.0808524183153847</v>
      </c>
      <c r="AE294" s="25">
        <f t="shared" si="165"/>
        <v>13.243681724743192</v>
      </c>
      <c r="AF294" s="25">
        <f t="shared" si="157"/>
        <v>13.243681724743192</v>
      </c>
      <c r="AG294" s="25">
        <f>IF($A294&lt;0,0,IF(instatk="bs",(1.5+talSCallInstBon)*(MHavg+(ap+Z294-$Z$1)/APtoDPS*MHnorm+170)*(1+sa*0.1+0.04*opp+0.02*agg+Slayer4value-1),IF(instatk="hemo",Slayer4value*(MHavg+(ap+Z294-$Z$1)/APtoDPS*MHnorm)*(1.1+talSCallInstBon)+420*(1+raidcrit)*debuffon,IF(instatk="ss",(MHavg+(ap+Z294-$Z$1)/APtoDPS*MHnorm+98)*(1+sa*0.1+0.02*agg+Slayer4value-1),IF(instatk="v",(ohavg+(ap+Z294-$Z$1)/APtoDPS*OHnorm)*(1+sa*0.1)*(0.5+0.05*dws)+avipdam,Slayer4value*((1+0.04*opp)*(MHavg+101+(ap+Z294-$Z$1)/APtoDPS*MHnorm+(0.5+0.05*dws)*(ohavg+(ap+Z294-$Z$1)/APtoDPS*OHnorm)+101*(1+0.1*dws))*(1+0.5*IF(Talents!$O$18="Yes",1,0)))))))*(instactualhit+(1+((leth*0.06+2)-1)*(cfact-1))*instactualcrit)*fwfactor*AB294*instsec*(AF294/$AN$45))</f>
        <v>290.78918279358999</v>
      </c>
      <c r="AH294" s="25">
        <f t="shared" si="175"/>
        <v>0</v>
      </c>
      <c r="AI294" s="25">
        <f t="shared" si="176"/>
        <v>0</v>
      </c>
      <c r="AJ294" s="25">
        <f t="shared" si="177"/>
        <v>0</v>
      </c>
    </row>
    <row r="295" spans="1:36">
      <c r="A295">
        <f t="shared" si="158"/>
        <v>292</v>
      </c>
      <c r="B295">
        <f t="shared" si="166"/>
        <v>6</v>
      </c>
      <c r="C295">
        <f t="shared" si="144"/>
        <v>300</v>
      </c>
      <c r="D295">
        <f t="shared" si="159"/>
        <v>0</v>
      </c>
      <c r="E295">
        <f t="shared" si="178"/>
        <v>5</v>
      </c>
      <c r="F295">
        <f t="shared" si="145"/>
        <v>360</v>
      </c>
      <c r="G295">
        <f t="shared" si="160"/>
        <v>23</v>
      </c>
      <c r="H295">
        <f t="shared" si="167"/>
        <v>4</v>
      </c>
      <c r="I295">
        <f t="shared" si="146"/>
        <v>360</v>
      </c>
      <c r="J295">
        <f t="shared" si="161"/>
        <v>0</v>
      </c>
      <c r="K295">
        <f t="shared" si="168"/>
        <v>3</v>
      </c>
      <c r="L295">
        <f t="shared" si="147"/>
        <v>360</v>
      </c>
      <c r="M295">
        <f t="shared" si="162"/>
        <v>0</v>
      </c>
      <c r="N295">
        <f t="shared" si="169"/>
        <v>2</v>
      </c>
      <c r="O295">
        <f t="shared" si="148"/>
        <v>300</v>
      </c>
      <c r="P295">
        <f t="shared" si="170"/>
        <v>0</v>
      </c>
      <c r="Q295">
        <f t="shared" si="171"/>
        <v>2</v>
      </c>
      <c r="R295">
        <f t="shared" si="149"/>
        <v>300</v>
      </c>
      <c r="S295">
        <f t="shared" si="172"/>
        <v>0</v>
      </c>
      <c r="T295">
        <f t="shared" si="173"/>
        <v>-1</v>
      </c>
      <c r="U295">
        <f t="shared" si="163"/>
        <v>0</v>
      </c>
      <c r="V295">
        <f t="shared" si="164"/>
        <v>1</v>
      </c>
      <c r="W295">
        <f t="shared" si="150"/>
        <v>0</v>
      </c>
      <c r="X295">
        <f t="shared" si="174"/>
        <v>0</v>
      </c>
      <c r="Y295">
        <f t="shared" si="151"/>
        <v>0</v>
      </c>
      <c r="Z295">
        <f t="shared" si="152"/>
        <v>0</v>
      </c>
      <c r="AA295">
        <f t="shared" si="153"/>
        <v>0</v>
      </c>
      <c r="AB295" s="29">
        <f t="shared" si="154"/>
        <v>0.74178816089935007</v>
      </c>
      <c r="AC295" s="25">
        <f t="shared" si="155"/>
        <v>127.49804426656831</v>
      </c>
      <c r="AD295" s="29">
        <f t="shared" si="156"/>
        <v>1.0808524183153847</v>
      </c>
      <c r="AE295" s="25">
        <f t="shared" si="165"/>
        <v>13.243681724743192</v>
      </c>
      <c r="AF295" s="25">
        <f t="shared" si="157"/>
        <v>13.243681724743192</v>
      </c>
      <c r="AG295" s="25">
        <f>IF($A295&lt;0,0,IF(instatk="bs",(1.5+talSCallInstBon)*(MHavg+(ap+Z295-$Z$1)/APtoDPS*MHnorm+170)*(1+sa*0.1+0.04*opp+0.02*agg+Slayer4value-1),IF(instatk="hemo",Slayer4value*(MHavg+(ap+Z295-$Z$1)/APtoDPS*MHnorm)*(1.1+talSCallInstBon)+420*(1+raidcrit)*debuffon,IF(instatk="ss",(MHavg+(ap+Z295-$Z$1)/APtoDPS*MHnorm+98)*(1+sa*0.1+0.02*agg+Slayer4value-1),IF(instatk="v",(ohavg+(ap+Z295-$Z$1)/APtoDPS*OHnorm)*(1+sa*0.1)*(0.5+0.05*dws)+avipdam,Slayer4value*((1+0.04*opp)*(MHavg+101+(ap+Z295-$Z$1)/APtoDPS*MHnorm+(0.5+0.05*dws)*(ohavg+(ap+Z295-$Z$1)/APtoDPS*OHnorm)+101*(1+0.1*dws))*(1+0.5*IF(Talents!$O$18="Yes",1,0)))))))*(instactualhit+(1+((leth*0.06+2)-1)*(cfact-1))*instactualcrit)*fwfactor*AB295*instsec*(AF295/$AN$45))</f>
        <v>290.78918279358999</v>
      </c>
      <c r="AH295" s="25">
        <f t="shared" si="175"/>
        <v>0</v>
      </c>
      <c r="AI295" s="25">
        <f t="shared" si="176"/>
        <v>0</v>
      </c>
      <c r="AJ295" s="25">
        <f t="shared" si="177"/>
        <v>0</v>
      </c>
    </row>
    <row r="296" spans="1:36">
      <c r="A296">
        <f t="shared" si="158"/>
        <v>293</v>
      </c>
      <c r="B296">
        <f t="shared" si="166"/>
        <v>6</v>
      </c>
      <c r="C296">
        <f t="shared" si="144"/>
        <v>300</v>
      </c>
      <c r="D296">
        <f t="shared" si="159"/>
        <v>0</v>
      </c>
      <c r="E296">
        <f t="shared" si="178"/>
        <v>5</v>
      </c>
      <c r="F296">
        <f t="shared" si="145"/>
        <v>360</v>
      </c>
      <c r="G296">
        <f t="shared" si="160"/>
        <v>24</v>
      </c>
      <c r="H296">
        <f t="shared" si="167"/>
        <v>4</v>
      </c>
      <c r="I296">
        <f t="shared" si="146"/>
        <v>360</v>
      </c>
      <c r="J296">
        <f t="shared" si="161"/>
        <v>0</v>
      </c>
      <c r="K296">
        <f t="shared" si="168"/>
        <v>3</v>
      </c>
      <c r="L296">
        <f t="shared" si="147"/>
        <v>360</v>
      </c>
      <c r="M296">
        <f t="shared" si="162"/>
        <v>0</v>
      </c>
      <c r="N296">
        <f t="shared" si="169"/>
        <v>2</v>
      </c>
      <c r="O296">
        <f t="shared" si="148"/>
        <v>300</v>
      </c>
      <c r="P296">
        <f t="shared" si="170"/>
        <v>0</v>
      </c>
      <c r="Q296">
        <f t="shared" si="171"/>
        <v>2</v>
      </c>
      <c r="R296">
        <f t="shared" si="149"/>
        <v>300</v>
      </c>
      <c r="S296">
        <f t="shared" si="172"/>
        <v>0</v>
      </c>
      <c r="T296">
        <f t="shared" si="173"/>
        <v>-1</v>
      </c>
      <c r="U296">
        <f t="shared" si="163"/>
        <v>0</v>
      </c>
      <c r="V296">
        <f t="shared" si="164"/>
        <v>1</v>
      </c>
      <c r="W296">
        <f t="shared" si="150"/>
        <v>0</v>
      </c>
      <c r="X296">
        <f t="shared" si="174"/>
        <v>0</v>
      </c>
      <c r="Y296">
        <f t="shared" si="151"/>
        <v>0</v>
      </c>
      <c r="Z296">
        <f t="shared" si="152"/>
        <v>0</v>
      </c>
      <c r="AA296">
        <f t="shared" si="153"/>
        <v>0</v>
      </c>
      <c r="AB296" s="29">
        <f t="shared" si="154"/>
        <v>0.74178816089935007</v>
      </c>
      <c r="AC296" s="25">
        <f t="shared" si="155"/>
        <v>127.49804426656831</v>
      </c>
      <c r="AD296" s="29">
        <f t="shared" si="156"/>
        <v>1.0808524183153847</v>
      </c>
      <c r="AE296" s="25">
        <f t="shared" si="165"/>
        <v>13.243681724743192</v>
      </c>
      <c r="AF296" s="25">
        <f t="shared" si="157"/>
        <v>13.243681724743192</v>
      </c>
      <c r="AG296" s="25">
        <f>IF($A296&lt;0,0,IF(instatk="bs",(1.5+talSCallInstBon)*(MHavg+(ap+Z296-$Z$1)/APtoDPS*MHnorm+170)*(1+sa*0.1+0.04*opp+0.02*agg+Slayer4value-1),IF(instatk="hemo",Slayer4value*(MHavg+(ap+Z296-$Z$1)/APtoDPS*MHnorm)*(1.1+talSCallInstBon)+420*(1+raidcrit)*debuffon,IF(instatk="ss",(MHavg+(ap+Z296-$Z$1)/APtoDPS*MHnorm+98)*(1+sa*0.1+0.02*agg+Slayer4value-1),IF(instatk="v",(ohavg+(ap+Z296-$Z$1)/APtoDPS*OHnorm)*(1+sa*0.1)*(0.5+0.05*dws)+avipdam,Slayer4value*((1+0.04*opp)*(MHavg+101+(ap+Z296-$Z$1)/APtoDPS*MHnorm+(0.5+0.05*dws)*(ohavg+(ap+Z296-$Z$1)/APtoDPS*OHnorm)+101*(1+0.1*dws))*(1+0.5*IF(Talents!$O$18="Yes",1,0)))))))*(instactualhit+(1+((leth*0.06+2)-1)*(cfact-1))*instactualcrit)*fwfactor*AB296*instsec*(AF296/$AN$45))</f>
        <v>290.78918279358999</v>
      </c>
      <c r="AH296" s="25">
        <f t="shared" si="175"/>
        <v>0</v>
      </c>
      <c r="AI296" s="25">
        <f t="shared" si="176"/>
        <v>0</v>
      </c>
      <c r="AJ296" s="25">
        <f t="shared" si="177"/>
        <v>0</v>
      </c>
    </row>
    <row r="297" spans="1:36">
      <c r="A297">
        <f t="shared" si="158"/>
        <v>294</v>
      </c>
      <c r="B297">
        <f t="shared" si="166"/>
        <v>6</v>
      </c>
      <c r="C297">
        <f t="shared" si="144"/>
        <v>300</v>
      </c>
      <c r="D297">
        <f t="shared" si="159"/>
        <v>0</v>
      </c>
      <c r="E297">
        <f t="shared" si="178"/>
        <v>5</v>
      </c>
      <c r="F297">
        <f t="shared" si="145"/>
        <v>360</v>
      </c>
      <c r="G297">
        <f t="shared" si="160"/>
        <v>25</v>
      </c>
      <c r="H297">
        <f t="shared" si="167"/>
        <v>4</v>
      </c>
      <c r="I297">
        <f t="shared" si="146"/>
        <v>360</v>
      </c>
      <c r="J297">
        <f t="shared" si="161"/>
        <v>0</v>
      </c>
      <c r="K297">
        <f t="shared" si="168"/>
        <v>3</v>
      </c>
      <c r="L297">
        <f t="shared" si="147"/>
        <v>360</v>
      </c>
      <c r="M297">
        <f t="shared" si="162"/>
        <v>0</v>
      </c>
      <c r="N297">
        <f t="shared" si="169"/>
        <v>2</v>
      </c>
      <c r="O297">
        <f t="shared" si="148"/>
        <v>300</v>
      </c>
      <c r="P297">
        <f t="shared" si="170"/>
        <v>0</v>
      </c>
      <c r="Q297">
        <f t="shared" si="171"/>
        <v>2</v>
      </c>
      <c r="R297">
        <f t="shared" si="149"/>
        <v>300</v>
      </c>
      <c r="S297">
        <f t="shared" si="172"/>
        <v>0</v>
      </c>
      <c r="T297">
        <f t="shared" si="173"/>
        <v>-1</v>
      </c>
      <c r="U297">
        <f t="shared" si="163"/>
        <v>0</v>
      </c>
      <c r="V297">
        <f t="shared" si="164"/>
        <v>1</v>
      </c>
      <c r="W297">
        <f t="shared" si="150"/>
        <v>0</v>
      </c>
      <c r="X297">
        <f t="shared" si="174"/>
        <v>0</v>
      </c>
      <c r="Y297">
        <f t="shared" si="151"/>
        <v>0</v>
      </c>
      <c r="Z297">
        <f t="shared" si="152"/>
        <v>0</v>
      </c>
      <c r="AA297">
        <f t="shared" si="153"/>
        <v>0</v>
      </c>
      <c r="AB297" s="29">
        <f t="shared" si="154"/>
        <v>0.74178816089935007</v>
      </c>
      <c r="AC297" s="25">
        <f t="shared" si="155"/>
        <v>127.49804426656831</v>
      </c>
      <c r="AD297" s="29">
        <f t="shared" si="156"/>
        <v>1.0808524183153847</v>
      </c>
      <c r="AE297" s="25">
        <f t="shared" si="165"/>
        <v>13.243681724743192</v>
      </c>
      <c r="AF297" s="25">
        <f t="shared" si="157"/>
        <v>13.243681724743192</v>
      </c>
      <c r="AG297" s="25">
        <f>IF($A297&lt;0,0,IF(instatk="bs",(1.5+talSCallInstBon)*(MHavg+(ap+Z297-$Z$1)/APtoDPS*MHnorm+170)*(1+sa*0.1+0.04*opp+0.02*agg+Slayer4value-1),IF(instatk="hemo",Slayer4value*(MHavg+(ap+Z297-$Z$1)/APtoDPS*MHnorm)*(1.1+talSCallInstBon)+420*(1+raidcrit)*debuffon,IF(instatk="ss",(MHavg+(ap+Z297-$Z$1)/APtoDPS*MHnorm+98)*(1+sa*0.1+0.02*agg+Slayer4value-1),IF(instatk="v",(ohavg+(ap+Z297-$Z$1)/APtoDPS*OHnorm)*(1+sa*0.1)*(0.5+0.05*dws)+avipdam,Slayer4value*((1+0.04*opp)*(MHavg+101+(ap+Z297-$Z$1)/APtoDPS*MHnorm+(0.5+0.05*dws)*(ohavg+(ap+Z297-$Z$1)/APtoDPS*OHnorm)+101*(1+0.1*dws))*(1+0.5*IF(Talents!$O$18="Yes",1,0)))))))*(instactualhit+(1+((leth*0.06+2)-1)*(cfact-1))*instactualcrit)*fwfactor*AB297*instsec*(AF297/$AN$45))</f>
        <v>290.78918279358999</v>
      </c>
      <c r="AH297" s="25">
        <f t="shared" si="175"/>
        <v>0</v>
      </c>
      <c r="AI297" s="25">
        <f t="shared" si="176"/>
        <v>0</v>
      </c>
      <c r="AJ297" s="25">
        <f t="shared" si="177"/>
        <v>0</v>
      </c>
    </row>
    <row r="298" spans="1:36">
      <c r="A298">
        <f t="shared" si="158"/>
        <v>295</v>
      </c>
      <c r="B298">
        <f t="shared" si="166"/>
        <v>6</v>
      </c>
      <c r="C298">
        <f t="shared" si="144"/>
        <v>300</v>
      </c>
      <c r="D298">
        <f t="shared" si="159"/>
        <v>0</v>
      </c>
      <c r="E298">
        <f t="shared" si="178"/>
        <v>5</v>
      </c>
      <c r="F298">
        <f t="shared" si="145"/>
        <v>360</v>
      </c>
      <c r="G298">
        <f t="shared" si="160"/>
        <v>26</v>
      </c>
      <c r="H298">
        <f t="shared" si="167"/>
        <v>4</v>
      </c>
      <c r="I298">
        <f t="shared" si="146"/>
        <v>360</v>
      </c>
      <c r="J298">
        <f t="shared" si="161"/>
        <v>0</v>
      </c>
      <c r="K298">
        <f t="shared" si="168"/>
        <v>3</v>
      </c>
      <c r="L298">
        <f t="shared" si="147"/>
        <v>360</v>
      </c>
      <c r="M298">
        <f t="shared" si="162"/>
        <v>0</v>
      </c>
      <c r="N298">
        <f t="shared" si="169"/>
        <v>2</v>
      </c>
      <c r="O298">
        <f t="shared" si="148"/>
        <v>300</v>
      </c>
      <c r="P298">
        <f t="shared" si="170"/>
        <v>0</v>
      </c>
      <c r="Q298">
        <f t="shared" si="171"/>
        <v>2</v>
      </c>
      <c r="R298">
        <f t="shared" si="149"/>
        <v>300</v>
      </c>
      <c r="S298">
        <f t="shared" si="172"/>
        <v>0</v>
      </c>
      <c r="T298">
        <f t="shared" si="173"/>
        <v>-1</v>
      </c>
      <c r="U298">
        <f t="shared" si="163"/>
        <v>0</v>
      </c>
      <c r="V298">
        <f t="shared" si="164"/>
        <v>1</v>
      </c>
      <c r="W298">
        <f t="shared" si="150"/>
        <v>0</v>
      </c>
      <c r="X298">
        <f t="shared" si="174"/>
        <v>0</v>
      </c>
      <c r="Y298">
        <f t="shared" si="151"/>
        <v>0</v>
      </c>
      <c r="Z298">
        <f t="shared" si="152"/>
        <v>0</v>
      </c>
      <c r="AA298">
        <f t="shared" si="153"/>
        <v>0</v>
      </c>
      <c r="AB298" s="29">
        <f t="shared" si="154"/>
        <v>0.74178816089935007</v>
      </c>
      <c r="AC298" s="25">
        <f t="shared" si="155"/>
        <v>127.49804426656831</v>
      </c>
      <c r="AD298" s="29">
        <f t="shared" si="156"/>
        <v>1.0808524183153847</v>
      </c>
      <c r="AE298" s="25">
        <f t="shared" si="165"/>
        <v>13.243681724743192</v>
      </c>
      <c r="AF298" s="25">
        <f t="shared" si="157"/>
        <v>13.243681724743192</v>
      </c>
      <c r="AG298" s="25">
        <f>IF($A298&lt;0,0,IF(instatk="bs",(1.5+talSCallInstBon)*(MHavg+(ap+Z298-$Z$1)/APtoDPS*MHnorm+170)*(1+sa*0.1+0.04*opp+0.02*agg+Slayer4value-1),IF(instatk="hemo",Slayer4value*(MHavg+(ap+Z298-$Z$1)/APtoDPS*MHnorm)*(1.1+talSCallInstBon)+420*(1+raidcrit)*debuffon,IF(instatk="ss",(MHavg+(ap+Z298-$Z$1)/APtoDPS*MHnorm+98)*(1+sa*0.1+0.02*agg+Slayer4value-1),IF(instatk="v",(ohavg+(ap+Z298-$Z$1)/APtoDPS*OHnorm)*(1+sa*0.1)*(0.5+0.05*dws)+avipdam,Slayer4value*((1+0.04*opp)*(MHavg+101+(ap+Z298-$Z$1)/APtoDPS*MHnorm+(0.5+0.05*dws)*(ohavg+(ap+Z298-$Z$1)/APtoDPS*OHnorm)+101*(1+0.1*dws))*(1+0.5*IF(Talents!$O$18="Yes",1,0)))))))*(instactualhit+(1+((leth*0.06+2)-1)*(cfact-1))*instactualcrit)*fwfactor*AB298*instsec*(AF298/$AN$45))</f>
        <v>290.78918279358999</v>
      </c>
      <c r="AH298" s="25">
        <f t="shared" si="175"/>
        <v>0</v>
      </c>
      <c r="AI298" s="25">
        <f t="shared" si="176"/>
        <v>0</v>
      </c>
      <c r="AJ298" s="25">
        <f t="shared" si="177"/>
        <v>0</v>
      </c>
    </row>
    <row r="299" spans="1:36">
      <c r="A299">
        <f t="shared" si="158"/>
        <v>296</v>
      </c>
      <c r="B299">
        <f t="shared" si="166"/>
        <v>6</v>
      </c>
      <c r="C299">
        <f t="shared" si="144"/>
        <v>300</v>
      </c>
      <c r="D299">
        <f t="shared" si="159"/>
        <v>0</v>
      </c>
      <c r="E299">
        <f t="shared" si="178"/>
        <v>5</v>
      </c>
      <c r="F299">
        <f t="shared" si="145"/>
        <v>360</v>
      </c>
      <c r="G299">
        <f t="shared" si="160"/>
        <v>27</v>
      </c>
      <c r="H299">
        <f t="shared" si="167"/>
        <v>4</v>
      </c>
      <c r="I299">
        <f t="shared" si="146"/>
        <v>360</v>
      </c>
      <c r="J299">
        <f t="shared" si="161"/>
        <v>0</v>
      </c>
      <c r="K299">
        <f t="shared" si="168"/>
        <v>3</v>
      </c>
      <c r="L299">
        <f t="shared" si="147"/>
        <v>360</v>
      </c>
      <c r="M299">
        <f t="shared" si="162"/>
        <v>0</v>
      </c>
      <c r="N299">
        <f t="shared" si="169"/>
        <v>2</v>
      </c>
      <c r="O299">
        <f t="shared" si="148"/>
        <v>300</v>
      </c>
      <c r="P299">
        <f t="shared" si="170"/>
        <v>0</v>
      </c>
      <c r="Q299">
        <f t="shared" si="171"/>
        <v>2</v>
      </c>
      <c r="R299">
        <f t="shared" si="149"/>
        <v>300</v>
      </c>
      <c r="S299">
        <f t="shared" si="172"/>
        <v>0</v>
      </c>
      <c r="T299">
        <f t="shared" si="173"/>
        <v>-1</v>
      </c>
      <c r="U299">
        <f t="shared" si="163"/>
        <v>0</v>
      </c>
      <c r="V299">
        <f t="shared" si="164"/>
        <v>1</v>
      </c>
      <c r="W299">
        <f t="shared" si="150"/>
        <v>0</v>
      </c>
      <c r="X299">
        <f t="shared" si="174"/>
        <v>0</v>
      </c>
      <c r="Y299">
        <f t="shared" si="151"/>
        <v>0</v>
      </c>
      <c r="Z299">
        <f t="shared" si="152"/>
        <v>0</v>
      </c>
      <c r="AA299">
        <f t="shared" si="153"/>
        <v>0</v>
      </c>
      <c r="AB299" s="29">
        <f t="shared" si="154"/>
        <v>0.74178816089935007</v>
      </c>
      <c r="AC299" s="25">
        <f t="shared" si="155"/>
        <v>127.49804426656831</v>
      </c>
      <c r="AD299" s="29">
        <f t="shared" si="156"/>
        <v>1.0808524183153847</v>
      </c>
      <c r="AE299" s="25">
        <f t="shared" si="165"/>
        <v>13.243681724743192</v>
      </c>
      <c r="AF299" s="25">
        <f t="shared" si="157"/>
        <v>13.243681724743192</v>
      </c>
      <c r="AG299" s="25">
        <f>IF($A299&lt;0,0,IF(instatk="bs",(1.5+talSCallInstBon)*(MHavg+(ap+Z299-$Z$1)/APtoDPS*MHnorm+170)*(1+sa*0.1+0.04*opp+0.02*agg+Slayer4value-1),IF(instatk="hemo",Slayer4value*(MHavg+(ap+Z299-$Z$1)/APtoDPS*MHnorm)*(1.1+talSCallInstBon)+420*(1+raidcrit)*debuffon,IF(instatk="ss",(MHavg+(ap+Z299-$Z$1)/APtoDPS*MHnorm+98)*(1+sa*0.1+0.02*agg+Slayer4value-1),IF(instatk="v",(ohavg+(ap+Z299-$Z$1)/APtoDPS*OHnorm)*(1+sa*0.1)*(0.5+0.05*dws)+avipdam,Slayer4value*((1+0.04*opp)*(MHavg+101+(ap+Z299-$Z$1)/APtoDPS*MHnorm+(0.5+0.05*dws)*(ohavg+(ap+Z299-$Z$1)/APtoDPS*OHnorm)+101*(1+0.1*dws))*(1+0.5*IF(Talents!$O$18="Yes",1,0)))))))*(instactualhit+(1+((leth*0.06+2)-1)*(cfact-1))*instactualcrit)*fwfactor*AB299*instsec*(AF299/$AN$45))</f>
        <v>290.78918279358999</v>
      </c>
      <c r="AH299" s="25">
        <f t="shared" si="175"/>
        <v>0</v>
      </c>
      <c r="AI299" s="25">
        <f t="shared" si="176"/>
        <v>0</v>
      </c>
      <c r="AJ299" s="25">
        <f t="shared" si="177"/>
        <v>0</v>
      </c>
    </row>
    <row r="300" spans="1:36">
      <c r="A300">
        <f t="shared" si="158"/>
        <v>297</v>
      </c>
      <c r="B300">
        <f t="shared" si="166"/>
        <v>6</v>
      </c>
      <c r="C300">
        <f t="shared" si="144"/>
        <v>300</v>
      </c>
      <c r="D300">
        <f t="shared" si="159"/>
        <v>0</v>
      </c>
      <c r="E300">
        <f t="shared" si="178"/>
        <v>5</v>
      </c>
      <c r="F300">
        <f t="shared" si="145"/>
        <v>360</v>
      </c>
      <c r="G300">
        <f t="shared" si="160"/>
        <v>28</v>
      </c>
      <c r="H300">
        <f t="shared" si="167"/>
        <v>4</v>
      </c>
      <c r="I300">
        <f t="shared" si="146"/>
        <v>360</v>
      </c>
      <c r="J300">
        <f t="shared" si="161"/>
        <v>0</v>
      </c>
      <c r="K300">
        <f t="shared" si="168"/>
        <v>3</v>
      </c>
      <c r="L300">
        <f t="shared" si="147"/>
        <v>360</v>
      </c>
      <c r="M300">
        <f t="shared" si="162"/>
        <v>0</v>
      </c>
      <c r="N300">
        <f t="shared" si="169"/>
        <v>2</v>
      </c>
      <c r="O300">
        <f t="shared" si="148"/>
        <v>300</v>
      </c>
      <c r="P300">
        <f t="shared" si="170"/>
        <v>0</v>
      </c>
      <c r="Q300">
        <f t="shared" si="171"/>
        <v>2</v>
      </c>
      <c r="R300">
        <f t="shared" si="149"/>
        <v>300</v>
      </c>
      <c r="S300">
        <f t="shared" si="172"/>
        <v>0</v>
      </c>
      <c r="T300">
        <f t="shared" si="173"/>
        <v>-1</v>
      </c>
      <c r="U300">
        <f t="shared" si="163"/>
        <v>0</v>
      </c>
      <c r="V300">
        <f t="shared" si="164"/>
        <v>1</v>
      </c>
      <c r="W300">
        <f t="shared" si="150"/>
        <v>0</v>
      </c>
      <c r="X300">
        <f t="shared" si="174"/>
        <v>0</v>
      </c>
      <c r="Y300">
        <f t="shared" si="151"/>
        <v>0</v>
      </c>
      <c r="Z300">
        <f t="shared" si="152"/>
        <v>0</v>
      </c>
      <c r="AA300">
        <f t="shared" si="153"/>
        <v>0</v>
      </c>
      <c r="AB300" s="29">
        <f t="shared" si="154"/>
        <v>0.74178816089935007</v>
      </c>
      <c r="AC300" s="25">
        <f t="shared" si="155"/>
        <v>127.49804426656831</v>
      </c>
      <c r="AD300" s="29">
        <f t="shared" si="156"/>
        <v>1.0808524183153847</v>
      </c>
      <c r="AE300" s="25">
        <f t="shared" si="165"/>
        <v>13.243681724743192</v>
      </c>
      <c r="AF300" s="25">
        <f t="shared" si="157"/>
        <v>13.243681724743192</v>
      </c>
      <c r="AG300" s="25">
        <f>IF($A300&lt;0,0,IF(instatk="bs",(1.5+talSCallInstBon)*(MHavg+(ap+Z300-$Z$1)/APtoDPS*MHnorm+170)*(1+sa*0.1+0.04*opp+0.02*agg+Slayer4value-1),IF(instatk="hemo",Slayer4value*(MHavg+(ap+Z300-$Z$1)/APtoDPS*MHnorm)*(1.1+talSCallInstBon)+420*(1+raidcrit)*debuffon,IF(instatk="ss",(MHavg+(ap+Z300-$Z$1)/APtoDPS*MHnorm+98)*(1+sa*0.1+0.02*agg+Slayer4value-1),IF(instatk="v",(ohavg+(ap+Z300-$Z$1)/APtoDPS*OHnorm)*(1+sa*0.1)*(0.5+0.05*dws)+avipdam,Slayer4value*((1+0.04*opp)*(MHavg+101+(ap+Z300-$Z$1)/APtoDPS*MHnorm+(0.5+0.05*dws)*(ohavg+(ap+Z300-$Z$1)/APtoDPS*OHnorm)+101*(1+0.1*dws))*(1+0.5*IF(Talents!$O$18="Yes",1,0)))))))*(instactualhit+(1+((leth*0.06+2)-1)*(cfact-1))*instactualcrit)*fwfactor*AB300*instsec*(AF300/$AN$45))</f>
        <v>290.78918279358999</v>
      </c>
      <c r="AH300" s="25">
        <f t="shared" si="175"/>
        <v>0</v>
      </c>
      <c r="AI300" s="25">
        <f t="shared" si="176"/>
        <v>0</v>
      </c>
      <c r="AJ300" s="25">
        <f t="shared" si="177"/>
        <v>0</v>
      </c>
    </row>
    <row r="301" spans="1:36">
      <c r="A301">
        <f t="shared" si="158"/>
        <v>298</v>
      </c>
      <c r="B301">
        <f t="shared" si="166"/>
        <v>6</v>
      </c>
      <c r="C301">
        <f t="shared" si="144"/>
        <v>300</v>
      </c>
      <c r="D301">
        <f t="shared" si="159"/>
        <v>0</v>
      </c>
      <c r="E301">
        <f t="shared" si="178"/>
        <v>5</v>
      </c>
      <c r="F301">
        <f t="shared" si="145"/>
        <v>360</v>
      </c>
      <c r="G301">
        <f t="shared" si="160"/>
        <v>29</v>
      </c>
      <c r="H301">
        <f t="shared" si="167"/>
        <v>4</v>
      </c>
      <c r="I301">
        <f t="shared" si="146"/>
        <v>360</v>
      </c>
      <c r="J301">
        <f t="shared" si="161"/>
        <v>0</v>
      </c>
      <c r="K301">
        <f t="shared" si="168"/>
        <v>3</v>
      </c>
      <c r="L301">
        <f t="shared" si="147"/>
        <v>360</v>
      </c>
      <c r="M301">
        <f t="shared" si="162"/>
        <v>0</v>
      </c>
      <c r="N301">
        <f t="shared" si="169"/>
        <v>2</v>
      </c>
      <c r="O301">
        <f t="shared" si="148"/>
        <v>300</v>
      </c>
      <c r="P301">
        <f t="shared" si="170"/>
        <v>0</v>
      </c>
      <c r="Q301">
        <f t="shared" si="171"/>
        <v>2</v>
      </c>
      <c r="R301">
        <f t="shared" si="149"/>
        <v>300</v>
      </c>
      <c r="S301">
        <f t="shared" si="172"/>
        <v>0</v>
      </c>
      <c r="T301">
        <f t="shared" si="173"/>
        <v>-1</v>
      </c>
      <c r="U301">
        <f t="shared" si="163"/>
        <v>0</v>
      </c>
      <c r="V301">
        <f t="shared" si="164"/>
        <v>1</v>
      </c>
      <c r="W301">
        <f t="shared" si="150"/>
        <v>0</v>
      </c>
      <c r="X301">
        <f t="shared" si="174"/>
        <v>0</v>
      </c>
      <c r="Y301">
        <f t="shared" si="151"/>
        <v>0</v>
      </c>
      <c r="Z301">
        <f t="shared" si="152"/>
        <v>0</v>
      </c>
      <c r="AA301">
        <f t="shared" si="153"/>
        <v>0</v>
      </c>
      <c r="AB301" s="29">
        <f t="shared" si="154"/>
        <v>0.74178816089935007</v>
      </c>
      <c r="AC301" s="25">
        <f t="shared" si="155"/>
        <v>127.49804426656831</v>
      </c>
      <c r="AD301" s="29">
        <f t="shared" si="156"/>
        <v>1.0808524183153847</v>
      </c>
      <c r="AE301" s="25">
        <f t="shared" si="165"/>
        <v>13.243681724743192</v>
      </c>
      <c r="AF301" s="25">
        <f t="shared" si="157"/>
        <v>13.243681724743192</v>
      </c>
      <c r="AG301" s="25">
        <f>IF($A301&lt;0,0,IF(instatk="bs",(1.5+talSCallInstBon)*(MHavg+(ap+Z301-$Z$1)/APtoDPS*MHnorm+170)*(1+sa*0.1+0.04*opp+0.02*agg+Slayer4value-1),IF(instatk="hemo",Slayer4value*(MHavg+(ap+Z301-$Z$1)/APtoDPS*MHnorm)*(1.1+talSCallInstBon)+420*(1+raidcrit)*debuffon,IF(instatk="ss",(MHavg+(ap+Z301-$Z$1)/APtoDPS*MHnorm+98)*(1+sa*0.1+0.02*agg+Slayer4value-1),IF(instatk="v",(ohavg+(ap+Z301-$Z$1)/APtoDPS*OHnorm)*(1+sa*0.1)*(0.5+0.05*dws)+avipdam,Slayer4value*((1+0.04*opp)*(MHavg+101+(ap+Z301-$Z$1)/APtoDPS*MHnorm+(0.5+0.05*dws)*(ohavg+(ap+Z301-$Z$1)/APtoDPS*OHnorm)+101*(1+0.1*dws))*(1+0.5*IF(Talents!$O$18="Yes",1,0)))))))*(instactualhit+(1+((leth*0.06+2)-1)*(cfact-1))*instactualcrit)*fwfactor*AB301*instsec*(AF301/$AN$45))</f>
        <v>290.78918279358999</v>
      </c>
      <c r="AH301" s="25">
        <f t="shared" si="175"/>
        <v>0</v>
      </c>
      <c r="AI301" s="25">
        <f t="shared" si="176"/>
        <v>0</v>
      </c>
      <c r="AJ301" s="25">
        <f t="shared" si="177"/>
        <v>0</v>
      </c>
    </row>
    <row r="302" spans="1:36">
      <c r="A302">
        <f t="shared" si="158"/>
        <v>299</v>
      </c>
      <c r="B302">
        <f t="shared" si="166"/>
        <v>6</v>
      </c>
      <c r="C302">
        <f t="shared" si="144"/>
        <v>300</v>
      </c>
      <c r="D302">
        <f t="shared" si="159"/>
        <v>0</v>
      </c>
      <c r="E302">
        <f t="shared" si="178"/>
        <v>5</v>
      </c>
      <c r="F302">
        <f t="shared" si="145"/>
        <v>360</v>
      </c>
      <c r="G302">
        <f t="shared" si="160"/>
        <v>30</v>
      </c>
      <c r="H302">
        <f t="shared" si="167"/>
        <v>4</v>
      </c>
      <c r="I302">
        <f t="shared" si="146"/>
        <v>360</v>
      </c>
      <c r="J302">
        <f t="shared" si="161"/>
        <v>0</v>
      </c>
      <c r="K302">
        <f t="shared" si="168"/>
        <v>3</v>
      </c>
      <c r="L302">
        <f t="shared" si="147"/>
        <v>360</v>
      </c>
      <c r="M302">
        <f t="shared" si="162"/>
        <v>0</v>
      </c>
      <c r="N302">
        <f t="shared" si="169"/>
        <v>2</v>
      </c>
      <c r="O302">
        <f t="shared" si="148"/>
        <v>300</v>
      </c>
      <c r="P302">
        <f t="shared" si="170"/>
        <v>0</v>
      </c>
      <c r="Q302">
        <f t="shared" si="171"/>
        <v>2</v>
      </c>
      <c r="R302">
        <f t="shared" si="149"/>
        <v>300</v>
      </c>
      <c r="S302">
        <f t="shared" si="172"/>
        <v>0</v>
      </c>
      <c r="T302">
        <f t="shared" si="173"/>
        <v>-1</v>
      </c>
      <c r="U302">
        <f t="shared" si="163"/>
        <v>0</v>
      </c>
      <c r="V302">
        <f t="shared" si="164"/>
        <v>1</v>
      </c>
      <c r="W302">
        <f t="shared" si="150"/>
        <v>0</v>
      </c>
      <c r="X302">
        <f t="shared" si="174"/>
        <v>0</v>
      </c>
      <c r="Y302">
        <f t="shared" si="151"/>
        <v>0</v>
      </c>
      <c r="Z302">
        <f t="shared" si="152"/>
        <v>0</v>
      </c>
      <c r="AA302">
        <f t="shared" si="153"/>
        <v>0</v>
      </c>
      <c r="AB302" s="29">
        <f t="shared" si="154"/>
        <v>0.74178816089935007</v>
      </c>
      <c r="AC302" s="25">
        <f t="shared" si="155"/>
        <v>127.49804426656831</v>
      </c>
      <c r="AD302" s="29">
        <f t="shared" si="156"/>
        <v>1.0808524183153847</v>
      </c>
      <c r="AE302" s="25">
        <f t="shared" si="165"/>
        <v>13.243681724743192</v>
      </c>
      <c r="AF302" s="25">
        <f t="shared" si="157"/>
        <v>13.243681724743192</v>
      </c>
      <c r="AG302" s="25">
        <f>IF($A302&lt;0,0,IF(instatk="bs",(1.5+talSCallInstBon)*(MHavg+(ap+Z302-$Z$1)/APtoDPS*MHnorm+170)*(1+sa*0.1+0.04*opp+0.02*agg+Slayer4value-1),IF(instatk="hemo",Slayer4value*(MHavg+(ap+Z302-$Z$1)/APtoDPS*MHnorm)*(1.1+talSCallInstBon)+420*(1+raidcrit)*debuffon,IF(instatk="ss",(MHavg+(ap+Z302-$Z$1)/APtoDPS*MHnorm+98)*(1+sa*0.1+0.02*agg+Slayer4value-1),IF(instatk="v",(ohavg+(ap+Z302-$Z$1)/APtoDPS*OHnorm)*(1+sa*0.1)*(0.5+0.05*dws)+avipdam,Slayer4value*((1+0.04*opp)*(MHavg+101+(ap+Z302-$Z$1)/APtoDPS*MHnorm+(0.5+0.05*dws)*(ohavg+(ap+Z302-$Z$1)/APtoDPS*OHnorm)+101*(1+0.1*dws))*(1+0.5*IF(Talents!$O$18="Yes",1,0)))))))*(instactualhit+(1+((leth*0.06+2)-1)*(cfact-1))*instactualcrit)*fwfactor*AB302*instsec*(AF302/$AN$45))</f>
        <v>290.78918279358999</v>
      </c>
      <c r="AH302" s="25">
        <f t="shared" si="175"/>
        <v>0</v>
      </c>
      <c r="AI302" s="25">
        <f t="shared" si="176"/>
        <v>0</v>
      </c>
      <c r="AJ302" s="25">
        <f t="shared" si="177"/>
        <v>0</v>
      </c>
    </row>
    <row r="303" spans="1:36">
      <c r="A303">
        <f t="shared" si="158"/>
        <v>-1</v>
      </c>
      <c r="B303">
        <f t="shared" si="166"/>
        <v>6</v>
      </c>
      <c r="C303">
        <f t="shared" si="144"/>
        <v>300</v>
      </c>
      <c r="D303">
        <f t="shared" si="159"/>
        <v>0</v>
      </c>
      <c r="E303">
        <f t="shared" si="178"/>
        <v>5</v>
      </c>
      <c r="F303">
        <f t="shared" si="145"/>
        <v>360</v>
      </c>
      <c r="G303">
        <f t="shared" si="160"/>
        <v>0</v>
      </c>
      <c r="H303">
        <f t="shared" si="167"/>
        <v>4</v>
      </c>
      <c r="I303">
        <f t="shared" si="146"/>
        <v>360</v>
      </c>
      <c r="J303">
        <f t="shared" si="161"/>
        <v>0</v>
      </c>
      <c r="K303">
        <f t="shared" si="168"/>
        <v>3</v>
      </c>
      <c r="L303">
        <f t="shared" si="147"/>
        <v>360</v>
      </c>
      <c r="M303">
        <f t="shared" si="162"/>
        <v>0</v>
      </c>
      <c r="N303">
        <f t="shared" si="169"/>
        <v>2</v>
      </c>
      <c r="O303">
        <f t="shared" si="148"/>
        <v>300</v>
      </c>
      <c r="P303">
        <f t="shared" si="170"/>
        <v>0</v>
      </c>
      <c r="Q303">
        <f t="shared" si="171"/>
        <v>2</v>
      </c>
      <c r="R303">
        <f t="shared" si="149"/>
        <v>300</v>
      </c>
      <c r="S303">
        <f t="shared" si="172"/>
        <v>0</v>
      </c>
      <c r="T303">
        <f t="shared" si="173"/>
        <v>-1</v>
      </c>
      <c r="U303">
        <f t="shared" si="163"/>
        <v>1</v>
      </c>
      <c r="V303">
        <f t="shared" si="164"/>
        <v>1</v>
      </c>
      <c r="W303">
        <f t="shared" si="150"/>
        <v>0</v>
      </c>
      <c r="X303">
        <f t="shared" si="174"/>
        <v>0</v>
      </c>
      <c r="Y303">
        <f t="shared" si="151"/>
        <v>0</v>
      </c>
      <c r="Z303">
        <f t="shared" si="152"/>
        <v>0</v>
      </c>
      <c r="AA303">
        <f t="shared" si="153"/>
        <v>0</v>
      </c>
      <c r="AB303" s="29">
        <f t="shared" si="154"/>
        <v>0</v>
      </c>
      <c r="AC303" s="25">
        <f t="shared" si="155"/>
        <v>0</v>
      </c>
      <c r="AD303" s="29">
        <f t="shared" si="156"/>
        <v>0</v>
      </c>
      <c r="AE303" s="25">
        <f t="shared" si="165"/>
        <v>0</v>
      </c>
      <c r="AF303" s="25">
        <f t="shared" si="157"/>
        <v>0</v>
      </c>
      <c r="AG303" s="25">
        <f>IF($A303&lt;0,0,IF(instatk="bs",(1.5+talSCallInstBon)*(MHavg+(ap+Z303-$Z$1)/APtoDPS*MHnorm+170)*(1+sa*0.1+0.04*opp+0.02*agg+Slayer4value-1),IF(instatk="hemo",Slayer4value*(MHavg+(ap+Z303-$Z$1)/APtoDPS*MHnorm)*(1.1+talSCallInstBon)+420*(1+raidcrit)*debuffon,IF(instatk="ss",(MHavg+(ap+Z303-$Z$1)/APtoDPS*MHnorm+98)*(1+sa*0.1+0.02*agg+Slayer4value-1),IF(instatk="v",(ohavg+(ap+Z303-$Z$1)/APtoDPS*OHnorm)*(1+sa*0.1)*(0.5+0.05*dws)+avipdam,Slayer4value*((1+0.04*opp)*(MHavg+101+(ap+Z303-$Z$1)/APtoDPS*MHnorm+(0.5+0.05*dws)*(ohavg+(ap+Z303-$Z$1)/APtoDPS*OHnorm)+101*(1+0.1*dws))*(1+0.5*IF(Talents!$O$18="Yes",1,0)))))))*(instactualhit+(1+((leth*0.06+2)-1)*(cfact-1))*instactualcrit)*fwfactor*AB303*instsec*(AF303/$AN$45))</f>
        <v>0</v>
      </c>
      <c r="AH303" s="25">
        <f t="shared" si="175"/>
        <v>0</v>
      </c>
      <c r="AI303" s="25">
        <f t="shared" si="176"/>
        <v>0</v>
      </c>
      <c r="AJ303" s="25">
        <f t="shared" si="177"/>
        <v>0</v>
      </c>
    </row>
    <row r="304" spans="1:36">
      <c r="A304">
        <f t="shared" si="158"/>
        <v>-1</v>
      </c>
      <c r="B304">
        <f t="shared" si="166"/>
        <v>6</v>
      </c>
      <c r="C304">
        <f t="shared" si="144"/>
        <v>300</v>
      </c>
      <c r="D304">
        <f t="shared" si="159"/>
        <v>0</v>
      </c>
      <c r="E304">
        <f t="shared" si="178"/>
        <v>5</v>
      </c>
      <c r="F304">
        <f t="shared" si="145"/>
        <v>360</v>
      </c>
      <c r="G304">
        <f t="shared" si="160"/>
        <v>0</v>
      </c>
      <c r="H304">
        <f t="shared" si="167"/>
        <v>4</v>
      </c>
      <c r="I304">
        <f t="shared" si="146"/>
        <v>360</v>
      </c>
      <c r="J304">
        <f t="shared" si="161"/>
        <v>0</v>
      </c>
      <c r="K304">
        <f t="shared" si="168"/>
        <v>3</v>
      </c>
      <c r="L304">
        <f t="shared" si="147"/>
        <v>360</v>
      </c>
      <c r="M304">
        <f t="shared" si="162"/>
        <v>0</v>
      </c>
      <c r="N304">
        <f t="shared" si="169"/>
        <v>2</v>
      </c>
      <c r="O304">
        <f t="shared" si="148"/>
        <v>300</v>
      </c>
      <c r="P304">
        <f t="shared" si="170"/>
        <v>0</v>
      </c>
      <c r="Q304">
        <f t="shared" si="171"/>
        <v>2</v>
      </c>
      <c r="R304">
        <f t="shared" si="149"/>
        <v>300</v>
      </c>
      <c r="S304">
        <f t="shared" si="172"/>
        <v>0</v>
      </c>
      <c r="T304">
        <f t="shared" si="173"/>
        <v>-1</v>
      </c>
      <c r="U304">
        <f t="shared" si="163"/>
        <v>1</v>
      </c>
      <c r="V304">
        <f t="shared" si="164"/>
        <v>1</v>
      </c>
      <c r="W304">
        <f t="shared" si="150"/>
        <v>0</v>
      </c>
      <c r="X304">
        <f t="shared" si="174"/>
        <v>0</v>
      </c>
      <c r="Y304">
        <f t="shared" si="151"/>
        <v>0</v>
      </c>
      <c r="Z304">
        <f t="shared" si="152"/>
        <v>0</v>
      </c>
      <c r="AA304">
        <f t="shared" si="153"/>
        <v>0</v>
      </c>
      <c r="AB304" s="29">
        <f t="shared" si="154"/>
        <v>0</v>
      </c>
      <c r="AC304" s="25">
        <f t="shared" si="155"/>
        <v>0</v>
      </c>
      <c r="AD304" s="29">
        <f t="shared" si="156"/>
        <v>0</v>
      </c>
      <c r="AE304" s="25">
        <f t="shared" si="165"/>
        <v>0</v>
      </c>
      <c r="AF304" s="25">
        <f t="shared" si="157"/>
        <v>0</v>
      </c>
      <c r="AG304" s="25">
        <f>IF($A304&lt;0,0,IF(instatk="bs",(1.5+talSCallInstBon)*(MHavg+(ap+Z304-$Z$1)/APtoDPS*MHnorm+170)*(1+sa*0.1+0.04*opp+0.02*agg+Slayer4value-1),IF(instatk="hemo",Slayer4value*(MHavg+(ap+Z304-$Z$1)/APtoDPS*MHnorm)*(1.1+talSCallInstBon)+420*(1+raidcrit)*debuffon,IF(instatk="ss",(MHavg+(ap+Z304-$Z$1)/APtoDPS*MHnorm+98)*(1+sa*0.1+0.02*agg+Slayer4value-1),IF(instatk="v",(ohavg+(ap+Z304-$Z$1)/APtoDPS*OHnorm)*(1+sa*0.1)*(0.5+0.05*dws)+avipdam,Slayer4value*((1+0.04*opp)*(MHavg+101+(ap+Z304-$Z$1)/APtoDPS*MHnorm+(0.5+0.05*dws)*(ohavg+(ap+Z304-$Z$1)/APtoDPS*OHnorm)+101*(1+0.1*dws))*(1+0.5*IF(Talents!$O$18="Yes",1,0)))))))*(instactualhit+(1+((leth*0.06+2)-1)*(cfact-1))*instactualcrit)*fwfactor*AB304*instsec*(AF304/$AN$45))</f>
        <v>0</v>
      </c>
      <c r="AH304" s="25">
        <f t="shared" si="175"/>
        <v>0</v>
      </c>
      <c r="AI304" s="25">
        <f t="shared" si="176"/>
        <v>0</v>
      </c>
      <c r="AJ304" s="25">
        <f t="shared" si="177"/>
        <v>0</v>
      </c>
    </row>
    <row r="305" spans="1:36">
      <c r="A305">
        <f t="shared" si="158"/>
        <v>-1</v>
      </c>
      <c r="B305">
        <f t="shared" si="166"/>
        <v>6</v>
      </c>
      <c r="C305">
        <f t="shared" si="144"/>
        <v>300</v>
      </c>
      <c r="D305">
        <f t="shared" si="159"/>
        <v>0</v>
      </c>
      <c r="E305">
        <f t="shared" si="178"/>
        <v>5</v>
      </c>
      <c r="F305">
        <f t="shared" si="145"/>
        <v>360</v>
      </c>
      <c r="G305">
        <f t="shared" si="160"/>
        <v>0</v>
      </c>
      <c r="H305">
        <f t="shared" si="167"/>
        <v>4</v>
      </c>
      <c r="I305">
        <f t="shared" si="146"/>
        <v>360</v>
      </c>
      <c r="J305">
        <f t="shared" si="161"/>
        <v>0</v>
      </c>
      <c r="K305">
        <f t="shared" si="168"/>
        <v>3</v>
      </c>
      <c r="L305">
        <f t="shared" si="147"/>
        <v>360</v>
      </c>
      <c r="M305">
        <f t="shared" si="162"/>
        <v>0</v>
      </c>
      <c r="N305">
        <f t="shared" si="169"/>
        <v>2</v>
      </c>
      <c r="O305">
        <f t="shared" si="148"/>
        <v>300</v>
      </c>
      <c r="P305">
        <f t="shared" si="170"/>
        <v>0</v>
      </c>
      <c r="Q305">
        <f t="shared" si="171"/>
        <v>2</v>
      </c>
      <c r="R305">
        <f t="shared" si="149"/>
        <v>300</v>
      </c>
      <c r="S305">
        <f t="shared" si="172"/>
        <v>0</v>
      </c>
      <c r="T305">
        <f t="shared" si="173"/>
        <v>-1</v>
      </c>
      <c r="U305">
        <f t="shared" si="163"/>
        <v>1</v>
      </c>
      <c r="V305">
        <f t="shared" si="164"/>
        <v>1</v>
      </c>
      <c r="W305">
        <f t="shared" si="150"/>
        <v>0</v>
      </c>
      <c r="X305">
        <f t="shared" si="174"/>
        <v>0</v>
      </c>
      <c r="Y305">
        <f t="shared" si="151"/>
        <v>0</v>
      </c>
      <c r="Z305">
        <f t="shared" si="152"/>
        <v>0</v>
      </c>
      <c r="AA305">
        <f t="shared" si="153"/>
        <v>0</v>
      </c>
      <c r="AB305" s="29">
        <f t="shared" si="154"/>
        <v>0</v>
      </c>
      <c r="AC305" s="25">
        <f t="shared" si="155"/>
        <v>0</v>
      </c>
      <c r="AD305" s="29">
        <f t="shared" si="156"/>
        <v>0</v>
      </c>
      <c r="AE305" s="25">
        <f t="shared" si="165"/>
        <v>0</v>
      </c>
      <c r="AF305" s="25">
        <f t="shared" si="157"/>
        <v>0</v>
      </c>
      <c r="AG305" s="25">
        <f>IF($A305&lt;0,0,IF(instatk="bs",(1.5+talSCallInstBon)*(MHavg+(ap+Z305-$Z$1)/APtoDPS*MHnorm+170)*(1+sa*0.1+0.04*opp+0.02*agg+Slayer4value-1),IF(instatk="hemo",Slayer4value*(MHavg+(ap+Z305-$Z$1)/APtoDPS*MHnorm)*(1.1+talSCallInstBon)+420*(1+raidcrit)*debuffon,IF(instatk="ss",(MHavg+(ap+Z305-$Z$1)/APtoDPS*MHnorm+98)*(1+sa*0.1+0.02*agg+Slayer4value-1),IF(instatk="v",(ohavg+(ap+Z305-$Z$1)/APtoDPS*OHnorm)*(1+sa*0.1)*(0.5+0.05*dws)+avipdam,Slayer4value*((1+0.04*opp)*(MHavg+101+(ap+Z305-$Z$1)/APtoDPS*MHnorm+(0.5+0.05*dws)*(ohavg+(ap+Z305-$Z$1)/APtoDPS*OHnorm)+101*(1+0.1*dws))*(1+0.5*IF(Talents!$O$18="Yes",1,0)))))))*(instactualhit+(1+((leth*0.06+2)-1)*(cfact-1))*instactualcrit)*fwfactor*AB305*instsec*(AF305/$AN$45))</f>
        <v>0</v>
      </c>
      <c r="AH305" s="25">
        <f t="shared" si="175"/>
        <v>0</v>
      </c>
      <c r="AI305" s="25">
        <f t="shared" si="176"/>
        <v>0</v>
      </c>
      <c r="AJ305" s="25">
        <f t="shared" si="177"/>
        <v>0</v>
      </c>
    </row>
    <row r="306" spans="1:36">
      <c r="A306">
        <f t="shared" si="158"/>
        <v>-1</v>
      </c>
      <c r="B306">
        <f t="shared" si="166"/>
        <v>6</v>
      </c>
      <c r="C306">
        <f t="shared" si="144"/>
        <v>300</v>
      </c>
      <c r="D306">
        <f t="shared" si="159"/>
        <v>0</v>
      </c>
      <c r="E306">
        <f t="shared" si="178"/>
        <v>5</v>
      </c>
      <c r="F306">
        <f t="shared" si="145"/>
        <v>360</v>
      </c>
      <c r="G306">
        <f t="shared" si="160"/>
        <v>0</v>
      </c>
      <c r="H306">
        <f t="shared" si="167"/>
        <v>4</v>
      </c>
      <c r="I306">
        <f t="shared" si="146"/>
        <v>360</v>
      </c>
      <c r="J306">
        <f t="shared" si="161"/>
        <v>0</v>
      </c>
      <c r="K306">
        <f t="shared" si="168"/>
        <v>3</v>
      </c>
      <c r="L306">
        <f t="shared" si="147"/>
        <v>360</v>
      </c>
      <c r="M306">
        <f t="shared" si="162"/>
        <v>0</v>
      </c>
      <c r="N306">
        <f t="shared" si="169"/>
        <v>2</v>
      </c>
      <c r="O306">
        <f t="shared" si="148"/>
        <v>300</v>
      </c>
      <c r="P306">
        <f t="shared" si="170"/>
        <v>0</v>
      </c>
      <c r="Q306">
        <f t="shared" si="171"/>
        <v>2</v>
      </c>
      <c r="R306">
        <f t="shared" si="149"/>
        <v>300</v>
      </c>
      <c r="S306">
        <f t="shared" si="172"/>
        <v>0</v>
      </c>
      <c r="T306">
        <f t="shared" si="173"/>
        <v>-1</v>
      </c>
      <c r="U306">
        <f t="shared" si="163"/>
        <v>1</v>
      </c>
      <c r="V306">
        <f t="shared" si="164"/>
        <v>1</v>
      </c>
      <c r="W306">
        <f t="shared" si="150"/>
        <v>0</v>
      </c>
      <c r="X306">
        <f t="shared" si="174"/>
        <v>0</v>
      </c>
      <c r="Y306">
        <f t="shared" si="151"/>
        <v>0</v>
      </c>
      <c r="Z306">
        <f t="shared" si="152"/>
        <v>0</v>
      </c>
      <c r="AA306">
        <f t="shared" si="153"/>
        <v>0</v>
      </c>
      <c r="AB306" s="29">
        <f t="shared" si="154"/>
        <v>0</v>
      </c>
      <c r="AC306" s="25">
        <f t="shared" si="155"/>
        <v>0</v>
      </c>
      <c r="AD306" s="29">
        <f t="shared" si="156"/>
        <v>0</v>
      </c>
      <c r="AE306" s="25">
        <f t="shared" si="165"/>
        <v>0</v>
      </c>
      <c r="AF306" s="25">
        <f t="shared" si="157"/>
        <v>0</v>
      </c>
      <c r="AG306" s="25">
        <f>IF($A306&lt;0,0,IF(instatk="bs",(1.5+talSCallInstBon)*(MHavg+(ap+Z306-$Z$1)/APtoDPS*MHnorm+170)*(1+sa*0.1+0.04*opp+0.02*agg+Slayer4value-1),IF(instatk="hemo",Slayer4value*(MHavg+(ap+Z306-$Z$1)/APtoDPS*MHnorm)*(1.1+talSCallInstBon)+420*(1+raidcrit)*debuffon,IF(instatk="ss",(MHavg+(ap+Z306-$Z$1)/APtoDPS*MHnorm+98)*(1+sa*0.1+0.02*agg+Slayer4value-1),IF(instatk="v",(ohavg+(ap+Z306-$Z$1)/APtoDPS*OHnorm)*(1+sa*0.1)*(0.5+0.05*dws)+avipdam,Slayer4value*((1+0.04*opp)*(MHavg+101+(ap+Z306-$Z$1)/APtoDPS*MHnorm+(0.5+0.05*dws)*(ohavg+(ap+Z306-$Z$1)/APtoDPS*OHnorm)+101*(1+0.1*dws))*(1+0.5*IF(Talents!$O$18="Yes",1,0)))))))*(instactualhit+(1+((leth*0.06+2)-1)*(cfact-1))*instactualcrit)*fwfactor*AB306*instsec*(AF306/$AN$45))</f>
        <v>0</v>
      </c>
      <c r="AH306" s="25">
        <f t="shared" si="175"/>
        <v>0</v>
      </c>
      <c r="AI306" s="25">
        <f t="shared" si="176"/>
        <v>0</v>
      </c>
      <c r="AJ306" s="25">
        <f t="shared" si="177"/>
        <v>0</v>
      </c>
    </row>
    <row r="307" spans="1:36">
      <c r="A307">
        <f t="shared" si="158"/>
        <v>-1</v>
      </c>
      <c r="B307">
        <f t="shared" si="166"/>
        <v>6</v>
      </c>
      <c r="C307">
        <f t="shared" si="144"/>
        <v>300</v>
      </c>
      <c r="D307">
        <f t="shared" si="159"/>
        <v>0</v>
      </c>
      <c r="E307">
        <f t="shared" si="178"/>
        <v>5</v>
      </c>
      <c r="F307">
        <f t="shared" si="145"/>
        <v>360</v>
      </c>
      <c r="G307">
        <f t="shared" si="160"/>
        <v>0</v>
      </c>
      <c r="H307">
        <f t="shared" si="167"/>
        <v>4</v>
      </c>
      <c r="I307">
        <f t="shared" si="146"/>
        <v>360</v>
      </c>
      <c r="J307">
        <f t="shared" si="161"/>
        <v>0</v>
      </c>
      <c r="K307">
        <f t="shared" si="168"/>
        <v>3</v>
      </c>
      <c r="L307">
        <f t="shared" si="147"/>
        <v>360</v>
      </c>
      <c r="M307">
        <f t="shared" si="162"/>
        <v>0</v>
      </c>
      <c r="N307">
        <f t="shared" si="169"/>
        <v>2</v>
      </c>
      <c r="O307">
        <f t="shared" si="148"/>
        <v>300</v>
      </c>
      <c r="P307">
        <f t="shared" si="170"/>
        <v>0</v>
      </c>
      <c r="Q307">
        <f t="shared" si="171"/>
        <v>2</v>
      </c>
      <c r="R307">
        <f t="shared" si="149"/>
        <v>300</v>
      </c>
      <c r="S307">
        <f t="shared" si="172"/>
        <v>0</v>
      </c>
      <c r="T307">
        <f t="shared" si="173"/>
        <v>-1</v>
      </c>
      <c r="U307">
        <f t="shared" si="163"/>
        <v>1</v>
      </c>
      <c r="V307">
        <f t="shared" si="164"/>
        <v>1</v>
      </c>
      <c r="W307">
        <f t="shared" si="150"/>
        <v>0</v>
      </c>
      <c r="X307">
        <f t="shared" si="174"/>
        <v>0</v>
      </c>
      <c r="Y307">
        <f t="shared" si="151"/>
        <v>0</v>
      </c>
      <c r="Z307">
        <f t="shared" si="152"/>
        <v>0</v>
      </c>
      <c r="AA307">
        <f t="shared" si="153"/>
        <v>0</v>
      </c>
      <c r="AB307" s="29">
        <f t="shared" si="154"/>
        <v>0</v>
      </c>
      <c r="AC307" s="25">
        <f t="shared" si="155"/>
        <v>0</v>
      </c>
      <c r="AD307" s="29">
        <f t="shared" si="156"/>
        <v>0</v>
      </c>
      <c r="AE307" s="25">
        <f t="shared" si="165"/>
        <v>0</v>
      </c>
      <c r="AF307" s="25">
        <f t="shared" si="157"/>
        <v>0</v>
      </c>
      <c r="AG307" s="25">
        <f>IF($A307&lt;0,0,IF(instatk="bs",(1.5+talSCallInstBon)*(MHavg+(ap+Z307-$Z$1)/APtoDPS*MHnorm+170)*(1+sa*0.1+0.04*opp+0.02*agg+Slayer4value-1),IF(instatk="hemo",Slayer4value*(MHavg+(ap+Z307-$Z$1)/APtoDPS*MHnorm)*(1.1+talSCallInstBon)+420*(1+raidcrit)*debuffon,IF(instatk="ss",(MHavg+(ap+Z307-$Z$1)/APtoDPS*MHnorm+98)*(1+sa*0.1+0.02*agg+Slayer4value-1),IF(instatk="v",(ohavg+(ap+Z307-$Z$1)/APtoDPS*OHnorm)*(1+sa*0.1)*(0.5+0.05*dws)+avipdam,Slayer4value*((1+0.04*opp)*(MHavg+101+(ap+Z307-$Z$1)/APtoDPS*MHnorm+(0.5+0.05*dws)*(ohavg+(ap+Z307-$Z$1)/APtoDPS*OHnorm)+101*(1+0.1*dws))*(1+0.5*IF(Talents!$O$18="Yes",1,0)))))))*(instactualhit+(1+((leth*0.06+2)-1)*(cfact-1))*instactualcrit)*fwfactor*AB307*instsec*(AF307/$AN$45))</f>
        <v>0</v>
      </c>
      <c r="AH307" s="25">
        <f t="shared" si="175"/>
        <v>0</v>
      </c>
      <c r="AI307" s="25">
        <f t="shared" si="176"/>
        <v>0</v>
      </c>
      <c r="AJ307" s="25">
        <f t="shared" si="177"/>
        <v>0</v>
      </c>
    </row>
    <row r="308" spans="1:36">
      <c r="A308">
        <f t="shared" si="158"/>
        <v>-1</v>
      </c>
      <c r="B308">
        <f t="shared" si="166"/>
        <v>6</v>
      </c>
      <c r="C308">
        <f t="shared" si="144"/>
        <v>300</v>
      </c>
      <c r="D308">
        <f t="shared" si="159"/>
        <v>0</v>
      </c>
      <c r="E308">
        <f t="shared" si="178"/>
        <v>5</v>
      </c>
      <c r="F308">
        <f t="shared" si="145"/>
        <v>360</v>
      </c>
      <c r="G308">
        <f t="shared" si="160"/>
        <v>0</v>
      </c>
      <c r="H308">
        <f t="shared" si="167"/>
        <v>4</v>
      </c>
      <c r="I308">
        <f t="shared" si="146"/>
        <v>360</v>
      </c>
      <c r="J308">
        <f t="shared" si="161"/>
        <v>0</v>
      </c>
      <c r="K308">
        <f t="shared" si="168"/>
        <v>3</v>
      </c>
      <c r="L308">
        <f t="shared" si="147"/>
        <v>360</v>
      </c>
      <c r="M308">
        <f t="shared" si="162"/>
        <v>0</v>
      </c>
      <c r="N308">
        <f t="shared" si="169"/>
        <v>2</v>
      </c>
      <c r="O308">
        <f t="shared" si="148"/>
        <v>300</v>
      </c>
      <c r="P308">
        <f t="shared" si="170"/>
        <v>0</v>
      </c>
      <c r="Q308">
        <f t="shared" si="171"/>
        <v>2</v>
      </c>
      <c r="R308">
        <f t="shared" si="149"/>
        <v>300</v>
      </c>
      <c r="S308">
        <f t="shared" si="172"/>
        <v>0</v>
      </c>
      <c r="T308">
        <f t="shared" si="173"/>
        <v>-1</v>
      </c>
      <c r="U308">
        <f t="shared" si="163"/>
        <v>1</v>
      </c>
      <c r="V308">
        <f t="shared" si="164"/>
        <v>1</v>
      </c>
      <c r="W308">
        <f t="shared" si="150"/>
        <v>0</v>
      </c>
      <c r="X308">
        <f t="shared" si="174"/>
        <v>0</v>
      </c>
      <c r="Y308">
        <f t="shared" si="151"/>
        <v>0</v>
      </c>
      <c r="Z308">
        <f t="shared" si="152"/>
        <v>0</v>
      </c>
      <c r="AA308">
        <f t="shared" si="153"/>
        <v>0</v>
      </c>
      <c r="AB308" s="29">
        <f t="shared" si="154"/>
        <v>0</v>
      </c>
      <c r="AC308" s="25">
        <f t="shared" si="155"/>
        <v>0</v>
      </c>
      <c r="AD308" s="29">
        <f t="shared" si="156"/>
        <v>0</v>
      </c>
      <c r="AE308" s="25">
        <f t="shared" si="165"/>
        <v>0</v>
      </c>
      <c r="AF308" s="25">
        <f t="shared" si="157"/>
        <v>0</v>
      </c>
      <c r="AG308" s="25">
        <f>IF($A308&lt;0,0,IF(instatk="bs",(1.5+talSCallInstBon)*(MHavg+(ap+Z308-$Z$1)/APtoDPS*MHnorm+170)*(1+sa*0.1+0.04*opp+0.02*agg+Slayer4value-1),IF(instatk="hemo",Slayer4value*(MHavg+(ap+Z308-$Z$1)/APtoDPS*MHnorm)*(1.1+talSCallInstBon)+420*(1+raidcrit)*debuffon,IF(instatk="ss",(MHavg+(ap+Z308-$Z$1)/APtoDPS*MHnorm+98)*(1+sa*0.1+0.02*agg+Slayer4value-1),IF(instatk="v",(ohavg+(ap+Z308-$Z$1)/APtoDPS*OHnorm)*(1+sa*0.1)*(0.5+0.05*dws)+avipdam,Slayer4value*((1+0.04*opp)*(MHavg+101+(ap+Z308-$Z$1)/APtoDPS*MHnorm+(0.5+0.05*dws)*(ohavg+(ap+Z308-$Z$1)/APtoDPS*OHnorm)+101*(1+0.1*dws))*(1+0.5*IF(Talents!$O$18="Yes",1,0)))))))*(instactualhit+(1+((leth*0.06+2)-1)*(cfact-1))*instactualcrit)*fwfactor*AB308*instsec*(AF308/$AN$45))</f>
        <v>0</v>
      </c>
      <c r="AH308" s="25">
        <f t="shared" si="175"/>
        <v>0</v>
      </c>
      <c r="AI308" s="25">
        <f t="shared" si="176"/>
        <v>0</v>
      </c>
      <c r="AJ308" s="25">
        <f t="shared" si="177"/>
        <v>0</v>
      </c>
    </row>
    <row r="309" spans="1:36">
      <c r="A309">
        <f t="shared" si="158"/>
        <v>-1</v>
      </c>
      <c r="B309">
        <f t="shared" si="166"/>
        <v>6</v>
      </c>
      <c r="C309">
        <f t="shared" si="144"/>
        <v>300</v>
      </c>
      <c r="D309">
        <f t="shared" si="159"/>
        <v>0</v>
      </c>
      <c r="E309">
        <f t="shared" si="178"/>
        <v>5</v>
      </c>
      <c r="F309">
        <f t="shared" si="145"/>
        <v>360</v>
      </c>
      <c r="G309">
        <f t="shared" si="160"/>
        <v>0</v>
      </c>
      <c r="H309">
        <f t="shared" si="167"/>
        <v>4</v>
      </c>
      <c r="I309">
        <f t="shared" si="146"/>
        <v>360</v>
      </c>
      <c r="J309">
        <f t="shared" si="161"/>
        <v>0</v>
      </c>
      <c r="K309">
        <f t="shared" si="168"/>
        <v>3</v>
      </c>
      <c r="L309">
        <f t="shared" si="147"/>
        <v>360</v>
      </c>
      <c r="M309">
        <f t="shared" si="162"/>
        <v>0</v>
      </c>
      <c r="N309">
        <f t="shared" si="169"/>
        <v>2</v>
      </c>
      <c r="O309">
        <f t="shared" si="148"/>
        <v>300</v>
      </c>
      <c r="P309">
        <f t="shared" si="170"/>
        <v>0</v>
      </c>
      <c r="Q309">
        <f t="shared" si="171"/>
        <v>2</v>
      </c>
      <c r="R309">
        <f t="shared" si="149"/>
        <v>300</v>
      </c>
      <c r="S309">
        <f t="shared" si="172"/>
        <v>0</v>
      </c>
      <c r="T309">
        <f t="shared" si="173"/>
        <v>-1</v>
      </c>
      <c r="U309">
        <f t="shared" si="163"/>
        <v>1</v>
      </c>
      <c r="V309">
        <f t="shared" si="164"/>
        <v>1</v>
      </c>
      <c r="W309">
        <f t="shared" si="150"/>
        <v>0</v>
      </c>
      <c r="X309">
        <f t="shared" si="174"/>
        <v>0</v>
      </c>
      <c r="Y309">
        <f t="shared" si="151"/>
        <v>0</v>
      </c>
      <c r="Z309">
        <f t="shared" si="152"/>
        <v>0</v>
      </c>
      <c r="AA309">
        <f t="shared" si="153"/>
        <v>0</v>
      </c>
      <c r="AB309" s="29">
        <f t="shared" si="154"/>
        <v>0</v>
      </c>
      <c r="AC309" s="25">
        <f t="shared" si="155"/>
        <v>0</v>
      </c>
      <c r="AD309" s="29">
        <f t="shared" si="156"/>
        <v>0</v>
      </c>
      <c r="AE309" s="25">
        <f t="shared" si="165"/>
        <v>0</v>
      </c>
      <c r="AF309" s="25">
        <f t="shared" si="157"/>
        <v>0</v>
      </c>
      <c r="AG309" s="25">
        <f>IF($A309&lt;0,0,IF(instatk="bs",(1.5+talSCallInstBon)*(MHavg+(ap+Z309-$Z$1)/APtoDPS*MHnorm+170)*(1+sa*0.1+0.04*opp+0.02*agg+Slayer4value-1),IF(instatk="hemo",Slayer4value*(MHavg+(ap+Z309-$Z$1)/APtoDPS*MHnorm)*(1.1+talSCallInstBon)+420*(1+raidcrit)*debuffon,IF(instatk="ss",(MHavg+(ap+Z309-$Z$1)/APtoDPS*MHnorm+98)*(1+sa*0.1+0.02*agg+Slayer4value-1),IF(instatk="v",(ohavg+(ap+Z309-$Z$1)/APtoDPS*OHnorm)*(1+sa*0.1)*(0.5+0.05*dws)+avipdam,Slayer4value*((1+0.04*opp)*(MHavg+101+(ap+Z309-$Z$1)/APtoDPS*MHnorm+(0.5+0.05*dws)*(ohavg+(ap+Z309-$Z$1)/APtoDPS*OHnorm)+101*(1+0.1*dws))*(1+0.5*IF(Talents!$O$18="Yes",1,0)))))))*(instactualhit+(1+((leth*0.06+2)-1)*(cfact-1))*instactualcrit)*fwfactor*AB309*instsec*(AF309/$AN$45))</f>
        <v>0</v>
      </c>
      <c r="AH309" s="25">
        <f t="shared" si="175"/>
        <v>0</v>
      </c>
      <c r="AI309" s="25">
        <f t="shared" si="176"/>
        <v>0</v>
      </c>
      <c r="AJ309" s="25">
        <f t="shared" si="177"/>
        <v>0</v>
      </c>
    </row>
    <row r="310" spans="1:36">
      <c r="A310">
        <f t="shared" si="158"/>
        <v>-1</v>
      </c>
      <c r="B310">
        <f t="shared" si="166"/>
        <v>6</v>
      </c>
      <c r="C310">
        <f t="shared" si="144"/>
        <v>300</v>
      </c>
      <c r="D310">
        <f t="shared" si="159"/>
        <v>0</v>
      </c>
      <c r="E310">
        <f t="shared" si="178"/>
        <v>5</v>
      </c>
      <c r="F310">
        <f t="shared" si="145"/>
        <v>360</v>
      </c>
      <c r="G310">
        <f t="shared" si="160"/>
        <v>0</v>
      </c>
      <c r="H310">
        <f t="shared" si="167"/>
        <v>4</v>
      </c>
      <c r="I310">
        <f t="shared" si="146"/>
        <v>360</v>
      </c>
      <c r="J310">
        <f t="shared" si="161"/>
        <v>0</v>
      </c>
      <c r="K310">
        <f t="shared" si="168"/>
        <v>3</v>
      </c>
      <c r="L310">
        <f t="shared" si="147"/>
        <v>360</v>
      </c>
      <c r="M310">
        <f t="shared" si="162"/>
        <v>0</v>
      </c>
      <c r="N310">
        <f t="shared" si="169"/>
        <v>2</v>
      </c>
      <c r="O310">
        <f t="shared" si="148"/>
        <v>300</v>
      </c>
      <c r="P310">
        <f t="shared" si="170"/>
        <v>0</v>
      </c>
      <c r="Q310">
        <f t="shared" si="171"/>
        <v>2</v>
      </c>
      <c r="R310">
        <f t="shared" si="149"/>
        <v>300</v>
      </c>
      <c r="S310">
        <f t="shared" si="172"/>
        <v>0</v>
      </c>
      <c r="T310">
        <f t="shared" si="173"/>
        <v>-1</v>
      </c>
      <c r="U310">
        <f t="shared" si="163"/>
        <v>1</v>
      </c>
      <c r="V310">
        <f t="shared" si="164"/>
        <v>1</v>
      </c>
      <c r="W310">
        <f t="shared" si="150"/>
        <v>0</v>
      </c>
      <c r="X310">
        <f t="shared" si="174"/>
        <v>0</v>
      </c>
      <c r="Y310">
        <f t="shared" si="151"/>
        <v>0</v>
      </c>
      <c r="Z310">
        <f t="shared" si="152"/>
        <v>0</v>
      </c>
      <c r="AA310">
        <f t="shared" si="153"/>
        <v>0</v>
      </c>
      <c r="AB310" s="29">
        <f t="shared" si="154"/>
        <v>0</v>
      </c>
      <c r="AC310" s="25">
        <f t="shared" si="155"/>
        <v>0</v>
      </c>
      <c r="AD310" s="29">
        <f t="shared" si="156"/>
        <v>0</v>
      </c>
      <c r="AE310" s="25">
        <f t="shared" si="165"/>
        <v>0</v>
      </c>
      <c r="AF310" s="25">
        <f t="shared" si="157"/>
        <v>0</v>
      </c>
      <c r="AG310" s="25">
        <f>IF($A310&lt;0,0,IF(instatk="bs",(1.5+talSCallInstBon)*(MHavg+(ap+Z310-$Z$1)/APtoDPS*MHnorm+170)*(1+sa*0.1+0.04*opp+0.02*agg+Slayer4value-1),IF(instatk="hemo",Slayer4value*(MHavg+(ap+Z310-$Z$1)/APtoDPS*MHnorm)*(1.1+talSCallInstBon)+420*(1+raidcrit)*debuffon,IF(instatk="ss",(MHavg+(ap+Z310-$Z$1)/APtoDPS*MHnorm+98)*(1+sa*0.1+0.02*agg+Slayer4value-1),IF(instatk="v",(ohavg+(ap+Z310-$Z$1)/APtoDPS*OHnorm)*(1+sa*0.1)*(0.5+0.05*dws)+avipdam,Slayer4value*((1+0.04*opp)*(MHavg+101+(ap+Z310-$Z$1)/APtoDPS*MHnorm+(0.5+0.05*dws)*(ohavg+(ap+Z310-$Z$1)/APtoDPS*OHnorm)+101*(1+0.1*dws))*(1+0.5*IF(Talents!$O$18="Yes",1,0)))))))*(instactualhit+(1+((leth*0.06+2)-1)*(cfact-1))*instactualcrit)*fwfactor*AB310*instsec*(AF310/$AN$45))</f>
        <v>0</v>
      </c>
      <c r="AH310" s="25">
        <f t="shared" si="175"/>
        <v>0</v>
      </c>
      <c r="AI310" s="25">
        <f t="shared" si="176"/>
        <v>0</v>
      </c>
      <c r="AJ310" s="25">
        <f t="shared" si="177"/>
        <v>0</v>
      </c>
    </row>
    <row r="311" spans="1:36">
      <c r="A311">
        <f t="shared" si="158"/>
        <v>-1</v>
      </c>
      <c r="B311">
        <f t="shared" si="166"/>
        <v>6</v>
      </c>
      <c r="C311">
        <f t="shared" si="144"/>
        <v>300</v>
      </c>
      <c r="D311">
        <f t="shared" si="159"/>
        <v>0</v>
      </c>
      <c r="E311">
        <f t="shared" si="178"/>
        <v>5</v>
      </c>
      <c r="F311">
        <f t="shared" si="145"/>
        <v>360</v>
      </c>
      <c r="G311">
        <f t="shared" si="160"/>
        <v>0</v>
      </c>
      <c r="H311">
        <f t="shared" si="167"/>
        <v>4</v>
      </c>
      <c r="I311">
        <f t="shared" si="146"/>
        <v>360</v>
      </c>
      <c r="J311">
        <f t="shared" si="161"/>
        <v>0</v>
      </c>
      <c r="K311">
        <f t="shared" si="168"/>
        <v>3</v>
      </c>
      <c r="L311">
        <f t="shared" si="147"/>
        <v>360</v>
      </c>
      <c r="M311">
        <f t="shared" si="162"/>
        <v>0</v>
      </c>
      <c r="N311">
        <f t="shared" si="169"/>
        <v>2</v>
      </c>
      <c r="O311">
        <f t="shared" si="148"/>
        <v>300</v>
      </c>
      <c r="P311">
        <f t="shared" si="170"/>
        <v>0</v>
      </c>
      <c r="Q311">
        <f t="shared" si="171"/>
        <v>2</v>
      </c>
      <c r="R311">
        <f t="shared" si="149"/>
        <v>300</v>
      </c>
      <c r="S311">
        <f t="shared" si="172"/>
        <v>0</v>
      </c>
      <c r="T311">
        <f t="shared" si="173"/>
        <v>-1</v>
      </c>
      <c r="U311">
        <f t="shared" si="163"/>
        <v>1</v>
      </c>
      <c r="V311">
        <f t="shared" si="164"/>
        <v>1</v>
      </c>
      <c r="W311">
        <f t="shared" si="150"/>
        <v>0</v>
      </c>
      <c r="X311">
        <f t="shared" si="174"/>
        <v>0</v>
      </c>
      <c r="Y311">
        <f t="shared" si="151"/>
        <v>0</v>
      </c>
      <c r="Z311">
        <f t="shared" si="152"/>
        <v>0</v>
      </c>
      <c r="AA311">
        <f t="shared" si="153"/>
        <v>0</v>
      </c>
      <c r="AB311" s="29">
        <f t="shared" si="154"/>
        <v>0</v>
      </c>
      <c r="AC311" s="25">
        <f t="shared" si="155"/>
        <v>0</v>
      </c>
      <c r="AD311" s="29">
        <f t="shared" si="156"/>
        <v>0</v>
      </c>
      <c r="AE311" s="25">
        <f t="shared" si="165"/>
        <v>0</v>
      </c>
      <c r="AF311" s="25">
        <f t="shared" si="157"/>
        <v>0</v>
      </c>
      <c r="AG311" s="25">
        <f>IF($A311&lt;0,0,IF(instatk="bs",(1.5+talSCallInstBon)*(MHavg+(ap+Z311-$Z$1)/APtoDPS*MHnorm+170)*(1+sa*0.1+0.04*opp+0.02*agg+Slayer4value-1),IF(instatk="hemo",Slayer4value*(MHavg+(ap+Z311-$Z$1)/APtoDPS*MHnorm)*(1.1+talSCallInstBon)+420*(1+raidcrit)*debuffon,IF(instatk="ss",(MHavg+(ap+Z311-$Z$1)/APtoDPS*MHnorm+98)*(1+sa*0.1+0.02*agg+Slayer4value-1),IF(instatk="v",(ohavg+(ap+Z311-$Z$1)/APtoDPS*OHnorm)*(1+sa*0.1)*(0.5+0.05*dws)+avipdam,Slayer4value*((1+0.04*opp)*(MHavg+101+(ap+Z311-$Z$1)/APtoDPS*MHnorm+(0.5+0.05*dws)*(ohavg+(ap+Z311-$Z$1)/APtoDPS*OHnorm)+101*(1+0.1*dws))*(1+0.5*IF(Talents!$O$18="Yes",1,0)))))))*(instactualhit+(1+((leth*0.06+2)-1)*(cfact-1))*instactualcrit)*fwfactor*AB311*instsec*(AF311/$AN$45))</f>
        <v>0</v>
      </c>
      <c r="AH311" s="25">
        <f t="shared" si="175"/>
        <v>0</v>
      </c>
      <c r="AI311" s="25">
        <f t="shared" si="176"/>
        <v>0</v>
      </c>
      <c r="AJ311" s="25">
        <f t="shared" si="177"/>
        <v>0</v>
      </c>
    </row>
    <row r="312" spans="1:36">
      <c r="A312">
        <f t="shared" si="158"/>
        <v>-1</v>
      </c>
      <c r="B312">
        <f t="shared" si="166"/>
        <v>6</v>
      </c>
      <c r="C312">
        <f t="shared" si="144"/>
        <v>300</v>
      </c>
      <c r="D312">
        <f t="shared" si="159"/>
        <v>0</v>
      </c>
      <c r="E312">
        <f t="shared" si="178"/>
        <v>5</v>
      </c>
      <c r="F312">
        <f t="shared" si="145"/>
        <v>360</v>
      </c>
      <c r="G312">
        <f t="shared" si="160"/>
        <v>0</v>
      </c>
      <c r="H312">
        <f t="shared" si="167"/>
        <v>4</v>
      </c>
      <c r="I312">
        <f t="shared" si="146"/>
        <v>360</v>
      </c>
      <c r="J312">
        <f t="shared" si="161"/>
        <v>0</v>
      </c>
      <c r="K312">
        <f t="shared" si="168"/>
        <v>3</v>
      </c>
      <c r="L312">
        <f t="shared" si="147"/>
        <v>360</v>
      </c>
      <c r="M312">
        <f t="shared" si="162"/>
        <v>0</v>
      </c>
      <c r="N312">
        <f t="shared" si="169"/>
        <v>2</v>
      </c>
      <c r="O312">
        <f t="shared" si="148"/>
        <v>300</v>
      </c>
      <c r="P312">
        <f t="shared" si="170"/>
        <v>0</v>
      </c>
      <c r="Q312">
        <f t="shared" si="171"/>
        <v>2</v>
      </c>
      <c r="R312">
        <f t="shared" si="149"/>
        <v>300</v>
      </c>
      <c r="S312">
        <f t="shared" si="172"/>
        <v>0</v>
      </c>
      <c r="T312">
        <f t="shared" si="173"/>
        <v>-1</v>
      </c>
      <c r="U312">
        <f t="shared" si="163"/>
        <v>1</v>
      </c>
      <c r="V312">
        <f t="shared" si="164"/>
        <v>1</v>
      </c>
      <c r="W312">
        <f t="shared" si="150"/>
        <v>0</v>
      </c>
      <c r="X312">
        <f t="shared" si="174"/>
        <v>0</v>
      </c>
      <c r="Y312">
        <f t="shared" si="151"/>
        <v>0</v>
      </c>
      <c r="Z312">
        <f t="shared" si="152"/>
        <v>0</v>
      </c>
      <c r="AA312">
        <f t="shared" si="153"/>
        <v>0</v>
      </c>
      <c r="AB312" s="29">
        <f t="shared" si="154"/>
        <v>0</v>
      </c>
      <c r="AC312" s="25">
        <f t="shared" si="155"/>
        <v>0</v>
      </c>
      <c r="AD312" s="29">
        <f t="shared" si="156"/>
        <v>0</v>
      </c>
      <c r="AE312" s="25">
        <f t="shared" si="165"/>
        <v>0</v>
      </c>
      <c r="AF312" s="25">
        <f t="shared" si="157"/>
        <v>0</v>
      </c>
      <c r="AG312" s="25">
        <f>IF($A312&lt;0,0,IF(instatk="bs",(1.5+talSCallInstBon)*(MHavg+(ap+Z312-$Z$1)/APtoDPS*MHnorm+170)*(1+sa*0.1+0.04*opp+0.02*agg+Slayer4value-1),IF(instatk="hemo",Slayer4value*(MHavg+(ap+Z312-$Z$1)/APtoDPS*MHnorm)*(1.1+talSCallInstBon)+420*(1+raidcrit)*debuffon,IF(instatk="ss",(MHavg+(ap+Z312-$Z$1)/APtoDPS*MHnorm+98)*(1+sa*0.1+0.02*agg+Slayer4value-1),IF(instatk="v",(ohavg+(ap+Z312-$Z$1)/APtoDPS*OHnorm)*(1+sa*0.1)*(0.5+0.05*dws)+avipdam,Slayer4value*((1+0.04*opp)*(MHavg+101+(ap+Z312-$Z$1)/APtoDPS*MHnorm+(0.5+0.05*dws)*(ohavg+(ap+Z312-$Z$1)/APtoDPS*OHnorm)+101*(1+0.1*dws))*(1+0.5*IF(Talents!$O$18="Yes",1,0)))))))*(instactualhit+(1+((leth*0.06+2)-1)*(cfact-1))*instactualcrit)*fwfactor*AB312*instsec*(AF312/$AN$45))</f>
        <v>0</v>
      </c>
      <c r="AH312" s="25">
        <f t="shared" si="175"/>
        <v>0</v>
      </c>
      <c r="AI312" s="25">
        <f t="shared" si="176"/>
        <v>0</v>
      </c>
      <c r="AJ312" s="25">
        <f t="shared" si="177"/>
        <v>0</v>
      </c>
    </row>
    <row r="313" spans="1:36">
      <c r="A313">
        <f t="shared" si="158"/>
        <v>-1</v>
      </c>
      <c r="B313">
        <f t="shared" si="166"/>
        <v>6</v>
      </c>
      <c r="C313">
        <f t="shared" si="144"/>
        <v>300</v>
      </c>
      <c r="D313">
        <f t="shared" si="159"/>
        <v>0</v>
      </c>
      <c r="E313">
        <f t="shared" si="178"/>
        <v>5</v>
      </c>
      <c r="F313">
        <f t="shared" si="145"/>
        <v>360</v>
      </c>
      <c r="G313">
        <f t="shared" si="160"/>
        <v>0</v>
      </c>
      <c r="H313">
        <f t="shared" si="167"/>
        <v>4</v>
      </c>
      <c r="I313">
        <f t="shared" si="146"/>
        <v>360</v>
      </c>
      <c r="J313">
        <f t="shared" si="161"/>
        <v>0</v>
      </c>
      <c r="K313">
        <f t="shared" si="168"/>
        <v>3</v>
      </c>
      <c r="L313">
        <f t="shared" si="147"/>
        <v>360</v>
      </c>
      <c r="M313">
        <f t="shared" si="162"/>
        <v>0</v>
      </c>
      <c r="N313">
        <f t="shared" si="169"/>
        <v>2</v>
      </c>
      <c r="O313">
        <f t="shared" si="148"/>
        <v>300</v>
      </c>
      <c r="P313">
        <f t="shared" si="170"/>
        <v>0</v>
      </c>
      <c r="Q313">
        <f t="shared" si="171"/>
        <v>2</v>
      </c>
      <c r="R313">
        <f t="shared" si="149"/>
        <v>300</v>
      </c>
      <c r="S313">
        <f t="shared" si="172"/>
        <v>0</v>
      </c>
      <c r="T313">
        <f t="shared" si="173"/>
        <v>-1</v>
      </c>
      <c r="U313">
        <f t="shared" si="163"/>
        <v>1</v>
      </c>
      <c r="V313">
        <f t="shared" si="164"/>
        <v>1</v>
      </c>
      <c r="W313">
        <f t="shared" si="150"/>
        <v>0</v>
      </c>
      <c r="X313">
        <f t="shared" si="174"/>
        <v>0</v>
      </c>
      <c r="Y313">
        <f t="shared" si="151"/>
        <v>0</v>
      </c>
      <c r="Z313">
        <f t="shared" si="152"/>
        <v>0</v>
      </c>
      <c r="AA313">
        <f t="shared" si="153"/>
        <v>0</v>
      </c>
      <c r="AB313" s="29">
        <f t="shared" si="154"/>
        <v>0</v>
      </c>
      <c r="AC313" s="25">
        <f t="shared" si="155"/>
        <v>0</v>
      </c>
      <c r="AD313" s="29">
        <f t="shared" si="156"/>
        <v>0</v>
      </c>
      <c r="AE313" s="25">
        <f t="shared" si="165"/>
        <v>0</v>
      </c>
      <c r="AF313" s="25">
        <f t="shared" si="157"/>
        <v>0</v>
      </c>
      <c r="AG313" s="25">
        <f>IF($A313&lt;0,0,IF(instatk="bs",(1.5+talSCallInstBon)*(MHavg+(ap+Z313-$Z$1)/APtoDPS*MHnorm+170)*(1+sa*0.1+0.04*opp+0.02*agg+Slayer4value-1),IF(instatk="hemo",Slayer4value*(MHavg+(ap+Z313-$Z$1)/APtoDPS*MHnorm)*(1.1+talSCallInstBon)+420*(1+raidcrit)*debuffon,IF(instatk="ss",(MHavg+(ap+Z313-$Z$1)/APtoDPS*MHnorm+98)*(1+sa*0.1+0.02*agg+Slayer4value-1),IF(instatk="v",(ohavg+(ap+Z313-$Z$1)/APtoDPS*OHnorm)*(1+sa*0.1)*(0.5+0.05*dws)+avipdam,Slayer4value*((1+0.04*opp)*(MHavg+101+(ap+Z313-$Z$1)/APtoDPS*MHnorm+(0.5+0.05*dws)*(ohavg+(ap+Z313-$Z$1)/APtoDPS*OHnorm)+101*(1+0.1*dws))*(1+0.5*IF(Talents!$O$18="Yes",1,0)))))))*(instactualhit+(1+((leth*0.06+2)-1)*(cfact-1))*instactualcrit)*fwfactor*AB313*instsec*(AF313/$AN$45))</f>
        <v>0</v>
      </c>
      <c r="AH313" s="25">
        <f t="shared" si="175"/>
        <v>0</v>
      </c>
      <c r="AI313" s="25">
        <f t="shared" si="176"/>
        <v>0</v>
      </c>
      <c r="AJ313" s="25">
        <f t="shared" si="177"/>
        <v>0</v>
      </c>
    </row>
    <row r="314" spans="1:36">
      <c r="A314">
        <f t="shared" si="158"/>
        <v>-1</v>
      </c>
      <c r="B314">
        <f t="shared" si="166"/>
        <v>6</v>
      </c>
      <c r="C314">
        <f t="shared" si="144"/>
        <v>300</v>
      </c>
      <c r="D314">
        <f t="shared" si="159"/>
        <v>0</v>
      </c>
      <c r="E314">
        <f t="shared" si="178"/>
        <v>5</v>
      </c>
      <c r="F314">
        <f t="shared" si="145"/>
        <v>360</v>
      </c>
      <c r="G314">
        <f t="shared" si="160"/>
        <v>0</v>
      </c>
      <c r="H314">
        <f t="shared" si="167"/>
        <v>4</v>
      </c>
      <c r="I314">
        <f t="shared" si="146"/>
        <v>360</v>
      </c>
      <c r="J314">
        <f t="shared" si="161"/>
        <v>0</v>
      </c>
      <c r="K314">
        <f t="shared" si="168"/>
        <v>3</v>
      </c>
      <c r="L314">
        <f t="shared" si="147"/>
        <v>360</v>
      </c>
      <c r="M314">
        <f t="shared" si="162"/>
        <v>0</v>
      </c>
      <c r="N314">
        <f t="shared" si="169"/>
        <v>2</v>
      </c>
      <c r="O314">
        <f t="shared" si="148"/>
        <v>300</v>
      </c>
      <c r="P314">
        <f t="shared" si="170"/>
        <v>0</v>
      </c>
      <c r="Q314">
        <f t="shared" si="171"/>
        <v>2</v>
      </c>
      <c r="R314">
        <f t="shared" si="149"/>
        <v>300</v>
      </c>
      <c r="S314">
        <f t="shared" si="172"/>
        <v>0</v>
      </c>
      <c r="T314">
        <f t="shared" si="173"/>
        <v>-1</v>
      </c>
      <c r="U314">
        <f t="shared" si="163"/>
        <v>1</v>
      </c>
      <c r="V314">
        <f t="shared" si="164"/>
        <v>1</v>
      </c>
      <c r="W314">
        <f t="shared" si="150"/>
        <v>0</v>
      </c>
      <c r="X314">
        <f t="shared" si="174"/>
        <v>0</v>
      </c>
      <c r="Y314">
        <f t="shared" si="151"/>
        <v>0</v>
      </c>
      <c r="Z314">
        <f t="shared" si="152"/>
        <v>0</v>
      </c>
      <c r="AA314">
        <f t="shared" si="153"/>
        <v>0</v>
      </c>
      <c r="AB314" s="29">
        <f t="shared" si="154"/>
        <v>0</v>
      </c>
      <c r="AC314" s="25">
        <f t="shared" si="155"/>
        <v>0</v>
      </c>
      <c r="AD314" s="29">
        <f t="shared" si="156"/>
        <v>0</v>
      </c>
      <c r="AE314" s="25">
        <f t="shared" si="165"/>
        <v>0</v>
      </c>
      <c r="AF314" s="25">
        <f t="shared" si="157"/>
        <v>0</v>
      </c>
      <c r="AG314" s="25">
        <f>IF($A314&lt;0,0,IF(instatk="bs",(1.5+talSCallInstBon)*(MHavg+(ap+Z314-$Z$1)/APtoDPS*MHnorm+170)*(1+sa*0.1+0.04*opp+0.02*agg+Slayer4value-1),IF(instatk="hemo",Slayer4value*(MHavg+(ap+Z314-$Z$1)/APtoDPS*MHnorm)*(1.1+talSCallInstBon)+420*(1+raidcrit)*debuffon,IF(instatk="ss",(MHavg+(ap+Z314-$Z$1)/APtoDPS*MHnorm+98)*(1+sa*0.1+0.02*agg+Slayer4value-1),IF(instatk="v",(ohavg+(ap+Z314-$Z$1)/APtoDPS*OHnorm)*(1+sa*0.1)*(0.5+0.05*dws)+avipdam,Slayer4value*((1+0.04*opp)*(MHavg+101+(ap+Z314-$Z$1)/APtoDPS*MHnorm+(0.5+0.05*dws)*(ohavg+(ap+Z314-$Z$1)/APtoDPS*OHnorm)+101*(1+0.1*dws))*(1+0.5*IF(Talents!$O$18="Yes",1,0)))))))*(instactualhit+(1+((leth*0.06+2)-1)*(cfact-1))*instactualcrit)*fwfactor*AB314*instsec*(AF314/$AN$45))</f>
        <v>0</v>
      </c>
      <c r="AH314" s="25">
        <f t="shared" si="175"/>
        <v>0</v>
      </c>
      <c r="AI314" s="25">
        <f t="shared" si="176"/>
        <v>0</v>
      </c>
      <c r="AJ314" s="25">
        <f t="shared" si="177"/>
        <v>0</v>
      </c>
    </row>
    <row r="315" spans="1:36">
      <c r="A315">
        <f t="shared" si="158"/>
        <v>-1</v>
      </c>
      <c r="B315">
        <f t="shared" si="166"/>
        <v>6</v>
      </c>
      <c r="C315">
        <f t="shared" si="144"/>
        <v>300</v>
      </c>
      <c r="D315">
        <f t="shared" si="159"/>
        <v>0</v>
      </c>
      <c r="E315">
        <f t="shared" si="178"/>
        <v>5</v>
      </c>
      <c r="F315">
        <f t="shared" si="145"/>
        <v>360</v>
      </c>
      <c r="G315">
        <f t="shared" si="160"/>
        <v>0</v>
      </c>
      <c r="H315">
        <f t="shared" si="167"/>
        <v>4</v>
      </c>
      <c r="I315">
        <f t="shared" si="146"/>
        <v>360</v>
      </c>
      <c r="J315">
        <f t="shared" si="161"/>
        <v>0</v>
      </c>
      <c r="K315">
        <f t="shared" si="168"/>
        <v>3</v>
      </c>
      <c r="L315">
        <f t="shared" si="147"/>
        <v>360</v>
      </c>
      <c r="M315">
        <f t="shared" si="162"/>
        <v>0</v>
      </c>
      <c r="N315">
        <f t="shared" si="169"/>
        <v>2</v>
      </c>
      <c r="O315">
        <f t="shared" si="148"/>
        <v>300</v>
      </c>
      <c r="P315">
        <f t="shared" si="170"/>
        <v>0</v>
      </c>
      <c r="Q315">
        <f t="shared" si="171"/>
        <v>2</v>
      </c>
      <c r="R315">
        <f t="shared" si="149"/>
        <v>300</v>
      </c>
      <c r="S315">
        <f t="shared" si="172"/>
        <v>0</v>
      </c>
      <c r="T315">
        <f t="shared" si="173"/>
        <v>-1</v>
      </c>
      <c r="U315">
        <f t="shared" si="163"/>
        <v>1</v>
      </c>
      <c r="V315">
        <f t="shared" si="164"/>
        <v>1</v>
      </c>
      <c r="W315">
        <f t="shared" si="150"/>
        <v>0</v>
      </c>
      <c r="X315">
        <f t="shared" si="174"/>
        <v>0</v>
      </c>
      <c r="Y315">
        <f t="shared" si="151"/>
        <v>0</v>
      </c>
      <c r="Z315">
        <f t="shared" si="152"/>
        <v>0</v>
      </c>
      <c r="AA315">
        <f t="shared" si="153"/>
        <v>0</v>
      </c>
      <c r="AB315" s="29">
        <f t="shared" si="154"/>
        <v>0</v>
      </c>
      <c r="AC315" s="25">
        <f t="shared" si="155"/>
        <v>0</v>
      </c>
      <c r="AD315" s="29">
        <f t="shared" si="156"/>
        <v>0</v>
      </c>
      <c r="AE315" s="25">
        <f t="shared" si="165"/>
        <v>0</v>
      </c>
      <c r="AF315" s="25">
        <f t="shared" si="157"/>
        <v>0</v>
      </c>
      <c r="AG315" s="25">
        <f>IF($A315&lt;0,0,IF(instatk="bs",(1.5+talSCallInstBon)*(MHavg+(ap+Z315-$Z$1)/APtoDPS*MHnorm+170)*(1+sa*0.1+0.04*opp+0.02*agg+Slayer4value-1),IF(instatk="hemo",Slayer4value*(MHavg+(ap+Z315-$Z$1)/APtoDPS*MHnorm)*(1.1+talSCallInstBon)+420*(1+raidcrit)*debuffon,IF(instatk="ss",(MHavg+(ap+Z315-$Z$1)/APtoDPS*MHnorm+98)*(1+sa*0.1+0.02*agg+Slayer4value-1),IF(instatk="v",(ohavg+(ap+Z315-$Z$1)/APtoDPS*OHnorm)*(1+sa*0.1)*(0.5+0.05*dws)+avipdam,Slayer4value*((1+0.04*opp)*(MHavg+101+(ap+Z315-$Z$1)/APtoDPS*MHnorm+(0.5+0.05*dws)*(ohavg+(ap+Z315-$Z$1)/APtoDPS*OHnorm)+101*(1+0.1*dws))*(1+0.5*IF(Talents!$O$18="Yes",1,0)))))))*(instactualhit+(1+((leth*0.06+2)-1)*(cfact-1))*instactualcrit)*fwfactor*AB315*instsec*(AF315/$AN$45))</f>
        <v>0</v>
      </c>
      <c r="AH315" s="25">
        <f t="shared" si="175"/>
        <v>0</v>
      </c>
      <c r="AI315" s="25">
        <f t="shared" si="176"/>
        <v>0</v>
      </c>
      <c r="AJ315" s="25">
        <f t="shared" si="177"/>
        <v>0</v>
      </c>
    </row>
    <row r="316" spans="1:36">
      <c r="A316">
        <f t="shared" si="158"/>
        <v>-1</v>
      </c>
      <c r="B316">
        <f t="shared" si="166"/>
        <v>6</v>
      </c>
      <c r="C316">
        <f t="shared" si="144"/>
        <v>300</v>
      </c>
      <c r="D316">
        <f t="shared" si="159"/>
        <v>0</v>
      </c>
      <c r="E316">
        <f t="shared" si="178"/>
        <v>5</v>
      </c>
      <c r="F316">
        <f t="shared" si="145"/>
        <v>360</v>
      </c>
      <c r="G316">
        <f t="shared" si="160"/>
        <v>0</v>
      </c>
      <c r="H316">
        <f t="shared" si="167"/>
        <v>4</v>
      </c>
      <c r="I316">
        <f t="shared" si="146"/>
        <v>360</v>
      </c>
      <c r="J316">
        <f t="shared" si="161"/>
        <v>0</v>
      </c>
      <c r="K316">
        <f t="shared" si="168"/>
        <v>3</v>
      </c>
      <c r="L316">
        <f t="shared" si="147"/>
        <v>360</v>
      </c>
      <c r="M316">
        <f t="shared" si="162"/>
        <v>0</v>
      </c>
      <c r="N316">
        <f t="shared" si="169"/>
        <v>2</v>
      </c>
      <c r="O316">
        <f t="shared" si="148"/>
        <v>300</v>
      </c>
      <c r="P316">
        <f t="shared" si="170"/>
        <v>0</v>
      </c>
      <c r="Q316">
        <f t="shared" si="171"/>
        <v>2</v>
      </c>
      <c r="R316">
        <f t="shared" si="149"/>
        <v>300</v>
      </c>
      <c r="S316">
        <f t="shared" si="172"/>
        <v>0</v>
      </c>
      <c r="T316">
        <f t="shared" si="173"/>
        <v>-1</v>
      </c>
      <c r="U316">
        <f t="shared" si="163"/>
        <v>1</v>
      </c>
      <c r="V316">
        <f t="shared" si="164"/>
        <v>1</v>
      </c>
      <c r="W316">
        <f t="shared" si="150"/>
        <v>0</v>
      </c>
      <c r="X316">
        <f t="shared" si="174"/>
        <v>0</v>
      </c>
      <c r="Y316">
        <f t="shared" si="151"/>
        <v>0</v>
      </c>
      <c r="Z316">
        <f t="shared" si="152"/>
        <v>0</v>
      </c>
      <c r="AA316">
        <f t="shared" si="153"/>
        <v>0</v>
      </c>
      <c r="AB316" s="29">
        <f t="shared" si="154"/>
        <v>0</v>
      </c>
      <c r="AC316" s="25">
        <f t="shared" si="155"/>
        <v>0</v>
      </c>
      <c r="AD316" s="29">
        <f t="shared" si="156"/>
        <v>0</v>
      </c>
      <c r="AE316" s="25">
        <f t="shared" si="165"/>
        <v>0</v>
      </c>
      <c r="AF316" s="25">
        <f t="shared" si="157"/>
        <v>0</v>
      </c>
      <c r="AG316" s="25">
        <f>IF($A316&lt;0,0,IF(instatk="bs",(1.5+talSCallInstBon)*(MHavg+(ap+Z316-$Z$1)/APtoDPS*MHnorm+170)*(1+sa*0.1+0.04*opp+0.02*agg+Slayer4value-1),IF(instatk="hemo",Slayer4value*(MHavg+(ap+Z316-$Z$1)/APtoDPS*MHnorm)*(1.1+talSCallInstBon)+420*(1+raidcrit)*debuffon,IF(instatk="ss",(MHavg+(ap+Z316-$Z$1)/APtoDPS*MHnorm+98)*(1+sa*0.1+0.02*agg+Slayer4value-1),IF(instatk="v",(ohavg+(ap+Z316-$Z$1)/APtoDPS*OHnorm)*(1+sa*0.1)*(0.5+0.05*dws)+avipdam,Slayer4value*((1+0.04*opp)*(MHavg+101+(ap+Z316-$Z$1)/APtoDPS*MHnorm+(0.5+0.05*dws)*(ohavg+(ap+Z316-$Z$1)/APtoDPS*OHnorm)+101*(1+0.1*dws))*(1+0.5*IF(Talents!$O$18="Yes",1,0)))))))*(instactualhit+(1+((leth*0.06+2)-1)*(cfact-1))*instactualcrit)*fwfactor*AB316*instsec*(AF316/$AN$45))</f>
        <v>0</v>
      </c>
      <c r="AH316" s="25">
        <f t="shared" si="175"/>
        <v>0</v>
      </c>
      <c r="AI316" s="25">
        <f t="shared" si="176"/>
        <v>0</v>
      </c>
      <c r="AJ316" s="25">
        <f t="shared" si="177"/>
        <v>0</v>
      </c>
    </row>
    <row r="317" spans="1:36">
      <c r="A317">
        <f t="shared" si="158"/>
        <v>-1</v>
      </c>
      <c r="B317">
        <f t="shared" si="166"/>
        <v>6</v>
      </c>
      <c r="C317">
        <f t="shared" si="144"/>
        <v>300</v>
      </c>
      <c r="D317">
        <f t="shared" si="159"/>
        <v>0</v>
      </c>
      <c r="E317">
        <f t="shared" si="178"/>
        <v>5</v>
      </c>
      <c r="F317">
        <f t="shared" si="145"/>
        <v>360</v>
      </c>
      <c r="G317">
        <f t="shared" si="160"/>
        <v>0</v>
      </c>
      <c r="H317">
        <f t="shared" si="167"/>
        <v>4</v>
      </c>
      <c r="I317">
        <f t="shared" si="146"/>
        <v>360</v>
      </c>
      <c r="J317">
        <f t="shared" si="161"/>
        <v>0</v>
      </c>
      <c r="K317">
        <f t="shared" si="168"/>
        <v>3</v>
      </c>
      <c r="L317">
        <f t="shared" si="147"/>
        <v>360</v>
      </c>
      <c r="M317">
        <f t="shared" si="162"/>
        <v>0</v>
      </c>
      <c r="N317">
        <f t="shared" si="169"/>
        <v>2</v>
      </c>
      <c r="O317">
        <f t="shared" si="148"/>
        <v>300</v>
      </c>
      <c r="P317">
        <f t="shared" si="170"/>
        <v>0</v>
      </c>
      <c r="Q317">
        <f t="shared" si="171"/>
        <v>2</v>
      </c>
      <c r="R317">
        <f t="shared" si="149"/>
        <v>300</v>
      </c>
      <c r="S317">
        <f t="shared" si="172"/>
        <v>0</v>
      </c>
      <c r="T317">
        <f t="shared" si="173"/>
        <v>-1</v>
      </c>
      <c r="U317">
        <f t="shared" si="163"/>
        <v>1</v>
      </c>
      <c r="V317">
        <f t="shared" si="164"/>
        <v>1</v>
      </c>
      <c r="W317">
        <f t="shared" si="150"/>
        <v>0</v>
      </c>
      <c r="X317">
        <f t="shared" si="174"/>
        <v>0</v>
      </c>
      <c r="Y317">
        <f t="shared" si="151"/>
        <v>0</v>
      </c>
      <c r="Z317">
        <f t="shared" si="152"/>
        <v>0</v>
      </c>
      <c r="AA317">
        <f t="shared" si="153"/>
        <v>0</v>
      </c>
      <c r="AB317" s="29">
        <f t="shared" si="154"/>
        <v>0</v>
      </c>
      <c r="AC317" s="25">
        <f t="shared" si="155"/>
        <v>0</v>
      </c>
      <c r="AD317" s="29">
        <f t="shared" si="156"/>
        <v>0</v>
      </c>
      <c r="AE317" s="25">
        <f t="shared" si="165"/>
        <v>0</v>
      </c>
      <c r="AF317" s="25">
        <f t="shared" si="157"/>
        <v>0</v>
      </c>
      <c r="AG317" s="25">
        <f>IF($A317&lt;0,0,IF(instatk="bs",(1.5+talSCallInstBon)*(MHavg+(ap+Z317-$Z$1)/APtoDPS*MHnorm+170)*(1+sa*0.1+0.04*opp+0.02*agg+Slayer4value-1),IF(instatk="hemo",Slayer4value*(MHavg+(ap+Z317-$Z$1)/APtoDPS*MHnorm)*(1.1+talSCallInstBon)+420*(1+raidcrit)*debuffon,IF(instatk="ss",(MHavg+(ap+Z317-$Z$1)/APtoDPS*MHnorm+98)*(1+sa*0.1+0.02*agg+Slayer4value-1),IF(instatk="v",(ohavg+(ap+Z317-$Z$1)/APtoDPS*OHnorm)*(1+sa*0.1)*(0.5+0.05*dws)+avipdam,Slayer4value*((1+0.04*opp)*(MHavg+101+(ap+Z317-$Z$1)/APtoDPS*MHnorm+(0.5+0.05*dws)*(ohavg+(ap+Z317-$Z$1)/APtoDPS*OHnorm)+101*(1+0.1*dws))*(1+0.5*IF(Talents!$O$18="Yes",1,0)))))))*(instactualhit+(1+((leth*0.06+2)-1)*(cfact-1))*instactualcrit)*fwfactor*AB317*instsec*(AF317/$AN$45))</f>
        <v>0</v>
      </c>
      <c r="AH317" s="25">
        <f t="shared" si="175"/>
        <v>0</v>
      </c>
      <c r="AI317" s="25">
        <f t="shared" si="176"/>
        <v>0</v>
      </c>
      <c r="AJ317" s="25">
        <f t="shared" si="177"/>
        <v>0</v>
      </c>
    </row>
    <row r="318" spans="1:36">
      <c r="A318">
        <f t="shared" si="158"/>
        <v>-1</v>
      </c>
      <c r="B318">
        <f t="shared" si="166"/>
        <v>6</v>
      </c>
      <c r="C318">
        <f t="shared" si="144"/>
        <v>300</v>
      </c>
      <c r="D318">
        <f t="shared" si="159"/>
        <v>0</v>
      </c>
      <c r="E318">
        <f t="shared" si="178"/>
        <v>5</v>
      </c>
      <c r="F318">
        <f t="shared" si="145"/>
        <v>360</v>
      </c>
      <c r="G318">
        <f t="shared" si="160"/>
        <v>0</v>
      </c>
      <c r="H318">
        <f t="shared" si="167"/>
        <v>4</v>
      </c>
      <c r="I318">
        <f t="shared" si="146"/>
        <v>360</v>
      </c>
      <c r="J318">
        <f t="shared" si="161"/>
        <v>0</v>
      </c>
      <c r="K318">
        <f t="shared" si="168"/>
        <v>3</v>
      </c>
      <c r="L318">
        <f t="shared" si="147"/>
        <v>360</v>
      </c>
      <c r="M318">
        <f t="shared" si="162"/>
        <v>0</v>
      </c>
      <c r="N318">
        <f t="shared" si="169"/>
        <v>2</v>
      </c>
      <c r="O318">
        <f t="shared" si="148"/>
        <v>300</v>
      </c>
      <c r="P318">
        <f t="shared" si="170"/>
        <v>0</v>
      </c>
      <c r="Q318">
        <f t="shared" si="171"/>
        <v>2</v>
      </c>
      <c r="R318">
        <f t="shared" si="149"/>
        <v>300</v>
      </c>
      <c r="S318">
        <f t="shared" si="172"/>
        <v>0</v>
      </c>
      <c r="T318">
        <f t="shared" si="173"/>
        <v>-1</v>
      </c>
      <c r="U318">
        <f t="shared" si="163"/>
        <v>1</v>
      </c>
      <c r="V318">
        <f t="shared" si="164"/>
        <v>1</v>
      </c>
      <c r="W318">
        <f t="shared" si="150"/>
        <v>0</v>
      </c>
      <c r="X318">
        <f t="shared" si="174"/>
        <v>0</v>
      </c>
      <c r="Y318">
        <f t="shared" si="151"/>
        <v>0</v>
      </c>
      <c r="Z318">
        <f t="shared" si="152"/>
        <v>0</v>
      </c>
      <c r="AA318">
        <f t="shared" si="153"/>
        <v>0</v>
      </c>
      <c r="AB318" s="29">
        <f t="shared" si="154"/>
        <v>0</v>
      </c>
      <c r="AC318" s="25">
        <f t="shared" si="155"/>
        <v>0</v>
      </c>
      <c r="AD318" s="29">
        <f t="shared" si="156"/>
        <v>0</v>
      </c>
      <c r="AE318" s="25">
        <f t="shared" si="165"/>
        <v>0</v>
      </c>
      <c r="AF318" s="25">
        <f t="shared" si="157"/>
        <v>0</v>
      </c>
      <c r="AG318" s="25">
        <f>IF($A318&lt;0,0,IF(instatk="bs",(1.5+talSCallInstBon)*(MHavg+(ap+Z318-$Z$1)/APtoDPS*MHnorm+170)*(1+sa*0.1+0.04*opp+0.02*agg+Slayer4value-1),IF(instatk="hemo",Slayer4value*(MHavg+(ap+Z318-$Z$1)/APtoDPS*MHnorm)*(1.1+talSCallInstBon)+420*(1+raidcrit)*debuffon,IF(instatk="ss",(MHavg+(ap+Z318-$Z$1)/APtoDPS*MHnorm+98)*(1+sa*0.1+0.02*agg+Slayer4value-1),IF(instatk="v",(ohavg+(ap+Z318-$Z$1)/APtoDPS*OHnorm)*(1+sa*0.1)*(0.5+0.05*dws)+avipdam,Slayer4value*((1+0.04*opp)*(MHavg+101+(ap+Z318-$Z$1)/APtoDPS*MHnorm+(0.5+0.05*dws)*(ohavg+(ap+Z318-$Z$1)/APtoDPS*OHnorm)+101*(1+0.1*dws))*(1+0.5*IF(Talents!$O$18="Yes",1,0)))))))*(instactualhit+(1+((leth*0.06+2)-1)*(cfact-1))*instactualcrit)*fwfactor*AB318*instsec*(AF318/$AN$45))</f>
        <v>0</v>
      </c>
      <c r="AH318" s="25">
        <f t="shared" si="175"/>
        <v>0</v>
      </c>
      <c r="AI318" s="25">
        <f t="shared" si="176"/>
        <v>0</v>
      </c>
      <c r="AJ318" s="25">
        <f t="shared" si="177"/>
        <v>0</v>
      </c>
    </row>
    <row r="319" spans="1:36">
      <c r="A319">
        <f t="shared" si="158"/>
        <v>-1</v>
      </c>
      <c r="B319">
        <f t="shared" si="166"/>
        <v>6</v>
      </c>
      <c r="C319">
        <f t="shared" si="144"/>
        <v>300</v>
      </c>
      <c r="D319">
        <f t="shared" si="159"/>
        <v>0</v>
      </c>
      <c r="E319">
        <f t="shared" si="178"/>
        <v>5</v>
      </c>
      <c r="F319">
        <f t="shared" si="145"/>
        <v>360</v>
      </c>
      <c r="G319">
        <f t="shared" si="160"/>
        <v>0</v>
      </c>
      <c r="H319">
        <f t="shared" si="167"/>
        <v>4</v>
      </c>
      <c r="I319">
        <f t="shared" si="146"/>
        <v>360</v>
      </c>
      <c r="J319">
        <f t="shared" si="161"/>
        <v>0</v>
      </c>
      <c r="K319">
        <f t="shared" si="168"/>
        <v>3</v>
      </c>
      <c r="L319">
        <f t="shared" si="147"/>
        <v>360</v>
      </c>
      <c r="M319">
        <f t="shared" si="162"/>
        <v>0</v>
      </c>
      <c r="N319">
        <f t="shared" si="169"/>
        <v>2</v>
      </c>
      <c r="O319">
        <f t="shared" si="148"/>
        <v>300</v>
      </c>
      <c r="P319">
        <f t="shared" si="170"/>
        <v>0</v>
      </c>
      <c r="Q319">
        <f t="shared" si="171"/>
        <v>2</v>
      </c>
      <c r="R319">
        <f t="shared" si="149"/>
        <v>300</v>
      </c>
      <c r="S319">
        <f t="shared" si="172"/>
        <v>0</v>
      </c>
      <c r="T319">
        <f t="shared" si="173"/>
        <v>-1</v>
      </c>
      <c r="U319">
        <f t="shared" si="163"/>
        <v>1</v>
      </c>
      <c r="V319">
        <f t="shared" si="164"/>
        <v>1</v>
      </c>
      <c r="W319">
        <f t="shared" si="150"/>
        <v>0</v>
      </c>
      <c r="X319">
        <f t="shared" si="174"/>
        <v>0</v>
      </c>
      <c r="Y319">
        <f t="shared" si="151"/>
        <v>0</v>
      </c>
      <c r="Z319">
        <f t="shared" si="152"/>
        <v>0</v>
      </c>
      <c r="AA319">
        <f t="shared" si="153"/>
        <v>0</v>
      </c>
      <c r="AB319" s="29">
        <f t="shared" si="154"/>
        <v>0</v>
      </c>
      <c r="AC319" s="25">
        <f t="shared" si="155"/>
        <v>0</v>
      </c>
      <c r="AD319" s="29">
        <f t="shared" si="156"/>
        <v>0</v>
      </c>
      <c r="AE319" s="25">
        <f t="shared" si="165"/>
        <v>0</v>
      </c>
      <c r="AF319" s="25">
        <f t="shared" si="157"/>
        <v>0</v>
      </c>
      <c r="AG319" s="25">
        <f>IF($A319&lt;0,0,IF(instatk="bs",(1.5+talSCallInstBon)*(MHavg+(ap+Z319-$Z$1)/APtoDPS*MHnorm+170)*(1+sa*0.1+0.04*opp+0.02*agg+Slayer4value-1),IF(instatk="hemo",Slayer4value*(MHavg+(ap+Z319-$Z$1)/APtoDPS*MHnorm)*(1.1+talSCallInstBon)+420*(1+raidcrit)*debuffon,IF(instatk="ss",(MHavg+(ap+Z319-$Z$1)/APtoDPS*MHnorm+98)*(1+sa*0.1+0.02*agg+Slayer4value-1),IF(instatk="v",(ohavg+(ap+Z319-$Z$1)/APtoDPS*OHnorm)*(1+sa*0.1)*(0.5+0.05*dws)+avipdam,Slayer4value*((1+0.04*opp)*(MHavg+101+(ap+Z319-$Z$1)/APtoDPS*MHnorm+(0.5+0.05*dws)*(ohavg+(ap+Z319-$Z$1)/APtoDPS*OHnorm)+101*(1+0.1*dws))*(1+0.5*IF(Talents!$O$18="Yes",1,0)))))))*(instactualhit+(1+((leth*0.06+2)-1)*(cfact-1))*instactualcrit)*fwfactor*AB319*instsec*(AF319/$AN$45))</f>
        <v>0</v>
      </c>
      <c r="AH319" s="25">
        <f t="shared" si="175"/>
        <v>0</v>
      </c>
      <c r="AI319" s="25">
        <f t="shared" si="176"/>
        <v>0</v>
      </c>
      <c r="AJ319" s="25">
        <f t="shared" si="177"/>
        <v>0</v>
      </c>
    </row>
    <row r="320" spans="1:36">
      <c r="A320">
        <f t="shared" si="158"/>
        <v>-1</v>
      </c>
      <c r="B320">
        <f t="shared" si="166"/>
        <v>6</v>
      </c>
      <c r="C320">
        <f t="shared" si="144"/>
        <v>300</v>
      </c>
      <c r="D320">
        <f t="shared" si="159"/>
        <v>0</v>
      </c>
      <c r="E320">
        <f t="shared" si="178"/>
        <v>5</v>
      </c>
      <c r="F320">
        <f t="shared" si="145"/>
        <v>360</v>
      </c>
      <c r="G320">
        <f t="shared" si="160"/>
        <v>0</v>
      </c>
      <c r="H320">
        <f t="shared" si="167"/>
        <v>4</v>
      </c>
      <c r="I320">
        <f t="shared" si="146"/>
        <v>360</v>
      </c>
      <c r="J320">
        <f t="shared" si="161"/>
        <v>0</v>
      </c>
      <c r="K320">
        <f t="shared" si="168"/>
        <v>3</v>
      </c>
      <c r="L320">
        <f t="shared" si="147"/>
        <v>360</v>
      </c>
      <c r="M320">
        <f t="shared" si="162"/>
        <v>0</v>
      </c>
      <c r="N320">
        <f t="shared" si="169"/>
        <v>2</v>
      </c>
      <c r="O320">
        <f t="shared" si="148"/>
        <v>300</v>
      </c>
      <c r="P320">
        <f t="shared" si="170"/>
        <v>0</v>
      </c>
      <c r="Q320">
        <f t="shared" si="171"/>
        <v>2</v>
      </c>
      <c r="R320">
        <f t="shared" si="149"/>
        <v>300</v>
      </c>
      <c r="S320">
        <f t="shared" si="172"/>
        <v>0</v>
      </c>
      <c r="T320">
        <f t="shared" si="173"/>
        <v>-1</v>
      </c>
      <c r="U320">
        <f t="shared" si="163"/>
        <v>1</v>
      </c>
      <c r="V320">
        <f t="shared" si="164"/>
        <v>1</v>
      </c>
      <c r="W320">
        <f t="shared" si="150"/>
        <v>0</v>
      </c>
      <c r="X320">
        <f t="shared" si="174"/>
        <v>0</v>
      </c>
      <c r="Y320">
        <f t="shared" si="151"/>
        <v>0</v>
      </c>
      <c r="Z320">
        <f t="shared" si="152"/>
        <v>0</v>
      </c>
      <c r="AA320">
        <f t="shared" si="153"/>
        <v>0</v>
      </c>
      <c r="AB320" s="29">
        <f t="shared" si="154"/>
        <v>0</v>
      </c>
      <c r="AC320" s="25">
        <f t="shared" si="155"/>
        <v>0</v>
      </c>
      <c r="AD320" s="29">
        <f t="shared" si="156"/>
        <v>0</v>
      </c>
      <c r="AE320" s="25">
        <f t="shared" si="165"/>
        <v>0</v>
      </c>
      <c r="AF320" s="25">
        <f t="shared" si="157"/>
        <v>0</v>
      </c>
      <c r="AG320" s="25">
        <f>IF($A320&lt;0,0,IF(instatk="bs",(1.5+talSCallInstBon)*(MHavg+(ap+Z320-$Z$1)/APtoDPS*MHnorm+170)*(1+sa*0.1+0.04*opp+0.02*agg+Slayer4value-1),IF(instatk="hemo",Slayer4value*(MHavg+(ap+Z320-$Z$1)/APtoDPS*MHnorm)*(1.1+talSCallInstBon)+420*(1+raidcrit)*debuffon,IF(instatk="ss",(MHavg+(ap+Z320-$Z$1)/APtoDPS*MHnorm+98)*(1+sa*0.1+0.02*agg+Slayer4value-1),IF(instatk="v",(ohavg+(ap+Z320-$Z$1)/APtoDPS*OHnorm)*(1+sa*0.1)*(0.5+0.05*dws)+avipdam,Slayer4value*((1+0.04*opp)*(MHavg+101+(ap+Z320-$Z$1)/APtoDPS*MHnorm+(0.5+0.05*dws)*(ohavg+(ap+Z320-$Z$1)/APtoDPS*OHnorm)+101*(1+0.1*dws))*(1+0.5*IF(Talents!$O$18="Yes",1,0)))))))*(instactualhit+(1+((leth*0.06+2)-1)*(cfact-1))*instactualcrit)*fwfactor*AB320*instsec*(AF320/$AN$45))</f>
        <v>0</v>
      </c>
      <c r="AH320" s="25">
        <f t="shared" si="175"/>
        <v>0</v>
      </c>
      <c r="AI320" s="25">
        <f t="shared" si="176"/>
        <v>0</v>
      </c>
      <c r="AJ320" s="25">
        <f t="shared" si="177"/>
        <v>0</v>
      </c>
    </row>
    <row r="321" spans="1:36">
      <c r="A321">
        <f t="shared" si="158"/>
        <v>-1</v>
      </c>
      <c r="B321">
        <f t="shared" si="166"/>
        <v>6</v>
      </c>
      <c r="C321">
        <f t="shared" si="144"/>
        <v>300</v>
      </c>
      <c r="D321">
        <f t="shared" si="159"/>
        <v>0</v>
      </c>
      <c r="E321">
        <f t="shared" si="178"/>
        <v>5</v>
      </c>
      <c r="F321">
        <f t="shared" si="145"/>
        <v>360</v>
      </c>
      <c r="G321">
        <f t="shared" si="160"/>
        <v>0</v>
      </c>
      <c r="H321">
        <f t="shared" si="167"/>
        <v>4</v>
      </c>
      <c r="I321">
        <f t="shared" si="146"/>
        <v>360</v>
      </c>
      <c r="J321">
        <f t="shared" si="161"/>
        <v>0</v>
      </c>
      <c r="K321">
        <f t="shared" si="168"/>
        <v>3</v>
      </c>
      <c r="L321">
        <f t="shared" si="147"/>
        <v>360</v>
      </c>
      <c r="M321">
        <f t="shared" si="162"/>
        <v>0</v>
      </c>
      <c r="N321">
        <f t="shared" si="169"/>
        <v>2</v>
      </c>
      <c r="O321">
        <f t="shared" si="148"/>
        <v>300</v>
      </c>
      <c r="P321">
        <f t="shared" si="170"/>
        <v>0</v>
      </c>
      <c r="Q321">
        <f t="shared" si="171"/>
        <v>2</v>
      </c>
      <c r="R321">
        <f t="shared" si="149"/>
        <v>300</v>
      </c>
      <c r="S321">
        <f t="shared" si="172"/>
        <v>0</v>
      </c>
      <c r="T321">
        <f t="shared" si="173"/>
        <v>-1</v>
      </c>
      <c r="U321">
        <f t="shared" si="163"/>
        <v>1</v>
      </c>
      <c r="V321">
        <f t="shared" si="164"/>
        <v>1</v>
      </c>
      <c r="W321">
        <f t="shared" si="150"/>
        <v>0</v>
      </c>
      <c r="X321">
        <f t="shared" si="174"/>
        <v>0</v>
      </c>
      <c r="Y321">
        <f t="shared" si="151"/>
        <v>0</v>
      </c>
      <c r="Z321">
        <f t="shared" si="152"/>
        <v>0</v>
      </c>
      <c r="AA321">
        <f t="shared" si="153"/>
        <v>0</v>
      </c>
      <c r="AB321" s="29">
        <f t="shared" si="154"/>
        <v>0</v>
      </c>
      <c r="AC321" s="25">
        <f t="shared" si="155"/>
        <v>0</v>
      </c>
      <c r="AD321" s="29">
        <f t="shared" si="156"/>
        <v>0</v>
      </c>
      <c r="AE321" s="25">
        <f t="shared" si="165"/>
        <v>0</v>
      </c>
      <c r="AF321" s="25">
        <f t="shared" si="157"/>
        <v>0</v>
      </c>
      <c r="AG321" s="25">
        <f>IF($A321&lt;0,0,IF(instatk="bs",(1.5+talSCallInstBon)*(MHavg+(ap+Z321-$Z$1)/APtoDPS*MHnorm+170)*(1+sa*0.1+0.04*opp+0.02*agg+Slayer4value-1),IF(instatk="hemo",Slayer4value*(MHavg+(ap+Z321-$Z$1)/APtoDPS*MHnorm)*(1.1+talSCallInstBon)+420*(1+raidcrit)*debuffon,IF(instatk="ss",(MHavg+(ap+Z321-$Z$1)/APtoDPS*MHnorm+98)*(1+sa*0.1+0.02*agg+Slayer4value-1),IF(instatk="v",(ohavg+(ap+Z321-$Z$1)/APtoDPS*OHnorm)*(1+sa*0.1)*(0.5+0.05*dws)+avipdam,Slayer4value*((1+0.04*opp)*(MHavg+101+(ap+Z321-$Z$1)/APtoDPS*MHnorm+(0.5+0.05*dws)*(ohavg+(ap+Z321-$Z$1)/APtoDPS*OHnorm)+101*(1+0.1*dws))*(1+0.5*IF(Talents!$O$18="Yes",1,0)))))))*(instactualhit+(1+((leth*0.06+2)-1)*(cfact-1))*instactualcrit)*fwfactor*AB321*instsec*(AF321/$AN$45))</f>
        <v>0</v>
      </c>
      <c r="AH321" s="25">
        <f t="shared" si="175"/>
        <v>0</v>
      </c>
      <c r="AI321" s="25">
        <f t="shared" si="176"/>
        <v>0</v>
      </c>
      <c r="AJ321" s="25">
        <f t="shared" si="177"/>
        <v>0</v>
      </c>
    </row>
    <row r="322" spans="1:36">
      <c r="A322">
        <f t="shared" si="158"/>
        <v>-1</v>
      </c>
      <c r="B322">
        <f t="shared" si="166"/>
        <v>6</v>
      </c>
      <c r="C322">
        <f t="shared" si="144"/>
        <v>300</v>
      </c>
      <c r="D322">
        <f t="shared" si="159"/>
        <v>0</v>
      </c>
      <c r="E322">
        <f t="shared" si="178"/>
        <v>5</v>
      </c>
      <c r="F322">
        <f t="shared" si="145"/>
        <v>360</v>
      </c>
      <c r="G322">
        <f t="shared" si="160"/>
        <v>0</v>
      </c>
      <c r="H322">
        <f t="shared" si="167"/>
        <v>4</v>
      </c>
      <c r="I322">
        <f t="shared" si="146"/>
        <v>360</v>
      </c>
      <c r="J322">
        <f t="shared" si="161"/>
        <v>0</v>
      </c>
      <c r="K322">
        <f t="shared" si="168"/>
        <v>3</v>
      </c>
      <c r="L322">
        <f t="shared" si="147"/>
        <v>360</v>
      </c>
      <c r="M322">
        <f t="shared" si="162"/>
        <v>0</v>
      </c>
      <c r="N322">
        <f t="shared" si="169"/>
        <v>2</v>
      </c>
      <c r="O322">
        <f t="shared" si="148"/>
        <v>300</v>
      </c>
      <c r="P322">
        <f t="shared" si="170"/>
        <v>0</v>
      </c>
      <c r="Q322">
        <f t="shared" si="171"/>
        <v>2</v>
      </c>
      <c r="R322">
        <f t="shared" si="149"/>
        <v>300</v>
      </c>
      <c r="S322">
        <f t="shared" si="172"/>
        <v>0</v>
      </c>
      <c r="T322">
        <f t="shared" si="173"/>
        <v>-1</v>
      </c>
      <c r="U322">
        <f t="shared" si="163"/>
        <v>1</v>
      </c>
      <c r="V322">
        <f t="shared" si="164"/>
        <v>1</v>
      </c>
      <c r="W322">
        <f t="shared" si="150"/>
        <v>0</v>
      </c>
      <c r="X322">
        <f t="shared" si="174"/>
        <v>0</v>
      </c>
      <c r="Y322">
        <f t="shared" si="151"/>
        <v>0</v>
      </c>
      <c r="Z322">
        <f t="shared" si="152"/>
        <v>0</v>
      </c>
      <c r="AA322">
        <f t="shared" si="153"/>
        <v>0</v>
      </c>
      <c r="AB322" s="29">
        <f t="shared" si="154"/>
        <v>0</v>
      </c>
      <c r="AC322" s="25">
        <f t="shared" si="155"/>
        <v>0</v>
      </c>
      <c r="AD322" s="29">
        <f t="shared" si="156"/>
        <v>0</v>
      </c>
      <c r="AE322" s="25">
        <f t="shared" si="165"/>
        <v>0</v>
      </c>
      <c r="AF322" s="25">
        <f t="shared" si="157"/>
        <v>0</v>
      </c>
      <c r="AG322" s="25">
        <f>IF($A322&lt;0,0,IF(instatk="bs",(1.5+talSCallInstBon)*(MHavg+(ap+Z322-$Z$1)/APtoDPS*MHnorm+170)*(1+sa*0.1+0.04*opp+0.02*agg+Slayer4value-1),IF(instatk="hemo",Slayer4value*(MHavg+(ap+Z322-$Z$1)/APtoDPS*MHnorm)*(1.1+talSCallInstBon)+420*(1+raidcrit)*debuffon,IF(instatk="ss",(MHavg+(ap+Z322-$Z$1)/APtoDPS*MHnorm+98)*(1+sa*0.1+0.02*agg+Slayer4value-1),IF(instatk="v",(ohavg+(ap+Z322-$Z$1)/APtoDPS*OHnorm)*(1+sa*0.1)*(0.5+0.05*dws)+avipdam,Slayer4value*((1+0.04*opp)*(MHavg+101+(ap+Z322-$Z$1)/APtoDPS*MHnorm+(0.5+0.05*dws)*(ohavg+(ap+Z322-$Z$1)/APtoDPS*OHnorm)+101*(1+0.1*dws))*(1+0.5*IF(Talents!$O$18="Yes",1,0)))))))*(instactualhit+(1+((leth*0.06+2)-1)*(cfact-1))*instactualcrit)*fwfactor*AB322*instsec*(AF322/$AN$45))</f>
        <v>0</v>
      </c>
      <c r="AH322" s="25">
        <f t="shared" si="175"/>
        <v>0</v>
      </c>
      <c r="AI322" s="25">
        <f t="shared" si="176"/>
        <v>0</v>
      </c>
      <c r="AJ322" s="25">
        <f t="shared" si="177"/>
        <v>0</v>
      </c>
    </row>
    <row r="323" spans="1:36">
      <c r="A323">
        <f t="shared" si="158"/>
        <v>-1</v>
      </c>
      <c r="B323">
        <f t="shared" si="166"/>
        <v>6</v>
      </c>
      <c r="C323">
        <f t="shared" ref="C323:C386" si="179">IF(AND(cdspec60,cdspec60plus),CHOOSE($B323,cdspec601,cdspec602,cdspec603,cdspec604,cdspec605,cdspec606,cdspec607,cdspec608,cdspec609,cdspec6010),($B323-1)*60+IF(cdspec60,cdspec601,0))</f>
        <v>300</v>
      </c>
      <c r="D323">
        <f t="shared" si="159"/>
        <v>0</v>
      </c>
      <c r="E323">
        <f t="shared" si="178"/>
        <v>5</v>
      </c>
      <c r="F323">
        <f t="shared" ref="F323:F386" si="180">IF(AND(cdspec90,cdspec90plus),CHOOSE(E323,cdspec901,cdspec902,cdspec903,cdspec904,cdspec905,cdspec906),(E323-1)*IF(cdtreat90as120,120,90)+IF(cdspec90,cdspec901,0))</f>
        <v>360</v>
      </c>
      <c r="G323">
        <f t="shared" si="160"/>
        <v>0</v>
      </c>
      <c r="H323">
        <f t="shared" si="167"/>
        <v>4</v>
      </c>
      <c r="I323">
        <f t="shared" ref="I323:I386" si="181">IF(AND(cdspec120,cdspec120plus),CHOOSE(H323,cdspec1201,cdspec1202,cdspec1203,cdspec1204,cdspec1205),(H323-1)*120+IF(cdspec120,cdspec1201,0))</f>
        <v>360</v>
      </c>
      <c r="J323">
        <f t="shared" si="161"/>
        <v>0</v>
      </c>
      <c r="K323">
        <f t="shared" si="168"/>
        <v>3</v>
      </c>
      <c r="L323">
        <f t="shared" ref="L323:L386" si="182">IF(AND(cdspec180,cdspec180plus),CHOOSE(K323,cdspec1801,cdspec1802,cdspec1803,cdspec1804),(K323-1)*IF(cdtreat180as240,240,180)+IF(cdspec180,cdspec1801,0))</f>
        <v>360</v>
      </c>
      <c r="M323">
        <f t="shared" si="162"/>
        <v>0</v>
      </c>
      <c r="N323">
        <f t="shared" si="169"/>
        <v>2</v>
      </c>
      <c r="O323">
        <f t="shared" ref="O323:O386" si="183">IF(cdspecar,CHOOSE(N323,cdar1,cdar2),(N323-1)*300)</f>
        <v>300</v>
      </c>
      <c r="P323">
        <f t="shared" si="170"/>
        <v>0</v>
      </c>
      <c r="Q323">
        <f t="shared" si="171"/>
        <v>2</v>
      </c>
      <c r="R323">
        <f t="shared" ref="R323:R386" si="184">IF(cdspectea,CHOOSE(Q323,cdtea1,cdtea2),(Q323-1)*300)</f>
        <v>300</v>
      </c>
      <c r="S323">
        <f t="shared" si="172"/>
        <v>0</v>
      </c>
      <c r="T323">
        <f t="shared" si="173"/>
        <v>-1</v>
      </c>
      <c r="U323">
        <f t="shared" si="163"/>
        <v>1</v>
      </c>
      <c r="V323">
        <f t="shared" si="164"/>
        <v>1</v>
      </c>
      <c r="W323">
        <f t="shared" ref="W323:W386" si="185">IF(V323=0,-1,IF(cdspeclust,CHOOSE(V323,cdlust1,cdlust2,cdlust3,cdlust4,cdlust5,cdlust6,cdlust7,cdlust8,cdlust9,cdlust10,cdlust11,cdlust12,cdlust13,cdlust14,cdlust15),(V323-1)*120))</f>
        <v>0</v>
      </c>
      <c r="X323">
        <f t="shared" si="174"/>
        <v>0</v>
      </c>
      <c r="Y323">
        <f t="shared" ref="Y323:Y386" si="186">IF($A323&lt;0, 0, IF($J323=0, 0, $AO$16*($J323&lt;=$AT$16)-IF($AW$14, $AO$3*($J323&lt;=$AT$3)))+IF($U323=0, 0, $AO$3))</f>
        <v>0</v>
      </c>
      <c r="Z323">
        <f t="shared" ref="Z323:Z386" si="187">IF($A323&lt;0, 0, IF($D323=0, 0, $AP$6*($D323&lt;=$AT$6)-IF($AW$5, $AP$3*($D323&lt;=$AT$3)))+IF($G323=0, 0, ($AP$9+$AP$10+$AP$11+$AP$12)*($G323&lt;=$AT$9)-IF($AW$8, $AP$3*($G323&lt;=$AT$3)))+IF($J323=0, 0, ($AP$17+$AP$18+$AP$19+$AP$24)*($J323&lt;=$AT$17)+($AP$23+$AP$25+$AP$27)*($J323&lt;=$AT$23)+$AP$30*($J323&lt;=$AT$30)+$AP$21*ROUNDUP($J323/2,0)*($J323&lt;=$AT$21)-IF($AW$14, IF($AP$3=65,$AP$3*ROUNDUP($J323/2,0)*($J323&lt;=$AT$3),$AP$3*($J323&lt;=$AT$3))))+IF($M323=0, 0, $AP$34*($M323&lt;=$AT$34)-IF($AW$32, $AP$3*($M323&lt;=$AT$3)))+IF($U323=0, 0, IF($AP$3=65,$AP$3*ROUNDUP($U323/2,0),$AP$3)))</f>
        <v>0</v>
      </c>
      <c r="AA323">
        <f t="shared" ref="AA323:AA386" si="188">IF($A323&lt;0,0,IF($J323=0,0,$AQ$20*($J323&lt;=$AT$20)-IF($AW$14,$AQ$3*($J323&lt;=$AT$3)))+IF($M323=0,0,$AQ$33*($M323&lt;=$AT$33))+IF($U323=0,0,$AQ$3))</f>
        <v>0</v>
      </c>
      <c r="AB323" s="29">
        <f t="shared" ref="AB323:AB386" si="189">IF($A323&lt;0,0,1-MAX($AN$44-AA323,0)/(MAX($AN$44-AA323,0)+467.5*CharLevel-22167.5))</f>
        <v>0</v>
      </c>
      <c r="AC323" s="25">
        <f t="shared" ref="AC323:AC386" si="190">IF($A323&lt;0,0,$AN$43+IF($J323=0, 0, $AR$15*($J323&lt;=$AT$15)+$AR$22*($J323&lt;=$AT$22)+$AR$28*($J323&lt;=$AT$28)+$AR$29*($J323&lt;=$AT$29)-IF($AW$14, $AR$3*($J323&lt;=$AT$3))))</f>
        <v>0</v>
      </c>
      <c r="AD323" s="29">
        <f t="shared" ref="AD323:AD386" si="191">IF($A323&lt;0,0,(1+$AC323/(hasterate*100))*(1+$AS$26/100*AND($J323&gt;0,$J323&lt;=$AT$26))*(1+$AS$35/100*AND($M323&gt;0,$M323&lt;=$AT$35))*(1+0.3*($X323&gt;0)))</f>
        <v>0</v>
      </c>
      <c r="AE323" s="25">
        <f t="shared" si="165"/>
        <v>0</v>
      </c>
      <c r="AF323" s="25">
        <f t="shared" ref="AF323:AF386" si="192">MIN(instcost,AE323)</f>
        <v>0</v>
      </c>
      <c r="AG323" s="25">
        <f>IF($A323&lt;0,0,IF(instatk="bs",(1.5+talSCallInstBon)*(MHavg+(ap+Z323-$Z$1)/APtoDPS*MHnorm+170)*(1+sa*0.1+0.04*opp+0.02*agg+Slayer4value-1),IF(instatk="hemo",Slayer4value*(MHavg+(ap+Z323-$Z$1)/APtoDPS*MHnorm)*(1.1+talSCallInstBon)+420*(1+raidcrit)*debuffon,IF(instatk="ss",(MHavg+(ap+Z323-$Z$1)/APtoDPS*MHnorm+98)*(1+sa*0.1+0.02*agg+Slayer4value-1),IF(instatk="v",(ohavg+(ap+Z323-$Z$1)/APtoDPS*OHnorm)*(1+sa*0.1)*(0.5+0.05*dws)+avipdam,Slayer4value*((1+0.04*opp)*(MHavg+101+(ap+Z323-$Z$1)/APtoDPS*MHnorm+(0.5+0.05*dws)*(ohavg+(ap+Z323-$Z$1)/APtoDPS*OHnorm)+101*(1+0.1*dws))*(1+0.5*IF(Talents!$O$18="Yes",1,0)))))))*(instactualhit+(1+((leth*0.06+2)-1)*(cfact-1))*instactualcrit)*fwfactor*AB323*instsec*(AF323/$AN$45))</f>
        <v>0</v>
      </c>
      <c r="AH323" s="25">
        <f t="shared" si="175"/>
        <v>0</v>
      </c>
      <c r="AI323" s="25">
        <f t="shared" si="176"/>
        <v>0</v>
      </c>
      <c r="AJ323" s="25">
        <f t="shared" si="177"/>
        <v>0</v>
      </c>
    </row>
    <row r="324" spans="1:36">
      <c r="A324">
        <f t="shared" ref="A324:A387" si="193">IF(A323&lt;0,-1,IF(A323+1&gt;=time,-1,A323+1))</f>
        <v>-1</v>
      </c>
      <c r="B324">
        <f t="shared" si="166"/>
        <v>6</v>
      </c>
      <c r="C324">
        <f t="shared" si="179"/>
        <v>300</v>
      </c>
      <c r="D324">
        <f t="shared" ref="D324:D387" si="194">IF($A324=$C324,1,IF(AND($D323&gt;0,$D323&lt;30),$D323+1,0))</f>
        <v>0</v>
      </c>
      <c r="E324">
        <f t="shared" si="178"/>
        <v>5</v>
      </c>
      <c r="F324">
        <f t="shared" si="180"/>
        <v>360</v>
      </c>
      <c r="G324">
        <f t="shared" ref="G324:G387" si="195">IF($A324=F324,1,IF(AND(G323&gt;0,G323&lt;30),G323+1,0))</f>
        <v>0</v>
      </c>
      <c r="H324">
        <f t="shared" si="167"/>
        <v>4</v>
      </c>
      <c r="I324">
        <f t="shared" si="181"/>
        <v>360</v>
      </c>
      <c r="J324">
        <f t="shared" ref="J324:J387" si="196">IF($A324=I324,1,IF(AND(J323&gt;0,J323&lt;30),J323+1,0))</f>
        <v>0</v>
      </c>
      <c r="K324">
        <f t="shared" si="168"/>
        <v>3</v>
      </c>
      <c r="L324">
        <f t="shared" si="182"/>
        <v>360</v>
      </c>
      <c r="M324">
        <f t="shared" ref="M324:M387" si="197">IF($A324=L324,1,IF(AND(M323&gt;0,M323&lt;30),M323+1,0))</f>
        <v>0</v>
      </c>
      <c r="N324">
        <f t="shared" si="169"/>
        <v>2</v>
      </c>
      <c r="O324">
        <f t="shared" si="183"/>
        <v>300</v>
      </c>
      <c r="P324">
        <f t="shared" si="170"/>
        <v>0</v>
      </c>
      <c r="Q324">
        <f t="shared" si="171"/>
        <v>2</v>
      </c>
      <c r="R324">
        <f t="shared" si="184"/>
        <v>300</v>
      </c>
      <c r="S324">
        <f t="shared" si="172"/>
        <v>0</v>
      </c>
      <c r="T324">
        <f t="shared" si="173"/>
        <v>-1</v>
      </c>
      <c r="U324">
        <f t="shared" ref="U324:U387" si="198">IF($A324=T324,1,IF(AND(U323&gt;0,U323&lt;$AT$3),U323+1,0))</f>
        <v>1</v>
      </c>
      <c r="V324">
        <f t="shared" ref="V324:V387" si="199">MIN(IF(X323=1,V323+1,V323),blustcount)</f>
        <v>1</v>
      </c>
      <c r="W324">
        <f t="shared" si="185"/>
        <v>0</v>
      </c>
      <c r="X324">
        <f t="shared" si="174"/>
        <v>0</v>
      </c>
      <c r="Y324">
        <f t="shared" si="186"/>
        <v>0</v>
      </c>
      <c r="Z324">
        <f t="shared" si="187"/>
        <v>0</v>
      </c>
      <c r="AA324">
        <f t="shared" si="188"/>
        <v>0</v>
      </c>
      <c r="AB324" s="29">
        <f t="shared" si="189"/>
        <v>0</v>
      </c>
      <c r="AC324" s="25">
        <f t="shared" si="190"/>
        <v>0</v>
      </c>
      <c r="AD324" s="29">
        <f t="shared" si="191"/>
        <v>0</v>
      </c>
      <c r="AE324" s="25">
        <f t="shared" ref="AE324:AE387" si="200">IF($A324&lt;0,0,$AN$45+IF($P324&gt;0,$AN$37*$AL$37,0)+$S324*(60-IF(CharLevel&gt;60,(CharLevel-60)*2,0))*$AL$38+IF($J324=1,$AL$26*-25+IF($AL$39, 30, 0),0)+IF($M324=1,$AL$35*-10,0)+IF(AE323&gt;instcost,AE323-instcost,0))</f>
        <v>0</v>
      </c>
      <c r="AF324" s="25">
        <f t="shared" si="192"/>
        <v>0</v>
      </c>
      <c r="AG324" s="25">
        <f>IF($A324&lt;0,0,IF(instatk="bs",(1.5+talSCallInstBon)*(MHavg+(ap+Z324-$Z$1)/APtoDPS*MHnorm+170)*(1+sa*0.1+0.04*opp+0.02*agg+Slayer4value-1),IF(instatk="hemo",Slayer4value*(MHavg+(ap+Z324-$Z$1)/APtoDPS*MHnorm)*(1.1+talSCallInstBon)+420*(1+raidcrit)*debuffon,IF(instatk="ss",(MHavg+(ap+Z324-$Z$1)/APtoDPS*MHnorm+98)*(1+sa*0.1+0.02*agg+Slayer4value-1),IF(instatk="v",(ohavg+(ap+Z324-$Z$1)/APtoDPS*OHnorm)*(1+sa*0.1)*(0.5+0.05*dws)+avipdam,Slayer4value*((1+0.04*opp)*(MHavg+101+(ap+Z324-$Z$1)/APtoDPS*MHnorm+(0.5+0.05*dws)*(ohavg+(ap+Z324-$Z$1)/APtoDPS*OHnorm)+101*(1+0.1*dws))*(1+0.5*IF(Talents!$O$18="Yes",1,0)))))))*(instactualhit+(1+((leth*0.06+2)-1)*(cfact-1))*instactualcrit)*fwfactor*AB324*instsec*(AF324/$AN$45))</f>
        <v>0</v>
      </c>
      <c r="AH324" s="25">
        <f t="shared" si="175"/>
        <v>0</v>
      </c>
      <c r="AI324" s="25">
        <f t="shared" si="176"/>
        <v>0</v>
      </c>
      <c r="AJ324" s="25">
        <f t="shared" si="177"/>
        <v>0</v>
      </c>
    </row>
    <row r="325" spans="1:36">
      <c r="A325">
        <f t="shared" si="193"/>
        <v>-1</v>
      </c>
      <c r="B325">
        <f t="shared" ref="B325:B388" si="201">MIN(IF(D324=1,B324+1,B324),10)</f>
        <v>6</v>
      </c>
      <c r="C325">
        <f t="shared" si="179"/>
        <v>300</v>
      </c>
      <c r="D325">
        <f t="shared" si="194"/>
        <v>0</v>
      </c>
      <c r="E325">
        <f t="shared" si="178"/>
        <v>5</v>
      </c>
      <c r="F325">
        <f t="shared" si="180"/>
        <v>360</v>
      </c>
      <c r="G325">
        <f t="shared" si="195"/>
        <v>0</v>
      </c>
      <c r="H325">
        <f t="shared" ref="H325:H388" si="202">MIN(IF(J324=1,H324+1,H324),5)</f>
        <v>4</v>
      </c>
      <c r="I325">
        <f t="shared" si="181"/>
        <v>360</v>
      </c>
      <c r="J325">
        <f t="shared" si="196"/>
        <v>0</v>
      </c>
      <c r="K325">
        <f t="shared" ref="K325:K388" si="203">MIN(IF(M324=1,K324+1,K324),4)</f>
        <v>3</v>
      </c>
      <c r="L325">
        <f t="shared" si="182"/>
        <v>360</v>
      </c>
      <c r="M325">
        <f t="shared" si="197"/>
        <v>0</v>
      </c>
      <c r="N325">
        <f t="shared" ref="N325:N388" si="204">MIN(IF(P324=1,N324+1,N324),2)</f>
        <v>2</v>
      </c>
      <c r="O325">
        <f t="shared" si="183"/>
        <v>300</v>
      </c>
      <c r="P325">
        <f t="shared" ref="P325:P388" si="205">IF($A325=O325,1,IF(AND(P324&gt;0,P324&lt;15),P324+1,0))</f>
        <v>0</v>
      </c>
      <c r="Q325">
        <f t="shared" ref="Q325:Q388" si="206">MIN(IF(S324=1,Q324+1,Q324),2)</f>
        <v>2</v>
      </c>
      <c r="R325">
        <f t="shared" si="184"/>
        <v>300</v>
      </c>
      <c r="S325">
        <f t="shared" ref="S325:S388" si="207">IF($A325=R325,1,IF(AND(S324&gt;0,S324&lt;1),S324+1,0))</f>
        <v>0</v>
      </c>
      <c r="T325">
        <f t="shared" ref="T325:T388" si="208">IF($AU$3, IF(AND(T324&gt;IF($AV$5,C325,IF($AV$8,F325,IF($AV$14,I325,IF($AV$32,L325))))-$AT$3,T324&lt;IF($AV$5,C325,IF($AV$8,F325,IF($AV$14,I325,IF($AV$32,L325))))+$AU$3), IF($AV$5,C325,IF($AV$8,F325,IF($AV$14,I325,IF($AV$32,L325))))+$AU$3, T324)+IF(T324-A324=0, IF($AW$5,60,IF($AW$8,90,IF($AW$14,120,IF($AW$32,180))))), -1)</f>
        <v>-1</v>
      </c>
      <c r="U325">
        <f t="shared" si="198"/>
        <v>1</v>
      </c>
      <c r="V325">
        <f t="shared" si="199"/>
        <v>1</v>
      </c>
      <c r="W325">
        <f t="shared" si="185"/>
        <v>0</v>
      </c>
      <c r="X325">
        <f t="shared" ref="X325:X388" si="209">IF($A325=W325,1,IF(AND(X324&gt;0,X324&lt;40),X324+1,0))</f>
        <v>0</v>
      </c>
      <c r="Y325">
        <f t="shared" si="186"/>
        <v>0</v>
      </c>
      <c r="Z325">
        <f t="shared" si="187"/>
        <v>0</v>
      </c>
      <c r="AA325">
        <f t="shared" si="188"/>
        <v>0</v>
      </c>
      <c r="AB325" s="29">
        <f t="shared" si="189"/>
        <v>0</v>
      </c>
      <c r="AC325" s="25">
        <f t="shared" si="190"/>
        <v>0</v>
      </c>
      <c r="AD325" s="29">
        <f t="shared" si="191"/>
        <v>0</v>
      </c>
      <c r="AE325" s="25">
        <f t="shared" si="200"/>
        <v>0</v>
      </c>
      <c r="AF325" s="25">
        <f t="shared" si="192"/>
        <v>0</v>
      </c>
      <c r="AG325" s="25">
        <f>IF($A325&lt;0,0,IF(instatk="bs",(1.5+talSCallInstBon)*(MHavg+(ap+Z325-$Z$1)/APtoDPS*MHnorm+170)*(1+sa*0.1+0.04*opp+0.02*agg+Slayer4value-1),IF(instatk="hemo",Slayer4value*(MHavg+(ap+Z325-$Z$1)/APtoDPS*MHnorm)*(1.1+talSCallInstBon)+420*(1+raidcrit)*debuffon,IF(instatk="ss",(MHavg+(ap+Z325-$Z$1)/APtoDPS*MHnorm+98)*(1+sa*0.1+0.02*agg+Slayer4value-1),IF(instatk="v",(ohavg+(ap+Z325-$Z$1)/APtoDPS*OHnorm)*(1+sa*0.1)*(0.5+0.05*dws)+avipdam,Slayer4value*((1+0.04*opp)*(MHavg+101+(ap+Z325-$Z$1)/APtoDPS*MHnorm+(0.5+0.05*dws)*(ohavg+(ap+Z325-$Z$1)/APtoDPS*OHnorm)+101*(1+0.1*dws))*(1+0.5*IF(Talents!$O$18="Yes",1,0)))))))*(instactualhit+(1+((leth*0.06+2)-1)*(cfact-1))*instactualcrit)*fwfactor*AB325*instsec*(AF325/$AN$45))</f>
        <v>0</v>
      </c>
      <c r="AH325" s="25">
        <f t="shared" ref="AH325:AH388" si="210">IF(AH324-$AF325&lt;0,0,AH324-$AF325)</f>
        <v>0</v>
      </c>
      <c r="AI325" s="25">
        <f t="shared" ref="AI325:AI388" si="211">IF(AI324-AF325&lt;0,0,AI324-AF325)</f>
        <v>0</v>
      </c>
      <c r="AJ325" s="25">
        <f t="shared" ref="AJ325:AJ388" si="212">IF(AJ324-$AF325&lt;0,0,AJ324-$AF325)</f>
        <v>0</v>
      </c>
    </row>
    <row r="326" spans="1:36">
      <c r="A326">
        <f t="shared" si="193"/>
        <v>-1</v>
      </c>
      <c r="B326">
        <f t="shared" si="201"/>
        <v>6</v>
      </c>
      <c r="C326">
        <f t="shared" si="179"/>
        <v>300</v>
      </c>
      <c r="D326">
        <f t="shared" si="194"/>
        <v>0</v>
      </c>
      <c r="E326">
        <f t="shared" ref="E326:E389" si="213">MIN(IF(G325=1,E325+1,E325),6)</f>
        <v>5</v>
      </c>
      <c r="F326">
        <f t="shared" si="180"/>
        <v>360</v>
      </c>
      <c r="G326">
        <f t="shared" si="195"/>
        <v>0</v>
      </c>
      <c r="H326">
        <f t="shared" si="202"/>
        <v>4</v>
      </c>
      <c r="I326">
        <f t="shared" si="181"/>
        <v>360</v>
      </c>
      <c r="J326">
        <f t="shared" si="196"/>
        <v>0</v>
      </c>
      <c r="K326">
        <f t="shared" si="203"/>
        <v>3</v>
      </c>
      <c r="L326">
        <f t="shared" si="182"/>
        <v>360</v>
      </c>
      <c r="M326">
        <f t="shared" si="197"/>
        <v>0</v>
      </c>
      <c r="N326">
        <f t="shared" si="204"/>
        <v>2</v>
      </c>
      <c r="O326">
        <f t="shared" si="183"/>
        <v>300</v>
      </c>
      <c r="P326">
        <f t="shared" si="205"/>
        <v>0</v>
      </c>
      <c r="Q326">
        <f t="shared" si="206"/>
        <v>2</v>
      </c>
      <c r="R326">
        <f t="shared" si="184"/>
        <v>300</v>
      </c>
      <c r="S326">
        <f t="shared" si="207"/>
        <v>0</v>
      </c>
      <c r="T326">
        <f t="shared" si="208"/>
        <v>-1</v>
      </c>
      <c r="U326">
        <f t="shared" si="198"/>
        <v>1</v>
      </c>
      <c r="V326">
        <f t="shared" si="199"/>
        <v>1</v>
      </c>
      <c r="W326">
        <f t="shared" si="185"/>
        <v>0</v>
      </c>
      <c r="X326">
        <f t="shared" si="209"/>
        <v>0</v>
      </c>
      <c r="Y326">
        <f t="shared" si="186"/>
        <v>0</v>
      </c>
      <c r="Z326">
        <f t="shared" si="187"/>
        <v>0</v>
      </c>
      <c r="AA326">
        <f t="shared" si="188"/>
        <v>0</v>
      </c>
      <c r="AB326" s="29">
        <f t="shared" si="189"/>
        <v>0</v>
      </c>
      <c r="AC326" s="25">
        <f t="shared" si="190"/>
        <v>0</v>
      </c>
      <c r="AD326" s="29">
        <f t="shared" si="191"/>
        <v>0</v>
      </c>
      <c r="AE326" s="25">
        <f t="shared" si="200"/>
        <v>0</v>
      </c>
      <c r="AF326" s="25">
        <f t="shared" si="192"/>
        <v>0</v>
      </c>
      <c r="AG326" s="25">
        <f>IF($A326&lt;0,0,IF(instatk="bs",(1.5+talSCallInstBon)*(MHavg+(ap+Z326-$Z$1)/APtoDPS*MHnorm+170)*(1+sa*0.1+0.04*opp+0.02*agg+Slayer4value-1),IF(instatk="hemo",Slayer4value*(MHavg+(ap+Z326-$Z$1)/APtoDPS*MHnorm)*(1.1+talSCallInstBon)+420*(1+raidcrit)*debuffon,IF(instatk="ss",(MHavg+(ap+Z326-$Z$1)/APtoDPS*MHnorm+98)*(1+sa*0.1+0.02*agg+Slayer4value-1),IF(instatk="v",(ohavg+(ap+Z326-$Z$1)/APtoDPS*OHnorm)*(1+sa*0.1)*(0.5+0.05*dws)+avipdam,Slayer4value*((1+0.04*opp)*(MHavg+101+(ap+Z326-$Z$1)/APtoDPS*MHnorm+(0.5+0.05*dws)*(ohavg+(ap+Z326-$Z$1)/APtoDPS*OHnorm)+101*(1+0.1*dws))*(1+0.5*IF(Talents!$O$18="Yes",1,0)))))))*(instactualhit+(1+((leth*0.06+2)-1)*(cfact-1))*instactualcrit)*fwfactor*AB326*instsec*(AF326/$AN$45))</f>
        <v>0</v>
      </c>
      <c r="AH326" s="25">
        <f t="shared" si="210"/>
        <v>0</v>
      </c>
      <c r="AI326" s="25">
        <f t="shared" si="211"/>
        <v>0</v>
      </c>
      <c r="AJ326" s="25">
        <f t="shared" si="212"/>
        <v>0</v>
      </c>
    </row>
    <row r="327" spans="1:36">
      <c r="A327">
        <f t="shared" si="193"/>
        <v>-1</v>
      </c>
      <c r="B327">
        <f t="shared" si="201"/>
        <v>6</v>
      </c>
      <c r="C327">
        <f t="shared" si="179"/>
        <v>300</v>
      </c>
      <c r="D327">
        <f t="shared" si="194"/>
        <v>0</v>
      </c>
      <c r="E327">
        <f t="shared" si="213"/>
        <v>5</v>
      </c>
      <c r="F327">
        <f t="shared" si="180"/>
        <v>360</v>
      </c>
      <c r="G327">
        <f t="shared" si="195"/>
        <v>0</v>
      </c>
      <c r="H327">
        <f t="shared" si="202"/>
        <v>4</v>
      </c>
      <c r="I327">
        <f t="shared" si="181"/>
        <v>360</v>
      </c>
      <c r="J327">
        <f t="shared" si="196"/>
        <v>0</v>
      </c>
      <c r="K327">
        <f t="shared" si="203"/>
        <v>3</v>
      </c>
      <c r="L327">
        <f t="shared" si="182"/>
        <v>360</v>
      </c>
      <c r="M327">
        <f t="shared" si="197"/>
        <v>0</v>
      </c>
      <c r="N327">
        <f t="shared" si="204"/>
        <v>2</v>
      </c>
      <c r="O327">
        <f t="shared" si="183"/>
        <v>300</v>
      </c>
      <c r="P327">
        <f t="shared" si="205"/>
        <v>0</v>
      </c>
      <c r="Q327">
        <f t="shared" si="206"/>
        <v>2</v>
      </c>
      <c r="R327">
        <f t="shared" si="184"/>
        <v>300</v>
      </c>
      <c r="S327">
        <f t="shared" si="207"/>
        <v>0</v>
      </c>
      <c r="T327">
        <f t="shared" si="208"/>
        <v>-1</v>
      </c>
      <c r="U327">
        <f t="shared" si="198"/>
        <v>1</v>
      </c>
      <c r="V327">
        <f t="shared" si="199"/>
        <v>1</v>
      </c>
      <c r="W327">
        <f t="shared" si="185"/>
        <v>0</v>
      </c>
      <c r="X327">
        <f t="shared" si="209"/>
        <v>0</v>
      </c>
      <c r="Y327">
        <f t="shared" si="186"/>
        <v>0</v>
      </c>
      <c r="Z327">
        <f t="shared" si="187"/>
        <v>0</v>
      </c>
      <c r="AA327">
        <f t="shared" si="188"/>
        <v>0</v>
      </c>
      <c r="AB327" s="29">
        <f t="shared" si="189"/>
        <v>0</v>
      </c>
      <c r="AC327" s="25">
        <f t="shared" si="190"/>
        <v>0</v>
      </c>
      <c r="AD327" s="29">
        <f t="shared" si="191"/>
        <v>0</v>
      </c>
      <c r="AE327" s="25">
        <f t="shared" si="200"/>
        <v>0</v>
      </c>
      <c r="AF327" s="25">
        <f t="shared" si="192"/>
        <v>0</v>
      </c>
      <c r="AG327" s="25">
        <f>IF($A327&lt;0,0,IF(instatk="bs",(1.5+talSCallInstBon)*(MHavg+(ap+Z327-$Z$1)/APtoDPS*MHnorm+170)*(1+sa*0.1+0.04*opp+0.02*agg+Slayer4value-1),IF(instatk="hemo",Slayer4value*(MHavg+(ap+Z327-$Z$1)/APtoDPS*MHnorm)*(1.1+talSCallInstBon)+420*(1+raidcrit)*debuffon,IF(instatk="ss",(MHavg+(ap+Z327-$Z$1)/APtoDPS*MHnorm+98)*(1+sa*0.1+0.02*agg+Slayer4value-1),IF(instatk="v",(ohavg+(ap+Z327-$Z$1)/APtoDPS*OHnorm)*(1+sa*0.1)*(0.5+0.05*dws)+avipdam,Slayer4value*((1+0.04*opp)*(MHavg+101+(ap+Z327-$Z$1)/APtoDPS*MHnorm+(0.5+0.05*dws)*(ohavg+(ap+Z327-$Z$1)/APtoDPS*OHnorm)+101*(1+0.1*dws))*(1+0.5*IF(Talents!$O$18="Yes",1,0)))))))*(instactualhit+(1+((leth*0.06+2)-1)*(cfact-1))*instactualcrit)*fwfactor*AB327*instsec*(AF327/$AN$45))</f>
        <v>0</v>
      </c>
      <c r="AH327" s="25">
        <f t="shared" si="210"/>
        <v>0</v>
      </c>
      <c r="AI327" s="25">
        <f t="shared" si="211"/>
        <v>0</v>
      </c>
      <c r="AJ327" s="25">
        <f t="shared" si="212"/>
        <v>0</v>
      </c>
    </row>
    <row r="328" spans="1:36">
      <c r="A328">
        <f t="shared" si="193"/>
        <v>-1</v>
      </c>
      <c r="B328">
        <f t="shared" si="201"/>
        <v>6</v>
      </c>
      <c r="C328">
        <f t="shared" si="179"/>
        <v>300</v>
      </c>
      <c r="D328">
        <f t="shared" si="194"/>
        <v>0</v>
      </c>
      <c r="E328">
        <f t="shared" si="213"/>
        <v>5</v>
      </c>
      <c r="F328">
        <f t="shared" si="180"/>
        <v>360</v>
      </c>
      <c r="G328">
        <f t="shared" si="195"/>
        <v>0</v>
      </c>
      <c r="H328">
        <f t="shared" si="202"/>
        <v>4</v>
      </c>
      <c r="I328">
        <f t="shared" si="181"/>
        <v>360</v>
      </c>
      <c r="J328">
        <f t="shared" si="196"/>
        <v>0</v>
      </c>
      <c r="K328">
        <f t="shared" si="203"/>
        <v>3</v>
      </c>
      <c r="L328">
        <f t="shared" si="182"/>
        <v>360</v>
      </c>
      <c r="M328">
        <f t="shared" si="197"/>
        <v>0</v>
      </c>
      <c r="N328">
        <f t="shared" si="204"/>
        <v>2</v>
      </c>
      <c r="O328">
        <f t="shared" si="183"/>
        <v>300</v>
      </c>
      <c r="P328">
        <f t="shared" si="205"/>
        <v>0</v>
      </c>
      <c r="Q328">
        <f t="shared" si="206"/>
        <v>2</v>
      </c>
      <c r="R328">
        <f t="shared" si="184"/>
        <v>300</v>
      </c>
      <c r="S328">
        <f t="shared" si="207"/>
        <v>0</v>
      </c>
      <c r="T328">
        <f t="shared" si="208"/>
        <v>-1</v>
      </c>
      <c r="U328">
        <f t="shared" si="198"/>
        <v>1</v>
      </c>
      <c r="V328">
        <f t="shared" si="199"/>
        <v>1</v>
      </c>
      <c r="W328">
        <f t="shared" si="185"/>
        <v>0</v>
      </c>
      <c r="X328">
        <f t="shared" si="209"/>
        <v>0</v>
      </c>
      <c r="Y328">
        <f t="shared" si="186"/>
        <v>0</v>
      </c>
      <c r="Z328">
        <f t="shared" si="187"/>
        <v>0</v>
      </c>
      <c r="AA328">
        <f t="shared" si="188"/>
        <v>0</v>
      </c>
      <c r="AB328" s="29">
        <f t="shared" si="189"/>
        <v>0</v>
      </c>
      <c r="AC328" s="25">
        <f t="shared" si="190"/>
        <v>0</v>
      </c>
      <c r="AD328" s="29">
        <f t="shared" si="191"/>
        <v>0</v>
      </c>
      <c r="AE328" s="25">
        <f t="shared" si="200"/>
        <v>0</v>
      </c>
      <c r="AF328" s="25">
        <f t="shared" si="192"/>
        <v>0</v>
      </c>
      <c r="AG328" s="25">
        <f>IF($A328&lt;0,0,IF(instatk="bs",(1.5+talSCallInstBon)*(MHavg+(ap+Z328-$Z$1)/APtoDPS*MHnorm+170)*(1+sa*0.1+0.04*opp+0.02*agg+Slayer4value-1),IF(instatk="hemo",Slayer4value*(MHavg+(ap+Z328-$Z$1)/APtoDPS*MHnorm)*(1.1+talSCallInstBon)+420*(1+raidcrit)*debuffon,IF(instatk="ss",(MHavg+(ap+Z328-$Z$1)/APtoDPS*MHnorm+98)*(1+sa*0.1+0.02*agg+Slayer4value-1),IF(instatk="v",(ohavg+(ap+Z328-$Z$1)/APtoDPS*OHnorm)*(1+sa*0.1)*(0.5+0.05*dws)+avipdam,Slayer4value*((1+0.04*opp)*(MHavg+101+(ap+Z328-$Z$1)/APtoDPS*MHnorm+(0.5+0.05*dws)*(ohavg+(ap+Z328-$Z$1)/APtoDPS*OHnorm)+101*(1+0.1*dws))*(1+0.5*IF(Talents!$O$18="Yes",1,0)))))))*(instactualhit+(1+((leth*0.06+2)-1)*(cfact-1))*instactualcrit)*fwfactor*AB328*instsec*(AF328/$AN$45))</f>
        <v>0</v>
      </c>
      <c r="AH328" s="25">
        <f t="shared" si="210"/>
        <v>0</v>
      </c>
      <c r="AI328" s="25">
        <f t="shared" si="211"/>
        <v>0</v>
      </c>
      <c r="AJ328" s="25">
        <f t="shared" si="212"/>
        <v>0</v>
      </c>
    </row>
    <row r="329" spans="1:36">
      <c r="A329">
        <f t="shared" si="193"/>
        <v>-1</v>
      </c>
      <c r="B329">
        <f t="shared" si="201"/>
        <v>6</v>
      </c>
      <c r="C329">
        <f t="shared" si="179"/>
        <v>300</v>
      </c>
      <c r="D329">
        <f t="shared" si="194"/>
        <v>0</v>
      </c>
      <c r="E329">
        <f t="shared" si="213"/>
        <v>5</v>
      </c>
      <c r="F329">
        <f t="shared" si="180"/>
        <v>360</v>
      </c>
      <c r="G329">
        <f t="shared" si="195"/>
        <v>0</v>
      </c>
      <c r="H329">
        <f t="shared" si="202"/>
        <v>4</v>
      </c>
      <c r="I329">
        <f t="shared" si="181"/>
        <v>360</v>
      </c>
      <c r="J329">
        <f t="shared" si="196"/>
        <v>0</v>
      </c>
      <c r="K329">
        <f t="shared" si="203"/>
        <v>3</v>
      </c>
      <c r="L329">
        <f t="shared" si="182"/>
        <v>360</v>
      </c>
      <c r="M329">
        <f t="shared" si="197"/>
        <v>0</v>
      </c>
      <c r="N329">
        <f t="shared" si="204"/>
        <v>2</v>
      </c>
      <c r="O329">
        <f t="shared" si="183"/>
        <v>300</v>
      </c>
      <c r="P329">
        <f t="shared" si="205"/>
        <v>0</v>
      </c>
      <c r="Q329">
        <f t="shared" si="206"/>
        <v>2</v>
      </c>
      <c r="R329">
        <f t="shared" si="184"/>
        <v>300</v>
      </c>
      <c r="S329">
        <f t="shared" si="207"/>
        <v>0</v>
      </c>
      <c r="T329">
        <f t="shared" si="208"/>
        <v>-1</v>
      </c>
      <c r="U329">
        <f t="shared" si="198"/>
        <v>1</v>
      </c>
      <c r="V329">
        <f t="shared" si="199"/>
        <v>1</v>
      </c>
      <c r="W329">
        <f t="shared" si="185"/>
        <v>0</v>
      </c>
      <c r="X329">
        <f t="shared" si="209"/>
        <v>0</v>
      </c>
      <c r="Y329">
        <f t="shared" si="186"/>
        <v>0</v>
      </c>
      <c r="Z329">
        <f t="shared" si="187"/>
        <v>0</v>
      </c>
      <c r="AA329">
        <f t="shared" si="188"/>
        <v>0</v>
      </c>
      <c r="AB329" s="29">
        <f t="shared" si="189"/>
        <v>0</v>
      </c>
      <c r="AC329" s="25">
        <f t="shared" si="190"/>
        <v>0</v>
      </c>
      <c r="AD329" s="29">
        <f t="shared" si="191"/>
        <v>0</v>
      </c>
      <c r="AE329" s="25">
        <f t="shared" si="200"/>
        <v>0</v>
      </c>
      <c r="AF329" s="25">
        <f t="shared" si="192"/>
        <v>0</v>
      </c>
      <c r="AG329" s="25">
        <f>IF($A329&lt;0,0,IF(instatk="bs",(1.5+talSCallInstBon)*(MHavg+(ap+Z329-$Z$1)/APtoDPS*MHnorm+170)*(1+sa*0.1+0.04*opp+0.02*agg+Slayer4value-1),IF(instatk="hemo",Slayer4value*(MHavg+(ap+Z329-$Z$1)/APtoDPS*MHnorm)*(1.1+talSCallInstBon)+420*(1+raidcrit)*debuffon,IF(instatk="ss",(MHavg+(ap+Z329-$Z$1)/APtoDPS*MHnorm+98)*(1+sa*0.1+0.02*agg+Slayer4value-1),IF(instatk="v",(ohavg+(ap+Z329-$Z$1)/APtoDPS*OHnorm)*(1+sa*0.1)*(0.5+0.05*dws)+avipdam,Slayer4value*((1+0.04*opp)*(MHavg+101+(ap+Z329-$Z$1)/APtoDPS*MHnorm+(0.5+0.05*dws)*(ohavg+(ap+Z329-$Z$1)/APtoDPS*OHnorm)+101*(1+0.1*dws))*(1+0.5*IF(Talents!$O$18="Yes",1,0)))))))*(instactualhit+(1+((leth*0.06+2)-1)*(cfact-1))*instactualcrit)*fwfactor*AB329*instsec*(AF329/$AN$45))</f>
        <v>0</v>
      </c>
      <c r="AH329" s="25">
        <f t="shared" si="210"/>
        <v>0</v>
      </c>
      <c r="AI329" s="25">
        <f t="shared" si="211"/>
        <v>0</v>
      </c>
      <c r="AJ329" s="25">
        <f t="shared" si="212"/>
        <v>0</v>
      </c>
    </row>
    <row r="330" spans="1:36">
      <c r="A330">
        <f t="shared" si="193"/>
        <v>-1</v>
      </c>
      <c r="B330">
        <f t="shared" si="201"/>
        <v>6</v>
      </c>
      <c r="C330">
        <f t="shared" si="179"/>
        <v>300</v>
      </c>
      <c r="D330">
        <f t="shared" si="194"/>
        <v>0</v>
      </c>
      <c r="E330">
        <f t="shared" si="213"/>
        <v>5</v>
      </c>
      <c r="F330">
        <f t="shared" si="180"/>
        <v>360</v>
      </c>
      <c r="G330">
        <f t="shared" si="195"/>
        <v>0</v>
      </c>
      <c r="H330">
        <f t="shared" si="202"/>
        <v>4</v>
      </c>
      <c r="I330">
        <f t="shared" si="181"/>
        <v>360</v>
      </c>
      <c r="J330">
        <f t="shared" si="196"/>
        <v>0</v>
      </c>
      <c r="K330">
        <f t="shared" si="203"/>
        <v>3</v>
      </c>
      <c r="L330">
        <f t="shared" si="182"/>
        <v>360</v>
      </c>
      <c r="M330">
        <f t="shared" si="197"/>
        <v>0</v>
      </c>
      <c r="N330">
        <f t="shared" si="204"/>
        <v>2</v>
      </c>
      <c r="O330">
        <f t="shared" si="183"/>
        <v>300</v>
      </c>
      <c r="P330">
        <f t="shared" si="205"/>
        <v>0</v>
      </c>
      <c r="Q330">
        <f t="shared" si="206"/>
        <v>2</v>
      </c>
      <c r="R330">
        <f t="shared" si="184"/>
        <v>300</v>
      </c>
      <c r="S330">
        <f t="shared" si="207"/>
        <v>0</v>
      </c>
      <c r="T330">
        <f t="shared" si="208"/>
        <v>-1</v>
      </c>
      <c r="U330">
        <f t="shared" si="198"/>
        <v>1</v>
      </c>
      <c r="V330">
        <f t="shared" si="199"/>
        <v>1</v>
      </c>
      <c r="W330">
        <f t="shared" si="185"/>
        <v>0</v>
      </c>
      <c r="X330">
        <f t="shared" si="209"/>
        <v>0</v>
      </c>
      <c r="Y330">
        <f t="shared" si="186"/>
        <v>0</v>
      </c>
      <c r="Z330">
        <f t="shared" si="187"/>
        <v>0</v>
      </c>
      <c r="AA330">
        <f t="shared" si="188"/>
        <v>0</v>
      </c>
      <c r="AB330" s="29">
        <f t="shared" si="189"/>
        <v>0</v>
      </c>
      <c r="AC330" s="25">
        <f t="shared" si="190"/>
        <v>0</v>
      </c>
      <c r="AD330" s="29">
        <f t="shared" si="191"/>
        <v>0</v>
      </c>
      <c r="AE330" s="25">
        <f t="shared" si="200"/>
        <v>0</v>
      </c>
      <c r="AF330" s="25">
        <f t="shared" si="192"/>
        <v>0</v>
      </c>
      <c r="AG330" s="25">
        <f>IF($A330&lt;0,0,IF(instatk="bs",(1.5+talSCallInstBon)*(MHavg+(ap+Z330-$Z$1)/APtoDPS*MHnorm+170)*(1+sa*0.1+0.04*opp+0.02*agg+Slayer4value-1),IF(instatk="hemo",Slayer4value*(MHavg+(ap+Z330-$Z$1)/APtoDPS*MHnorm)*(1.1+talSCallInstBon)+420*(1+raidcrit)*debuffon,IF(instatk="ss",(MHavg+(ap+Z330-$Z$1)/APtoDPS*MHnorm+98)*(1+sa*0.1+0.02*agg+Slayer4value-1),IF(instatk="v",(ohavg+(ap+Z330-$Z$1)/APtoDPS*OHnorm)*(1+sa*0.1)*(0.5+0.05*dws)+avipdam,Slayer4value*((1+0.04*opp)*(MHavg+101+(ap+Z330-$Z$1)/APtoDPS*MHnorm+(0.5+0.05*dws)*(ohavg+(ap+Z330-$Z$1)/APtoDPS*OHnorm)+101*(1+0.1*dws))*(1+0.5*IF(Talents!$O$18="Yes",1,0)))))))*(instactualhit+(1+((leth*0.06+2)-1)*(cfact-1))*instactualcrit)*fwfactor*AB330*instsec*(AF330/$AN$45))</f>
        <v>0</v>
      </c>
      <c r="AH330" s="25">
        <f t="shared" si="210"/>
        <v>0</v>
      </c>
      <c r="AI330" s="25">
        <f t="shared" si="211"/>
        <v>0</v>
      </c>
      <c r="AJ330" s="25">
        <f t="shared" si="212"/>
        <v>0</v>
      </c>
    </row>
    <row r="331" spans="1:36">
      <c r="A331">
        <f t="shared" si="193"/>
        <v>-1</v>
      </c>
      <c r="B331">
        <f t="shared" si="201"/>
        <v>6</v>
      </c>
      <c r="C331">
        <f t="shared" si="179"/>
        <v>300</v>
      </c>
      <c r="D331">
        <f t="shared" si="194"/>
        <v>0</v>
      </c>
      <c r="E331">
        <f t="shared" si="213"/>
        <v>5</v>
      </c>
      <c r="F331">
        <f t="shared" si="180"/>
        <v>360</v>
      </c>
      <c r="G331">
        <f t="shared" si="195"/>
        <v>0</v>
      </c>
      <c r="H331">
        <f t="shared" si="202"/>
        <v>4</v>
      </c>
      <c r="I331">
        <f t="shared" si="181"/>
        <v>360</v>
      </c>
      <c r="J331">
        <f t="shared" si="196"/>
        <v>0</v>
      </c>
      <c r="K331">
        <f t="shared" si="203"/>
        <v>3</v>
      </c>
      <c r="L331">
        <f t="shared" si="182"/>
        <v>360</v>
      </c>
      <c r="M331">
        <f t="shared" si="197"/>
        <v>0</v>
      </c>
      <c r="N331">
        <f t="shared" si="204"/>
        <v>2</v>
      </c>
      <c r="O331">
        <f t="shared" si="183"/>
        <v>300</v>
      </c>
      <c r="P331">
        <f t="shared" si="205"/>
        <v>0</v>
      </c>
      <c r="Q331">
        <f t="shared" si="206"/>
        <v>2</v>
      </c>
      <c r="R331">
        <f t="shared" si="184"/>
        <v>300</v>
      </c>
      <c r="S331">
        <f t="shared" si="207"/>
        <v>0</v>
      </c>
      <c r="T331">
        <f t="shared" si="208"/>
        <v>-1</v>
      </c>
      <c r="U331">
        <f t="shared" si="198"/>
        <v>1</v>
      </c>
      <c r="V331">
        <f t="shared" si="199"/>
        <v>1</v>
      </c>
      <c r="W331">
        <f t="shared" si="185"/>
        <v>0</v>
      </c>
      <c r="X331">
        <f t="shared" si="209"/>
        <v>0</v>
      </c>
      <c r="Y331">
        <f t="shared" si="186"/>
        <v>0</v>
      </c>
      <c r="Z331">
        <f t="shared" si="187"/>
        <v>0</v>
      </c>
      <c r="AA331">
        <f t="shared" si="188"/>
        <v>0</v>
      </c>
      <c r="AB331" s="29">
        <f t="shared" si="189"/>
        <v>0</v>
      </c>
      <c r="AC331" s="25">
        <f t="shared" si="190"/>
        <v>0</v>
      </c>
      <c r="AD331" s="29">
        <f t="shared" si="191"/>
        <v>0</v>
      </c>
      <c r="AE331" s="25">
        <f t="shared" si="200"/>
        <v>0</v>
      </c>
      <c r="AF331" s="25">
        <f t="shared" si="192"/>
        <v>0</v>
      </c>
      <c r="AG331" s="25">
        <f>IF($A331&lt;0,0,IF(instatk="bs",(1.5+talSCallInstBon)*(MHavg+(ap+Z331-$Z$1)/APtoDPS*MHnorm+170)*(1+sa*0.1+0.04*opp+0.02*agg+Slayer4value-1),IF(instatk="hemo",Slayer4value*(MHavg+(ap+Z331-$Z$1)/APtoDPS*MHnorm)*(1.1+talSCallInstBon)+420*(1+raidcrit)*debuffon,IF(instatk="ss",(MHavg+(ap+Z331-$Z$1)/APtoDPS*MHnorm+98)*(1+sa*0.1+0.02*agg+Slayer4value-1),IF(instatk="v",(ohavg+(ap+Z331-$Z$1)/APtoDPS*OHnorm)*(1+sa*0.1)*(0.5+0.05*dws)+avipdam,Slayer4value*((1+0.04*opp)*(MHavg+101+(ap+Z331-$Z$1)/APtoDPS*MHnorm+(0.5+0.05*dws)*(ohavg+(ap+Z331-$Z$1)/APtoDPS*OHnorm)+101*(1+0.1*dws))*(1+0.5*IF(Talents!$O$18="Yes",1,0)))))))*(instactualhit+(1+((leth*0.06+2)-1)*(cfact-1))*instactualcrit)*fwfactor*AB331*instsec*(AF331/$AN$45))</f>
        <v>0</v>
      </c>
      <c r="AH331" s="25">
        <f t="shared" si="210"/>
        <v>0</v>
      </c>
      <c r="AI331" s="25">
        <f t="shared" si="211"/>
        <v>0</v>
      </c>
      <c r="AJ331" s="25">
        <f t="shared" si="212"/>
        <v>0</v>
      </c>
    </row>
    <row r="332" spans="1:36">
      <c r="A332">
        <f t="shared" si="193"/>
        <v>-1</v>
      </c>
      <c r="B332">
        <f t="shared" si="201"/>
        <v>6</v>
      </c>
      <c r="C332">
        <f t="shared" si="179"/>
        <v>300</v>
      </c>
      <c r="D332">
        <f t="shared" si="194"/>
        <v>0</v>
      </c>
      <c r="E332">
        <f t="shared" si="213"/>
        <v>5</v>
      </c>
      <c r="F332">
        <f t="shared" si="180"/>
        <v>360</v>
      </c>
      <c r="G332">
        <f t="shared" si="195"/>
        <v>0</v>
      </c>
      <c r="H332">
        <f t="shared" si="202"/>
        <v>4</v>
      </c>
      <c r="I332">
        <f t="shared" si="181"/>
        <v>360</v>
      </c>
      <c r="J332">
        <f t="shared" si="196"/>
        <v>0</v>
      </c>
      <c r="K332">
        <f t="shared" si="203"/>
        <v>3</v>
      </c>
      <c r="L332">
        <f t="shared" si="182"/>
        <v>360</v>
      </c>
      <c r="M332">
        <f t="shared" si="197"/>
        <v>0</v>
      </c>
      <c r="N332">
        <f t="shared" si="204"/>
        <v>2</v>
      </c>
      <c r="O332">
        <f t="shared" si="183"/>
        <v>300</v>
      </c>
      <c r="P332">
        <f t="shared" si="205"/>
        <v>0</v>
      </c>
      <c r="Q332">
        <f t="shared" si="206"/>
        <v>2</v>
      </c>
      <c r="R332">
        <f t="shared" si="184"/>
        <v>300</v>
      </c>
      <c r="S332">
        <f t="shared" si="207"/>
        <v>0</v>
      </c>
      <c r="T332">
        <f t="shared" si="208"/>
        <v>-1</v>
      </c>
      <c r="U332">
        <f t="shared" si="198"/>
        <v>1</v>
      </c>
      <c r="V332">
        <f t="shared" si="199"/>
        <v>1</v>
      </c>
      <c r="W332">
        <f t="shared" si="185"/>
        <v>0</v>
      </c>
      <c r="X332">
        <f t="shared" si="209"/>
        <v>0</v>
      </c>
      <c r="Y332">
        <f t="shared" si="186"/>
        <v>0</v>
      </c>
      <c r="Z332">
        <f t="shared" si="187"/>
        <v>0</v>
      </c>
      <c r="AA332">
        <f t="shared" si="188"/>
        <v>0</v>
      </c>
      <c r="AB332" s="29">
        <f t="shared" si="189"/>
        <v>0</v>
      </c>
      <c r="AC332" s="25">
        <f t="shared" si="190"/>
        <v>0</v>
      </c>
      <c r="AD332" s="29">
        <f t="shared" si="191"/>
        <v>0</v>
      </c>
      <c r="AE332" s="25">
        <f t="shared" si="200"/>
        <v>0</v>
      </c>
      <c r="AF332" s="25">
        <f t="shared" si="192"/>
        <v>0</v>
      </c>
      <c r="AG332" s="25">
        <f>IF($A332&lt;0,0,IF(instatk="bs",(1.5+talSCallInstBon)*(MHavg+(ap+Z332-$Z$1)/APtoDPS*MHnorm+170)*(1+sa*0.1+0.04*opp+0.02*agg+Slayer4value-1),IF(instatk="hemo",Slayer4value*(MHavg+(ap+Z332-$Z$1)/APtoDPS*MHnorm)*(1.1+talSCallInstBon)+420*(1+raidcrit)*debuffon,IF(instatk="ss",(MHavg+(ap+Z332-$Z$1)/APtoDPS*MHnorm+98)*(1+sa*0.1+0.02*agg+Slayer4value-1),IF(instatk="v",(ohavg+(ap+Z332-$Z$1)/APtoDPS*OHnorm)*(1+sa*0.1)*(0.5+0.05*dws)+avipdam,Slayer4value*((1+0.04*opp)*(MHavg+101+(ap+Z332-$Z$1)/APtoDPS*MHnorm+(0.5+0.05*dws)*(ohavg+(ap+Z332-$Z$1)/APtoDPS*OHnorm)+101*(1+0.1*dws))*(1+0.5*IF(Talents!$O$18="Yes",1,0)))))))*(instactualhit+(1+((leth*0.06+2)-1)*(cfact-1))*instactualcrit)*fwfactor*AB332*instsec*(AF332/$AN$45))</f>
        <v>0</v>
      </c>
      <c r="AH332" s="25">
        <f t="shared" si="210"/>
        <v>0</v>
      </c>
      <c r="AI332" s="25">
        <f t="shared" si="211"/>
        <v>0</v>
      </c>
      <c r="AJ332" s="25">
        <f t="shared" si="212"/>
        <v>0</v>
      </c>
    </row>
    <row r="333" spans="1:36">
      <c r="A333">
        <f t="shared" si="193"/>
        <v>-1</v>
      </c>
      <c r="B333">
        <f t="shared" si="201"/>
        <v>6</v>
      </c>
      <c r="C333">
        <f t="shared" si="179"/>
        <v>300</v>
      </c>
      <c r="D333">
        <f t="shared" si="194"/>
        <v>0</v>
      </c>
      <c r="E333">
        <f t="shared" si="213"/>
        <v>5</v>
      </c>
      <c r="F333">
        <f t="shared" si="180"/>
        <v>360</v>
      </c>
      <c r="G333">
        <f t="shared" si="195"/>
        <v>0</v>
      </c>
      <c r="H333">
        <f t="shared" si="202"/>
        <v>4</v>
      </c>
      <c r="I333">
        <f t="shared" si="181"/>
        <v>360</v>
      </c>
      <c r="J333">
        <f t="shared" si="196"/>
        <v>0</v>
      </c>
      <c r="K333">
        <f t="shared" si="203"/>
        <v>3</v>
      </c>
      <c r="L333">
        <f t="shared" si="182"/>
        <v>360</v>
      </c>
      <c r="M333">
        <f t="shared" si="197"/>
        <v>0</v>
      </c>
      <c r="N333">
        <f t="shared" si="204"/>
        <v>2</v>
      </c>
      <c r="O333">
        <f t="shared" si="183"/>
        <v>300</v>
      </c>
      <c r="P333">
        <f t="shared" si="205"/>
        <v>0</v>
      </c>
      <c r="Q333">
        <f t="shared" si="206"/>
        <v>2</v>
      </c>
      <c r="R333">
        <f t="shared" si="184"/>
        <v>300</v>
      </c>
      <c r="S333">
        <f t="shared" si="207"/>
        <v>0</v>
      </c>
      <c r="T333">
        <f t="shared" si="208"/>
        <v>-1</v>
      </c>
      <c r="U333">
        <f t="shared" si="198"/>
        <v>1</v>
      </c>
      <c r="V333">
        <f t="shared" si="199"/>
        <v>1</v>
      </c>
      <c r="W333">
        <f t="shared" si="185"/>
        <v>0</v>
      </c>
      <c r="X333">
        <f t="shared" si="209"/>
        <v>0</v>
      </c>
      <c r="Y333">
        <f t="shared" si="186"/>
        <v>0</v>
      </c>
      <c r="Z333">
        <f t="shared" si="187"/>
        <v>0</v>
      </c>
      <c r="AA333">
        <f t="shared" si="188"/>
        <v>0</v>
      </c>
      <c r="AB333" s="29">
        <f t="shared" si="189"/>
        <v>0</v>
      </c>
      <c r="AC333" s="25">
        <f t="shared" si="190"/>
        <v>0</v>
      </c>
      <c r="AD333" s="29">
        <f t="shared" si="191"/>
        <v>0</v>
      </c>
      <c r="AE333" s="25">
        <f t="shared" si="200"/>
        <v>0</v>
      </c>
      <c r="AF333" s="25">
        <f t="shared" si="192"/>
        <v>0</v>
      </c>
      <c r="AG333" s="25">
        <f>IF($A333&lt;0,0,IF(instatk="bs",(1.5+talSCallInstBon)*(MHavg+(ap+Z333-$Z$1)/APtoDPS*MHnorm+170)*(1+sa*0.1+0.04*opp+0.02*agg+Slayer4value-1),IF(instatk="hemo",Slayer4value*(MHavg+(ap+Z333-$Z$1)/APtoDPS*MHnorm)*(1.1+talSCallInstBon)+420*(1+raidcrit)*debuffon,IF(instatk="ss",(MHavg+(ap+Z333-$Z$1)/APtoDPS*MHnorm+98)*(1+sa*0.1+0.02*agg+Slayer4value-1),IF(instatk="v",(ohavg+(ap+Z333-$Z$1)/APtoDPS*OHnorm)*(1+sa*0.1)*(0.5+0.05*dws)+avipdam,Slayer4value*((1+0.04*opp)*(MHavg+101+(ap+Z333-$Z$1)/APtoDPS*MHnorm+(0.5+0.05*dws)*(ohavg+(ap+Z333-$Z$1)/APtoDPS*OHnorm)+101*(1+0.1*dws))*(1+0.5*IF(Talents!$O$18="Yes",1,0)))))))*(instactualhit+(1+((leth*0.06+2)-1)*(cfact-1))*instactualcrit)*fwfactor*AB333*instsec*(AF333/$AN$45))</f>
        <v>0</v>
      </c>
      <c r="AH333" s="25">
        <f t="shared" si="210"/>
        <v>0</v>
      </c>
      <c r="AI333" s="25">
        <f t="shared" si="211"/>
        <v>0</v>
      </c>
      <c r="AJ333" s="25">
        <f t="shared" si="212"/>
        <v>0</v>
      </c>
    </row>
    <row r="334" spans="1:36">
      <c r="A334">
        <f t="shared" si="193"/>
        <v>-1</v>
      </c>
      <c r="B334">
        <f t="shared" si="201"/>
        <v>6</v>
      </c>
      <c r="C334">
        <f t="shared" si="179"/>
        <v>300</v>
      </c>
      <c r="D334">
        <f t="shared" si="194"/>
        <v>0</v>
      </c>
      <c r="E334">
        <f t="shared" si="213"/>
        <v>5</v>
      </c>
      <c r="F334">
        <f t="shared" si="180"/>
        <v>360</v>
      </c>
      <c r="G334">
        <f t="shared" si="195"/>
        <v>0</v>
      </c>
      <c r="H334">
        <f t="shared" si="202"/>
        <v>4</v>
      </c>
      <c r="I334">
        <f t="shared" si="181"/>
        <v>360</v>
      </c>
      <c r="J334">
        <f t="shared" si="196"/>
        <v>0</v>
      </c>
      <c r="K334">
        <f t="shared" si="203"/>
        <v>3</v>
      </c>
      <c r="L334">
        <f t="shared" si="182"/>
        <v>360</v>
      </c>
      <c r="M334">
        <f t="shared" si="197"/>
        <v>0</v>
      </c>
      <c r="N334">
        <f t="shared" si="204"/>
        <v>2</v>
      </c>
      <c r="O334">
        <f t="shared" si="183"/>
        <v>300</v>
      </c>
      <c r="P334">
        <f t="shared" si="205"/>
        <v>0</v>
      </c>
      <c r="Q334">
        <f t="shared" si="206"/>
        <v>2</v>
      </c>
      <c r="R334">
        <f t="shared" si="184"/>
        <v>300</v>
      </c>
      <c r="S334">
        <f t="shared" si="207"/>
        <v>0</v>
      </c>
      <c r="T334">
        <f t="shared" si="208"/>
        <v>-1</v>
      </c>
      <c r="U334">
        <f t="shared" si="198"/>
        <v>1</v>
      </c>
      <c r="V334">
        <f t="shared" si="199"/>
        <v>1</v>
      </c>
      <c r="W334">
        <f t="shared" si="185"/>
        <v>0</v>
      </c>
      <c r="X334">
        <f t="shared" si="209"/>
        <v>0</v>
      </c>
      <c r="Y334">
        <f t="shared" si="186"/>
        <v>0</v>
      </c>
      <c r="Z334">
        <f t="shared" si="187"/>
        <v>0</v>
      </c>
      <c r="AA334">
        <f t="shared" si="188"/>
        <v>0</v>
      </c>
      <c r="AB334" s="29">
        <f t="shared" si="189"/>
        <v>0</v>
      </c>
      <c r="AC334" s="25">
        <f t="shared" si="190"/>
        <v>0</v>
      </c>
      <c r="AD334" s="29">
        <f t="shared" si="191"/>
        <v>0</v>
      </c>
      <c r="AE334" s="25">
        <f t="shared" si="200"/>
        <v>0</v>
      </c>
      <c r="AF334" s="25">
        <f t="shared" si="192"/>
        <v>0</v>
      </c>
      <c r="AG334" s="25">
        <f>IF($A334&lt;0,0,IF(instatk="bs",(1.5+talSCallInstBon)*(MHavg+(ap+Z334-$Z$1)/APtoDPS*MHnorm+170)*(1+sa*0.1+0.04*opp+0.02*agg+Slayer4value-1),IF(instatk="hemo",Slayer4value*(MHavg+(ap+Z334-$Z$1)/APtoDPS*MHnorm)*(1.1+talSCallInstBon)+420*(1+raidcrit)*debuffon,IF(instatk="ss",(MHavg+(ap+Z334-$Z$1)/APtoDPS*MHnorm+98)*(1+sa*0.1+0.02*agg+Slayer4value-1),IF(instatk="v",(ohavg+(ap+Z334-$Z$1)/APtoDPS*OHnorm)*(1+sa*0.1)*(0.5+0.05*dws)+avipdam,Slayer4value*((1+0.04*opp)*(MHavg+101+(ap+Z334-$Z$1)/APtoDPS*MHnorm+(0.5+0.05*dws)*(ohavg+(ap+Z334-$Z$1)/APtoDPS*OHnorm)+101*(1+0.1*dws))*(1+0.5*IF(Talents!$O$18="Yes",1,0)))))))*(instactualhit+(1+((leth*0.06+2)-1)*(cfact-1))*instactualcrit)*fwfactor*AB334*instsec*(AF334/$AN$45))</f>
        <v>0</v>
      </c>
      <c r="AH334" s="25">
        <f t="shared" si="210"/>
        <v>0</v>
      </c>
      <c r="AI334" s="25">
        <f t="shared" si="211"/>
        <v>0</v>
      </c>
      <c r="AJ334" s="25">
        <f t="shared" si="212"/>
        <v>0</v>
      </c>
    </row>
    <row r="335" spans="1:36">
      <c r="A335">
        <f t="shared" si="193"/>
        <v>-1</v>
      </c>
      <c r="B335">
        <f t="shared" si="201"/>
        <v>6</v>
      </c>
      <c r="C335">
        <f t="shared" si="179"/>
        <v>300</v>
      </c>
      <c r="D335">
        <f t="shared" si="194"/>
        <v>0</v>
      </c>
      <c r="E335">
        <f t="shared" si="213"/>
        <v>5</v>
      </c>
      <c r="F335">
        <f t="shared" si="180"/>
        <v>360</v>
      </c>
      <c r="G335">
        <f t="shared" si="195"/>
        <v>0</v>
      </c>
      <c r="H335">
        <f t="shared" si="202"/>
        <v>4</v>
      </c>
      <c r="I335">
        <f t="shared" si="181"/>
        <v>360</v>
      </c>
      <c r="J335">
        <f t="shared" si="196"/>
        <v>0</v>
      </c>
      <c r="K335">
        <f t="shared" si="203"/>
        <v>3</v>
      </c>
      <c r="L335">
        <f t="shared" si="182"/>
        <v>360</v>
      </c>
      <c r="M335">
        <f t="shared" si="197"/>
        <v>0</v>
      </c>
      <c r="N335">
        <f t="shared" si="204"/>
        <v>2</v>
      </c>
      <c r="O335">
        <f t="shared" si="183"/>
        <v>300</v>
      </c>
      <c r="P335">
        <f t="shared" si="205"/>
        <v>0</v>
      </c>
      <c r="Q335">
        <f t="shared" si="206"/>
        <v>2</v>
      </c>
      <c r="R335">
        <f t="shared" si="184"/>
        <v>300</v>
      </c>
      <c r="S335">
        <f t="shared" si="207"/>
        <v>0</v>
      </c>
      <c r="T335">
        <f t="shared" si="208"/>
        <v>-1</v>
      </c>
      <c r="U335">
        <f t="shared" si="198"/>
        <v>1</v>
      </c>
      <c r="V335">
        <f t="shared" si="199"/>
        <v>1</v>
      </c>
      <c r="W335">
        <f t="shared" si="185"/>
        <v>0</v>
      </c>
      <c r="X335">
        <f t="shared" si="209"/>
        <v>0</v>
      </c>
      <c r="Y335">
        <f t="shared" si="186"/>
        <v>0</v>
      </c>
      <c r="Z335">
        <f t="shared" si="187"/>
        <v>0</v>
      </c>
      <c r="AA335">
        <f t="shared" si="188"/>
        <v>0</v>
      </c>
      <c r="AB335" s="29">
        <f t="shared" si="189"/>
        <v>0</v>
      </c>
      <c r="AC335" s="25">
        <f t="shared" si="190"/>
        <v>0</v>
      </c>
      <c r="AD335" s="29">
        <f t="shared" si="191"/>
        <v>0</v>
      </c>
      <c r="AE335" s="25">
        <f t="shared" si="200"/>
        <v>0</v>
      </c>
      <c r="AF335" s="25">
        <f t="shared" si="192"/>
        <v>0</v>
      </c>
      <c r="AG335" s="25">
        <f>IF($A335&lt;0,0,IF(instatk="bs",(1.5+talSCallInstBon)*(MHavg+(ap+Z335-$Z$1)/APtoDPS*MHnorm+170)*(1+sa*0.1+0.04*opp+0.02*agg+Slayer4value-1),IF(instatk="hemo",Slayer4value*(MHavg+(ap+Z335-$Z$1)/APtoDPS*MHnorm)*(1.1+talSCallInstBon)+420*(1+raidcrit)*debuffon,IF(instatk="ss",(MHavg+(ap+Z335-$Z$1)/APtoDPS*MHnorm+98)*(1+sa*0.1+0.02*agg+Slayer4value-1),IF(instatk="v",(ohavg+(ap+Z335-$Z$1)/APtoDPS*OHnorm)*(1+sa*0.1)*(0.5+0.05*dws)+avipdam,Slayer4value*((1+0.04*opp)*(MHavg+101+(ap+Z335-$Z$1)/APtoDPS*MHnorm+(0.5+0.05*dws)*(ohavg+(ap+Z335-$Z$1)/APtoDPS*OHnorm)+101*(1+0.1*dws))*(1+0.5*IF(Talents!$O$18="Yes",1,0)))))))*(instactualhit+(1+((leth*0.06+2)-1)*(cfact-1))*instactualcrit)*fwfactor*AB335*instsec*(AF335/$AN$45))</f>
        <v>0</v>
      </c>
      <c r="AH335" s="25">
        <f t="shared" si="210"/>
        <v>0</v>
      </c>
      <c r="AI335" s="25">
        <f t="shared" si="211"/>
        <v>0</v>
      </c>
      <c r="AJ335" s="25">
        <f t="shared" si="212"/>
        <v>0</v>
      </c>
    </row>
    <row r="336" spans="1:36">
      <c r="A336">
        <f t="shared" si="193"/>
        <v>-1</v>
      </c>
      <c r="B336">
        <f t="shared" si="201"/>
        <v>6</v>
      </c>
      <c r="C336">
        <f t="shared" si="179"/>
        <v>300</v>
      </c>
      <c r="D336">
        <f t="shared" si="194"/>
        <v>0</v>
      </c>
      <c r="E336">
        <f t="shared" si="213"/>
        <v>5</v>
      </c>
      <c r="F336">
        <f t="shared" si="180"/>
        <v>360</v>
      </c>
      <c r="G336">
        <f t="shared" si="195"/>
        <v>0</v>
      </c>
      <c r="H336">
        <f t="shared" si="202"/>
        <v>4</v>
      </c>
      <c r="I336">
        <f t="shared" si="181"/>
        <v>360</v>
      </c>
      <c r="J336">
        <f t="shared" si="196"/>
        <v>0</v>
      </c>
      <c r="K336">
        <f t="shared" si="203"/>
        <v>3</v>
      </c>
      <c r="L336">
        <f t="shared" si="182"/>
        <v>360</v>
      </c>
      <c r="M336">
        <f t="shared" si="197"/>
        <v>0</v>
      </c>
      <c r="N336">
        <f t="shared" si="204"/>
        <v>2</v>
      </c>
      <c r="O336">
        <f t="shared" si="183"/>
        <v>300</v>
      </c>
      <c r="P336">
        <f t="shared" si="205"/>
        <v>0</v>
      </c>
      <c r="Q336">
        <f t="shared" si="206"/>
        <v>2</v>
      </c>
      <c r="R336">
        <f t="shared" si="184"/>
        <v>300</v>
      </c>
      <c r="S336">
        <f t="shared" si="207"/>
        <v>0</v>
      </c>
      <c r="T336">
        <f t="shared" si="208"/>
        <v>-1</v>
      </c>
      <c r="U336">
        <f t="shared" si="198"/>
        <v>1</v>
      </c>
      <c r="V336">
        <f t="shared" si="199"/>
        <v>1</v>
      </c>
      <c r="W336">
        <f t="shared" si="185"/>
        <v>0</v>
      </c>
      <c r="X336">
        <f t="shared" si="209"/>
        <v>0</v>
      </c>
      <c r="Y336">
        <f t="shared" si="186"/>
        <v>0</v>
      </c>
      <c r="Z336">
        <f t="shared" si="187"/>
        <v>0</v>
      </c>
      <c r="AA336">
        <f t="shared" si="188"/>
        <v>0</v>
      </c>
      <c r="AB336" s="29">
        <f t="shared" si="189"/>
        <v>0</v>
      </c>
      <c r="AC336" s="25">
        <f t="shared" si="190"/>
        <v>0</v>
      </c>
      <c r="AD336" s="29">
        <f t="shared" si="191"/>
        <v>0</v>
      </c>
      <c r="AE336" s="25">
        <f t="shared" si="200"/>
        <v>0</v>
      </c>
      <c r="AF336" s="25">
        <f t="shared" si="192"/>
        <v>0</v>
      </c>
      <c r="AG336" s="25">
        <f>IF($A336&lt;0,0,IF(instatk="bs",(1.5+talSCallInstBon)*(MHavg+(ap+Z336-$Z$1)/APtoDPS*MHnorm+170)*(1+sa*0.1+0.04*opp+0.02*agg+Slayer4value-1),IF(instatk="hemo",Slayer4value*(MHavg+(ap+Z336-$Z$1)/APtoDPS*MHnorm)*(1.1+talSCallInstBon)+420*(1+raidcrit)*debuffon,IF(instatk="ss",(MHavg+(ap+Z336-$Z$1)/APtoDPS*MHnorm+98)*(1+sa*0.1+0.02*agg+Slayer4value-1),IF(instatk="v",(ohavg+(ap+Z336-$Z$1)/APtoDPS*OHnorm)*(1+sa*0.1)*(0.5+0.05*dws)+avipdam,Slayer4value*((1+0.04*opp)*(MHavg+101+(ap+Z336-$Z$1)/APtoDPS*MHnorm+(0.5+0.05*dws)*(ohavg+(ap+Z336-$Z$1)/APtoDPS*OHnorm)+101*(1+0.1*dws))*(1+0.5*IF(Talents!$O$18="Yes",1,0)))))))*(instactualhit+(1+((leth*0.06+2)-1)*(cfact-1))*instactualcrit)*fwfactor*AB336*instsec*(AF336/$AN$45))</f>
        <v>0</v>
      </c>
      <c r="AH336" s="25">
        <f t="shared" si="210"/>
        <v>0</v>
      </c>
      <c r="AI336" s="25">
        <f t="shared" si="211"/>
        <v>0</v>
      </c>
      <c r="AJ336" s="25">
        <f t="shared" si="212"/>
        <v>0</v>
      </c>
    </row>
    <row r="337" spans="1:36">
      <c r="A337">
        <f t="shared" si="193"/>
        <v>-1</v>
      </c>
      <c r="B337">
        <f t="shared" si="201"/>
        <v>6</v>
      </c>
      <c r="C337">
        <f t="shared" si="179"/>
        <v>300</v>
      </c>
      <c r="D337">
        <f t="shared" si="194"/>
        <v>0</v>
      </c>
      <c r="E337">
        <f t="shared" si="213"/>
        <v>5</v>
      </c>
      <c r="F337">
        <f t="shared" si="180"/>
        <v>360</v>
      </c>
      <c r="G337">
        <f t="shared" si="195"/>
        <v>0</v>
      </c>
      <c r="H337">
        <f t="shared" si="202"/>
        <v>4</v>
      </c>
      <c r="I337">
        <f t="shared" si="181"/>
        <v>360</v>
      </c>
      <c r="J337">
        <f t="shared" si="196"/>
        <v>0</v>
      </c>
      <c r="K337">
        <f t="shared" si="203"/>
        <v>3</v>
      </c>
      <c r="L337">
        <f t="shared" si="182"/>
        <v>360</v>
      </c>
      <c r="M337">
        <f t="shared" si="197"/>
        <v>0</v>
      </c>
      <c r="N337">
        <f t="shared" si="204"/>
        <v>2</v>
      </c>
      <c r="O337">
        <f t="shared" si="183"/>
        <v>300</v>
      </c>
      <c r="P337">
        <f t="shared" si="205"/>
        <v>0</v>
      </c>
      <c r="Q337">
        <f t="shared" si="206"/>
        <v>2</v>
      </c>
      <c r="R337">
        <f t="shared" si="184"/>
        <v>300</v>
      </c>
      <c r="S337">
        <f t="shared" si="207"/>
        <v>0</v>
      </c>
      <c r="T337">
        <f t="shared" si="208"/>
        <v>-1</v>
      </c>
      <c r="U337">
        <f t="shared" si="198"/>
        <v>1</v>
      </c>
      <c r="V337">
        <f t="shared" si="199"/>
        <v>1</v>
      </c>
      <c r="W337">
        <f t="shared" si="185"/>
        <v>0</v>
      </c>
      <c r="X337">
        <f t="shared" si="209"/>
        <v>0</v>
      </c>
      <c r="Y337">
        <f t="shared" si="186"/>
        <v>0</v>
      </c>
      <c r="Z337">
        <f t="shared" si="187"/>
        <v>0</v>
      </c>
      <c r="AA337">
        <f t="shared" si="188"/>
        <v>0</v>
      </c>
      <c r="AB337" s="29">
        <f t="shared" si="189"/>
        <v>0</v>
      </c>
      <c r="AC337" s="25">
        <f t="shared" si="190"/>
        <v>0</v>
      </c>
      <c r="AD337" s="29">
        <f t="shared" si="191"/>
        <v>0</v>
      </c>
      <c r="AE337" s="25">
        <f t="shared" si="200"/>
        <v>0</v>
      </c>
      <c r="AF337" s="25">
        <f t="shared" si="192"/>
        <v>0</v>
      </c>
      <c r="AG337" s="25">
        <f>IF($A337&lt;0,0,IF(instatk="bs",(1.5+talSCallInstBon)*(MHavg+(ap+Z337-$Z$1)/APtoDPS*MHnorm+170)*(1+sa*0.1+0.04*opp+0.02*agg+Slayer4value-1),IF(instatk="hemo",Slayer4value*(MHavg+(ap+Z337-$Z$1)/APtoDPS*MHnorm)*(1.1+talSCallInstBon)+420*(1+raidcrit)*debuffon,IF(instatk="ss",(MHavg+(ap+Z337-$Z$1)/APtoDPS*MHnorm+98)*(1+sa*0.1+0.02*agg+Slayer4value-1),IF(instatk="v",(ohavg+(ap+Z337-$Z$1)/APtoDPS*OHnorm)*(1+sa*0.1)*(0.5+0.05*dws)+avipdam,Slayer4value*((1+0.04*opp)*(MHavg+101+(ap+Z337-$Z$1)/APtoDPS*MHnorm+(0.5+0.05*dws)*(ohavg+(ap+Z337-$Z$1)/APtoDPS*OHnorm)+101*(1+0.1*dws))*(1+0.5*IF(Talents!$O$18="Yes",1,0)))))))*(instactualhit+(1+((leth*0.06+2)-1)*(cfact-1))*instactualcrit)*fwfactor*AB337*instsec*(AF337/$AN$45))</f>
        <v>0</v>
      </c>
      <c r="AH337" s="25">
        <f t="shared" si="210"/>
        <v>0</v>
      </c>
      <c r="AI337" s="25">
        <f t="shared" si="211"/>
        <v>0</v>
      </c>
      <c r="AJ337" s="25">
        <f t="shared" si="212"/>
        <v>0</v>
      </c>
    </row>
    <row r="338" spans="1:36">
      <c r="A338">
        <f t="shared" si="193"/>
        <v>-1</v>
      </c>
      <c r="B338">
        <f t="shared" si="201"/>
        <v>6</v>
      </c>
      <c r="C338">
        <f t="shared" si="179"/>
        <v>300</v>
      </c>
      <c r="D338">
        <f t="shared" si="194"/>
        <v>0</v>
      </c>
      <c r="E338">
        <f t="shared" si="213"/>
        <v>5</v>
      </c>
      <c r="F338">
        <f t="shared" si="180"/>
        <v>360</v>
      </c>
      <c r="G338">
        <f t="shared" si="195"/>
        <v>0</v>
      </c>
      <c r="H338">
        <f t="shared" si="202"/>
        <v>4</v>
      </c>
      <c r="I338">
        <f t="shared" si="181"/>
        <v>360</v>
      </c>
      <c r="J338">
        <f t="shared" si="196"/>
        <v>0</v>
      </c>
      <c r="K338">
        <f t="shared" si="203"/>
        <v>3</v>
      </c>
      <c r="L338">
        <f t="shared" si="182"/>
        <v>360</v>
      </c>
      <c r="M338">
        <f t="shared" si="197"/>
        <v>0</v>
      </c>
      <c r="N338">
        <f t="shared" si="204"/>
        <v>2</v>
      </c>
      <c r="O338">
        <f t="shared" si="183"/>
        <v>300</v>
      </c>
      <c r="P338">
        <f t="shared" si="205"/>
        <v>0</v>
      </c>
      <c r="Q338">
        <f t="shared" si="206"/>
        <v>2</v>
      </c>
      <c r="R338">
        <f t="shared" si="184"/>
        <v>300</v>
      </c>
      <c r="S338">
        <f t="shared" si="207"/>
        <v>0</v>
      </c>
      <c r="T338">
        <f t="shared" si="208"/>
        <v>-1</v>
      </c>
      <c r="U338">
        <f t="shared" si="198"/>
        <v>1</v>
      </c>
      <c r="V338">
        <f t="shared" si="199"/>
        <v>1</v>
      </c>
      <c r="W338">
        <f t="shared" si="185"/>
        <v>0</v>
      </c>
      <c r="X338">
        <f t="shared" si="209"/>
        <v>0</v>
      </c>
      <c r="Y338">
        <f t="shared" si="186"/>
        <v>0</v>
      </c>
      <c r="Z338">
        <f t="shared" si="187"/>
        <v>0</v>
      </c>
      <c r="AA338">
        <f t="shared" si="188"/>
        <v>0</v>
      </c>
      <c r="AB338" s="29">
        <f t="shared" si="189"/>
        <v>0</v>
      </c>
      <c r="AC338" s="25">
        <f t="shared" si="190"/>
        <v>0</v>
      </c>
      <c r="AD338" s="29">
        <f t="shared" si="191"/>
        <v>0</v>
      </c>
      <c r="AE338" s="25">
        <f t="shared" si="200"/>
        <v>0</v>
      </c>
      <c r="AF338" s="25">
        <f t="shared" si="192"/>
        <v>0</v>
      </c>
      <c r="AG338" s="25">
        <f>IF($A338&lt;0,0,IF(instatk="bs",(1.5+talSCallInstBon)*(MHavg+(ap+Z338-$Z$1)/APtoDPS*MHnorm+170)*(1+sa*0.1+0.04*opp+0.02*agg+Slayer4value-1),IF(instatk="hemo",Slayer4value*(MHavg+(ap+Z338-$Z$1)/APtoDPS*MHnorm)*(1.1+talSCallInstBon)+420*(1+raidcrit)*debuffon,IF(instatk="ss",(MHavg+(ap+Z338-$Z$1)/APtoDPS*MHnorm+98)*(1+sa*0.1+0.02*agg+Slayer4value-1),IF(instatk="v",(ohavg+(ap+Z338-$Z$1)/APtoDPS*OHnorm)*(1+sa*0.1)*(0.5+0.05*dws)+avipdam,Slayer4value*((1+0.04*opp)*(MHavg+101+(ap+Z338-$Z$1)/APtoDPS*MHnorm+(0.5+0.05*dws)*(ohavg+(ap+Z338-$Z$1)/APtoDPS*OHnorm)+101*(1+0.1*dws))*(1+0.5*IF(Talents!$O$18="Yes",1,0)))))))*(instactualhit+(1+((leth*0.06+2)-1)*(cfact-1))*instactualcrit)*fwfactor*AB338*instsec*(AF338/$AN$45))</f>
        <v>0</v>
      </c>
      <c r="AH338" s="25">
        <f t="shared" si="210"/>
        <v>0</v>
      </c>
      <c r="AI338" s="25">
        <f t="shared" si="211"/>
        <v>0</v>
      </c>
      <c r="AJ338" s="25">
        <f t="shared" si="212"/>
        <v>0</v>
      </c>
    </row>
    <row r="339" spans="1:36">
      <c r="A339">
        <f t="shared" si="193"/>
        <v>-1</v>
      </c>
      <c r="B339">
        <f t="shared" si="201"/>
        <v>6</v>
      </c>
      <c r="C339">
        <f t="shared" si="179"/>
        <v>300</v>
      </c>
      <c r="D339">
        <f t="shared" si="194"/>
        <v>0</v>
      </c>
      <c r="E339">
        <f t="shared" si="213"/>
        <v>5</v>
      </c>
      <c r="F339">
        <f t="shared" si="180"/>
        <v>360</v>
      </c>
      <c r="G339">
        <f t="shared" si="195"/>
        <v>0</v>
      </c>
      <c r="H339">
        <f t="shared" si="202"/>
        <v>4</v>
      </c>
      <c r="I339">
        <f t="shared" si="181"/>
        <v>360</v>
      </c>
      <c r="J339">
        <f t="shared" si="196"/>
        <v>0</v>
      </c>
      <c r="K339">
        <f t="shared" si="203"/>
        <v>3</v>
      </c>
      <c r="L339">
        <f t="shared" si="182"/>
        <v>360</v>
      </c>
      <c r="M339">
        <f t="shared" si="197"/>
        <v>0</v>
      </c>
      <c r="N339">
        <f t="shared" si="204"/>
        <v>2</v>
      </c>
      <c r="O339">
        <f t="shared" si="183"/>
        <v>300</v>
      </c>
      <c r="P339">
        <f t="shared" si="205"/>
        <v>0</v>
      </c>
      <c r="Q339">
        <f t="shared" si="206"/>
        <v>2</v>
      </c>
      <c r="R339">
        <f t="shared" si="184"/>
        <v>300</v>
      </c>
      <c r="S339">
        <f t="shared" si="207"/>
        <v>0</v>
      </c>
      <c r="T339">
        <f t="shared" si="208"/>
        <v>-1</v>
      </c>
      <c r="U339">
        <f t="shared" si="198"/>
        <v>1</v>
      </c>
      <c r="V339">
        <f t="shared" si="199"/>
        <v>1</v>
      </c>
      <c r="W339">
        <f t="shared" si="185"/>
        <v>0</v>
      </c>
      <c r="X339">
        <f t="shared" si="209"/>
        <v>0</v>
      </c>
      <c r="Y339">
        <f t="shared" si="186"/>
        <v>0</v>
      </c>
      <c r="Z339">
        <f t="shared" si="187"/>
        <v>0</v>
      </c>
      <c r="AA339">
        <f t="shared" si="188"/>
        <v>0</v>
      </c>
      <c r="AB339" s="29">
        <f t="shared" si="189"/>
        <v>0</v>
      </c>
      <c r="AC339" s="25">
        <f t="shared" si="190"/>
        <v>0</v>
      </c>
      <c r="AD339" s="29">
        <f t="shared" si="191"/>
        <v>0</v>
      </c>
      <c r="AE339" s="25">
        <f t="shared" si="200"/>
        <v>0</v>
      </c>
      <c r="AF339" s="25">
        <f t="shared" si="192"/>
        <v>0</v>
      </c>
      <c r="AG339" s="25">
        <f>IF($A339&lt;0,0,IF(instatk="bs",(1.5+talSCallInstBon)*(MHavg+(ap+Z339-$Z$1)/APtoDPS*MHnorm+170)*(1+sa*0.1+0.04*opp+0.02*agg+Slayer4value-1),IF(instatk="hemo",Slayer4value*(MHavg+(ap+Z339-$Z$1)/APtoDPS*MHnorm)*(1.1+talSCallInstBon)+420*(1+raidcrit)*debuffon,IF(instatk="ss",(MHavg+(ap+Z339-$Z$1)/APtoDPS*MHnorm+98)*(1+sa*0.1+0.02*agg+Slayer4value-1),IF(instatk="v",(ohavg+(ap+Z339-$Z$1)/APtoDPS*OHnorm)*(1+sa*0.1)*(0.5+0.05*dws)+avipdam,Slayer4value*((1+0.04*opp)*(MHavg+101+(ap+Z339-$Z$1)/APtoDPS*MHnorm+(0.5+0.05*dws)*(ohavg+(ap+Z339-$Z$1)/APtoDPS*OHnorm)+101*(1+0.1*dws))*(1+0.5*IF(Talents!$O$18="Yes",1,0)))))))*(instactualhit+(1+((leth*0.06+2)-1)*(cfact-1))*instactualcrit)*fwfactor*AB339*instsec*(AF339/$AN$45))</f>
        <v>0</v>
      </c>
      <c r="AH339" s="25">
        <f t="shared" si="210"/>
        <v>0</v>
      </c>
      <c r="AI339" s="25">
        <f t="shared" si="211"/>
        <v>0</v>
      </c>
      <c r="AJ339" s="25">
        <f t="shared" si="212"/>
        <v>0</v>
      </c>
    </row>
    <row r="340" spans="1:36">
      <c r="A340">
        <f t="shared" si="193"/>
        <v>-1</v>
      </c>
      <c r="B340">
        <f t="shared" si="201"/>
        <v>6</v>
      </c>
      <c r="C340">
        <f t="shared" si="179"/>
        <v>300</v>
      </c>
      <c r="D340">
        <f t="shared" si="194"/>
        <v>0</v>
      </c>
      <c r="E340">
        <f t="shared" si="213"/>
        <v>5</v>
      </c>
      <c r="F340">
        <f t="shared" si="180"/>
        <v>360</v>
      </c>
      <c r="G340">
        <f t="shared" si="195"/>
        <v>0</v>
      </c>
      <c r="H340">
        <f t="shared" si="202"/>
        <v>4</v>
      </c>
      <c r="I340">
        <f t="shared" si="181"/>
        <v>360</v>
      </c>
      <c r="J340">
        <f t="shared" si="196"/>
        <v>0</v>
      </c>
      <c r="K340">
        <f t="shared" si="203"/>
        <v>3</v>
      </c>
      <c r="L340">
        <f t="shared" si="182"/>
        <v>360</v>
      </c>
      <c r="M340">
        <f t="shared" si="197"/>
        <v>0</v>
      </c>
      <c r="N340">
        <f t="shared" si="204"/>
        <v>2</v>
      </c>
      <c r="O340">
        <f t="shared" si="183"/>
        <v>300</v>
      </c>
      <c r="P340">
        <f t="shared" si="205"/>
        <v>0</v>
      </c>
      <c r="Q340">
        <f t="shared" si="206"/>
        <v>2</v>
      </c>
      <c r="R340">
        <f t="shared" si="184"/>
        <v>300</v>
      </c>
      <c r="S340">
        <f t="shared" si="207"/>
        <v>0</v>
      </c>
      <c r="T340">
        <f t="shared" si="208"/>
        <v>-1</v>
      </c>
      <c r="U340">
        <f t="shared" si="198"/>
        <v>1</v>
      </c>
      <c r="V340">
        <f t="shared" si="199"/>
        <v>1</v>
      </c>
      <c r="W340">
        <f t="shared" si="185"/>
        <v>0</v>
      </c>
      <c r="X340">
        <f t="shared" si="209"/>
        <v>0</v>
      </c>
      <c r="Y340">
        <f t="shared" si="186"/>
        <v>0</v>
      </c>
      <c r="Z340">
        <f t="shared" si="187"/>
        <v>0</v>
      </c>
      <c r="AA340">
        <f t="shared" si="188"/>
        <v>0</v>
      </c>
      <c r="AB340" s="29">
        <f t="shared" si="189"/>
        <v>0</v>
      </c>
      <c r="AC340" s="25">
        <f t="shared" si="190"/>
        <v>0</v>
      </c>
      <c r="AD340" s="29">
        <f t="shared" si="191"/>
        <v>0</v>
      </c>
      <c r="AE340" s="25">
        <f t="shared" si="200"/>
        <v>0</v>
      </c>
      <c r="AF340" s="25">
        <f t="shared" si="192"/>
        <v>0</v>
      </c>
      <c r="AG340" s="25">
        <f>IF($A340&lt;0,0,IF(instatk="bs",(1.5+talSCallInstBon)*(MHavg+(ap+Z340-$Z$1)/APtoDPS*MHnorm+170)*(1+sa*0.1+0.04*opp+0.02*agg+Slayer4value-1),IF(instatk="hemo",Slayer4value*(MHavg+(ap+Z340-$Z$1)/APtoDPS*MHnorm)*(1.1+talSCallInstBon)+420*(1+raidcrit)*debuffon,IF(instatk="ss",(MHavg+(ap+Z340-$Z$1)/APtoDPS*MHnorm+98)*(1+sa*0.1+0.02*agg+Slayer4value-1),IF(instatk="v",(ohavg+(ap+Z340-$Z$1)/APtoDPS*OHnorm)*(1+sa*0.1)*(0.5+0.05*dws)+avipdam,Slayer4value*((1+0.04*opp)*(MHavg+101+(ap+Z340-$Z$1)/APtoDPS*MHnorm+(0.5+0.05*dws)*(ohavg+(ap+Z340-$Z$1)/APtoDPS*OHnorm)+101*(1+0.1*dws))*(1+0.5*IF(Talents!$O$18="Yes",1,0)))))))*(instactualhit+(1+((leth*0.06+2)-1)*(cfact-1))*instactualcrit)*fwfactor*AB340*instsec*(AF340/$AN$45))</f>
        <v>0</v>
      </c>
      <c r="AH340" s="25">
        <f t="shared" si="210"/>
        <v>0</v>
      </c>
      <c r="AI340" s="25">
        <f t="shared" si="211"/>
        <v>0</v>
      </c>
      <c r="AJ340" s="25">
        <f t="shared" si="212"/>
        <v>0</v>
      </c>
    </row>
    <row r="341" spans="1:36">
      <c r="A341">
        <f t="shared" si="193"/>
        <v>-1</v>
      </c>
      <c r="B341">
        <f t="shared" si="201"/>
        <v>6</v>
      </c>
      <c r="C341">
        <f t="shared" si="179"/>
        <v>300</v>
      </c>
      <c r="D341">
        <f t="shared" si="194"/>
        <v>0</v>
      </c>
      <c r="E341">
        <f t="shared" si="213"/>
        <v>5</v>
      </c>
      <c r="F341">
        <f t="shared" si="180"/>
        <v>360</v>
      </c>
      <c r="G341">
        <f t="shared" si="195"/>
        <v>0</v>
      </c>
      <c r="H341">
        <f t="shared" si="202"/>
        <v>4</v>
      </c>
      <c r="I341">
        <f t="shared" si="181"/>
        <v>360</v>
      </c>
      <c r="J341">
        <f t="shared" si="196"/>
        <v>0</v>
      </c>
      <c r="K341">
        <f t="shared" si="203"/>
        <v>3</v>
      </c>
      <c r="L341">
        <f t="shared" si="182"/>
        <v>360</v>
      </c>
      <c r="M341">
        <f t="shared" si="197"/>
        <v>0</v>
      </c>
      <c r="N341">
        <f t="shared" si="204"/>
        <v>2</v>
      </c>
      <c r="O341">
        <f t="shared" si="183"/>
        <v>300</v>
      </c>
      <c r="P341">
        <f t="shared" si="205"/>
        <v>0</v>
      </c>
      <c r="Q341">
        <f t="shared" si="206"/>
        <v>2</v>
      </c>
      <c r="R341">
        <f t="shared" si="184"/>
        <v>300</v>
      </c>
      <c r="S341">
        <f t="shared" si="207"/>
        <v>0</v>
      </c>
      <c r="T341">
        <f t="shared" si="208"/>
        <v>-1</v>
      </c>
      <c r="U341">
        <f t="shared" si="198"/>
        <v>1</v>
      </c>
      <c r="V341">
        <f t="shared" si="199"/>
        <v>1</v>
      </c>
      <c r="W341">
        <f t="shared" si="185"/>
        <v>0</v>
      </c>
      <c r="X341">
        <f t="shared" si="209"/>
        <v>0</v>
      </c>
      <c r="Y341">
        <f t="shared" si="186"/>
        <v>0</v>
      </c>
      <c r="Z341">
        <f t="shared" si="187"/>
        <v>0</v>
      </c>
      <c r="AA341">
        <f t="shared" si="188"/>
        <v>0</v>
      </c>
      <c r="AB341" s="29">
        <f t="shared" si="189"/>
        <v>0</v>
      </c>
      <c r="AC341" s="25">
        <f t="shared" si="190"/>
        <v>0</v>
      </c>
      <c r="AD341" s="29">
        <f t="shared" si="191"/>
        <v>0</v>
      </c>
      <c r="AE341" s="25">
        <f t="shared" si="200"/>
        <v>0</v>
      </c>
      <c r="AF341" s="25">
        <f t="shared" si="192"/>
        <v>0</v>
      </c>
      <c r="AG341" s="25">
        <f>IF($A341&lt;0,0,IF(instatk="bs",(1.5+talSCallInstBon)*(MHavg+(ap+Z341-$Z$1)/APtoDPS*MHnorm+170)*(1+sa*0.1+0.04*opp+0.02*agg+Slayer4value-1),IF(instatk="hemo",Slayer4value*(MHavg+(ap+Z341-$Z$1)/APtoDPS*MHnorm)*(1.1+talSCallInstBon)+420*(1+raidcrit)*debuffon,IF(instatk="ss",(MHavg+(ap+Z341-$Z$1)/APtoDPS*MHnorm+98)*(1+sa*0.1+0.02*agg+Slayer4value-1),IF(instatk="v",(ohavg+(ap+Z341-$Z$1)/APtoDPS*OHnorm)*(1+sa*0.1)*(0.5+0.05*dws)+avipdam,Slayer4value*((1+0.04*opp)*(MHavg+101+(ap+Z341-$Z$1)/APtoDPS*MHnorm+(0.5+0.05*dws)*(ohavg+(ap+Z341-$Z$1)/APtoDPS*OHnorm)+101*(1+0.1*dws))*(1+0.5*IF(Talents!$O$18="Yes",1,0)))))))*(instactualhit+(1+((leth*0.06+2)-1)*(cfact-1))*instactualcrit)*fwfactor*AB341*instsec*(AF341/$AN$45))</f>
        <v>0</v>
      </c>
      <c r="AH341" s="25">
        <f t="shared" si="210"/>
        <v>0</v>
      </c>
      <c r="AI341" s="25">
        <f t="shared" si="211"/>
        <v>0</v>
      </c>
      <c r="AJ341" s="25">
        <f t="shared" si="212"/>
        <v>0</v>
      </c>
    </row>
    <row r="342" spans="1:36">
      <c r="A342">
        <f t="shared" si="193"/>
        <v>-1</v>
      </c>
      <c r="B342">
        <f t="shared" si="201"/>
        <v>6</v>
      </c>
      <c r="C342">
        <f t="shared" si="179"/>
        <v>300</v>
      </c>
      <c r="D342">
        <f t="shared" si="194"/>
        <v>0</v>
      </c>
      <c r="E342">
        <f t="shared" si="213"/>
        <v>5</v>
      </c>
      <c r="F342">
        <f t="shared" si="180"/>
        <v>360</v>
      </c>
      <c r="G342">
        <f t="shared" si="195"/>
        <v>0</v>
      </c>
      <c r="H342">
        <f t="shared" si="202"/>
        <v>4</v>
      </c>
      <c r="I342">
        <f t="shared" si="181"/>
        <v>360</v>
      </c>
      <c r="J342">
        <f t="shared" si="196"/>
        <v>0</v>
      </c>
      <c r="K342">
        <f t="shared" si="203"/>
        <v>3</v>
      </c>
      <c r="L342">
        <f t="shared" si="182"/>
        <v>360</v>
      </c>
      <c r="M342">
        <f t="shared" si="197"/>
        <v>0</v>
      </c>
      <c r="N342">
        <f t="shared" si="204"/>
        <v>2</v>
      </c>
      <c r="O342">
        <f t="shared" si="183"/>
        <v>300</v>
      </c>
      <c r="P342">
        <f t="shared" si="205"/>
        <v>0</v>
      </c>
      <c r="Q342">
        <f t="shared" si="206"/>
        <v>2</v>
      </c>
      <c r="R342">
        <f t="shared" si="184"/>
        <v>300</v>
      </c>
      <c r="S342">
        <f t="shared" si="207"/>
        <v>0</v>
      </c>
      <c r="T342">
        <f t="shared" si="208"/>
        <v>-1</v>
      </c>
      <c r="U342">
        <f t="shared" si="198"/>
        <v>1</v>
      </c>
      <c r="V342">
        <f t="shared" si="199"/>
        <v>1</v>
      </c>
      <c r="W342">
        <f t="shared" si="185"/>
        <v>0</v>
      </c>
      <c r="X342">
        <f t="shared" si="209"/>
        <v>0</v>
      </c>
      <c r="Y342">
        <f t="shared" si="186"/>
        <v>0</v>
      </c>
      <c r="Z342">
        <f t="shared" si="187"/>
        <v>0</v>
      </c>
      <c r="AA342">
        <f t="shared" si="188"/>
        <v>0</v>
      </c>
      <c r="AB342" s="29">
        <f t="shared" si="189"/>
        <v>0</v>
      </c>
      <c r="AC342" s="25">
        <f t="shared" si="190"/>
        <v>0</v>
      </c>
      <c r="AD342" s="29">
        <f t="shared" si="191"/>
        <v>0</v>
      </c>
      <c r="AE342" s="25">
        <f t="shared" si="200"/>
        <v>0</v>
      </c>
      <c r="AF342" s="25">
        <f t="shared" si="192"/>
        <v>0</v>
      </c>
      <c r="AG342" s="25">
        <f>IF($A342&lt;0,0,IF(instatk="bs",(1.5+talSCallInstBon)*(MHavg+(ap+Z342-$Z$1)/APtoDPS*MHnorm+170)*(1+sa*0.1+0.04*opp+0.02*agg+Slayer4value-1),IF(instatk="hemo",Slayer4value*(MHavg+(ap+Z342-$Z$1)/APtoDPS*MHnorm)*(1.1+talSCallInstBon)+420*(1+raidcrit)*debuffon,IF(instatk="ss",(MHavg+(ap+Z342-$Z$1)/APtoDPS*MHnorm+98)*(1+sa*0.1+0.02*agg+Slayer4value-1),IF(instatk="v",(ohavg+(ap+Z342-$Z$1)/APtoDPS*OHnorm)*(1+sa*0.1)*(0.5+0.05*dws)+avipdam,Slayer4value*((1+0.04*opp)*(MHavg+101+(ap+Z342-$Z$1)/APtoDPS*MHnorm+(0.5+0.05*dws)*(ohavg+(ap+Z342-$Z$1)/APtoDPS*OHnorm)+101*(1+0.1*dws))*(1+0.5*IF(Talents!$O$18="Yes",1,0)))))))*(instactualhit+(1+((leth*0.06+2)-1)*(cfact-1))*instactualcrit)*fwfactor*AB342*instsec*(AF342/$AN$45))</f>
        <v>0</v>
      </c>
      <c r="AH342" s="25">
        <f t="shared" si="210"/>
        <v>0</v>
      </c>
      <c r="AI342" s="25">
        <f t="shared" si="211"/>
        <v>0</v>
      </c>
      <c r="AJ342" s="25">
        <f t="shared" si="212"/>
        <v>0</v>
      </c>
    </row>
    <row r="343" spans="1:36">
      <c r="A343">
        <f t="shared" si="193"/>
        <v>-1</v>
      </c>
      <c r="B343">
        <f t="shared" si="201"/>
        <v>6</v>
      </c>
      <c r="C343">
        <f t="shared" si="179"/>
        <v>300</v>
      </c>
      <c r="D343">
        <f t="shared" si="194"/>
        <v>0</v>
      </c>
      <c r="E343">
        <f t="shared" si="213"/>
        <v>5</v>
      </c>
      <c r="F343">
        <f t="shared" si="180"/>
        <v>360</v>
      </c>
      <c r="G343">
        <f t="shared" si="195"/>
        <v>0</v>
      </c>
      <c r="H343">
        <f t="shared" si="202"/>
        <v>4</v>
      </c>
      <c r="I343">
        <f t="shared" si="181"/>
        <v>360</v>
      </c>
      <c r="J343">
        <f t="shared" si="196"/>
        <v>0</v>
      </c>
      <c r="K343">
        <f t="shared" si="203"/>
        <v>3</v>
      </c>
      <c r="L343">
        <f t="shared" si="182"/>
        <v>360</v>
      </c>
      <c r="M343">
        <f t="shared" si="197"/>
        <v>0</v>
      </c>
      <c r="N343">
        <f t="shared" si="204"/>
        <v>2</v>
      </c>
      <c r="O343">
        <f t="shared" si="183"/>
        <v>300</v>
      </c>
      <c r="P343">
        <f t="shared" si="205"/>
        <v>0</v>
      </c>
      <c r="Q343">
        <f t="shared" si="206"/>
        <v>2</v>
      </c>
      <c r="R343">
        <f t="shared" si="184"/>
        <v>300</v>
      </c>
      <c r="S343">
        <f t="shared" si="207"/>
        <v>0</v>
      </c>
      <c r="T343">
        <f t="shared" si="208"/>
        <v>-1</v>
      </c>
      <c r="U343">
        <f t="shared" si="198"/>
        <v>1</v>
      </c>
      <c r="V343">
        <f t="shared" si="199"/>
        <v>1</v>
      </c>
      <c r="W343">
        <f t="shared" si="185"/>
        <v>0</v>
      </c>
      <c r="X343">
        <f t="shared" si="209"/>
        <v>0</v>
      </c>
      <c r="Y343">
        <f t="shared" si="186"/>
        <v>0</v>
      </c>
      <c r="Z343">
        <f t="shared" si="187"/>
        <v>0</v>
      </c>
      <c r="AA343">
        <f t="shared" si="188"/>
        <v>0</v>
      </c>
      <c r="AB343" s="29">
        <f t="shared" si="189"/>
        <v>0</v>
      </c>
      <c r="AC343" s="25">
        <f t="shared" si="190"/>
        <v>0</v>
      </c>
      <c r="AD343" s="29">
        <f t="shared" si="191"/>
        <v>0</v>
      </c>
      <c r="AE343" s="25">
        <f t="shared" si="200"/>
        <v>0</v>
      </c>
      <c r="AF343" s="25">
        <f t="shared" si="192"/>
        <v>0</v>
      </c>
      <c r="AG343" s="25">
        <f>IF($A343&lt;0,0,IF(instatk="bs",(1.5+talSCallInstBon)*(MHavg+(ap+Z343-$Z$1)/APtoDPS*MHnorm+170)*(1+sa*0.1+0.04*opp+0.02*agg+Slayer4value-1),IF(instatk="hemo",Slayer4value*(MHavg+(ap+Z343-$Z$1)/APtoDPS*MHnorm)*(1.1+talSCallInstBon)+420*(1+raidcrit)*debuffon,IF(instatk="ss",(MHavg+(ap+Z343-$Z$1)/APtoDPS*MHnorm+98)*(1+sa*0.1+0.02*agg+Slayer4value-1),IF(instatk="v",(ohavg+(ap+Z343-$Z$1)/APtoDPS*OHnorm)*(1+sa*0.1)*(0.5+0.05*dws)+avipdam,Slayer4value*((1+0.04*opp)*(MHavg+101+(ap+Z343-$Z$1)/APtoDPS*MHnorm+(0.5+0.05*dws)*(ohavg+(ap+Z343-$Z$1)/APtoDPS*OHnorm)+101*(1+0.1*dws))*(1+0.5*IF(Talents!$O$18="Yes",1,0)))))))*(instactualhit+(1+((leth*0.06+2)-1)*(cfact-1))*instactualcrit)*fwfactor*AB343*instsec*(AF343/$AN$45))</f>
        <v>0</v>
      </c>
      <c r="AH343" s="25">
        <f t="shared" si="210"/>
        <v>0</v>
      </c>
      <c r="AI343" s="25">
        <f t="shared" si="211"/>
        <v>0</v>
      </c>
      <c r="AJ343" s="25">
        <f t="shared" si="212"/>
        <v>0</v>
      </c>
    </row>
    <row r="344" spans="1:36">
      <c r="A344">
        <f t="shared" si="193"/>
        <v>-1</v>
      </c>
      <c r="B344">
        <f t="shared" si="201"/>
        <v>6</v>
      </c>
      <c r="C344">
        <f t="shared" si="179"/>
        <v>300</v>
      </c>
      <c r="D344">
        <f t="shared" si="194"/>
        <v>0</v>
      </c>
      <c r="E344">
        <f t="shared" si="213"/>
        <v>5</v>
      </c>
      <c r="F344">
        <f t="shared" si="180"/>
        <v>360</v>
      </c>
      <c r="G344">
        <f t="shared" si="195"/>
        <v>0</v>
      </c>
      <c r="H344">
        <f t="shared" si="202"/>
        <v>4</v>
      </c>
      <c r="I344">
        <f t="shared" si="181"/>
        <v>360</v>
      </c>
      <c r="J344">
        <f t="shared" si="196"/>
        <v>0</v>
      </c>
      <c r="K344">
        <f t="shared" si="203"/>
        <v>3</v>
      </c>
      <c r="L344">
        <f t="shared" si="182"/>
        <v>360</v>
      </c>
      <c r="M344">
        <f t="shared" si="197"/>
        <v>0</v>
      </c>
      <c r="N344">
        <f t="shared" si="204"/>
        <v>2</v>
      </c>
      <c r="O344">
        <f t="shared" si="183"/>
        <v>300</v>
      </c>
      <c r="P344">
        <f t="shared" si="205"/>
        <v>0</v>
      </c>
      <c r="Q344">
        <f t="shared" si="206"/>
        <v>2</v>
      </c>
      <c r="R344">
        <f t="shared" si="184"/>
        <v>300</v>
      </c>
      <c r="S344">
        <f t="shared" si="207"/>
        <v>0</v>
      </c>
      <c r="T344">
        <f t="shared" si="208"/>
        <v>-1</v>
      </c>
      <c r="U344">
        <f t="shared" si="198"/>
        <v>1</v>
      </c>
      <c r="V344">
        <f t="shared" si="199"/>
        <v>1</v>
      </c>
      <c r="W344">
        <f t="shared" si="185"/>
        <v>0</v>
      </c>
      <c r="X344">
        <f t="shared" si="209"/>
        <v>0</v>
      </c>
      <c r="Y344">
        <f t="shared" si="186"/>
        <v>0</v>
      </c>
      <c r="Z344">
        <f t="shared" si="187"/>
        <v>0</v>
      </c>
      <c r="AA344">
        <f t="shared" si="188"/>
        <v>0</v>
      </c>
      <c r="AB344" s="29">
        <f t="shared" si="189"/>
        <v>0</v>
      </c>
      <c r="AC344" s="25">
        <f t="shared" si="190"/>
        <v>0</v>
      </c>
      <c r="AD344" s="29">
        <f t="shared" si="191"/>
        <v>0</v>
      </c>
      <c r="AE344" s="25">
        <f t="shared" si="200"/>
        <v>0</v>
      </c>
      <c r="AF344" s="25">
        <f t="shared" si="192"/>
        <v>0</v>
      </c>
      <c r="AG344" s="25">
        <f>IF($A344&lt;0,0,IF(instatk="bs",(1.5+talSCallInstBon)*(MHavg+(ap+Z344-$Z$1)/APtoDPS*MHnorm+170)*(1+sa*0.1+0.04*opp+0.02*agg+Slayer4value-1),IF(instatk="hemo",Slayer4value*(MHavg+(ap+Z344-$Z$1)/APtoDPS*MHnorm)*(1.1+talSCallInstBon)+420*(1+raidcrit)*debuffon,IF(instatk="ss",(MHavg+(ap+Z344-$Z$1)/APtoDPS*MHnorm+98)*(1+sa*0.1+0.02*agg+Slayer4value-1),IF(instatk="v",(ohavg+(ap+Z344-$Z$1)/APtoDPS*OHnorm)*(1+sa*0.1)*(0.5+0.05*dws)+avipdam,Slayer4value*((1+0.04*opp)*(MHavg+101+(ap+Z344-$Z$1)/APtoDPS*MHnorm+(0.5+0.05*dws)*(ohavg+(ap+Z344-$Z$1)/APtoDPS*OHnorm)+101*(1+0.1*dws))*(1+0.5*IF(Talents!$O$18="Yes",1,0)))))))*(instactualhit+(1+((leth*0.06+2)-1)*(cfact-1))*instactualcrit)*fwfactor*AB344*instsec*(AF344/$AN$45))</f>
        <v>0</v>
      </c>
      <c r="AH344" s="25">
        <f t="shared" si="210"/>
        <v>0</v>
      </c>
      <c r="AI344" s="25">
        <f t="shared" si="211"/>
        <v>0</v>
      </c>
      <c r="AJ344" s="25">
        <f t="shared" si="212"/>
        <v>0</v>
      </c>
    </row>
    <row r="345" spans="1:36">
      <c r="A345">
        <f t="shared" si="193"/>
        <v>-1</v>
      </c>
      <c r="B345">
        <f t="shared" si="201"/>
        <v>6</v>
      </c>
      <c r="C345">
        <f t="shared" si="179"/>
        <v>300</v>
      </c>
      <c r="D345">
        <f t="shared" si="194"/>
        <v>0</v>
      </c>
      <c r="E345">
        <f t="shared" si="213"/>
        <v>5</v>
      </c>
      <c r="F345">
        <f t="shared" si="180"/>
        <v>360</v>
      </c>
      <c r="G345">
        <f t="shared" si="195"/>
        <v>0</v>
      </c>
      <c r="H345">
        <f t="shared" si="202"/>
        <v>4</v>
      </c>
      <c r="I345">
        <f t="shared" si="181"/>
        <v>360</v>
      </c>
      <c r="J345">
        <f t="shared" si="196"/>
        <v>0</v>
      </c>
      <c r="K345">
        <f t="shared" si="203"/>
        <v>3</v>
      </c>
      <c r="L345">
        <f t="shared" si="182"/>
        <v>360</v>
      </c>
      <c r="M345">
        <f t="shared" si="197"/>
        <v>0</v>
      </c>
      <c r="N345">
        <f t="shared" si="204"/>
        <v>2</v>
      </c>
      <c r="O345">
        <f t="shared" si="183"/>
        <v>300</v>
      </c>
      <c r="P345">
        <f t="shared" si="205"/>
        <v>0</v>
      </c>
      <c r="Q345">
        <f t="shared" si="206"/>
        <v>2</v>
      </c>
      <c r="R345">
        <f t="shared" si="184"/>
        <v>300</v>
      </c>
      <c r="S345">
        <f t="shared" si="207"/>
        <v>0</v>
      </c>
      <c r="T345">
        <f t="shared" si="208"/>
        <v>-1</v>
      </c>
      <c r="U345">
        <f t="shared" si="198"/>
        <v>1</v>
      </c>
      <c r="V345">
        <f t="shared" si="199"/>
        <v>1</v>
      </c>
      <c r="W345">
        <f t="shared" si="185"/>
        <v>0</v>
      </c>
      <c r="X345">
        <f t="shared" si="209"/>
        <v>0</v>
      </c>
      <c r="Y345">
        <f t="shared" si="186"/>
        <v>0</v>
      </c>
      <c r="Z345">
        <f t="shared" si="187"/>
        <v>0</v>
      </c>
      <c r="AA345">
        <f t="shared" si="188"/>
        <v>0</v>
      </c>
      <c r="AB345" s="29">
        <f t="shared" si="189"/>
        <v>0</v>
      </c>
      <c r="AC345" s="25">
        <f t="shared" si="190"/>
        <v>0</v>
      </c>
      <c r="AD345" s="29">
        <f t="shared" si="191"/>
        <v>0</v>
      </c>
      <c r="AE345" s="25">
        <f t="shared" si="200"/>
        <v>0</v>
      </c>
      <c r="AF345" s="25">
        <f t="shared" si="192"/>
        <v>0</v>
      </c>
      <c r="AG345" s="25">
        <f>IF($A345&lt;0,0,IF(instatk="bs",(1.5+talSCallInstBon)*(MHavg+(ap+Z345-$Z$1)/APtoDPS*MHnorm+170)*(1+sa*0.1+0.04*opp+0.02*agg+Slayer4value-1),IF(instatk="hemo",Slayer4value*(MHavg+(ap+Z345-$Z$1)/APtoDPS*MHnorm)*(1.1+talSCallInstBon)+420*(1+raidcrit)*debuffon,IF(instatk="ss",(MHavg+(ap+Z345-$Z$1)/APtoDPS*MHnorm+98)*(1+sa*0.1+0.02*agg+Slayer4value-1),IF(instatk="v",(ohavg+(ap+Z345-$Z$1)/APtoDPS*OHnorm)*(1+sa*0.1)*(0.5+0.05*dws)+avipdam,Slayer4value*((1+0.04*opp)*(MHavg+101+(ap+Z345-$Z$1)/APtoDPS*MHnorm+(0.5+0.05*dws)*(ohavg+(ap+Z345-$Z$1)/APtoDPS*OHnorm)+101*(1+0.1*dws))*(1+0.5*IF(Talents!$O$18="Yes",1,0)))))))*(instactualhit+(1+((leth*0.06+2)-1)*(cfact-1))*instactualcrit)*fwfactor*AB345*instsec*(AF345/$AN$45))</f>
        <v>0</v>
      </c>
      <c r="AH345" s="25">
        <f t="shared" si="210"/>
        <v>0</v>
      </c>
      <c r="AI345" s="25">
        <f t="shared" si="211"/>
        <v>0</v>
      </c>
      <c r="AJ345" s="25">
        <f t="shared" si="212"/>
        <v>0</v>
      </c>
    </row>
    <row r="346" spans="1:36">
      <c r="A346">
        <f t="shared" si="193"/>
        <v>-1</v>
      </c>
      <c r="B346">
        <f t="shared" si="201"/>
        <v>6</v>
      </c>
      <c r="C346">
        <f t="shared" si="179"/>
        <v>300</v>
      </c>
      <c r="D346">
        <f t="shared" si="194"/>
        <v>0</v>
      </c>
      <c r="E346">
        <f t="shared" si="213"/>
        <v>5</v>
      </c>
      <c r="F346">
        <f t="shared" si="180"/>
        <v>360</v>
      </c>
      <c r="G346">
        <f t="shared" si="195"/>
        <v>0</v>
      </c>
      <c r="H346">
        <f t="shared" si="202"/>
        <v>4</v>
      </c>
      <c r="I346">
        <f t="shared" si="181"/>
        <v>360</v>
      </c>
      <c r="J346">
        <f t="shared" si="196"/>
        <v>0</v>
      </c>
      <c r="K346">
        <f t="shared" si="203"/>
        <v>3</v>
      </c>
      <c r="L346">
        <f t="shared" si="182"/>
        <v>360</v>
      </c>
      <c r="M346">
        <f t="shared" si="197"/>
        <v>0</v>
      </c>
      <c r="N346">
        <f t="shared" si="204"/>
        <v>2</v>
      </c>
      <c r="O346">
        <f t="shared" si="183"/>
        <v>300</v>
      </c>
      <c r="P346">
        <f t="shared" si="205"/>
        <v>0</v>
      </c>
      <c r="Q346">
        <f t="shared" si="206"/>
        <v>2</v>
      </c>
      <c r="R346">
        <f t="shared" si="184"/>
        <v>300</v>
      </c>
      <c r="S346">
        <f t="shared" si="207"/>
        <v>0</v>
      </c>
      <c r="T346">
        <f t="shared" si="208"/>
        <v>-1</v>
      </c>
      <c r="U346">
        <f t="shared" si="198"/>
        <v>1</v>
      </c>
      <c r="V346">
        <f t="shared" si="199"/>
        <v>1</v>
      </c>
      <c r="W346">
        <f t="shared" si="185"/>
        <v>0</v>
      </c>
      <c r="X346">
        <f t="shared" si="209"/>
        <v>0</v>
      </c>
      <c r="Y346">
        <f t="shared" si="186"/>
        <v>0</v>
      </c>
      <c r="Z346">
        <f t="shared" si="187"/>
        <v>0</v>
      </c>
      <c r="AA346">
        <f t="shared" si="188"/>
        <v>0</v>
      </c>
      <c r="AB346" s="29">
        <f t="shared" si="189"/>
        <v>0</v>
      </c>
      <c r="AC346" s="25">
        <f t="shared" si="190"/>
        <v>0</v>
      </c>
      <c r="AD346" s="29">
        <f t="shared" si="191"/>
        <v>0</v>
      </c>
      <c r="AE346" s="25">
        <f t="shared" si="200"/>
        <v>0</v>
      </c>
      <c r="AF346" s="25">
        <f t="shared" si="192"/>
        <v>0</v>
      </c>
      <c r="AG346" s="25">
        <f>IF($A346&lt;0,0,IF(instatk="bs",(1.5+talSCallInstBon)*(MHavg+(ap+Z346-$Z$1)/APtoDPS*MHnorm+170)*(1+sa*0.1+0.04*opp+0.02*agg+Slayer4value-1),IF(instatk="hemo",Slayer4value*(MHavg+(ap+Z346-$Z$1)/APtoDPS*MHnorm)*(1.1+talSCallInstBon)+420*(1+raidcrit)*debuffon,IF(instatk="ss",(MHavg+(ap+Z346-$Z$1)/APtoDPS*MHnorm+98)*(1+sa*0.1+0.02*agg+Slayer4value-1),IF(instatk="v",(ohavg+(ap+Z346-$Z$1)/APtoDPS*OHnorm)*(1+sa*0.1)*(0.5+0.05*dws)+avipdam,Slayer4value*((1+0.04*opp)*(MHavg+101+(ap+Z346-$Z$1)/APtoDPS*MHnorm+(0.5+0.05*dws)*(ohavg+(ap+Z346-$Z$1)/APtoDPS*OHnorm)+101*(1+0.1*dws))*(1+0.5*IF(Talents!$O$18="Yes",1,0)))))))*(instactualhit+(1+((leth*0.06+2)-1)*(cfact-1))*instactualcrit)*fwfactor*AB346*instsec*(AF346/$AN$45))</f>
        <v>0</v>
      </c>
      <c r="AH346" s="25">
        <f t="shared" si="210"/>
        <v>0</v>
      </c>
      <c r="AI346" s="25">
        <f t="shared" si="211"/>
        <v>0</v>
      </c>
      <c r="AJ346" s="25">
        <f t="shared" si="212"/>
        <v>0</v>
      </c>
    </row>
    <row r="347" spans="1:36">
      <c r="A347">
        <f t="shared" si="193"/>
        <v>-1</v>
      </c>
      <c r="B347">
        <f t="shared" si="201"/>
        <v>6</v>
      </c>
      <c r="C347">
        <f t="shared" si="179"/>
        <v>300</v>
      </c>
      <c r="D347">
        <f t="shared" si="194"/>
        <v>0</v>
      </c>
      <c r="E347">
        <f t="shared" si="213"/>
        <v>5</v>
      </c>
      <c r="F347">
        <f t="shared" si="180"/>
        <v>360</v>
      </c>
      <c r="G347">
        <f t="shared" si="195"/>
        <v>0</v>
      </c>
      <c r="H347">
        <f t="shared" si="202"/>
        <v>4</v>
      </c>
      <c r="I347">
        <f t="shared" si="181"/>
        <v>360</v>
      </c>
      <c r="J347">
        <f t="shared" si="196"/>
        <v>0</v>
      </c>
      <c r="K347">
        <f t="shared" si="203"/>
        <v>3</v>
      </c>
      <c r="L347">
        <f t="shared" si="182"/>
        <v>360</v>
      </c>
      <c r="M347">
        <f t="shared" si="197"/>
        <v>0</v>
      </c>
      <c r="N347">
        <f t="shared" si="204"/>
        <v>2</v>
      </c>
      <c r="O347">
        <f t="shared" si="183"/>
        <v>300</v>
      </c>
      <c r="P347">
        <f t="shared" si="205"/>
        <v>0</v>
      </c>
      <c r="Q347">
        <f t="shared" si="206"/>
        <v>2</v>
      </c>
      <c r="R347">
        <f t="shared" si="184"/>
        <v>300</v>
      </c>
      <c r="S347">
        <f t="shared" si="207"/>
        <v>0</v>
      </c>
      <c r="T347">
        <f t="shared" si="208"/>
        <v>-1</v>
      </c>
      <c r="U347">
        <f t="shared" si="198"/>
        <v>1</v>
      </c>
      <c r="V347">
        <f t="shared" si="199"/>
        <v>1</v>
      </c>
      <c r="W347">
        <f t="shared" si="185"/>
        <v>0</v>
      </c>
      <c r="X347">
        <f t="shared" si="209"/>
        <v>0</v>
      </c>
      <c r="Y347">
        <f t="shared" si="186"/>
        <v>0</v>
      </c>
      <c r="Z347">
        <f t="shared" si="187"/>
        <v>0</v>
      </c>
      <c r="AA347">
        <f t="shared" si="188"/>
        <v>0</v>
      </c>
      <c r="AB347" s="29">
        <f t="shared" si="189"/>
        <v>0</v>
      </c>
      <c r="AC347" s="25">
        <f t="shared" si="190"/>
        <v>0</v>
      </c>
      <c r="AD347" s="29">
        <f t="shared" si="191"/>
        <v>0</v>
      </c>
      <c r="AE347" s="25">
        <f t="shared" si="200"/>
        <v>0</v>
      </c>
      <c r="AF347" s="25">
        <f t="shared" si="192"/>
        <v>0</v>
      </c>
      <c r="AG347" s="25">
        <f>IF($A347&lt;0,0,IF(instatk="bs",(1.5+talSCallInstBon)*(MHavg+(ap+Z347-$Z$1)/APtoDPS*MHnorm+170)*(1+sa*0.1+0.04*opp+0.02*agg+Slayer4value-1),IF(instatk="hemo",Slayer4value*(MHavg+(ap+Z347-$Z$1)/APtoDPS*MHnorm)*(1.1+talSCallInstBon)+420*(1+raidcrit)*debuffon,IF(instatk="ss",(MHavg+(ap+Z347-$Z$1)/APtoDPS*MHnorm+98)*(1+sa*0.1+0.02*agg+Slayer4value-1),IF(instatk="v",(ohavg+(ap+Z347-$Z$1)/APtoDPS*OHnorm)*(1+sa*0.1)*(0.5+0.05*dws)+avipdam,Slayer4value*((1+0.04*opp)*(MHavg+101+(ap+Z347-$Z$1)/APtoDPS*MHnorm+(0.5+0.05*dws)*(ohavg+(ap+Z347-$Z$1)/APtoDPS*OHnorm)+101*(1+0.1*dws))*(1+0.5*IF(Talents!$O$18="Yes",1,0)))))))*(instactualhit+(1+((leth*0.06+2)-1)*(cfact-1))*instactualcrit)*fwfactor*AB347*instsec*(AF347/$AN$45))</f>
        <v>0</v>
      </c>
      <c r="AH347" s="25">
        <f t="shared" si="210"/>
        <v>0</v>
      </c>
      <c r="AI347" s="25">
        <f t="shared" si="211"/>
        <v>0</v>
      </c>
      <c r="AJ347" s="25">
        <f t="shared" si="212"/>
        <v>0</v>
      </c>
    </row>
    <row r="348" spans="1:36">
      <c r="A348">
        <f t="shared" si="193"/>
        <v>-1</v>
      </c>
      <c r="B348">
        <f t="shared" si="201"/>
        <v>6</v>
      </c>
      <c r="C348">
        <f t="shared" si="179"/>
        <v>300</v>
      </c>
      <c r="D348">
        <f t="shared" si="194"/>
        <v>0</v>
      </c>
      <c r="E348">
        <f t="shared" si="213"/>
        <v>5</v>
      </c>
      <c r="F348">
        <f t="shared" si="180"/>
        <v>360</v>
      </c>
      <c r="G348">
        <f t="shared" si="195"/>
        <v>0</v>
      </c>
      <c r="H348">
        <f t="shared" si="202"/>
        <v>4</v>
      </c>
      <c r="I348">
        <f t="shared" si="181"/>
        <v>360</v>
      </c>
      <c r="J348">
        <f t="shared" si="196"/>
        <v>0</v>
      </c>
      <c r="K348">
        <f t="shared" si="203"/>
        <v>3</v>
      </c>
      <c r="L348">
        <f t="shared" si="182"/>
        <v>360</v>
      </c>
      <c r="M348">
        <f t="shared" si="197"/>
        <v>0</v>
      </c>
      <c r="N348">
        <f t="shared" si="204"/>
        <v>2</v>
      </c>
      <c r="O348">
        <f t="shared" si="183"/>
        <v>300</v>
      </c>
      <c r="P348">
        <f t="shared" si="205"/>
        <v>0</v>
      </c>
      <c r="Q348">
        <f t="shared" si="206"/>
        <v>2</v>
      </c>
      <c r="R348">
        <f t="shared" si="184"/>
        <v>300</v>
      </c>
      <c r="S348">
        <f t="shared" si="207"/>
        <v>0</v>
      </c>
      <c r="T348">
        <f t="shared" si="208"/>
        <v>-1</v>
      </c>
      <c r="U348">
        <f t="shared" si="198"/>
        <v>1</v>
      </c>
      <c r="V348">
        <f t="shared" si="199"/>
        <v>1</v>
      </c>
      <c r="W348">
        <f t="shared" si="185"/>
        <v>0</v>
      </c>
      <c r="X348">
        <f t="shared" si="209"/>
        <v>0</v>
      </c>
      <c r="Y348">
        <f t="shared" si="186"/>
        <v>0</v>
      </c>
      <c r="Z348">
        <f t="shared" si="187"/>
        <v>0</v>
      </c>
      <c r="AA348">
        <f t="shared" si="188"/>
        <v>0</v>
      </c>
      <c r="AB348" s="29">
        <f t="shared" si="189"/>
        <v>0</v>
      </c>
      <c r="AC348" s="25">
        <f t="shared" si="190"/>
        <v>0</v>
      </c>
      <c r="AD348" s="29">
        <f t="shared" si="191"/>
        <v>0</v>
      </c>
      <c r="AE348" s="25">
        <f t="shared" si="200"/>
        <v>0</v>
      </c>
      <c r="AF348" s="25">
        <f t="shared" si="192"/>
        <v>0</v>
      </c>
      <c r="AG348" s="25">
        <f>IF($A348&lt;0,0,IF(instatk="bs",(1.5+talSCallInstBon)*(MHavg+(ap+Z348-$Z$1)/APtoDPS*MHnorm+170)*(1+sa*0.1+0.04*opp+0.02*agg+Slayer4value-1),IF(instatk="hemo",Slayer4value*(MHavg+(ap+Z348-$Z$1)/APtoDPS*MHnorm)*(1.1+talSCallInstBon)+420*(1+raidcrit)*debuffon,IF(instatk="ss",(MHavg+(ap+Z348-$Z$1)/APtoDPS*MHnorm+98)*(1+sa*0.1+0.02*agg+Slayer4value-1),IF(instatk="v",(ohavg+(ap+Z348-$Z$1)/APtoDPS*OHnorm)*(1+sa*0.1)*(0.5+0.05*dws)+avipdam,Slayer4value*((1+0.04*opp)*(MHavg+101+(ap+Z348-$Z$1)/APtoDPS*MHnorm+(0.5+0.05*dws)*(ohavg+(ap+Z348-$Z$1)/APtoDPS*OHnorm)+101*(1+0.1*dws))*(1+0.5*IF(Talents!$O$18="Yes",1,0)))))))*(instactualhit+(1+((leth*0.06+2)-1)*(cfact-1))*instactualcrit)*fwfactor*AB348*instsec*(AF348/$AN$45))</f>
        <v>0</v>
      </c>
      <c r="AH348" s="25">
        <f t="shared" si="210"/>
        <v>0</v>
      </c>
      <c r="AI348" s="25">
        <f t="shared" si="211"/>
        <v>0</v>
      </c>
      <c r="AJ348" s="25">
        <f t="shared" si="212"/>
        <v>0</v>
      </c>
    </row>
    <row r="349" spans="1:36">
      <c r="A349">
        <f t="shared" si="193"/>
        <v>-1</v>
      </c>
      <c r="B349">
        <f t="shared" si="201"/>
        <v>6</v>
      </c>
      <c r="C349">
        <f t="shared" si="179"/>
        <v>300</v>
      </c>
      <c r="D349">
        <f t="shared" si="194"/>
        <v>0</v>
      </c>
      <c r="E349">
        <f t="shared" si="213"/>
        <v>5</v>
      </c>
      <c r="F349">
        <f t="shared" si="180"/>
        <v>360</v>
      </c>
      <c r="G349">
        <f t="shared" si="195"/>
        <v>0</v>
      </c>
      <c r="H349">
        <f t="shared" si="202"/>
        <v>4</v>
      </c>
      <c r="I349">
        <f t="shared" si="181"/>
        <v>360</v>
      </c>
      <c r="J349">
        <f t="shared" si="196"/>
        <v>0</v>
      </c>
      <c r="K349">
        <f t="shared" si="203"/>
        <v>3</v>
      </c>
      <c r="L349">
        <f t="shared" si="182"/>
        <v>360</v>
      </c>
      <c r="M349">
        <f t="shared" si="197"/>
        <v>0</v>
      </c>
      <c r="N349">
        <f t="shared" si="204"/>
        <v>2</v>
      </c>
      <c r="O349">
        <f t="shared" si="183"/>
        <v>300</v>
      </c>
      <c r="P349">
        <f t="shared" si="205"/>
        <v>0</v>
      </c>
      <c r="Q349">
        <f t="shared" si="206"/>
        <v>2</v>
      </c>
      <c r="R349">
        <f t="shared" si="184"/>
        <v>300</v>
      </c>
      <c r="S349">
        <f t="shared" si="207"/>
        <v>0</v>
      </c>
      <c r="T349">
        <f t="shared" si="208"/>
        <v>-1</v>
      </c>
      <c r="U349">
        <f t="shared" si="198"/>
        <v>1</v>
      </c>
      <c r="V349">
        <f t="shared" si="199"/>
        <v>1</v>
      </c>
      <c r="W349">
        <f t="shared" si="185"/>
        <v>0</v>
      </c>
      <c r="X349">
        <f t="shared" si="209"/>
        <v>0</v>
      </c>
      <c r="Y349">
        <f t="shared" si="186"/>
        <v>0</v>
      </c>
      <c r="Z349">
        <f t="shared" si="187"/>
        <v>0</v>
      </c>
      <c r="AA349">
        <f t="shared" si="188"/>
        <v>0</v>
      </c>
      <c r="AB349" s="29">
        <f t="shared" si="189"/>
        <v>0</v>
      </c>
      <c r="AC349" s="25">
        <f t="shared" si="190"/>
        <v>0</v>
      </c>
      <c r="AD349" s="29">
        <f t="shared" si="191"/>
        <v>0</v>
      </c>
      <c r="AE349" s="25">
        <f t="shared" si="200"/>
        <v>0</v>
      </c>
      <c r="AF349" s="25">
        <f t="shared" si="192"/>
        <v>0</v>
      </c>
      <c r="AG349" s="25">
        <f>IF($A349&lt;0,0,IF(instatk="bs",(1.5+talSCallInstBon)*(MHavg+(ap+Z349-$Z$1)/APtoDPS*MHnorm+170)*(1+sa*0.1+0.04*opp+0.02*agg+Slayer4value-1),IF(instatk="hemo",Slayer4value*(MHavg+(ap+Z349-$Z$1)/APtoDPS*MHnorm)*(1.1+talSCallInstBon)+420*(1+raidcrit)*debuffon,IF(instatk="ss",(MHavg+(ap+Z349-$Z$1)/APtoDPS*MHnorm+98)*(1+sa*0.1+0.02*agg+Slayer4value-1),IF(instatk="v",(ohavg+(ap+Z349-$Z$1)/APtoDPS*OHnorm)*(1+sa*0.1)*(0.5+0.05*dws)+avipdam,Slayer4value*((1+0.04*opp)*(MHavg+101+(ap+Z349-$Z$1)/APtoDPS*MHnorm+(0.5+0.05*dws)*(ohavg+(ap+Z349-$Z$1)/APtoDPS*OHnorm)+101*(1+0.1*dws))*(1+0.5*IF(Talents!$O$18="Yes",1,0)))))))*(instactualhit+(1+((leth*0.06+2)-1)*(cfact-1))*instactualcrit)*fwfactor*AB349*instsec*(AF349/$AN$45))</f>
        <v>0</v>
      </c>
      <c r="AH349" s="25">
        <f t="shared" si="210"/>
        <v>0</v>
      </c>
      <c r="AI349" s="25">
        <f t="shared" si="211"/>
        <v>0</v>
      </c>
      <c r="AJ349" s="25">
        <f t="shared" si="212"/>
        <v>0</v>
      </c>
    </row>
    <row r="350" spans="1:36">
      <c r="A350">
        <f t="shared" si="193"/>
        <v>-1</v>
      </c>
      <c r="B350">
        <f t="shared" si="201"/>
        <v>6</v>
      </c>
      <c r="C350">
        <f t="shared" si="179"/>
        <v>300</v>
      </c>
      <c r="D350">
        <f t="shared" si="194"/>
        <v>0</v>
      </c>
      <c r="E350">
        <f t="shared" si="213"/>
        <v>5</v>
      </c>
      <c r="F350">
        <f t="shared" si="180"/>
        <v>360</v>
      </c>
      <c r="G350">
        <f t="shared" si="195"/>
        <v>0</v>
      </c>
      <c r="H350">
        <f t="shared" si="202"/>
        <v>4</v>
      </c>
      <c r="I350">
        <f t="shared" si="181"/>
        <v>360</v>
      </c>
      <c r="J350">
        <f t="shared" si="196"/>
        <v>0</v>
      </c>
      <c r="K350">
        <f t="shared" si="203"/>
        <v>3</v>
      </c>
      <c r="L350">
        <f t="shared" si="182"/>
        <v>360</v>
      </c>
      <c r="M350">
        <f t="shared" si="197"/>
        <v>0</v>
      </c>
      <c r="N350">
        <f t="shared" si="204"/>
        <v>2</v>
      </c>
      <c r="O350">
        <f t="shared" si="183"/>
        <v>300</v>
      </c>
      <c r="P350">
        <f t="shared" si="205"/>
        <v>0</v>
      </c>
      <c r="Q350">
        <f t="shared" si="206"/>
        <v>2</v>
      </c>
      <c r="R350">
        <f t="shared" si="184"/>
        <v>300</v>
      </c>
      <c r="S350">
        <f t="shared" si="207"/>
        <v>0</v>
      </c>
      <c r="T350">
        <f t="shared" si="208"/>
        <v>-1</v>
      </c>
      <c r="U350">
        <f t="shared" si="198"/>
        <v>1</v>
      </c>
      <c r="V350">
        <f t="shared" si="199"/>
        <v>1</v>
      </c>
      <c r="W350">
        <f t="shared" si="185"/>
        <v>0</v>
      </c>
      <c r="X350">
        <f t="shared" si="209"/>
        <v>0</v>
      </c>
      <c r="Y350">
        <f t="shared" si="186"/>
        <v>0</v>
      </c>
      <c r="Z350">
        <f t="shared" si="187"/>
        <v>0</v>
      </c>
      <c r="AA350">
        <f t="shared" si="188"/>
        <v>0</v>
      </c>
      <c r="AB350" s="29">
        <f t="shared" si="189"/>
        <v>0</v>
      </c>
      <c r="AC350" s="25">
        <f t="shared" si="190"/>
        <v>0</v>
      </c>
      <c r="AD350" s="29">
        <f t="shared" si="191"/>
        <v>0</v>
      </c>
      <c r="AE350" s="25">
        <f t="shared" si="200"/>
        <v>0</v>
      </c>
      <c r="AF350" s="25">
        <f t="shared" si="192"/>
        <v>0</v>
      </c>
      <c r="AG350" s="25">
        <f>IF($A350&lt;0,0,IF(instatk="bs",(1.5+talSCallInstBon)*(MHavg+(ap+Z350-$Z$1)/APtoDPS*MHnorm+170)*(1+sa*0.1+0.04*opp+0.02*agg+Slayer4value-1),IF(instatk="hemo",Slayer4value*(MHavg+(ap+Z350-$Z$1)/APtoDPS*MHnorm)*(1.1+talSCallInstBon)+420*(1+raidcrit)*debuffon,IF(instatk="ss",(MHavg+(ap+Z350-$Z$1)/APtoDPS*MHnorm+98)*(1+sa*0.1+0.02*agg+Slayer4value-1),IF(instatk="v",(ohavg+(ap+Z350-$Z$1)/APtoDPS*OHnorm)*(1+sa*0.1)*(0.5+0.05*dws)+avipdam,Slayer4value*((1+0.04*opp)*(MHavg+101+(ap+Z350-$Z$1)/APtoDPS*MHnorm+(0.5+0.05*dws)*(ohavg+(ap+Z350-$Z$1)/APtoDPS*OHnorm)+101*(1+0.1*dws))*(1+0.5*IF(Talents!$O$18="Yes",1,0)))))))*(instactualhit+(1+((leth*0.06+2)-1)*(cfact-1))*instactualcrit)*fwfactor*AB350*instsec*(AF350/$AN$45))</f>
        <v>0</v>
      </c>
      <c r="AH350" s="25">
        <f t="shared" si="210"/>
        <v>0</v>
      </c>
      <c r="AI350" s="25">
        <f t="shared" si="211"/>
        <v>0</v>
      </c>
      <c r="AJ350" s="25">
        <f t="shared" si="212"/>
        <v>0</v>
      </c>
    </row>
    <row r="351" spans="1:36">
      <c r="A351">
        <f t="shared" si="193"/>
        <v>-1</v>
      </c>
      <c r="B351">
        <f t="shared" si="201"/>
        <v>6</v>
      </c>
      <c r="C351">
        <f t="shared" si="179"/>
        <v>300</v>
      </c>
      <c r="D351">
        <f t="shared" si="194"/>
        <v>0</v>
      </c>
      <c r="E351">
        <f t="shared" si="213"/>
        <v>5</v>
      </c>
      <c r="F351">
        <f t="shared" si="180"/>
        <v>360</v>
      </c>
      <c r="G351">
        <f t="shared" si="195"/>
        <v>0</v>
      </c>
      <c r="H351">
        <f t="shared" si="202"/>
        <v>4</v>
      </c>
      <c r="I351">
        <f t="shared" si="181"/>
        <v>360</v>
      </c>
      <c r="J351">
        <f t="shared" si="196"/>
        <v>0</v>
      </c>
      <c r="K351">
        <f t="shared" si="203"/>
        <v>3</v>
      </c>
      <c r="L351">
        <f t="shared" si="182"/>
        <v>360</v>
      </c>
      <c r="M351">
        <f t="shared" si="197"/>
        <v>0</v>
      </c>
      <c r="N351">
        <f t="shared" si="204"/>
        <v>2</v>
      </c>
      <c r="O351">
        <f t="shared" si="183"/>
        <v>300</v>
      </c>
      <c r="P351">
        <f t="shared" si="205"/>
        <v>0</v>
      </c>
      <c r="Q351">
        <f t="shared" si="206"/>
        <v>2</v>
      </c>
      <c r="R351">
        <f t="shared" si="184"/>
        <v>300</v>
      </c>
      <c r="S351">
        <f t="shared" si="207"/>
        <v>0</v>
      </c>
      <c r="T351">
        <f t="shared" si="208"/>
        <v>-1</v>
      </c>
      <c r="U351">
        <f t="shared" si="198"/>
        <v>1</v>
      </c>
      <c r="V351">
        <f t="shared" si="199"/>
        <v>1</v>
      </c>
      <c r="W351">
        <f t="shared" si="185"/>
        <v>0</v>
      </c>
      <c r="X351">
        <f t="shared" si="209"/>
        <v>0</v>
      </c>
      <c r="Y351">
        <f t="shared" si="186"/>
        <v>0</v>
      </c>
      <c r="Z351">
        <f t="shared" si="187"/>
        <v>0</v>
      </c>
      <c r="AA351">
        <f t="shared" si="188"/>
        <v>0</v>
      </c>
      <c r="AB351" s="29">
        <f t="shared" si="189"/>
        <v>0</v>
      </c>
      <c r="AC351" s="25">
        <f t="shared" si="190"/>
        <v>0</v>
      </c>
      <c r="AD351" s="29">
        <f t="shared" si="191"/>
        <v>0</v>
      </c>
      <c r="AE351" s="25">
        <f t="shared" si="200"/>
        <v>0</v>
      </c>
      <c r="AF351" s="25">
        <f t="shared" si="192"/>
        <v>0</v>
      </c>
      <c r="AG351" s="25">
        <f>IF($A351&lt;0,0,IF(instatk="bs",(1.5+talSCallInstBon)*(MHavg+(ap+Z351-$Z$1)/APtoDPS*MHnorm+170)*(1+sa*0.1+0.04*opp+0.02*agg+Slayer4value-1),IF(instatk="hemo",Slayer4value*(MHavg+(ap+Z351-$Z$1)/APtoDPS*MHnorm)*(1.1+talSCallInstBon)+420*(1+raidcrit)*debuffon,IF(instatk="ss",(MHavg+(ap+Z351-$Z$1)/APtoDPS*MHnorm+98)*(1+sa*0.1+0.02*agg+Slayer4value-1),IF(instatk="v",(ohavg+(ap+Z351-$Z$1)/APtoDPS*OHnorm)*(1+sa*0.1)*(0.5+0.05*dws)+avipdam,Slayer4value*((1+0.04*opp)*(MHavg+101+(ap+Z351-$Z$1)/APtoDPS*MHnorm+(0.5+0.05*dws)*(ohavg+(ap+Z351-$Z$1)/APtoDPS*OHnorm)+101*(1+0.1*dws))*(1+0.5*IF(Talents!$O$18="Yes",1,0)))))))*(instactualhit+(1+((leth*0.06+2)-1)*(cfact-1))*instactualcrit)*fwfactor*AB351*instsec*(AF351/$AN$45))</f>
        <v>0</v>
      </c>
      <c r="AH351" s="25">
        <f t="shared" si="210"/>
        <v>0</v>
      </c>
      <c r="AI351" s="25">
        <f t="shared" si="211"/>
        <v>0</v>
      </c>
      <c r="AJ351" s="25">
        <f t="shared" si="212"/>
        <v>0</v>
      </c>
    </row>
    <row r="352" spans="1:36">
      <c r="A352">
        <f t="shared" si="193"/>
        <v>-1</v>
      </c>
      <c r="B352">
        <f t="shared" si="201"/>
        <v>6</v>
      </c>
      <c r="C352">
        <f t="shared" si="179"/>
        <v>300</v>
      </c>
      <c r="D352">
        <f t="shared" si="194"/>
        <v>0</v>
      </c>
      <c r="E352">
        <f t="shared" si="213"/>
        <v>5</v>
      </c>
      <c r="F352">
        <f t="shared" si="180"/>
        <v>360</v>
      </c>
      <c r="G352">
        <f t="shared" si="195"/>
        <v>0</v>
      </c>
      <c r="H352">
        <f t="shared" si="202"/>
        <v>4</v>
      </c>
      <c r="I352">
        <f t="shared" si="181"/>
        <v>360</v>
      </c>
      <c r="J352">
        <f t="shared" si="196"/>
        <v>0</v>
      </c>
      <c r="K352">
        <f t="shared" si="203"/>
        <v>3</v>
      </c>
      <c r="L352">
        <f t="shared" si="182"/>
        <v>360</v>
      </c>
      <c r="M352">
        <f t="shared" si="197"/>
        <v>0</v>
      </c>
      <c r="N352">
        <f t="shared" si="204"/>
        <v>2</v>
      </c>
      <c r="O352">
        <f t="shared" si="183"/>
        <v>300</v>
      </c>
      <c r="P352">
        <f t="shared" si="205"/>
        <v>0</v>
      </c>
      <c r="Q352">
        <f t="shared" si="206"/>
        <v>2</v>
      </c>
      <c r="R352">
        <f t="shared" si="184"/>
        <v>300</v>
      </c>
      <c r="S352">
        <f t="shared" si="207"/>
        <v>0</v>
      </c>
      <c r="T352">
        <f t="shared" si="208"/>
        <v>-1</v>
      </c>
      <c r="U352">
        <f t="shared" si="198"/>
        <v>1</v>
      </c>
      <c r="V352">
        <f t="shared" si="199"/>
        <v>1</v>
      </c>
      <c r="W352">
        <f t="shared" si="185"/>
        <v>0</v>
      </c>
      <c r="X352">
        <f t="shared" si="209"/>
        <v>0</v>
      </c>
      <c r="Y352">
        <f t="shared" si="186"/>
        <v>0</v>
      </c>
      <c r="Z352">
        <f t="shared" si="187"/>
        <v>0</v>
      </c>
      <c r="AA352">
        <f t="shared" si="188"/>
        <v>0</v>
      </c>
      <c r="AB352" s="29">
        <f t="shared" si="189"/>
        <v>0</v>
      </c>
      <c r="AC352" s="25">
        <f t="shared" si="190"/>
        <v>0</v>
      </c>
      <c r="AD352" s="29">
        <f t="shared" si="191"/>
        <v>0</v>
      </c>
      <c r="AE352" s="25">
        <f t="shared" si="200"/>
        <v>0</v>
      </c>
      <c r="AF352" s="25">
        <f t="shared" si="192"/>
        <v>0</v>
      </c>
      <c r="AG352" s="25">
        <f>IF($A352&lt;0,0,IF(instatk="bs",(1.5+talSCallInstBon)*(MHavg+(ap+Z352-$Z$1)/APtoDPS*MHnorm+170)*(1+sa*0.1+0.04*opp+0.02*agg+Slayer4value-1),IF(instatk="hemo",Slayer4value*(MHavg+(ap+Z352-$Z$1)/APtoDPS*MHnorm)*(1.1+talSCallInstBon)+420*(1+raidcrit)*debuffon,IF(instatk="ss",(MHavg+(ap+Z352-$Z$1)/APtoDPS*MHnorm+98)*(1+sa*0.1+0.02*agg+Slayer4value-1),IF(instatk="v",(ohavg+(ap+Z352-$Z$1)/APtoDPS*OHnorm)*(1+sa*0.1)*(0.5+0.05*dws)+avipdam,Slayer4value*((1+0.04*opp)*(MHavg+101+(ap+Z352-$Z$1)/APtoDPS*MHnorm+(0.5+0.05*dws)*(ohavg+(ap+Z352-$Z$1)/APtoDPS*OHnorm)+101*(1+0.1*dws))*(1+0.5*IF(Talents!$O$18="Yes",1,0)))))))*(instactualhit+(1+((leth*0.06+2)-1)*(cfact-1))*instactualcrit)*fwfactor*AB352*instsec*(AF352/$AN$45))</f>
        <v>0</v>
      </c>
      <c r="AH352" s="25">
        <f t="shared" si="210"/>
        <v>0</v>
      </c>
      <c r="AI352" s="25">
        <f t="shared" si="211"/>
        <v>0</v>
      </c>
      <c r="AJ352" s="25">
        <f t="shared" si="212"/>
        <v>0</v>
      </c>
    </row>
    <row r="353" spans="1:36">
      <c r="A353">
        <f t="shared" si="193"/>
        <v>-1</v>
      </c>
      <c r="B353">
        <f t="shared" si="201"/>
        <v>6</v>
      </c>
      <c r="C353">
        <f t="shared" si="179"/>
        <v>300</v>
      </c>
      <c r="D353">
        <f t="shared" si="194"/>
        <v>0</v>
      </c>
      <c r="E353">
        <f t="shared" si="213"/>
        <v>5</v>
      </c>
      <c r="F353">
        <f t="shared" si="180"/>
        <v>360</v>
      </c>
      <c r="G353">
        <f t="shared" si="195"/>
        <v>0</v>
      </c>
      <c r="H353">
        <f t="shared" si="202"/>
        <v>4</v>
      </c>
      <c r="I353">
        <f t="shared" si="181"/>
        <v>360</v>
      </c>
      <c r="J353">
        <f t="shared" si="196"/>
        <v>0</v>
      </c>
      <c r="K353">
        <f t="shared" si="203"/>
        <v>3</v>
      </c>
      <c r="L353">
        <f t="shared" si="182"/>
        <v>360</v>
      </c>
      <c r="M353">
        <f t="shared" si="197"/>
        <v>0</v>
      </c>
      <c r="N353">
        <f t="shared" si="204"/>
        <v>2</v>
      </c>
      <c r="O353">
        <f t="shared" si="183"/>
        <v>300</v>
      </c>
      <c r="P353">
        <f t="shared" si="205"/>
        <v>0</v>
      </c>
      <c r="Q353">
        <f t="shared" si="206"/>
        <v>2</v>
      </c>
      <c r="R353">
        <f t="shared" si="184"/>
        <v>300</v>
      </c>
      <c r="S353">
        <f t="shared" si="207"/>
        <v>0</v>
      </c>
      <c r="T353">
        <f t="shared" si="208"/>
        <v>-1</v>
      </c>
      <c r="U353">
        <f t="shared" si="198"/>
        <v>1</v>
      </c>
      <c r="V353">
        <f t="shared" si="199"/>
        <v>1</v>
      </c>
      <c r="W353">
        <f t="shared" si="185"/>
        <v>0</v>
      </c>
      <c r="X353">
        <f t="shared" si="209"/>
        <v>0</v>
      </c>
      <c r="Y353">
        <f t="shared" si="186"/>
        <v>0</v>
      </c>
      <c r="Z353">
        <f t="shared" si="187"/>
        <v>0</v>
      </c>
      <c r="AA353">
        <f t="shared" si="188"/>
        <v>0</v>
      </c>
      <c r="AB353" s="29">
        <f t="shared" si="189"/>
        <v>0</v>
      </c>
      <c r="AC353" s="25">
        <f t="shared" si="190"/>
        <v>0</v>
      </c>
      <c r="AD353" s="29">
        <f t="shared" si="191"/>
        <v>0</v>
      </c>
      <c r="AE353" s="25">
        <f t="shared" si="200"/>
        <v>0</v>
      </c>
      <c r="AF353" s="25">
        <f t="shared" si="192"/>
        <v>0</v>
      </c>
      <c r="AG353" s="25">
        <f>IF($A353&lt;0,0,IF(instatk="bs",(1.5+talSCallInstBon)*(MHavg+(ap+Z353-$Z$1)/APtoDPS*MHnorm+170)*(1+sa*0.1+0.04*opp+0.02*agg+Slayer4value-1),IF(instatk="hemo",Slayer4value*(MHavg+(ap+Z353-$Z$1)/APtoDPS*MHnorm)*(1.1+talSCallInstBon)+420*(1+raidcrit)*debuffon,IF(instatk="ss",(MHavg+(ap+Z353-$Z$1)/APtoDPS*MHnorm+98)*(1+sa*0.1+0.02*agg+Slayer4value-1),IF(instatk="v",(ohavg+(ap+Z353-$Z$1)/APtoDPS*OHnorm)*(1+sa*0.1)*(0.5+0.05*dws)+avipdam,Slayer4value*((1+0.04*opp)*(MHavg+101+(ap+Z353-$Z$1)/APtoDPS*MHnorm+(0.5+0.05*dws)*(ohavg+(ap+Z353-$Z$1)/APtoDPS*OHnorm)+101*(1+0.1*dws))*(1+0.5*IF(Talents!$O$18="Yes",1,0)))))))*(instactualhit+(1+((leth*0.06+2)-1)*(cfact-1))*instactualcrit)*fwfactor*AB353*instsec*(AF353/$AN$45))</f>
        <v>0</v>
      </c>
      <c r="AH353" s="25">
        <f t="shared" si="210"/>
        <v>0</v>
      </c>
      <c r="AI353" s="25">
        <f t="shared" si="211"/>
        <v>0</v>
      </c>
      <c r="AJ353" s="25">
        <f t="shared" si="212"/>
        <v>0</v>
      </c>
    </row>
    <row r="354" spans="1:36">
      <c r="A354">
        <f t="shared" si="193"/>
        <v>-1</v>
      </c>
      <c r="B354">
        <f t="shared" si="201"/>
        <v>6</v>
      </c>
      <c r="C354">
        <f t="shared" si="179"/>
        <v>300</v>
      </c>
      <c r="D354">
        <f t="shared" si="194"/>
        <v>0</v>
      </c>
      <c r="E354">
        <f t="shared" si="213"/>
        <v>5</v>
      </c>
      <c r="F354">
        <f t="shared" si="180"/>
        <v>360</v>
      </c>
      <c r="G354">
        <f t="shared" si="195"/>
        <v>0</v>
      </c>
      <c r="H354">
        <f t="shared" si="202"/>
        <v>4</v>
      </c>
      <c r="I354">
        <f t="shared" si="181"/>
        <v>360</v>
      </c>
      <c r="J354">
        <f t="shared" si="196"/>
        <v>0</v>
      </c>
      <c r="K354">
        <f t="shared" si="203"/>
        <v>3</v>
      </c>
      <c r="L354">
        <f t="shared" si="182"/>
        <v>360</v>
      </c>
      <c r="M354">
        <f t="shared" si="197"/>
        <v>0</v>
      </c>
      <c r="N354">
        <f t="shared" si="204"/>
        <v>2</v>
      </c>
      <c r="O354">
        <f t="shared" si="183"/>
        <v>300</v>
      </c>
      <c r="P354">
        <f t="shared" si="205"/>
        <v>0</v>
      </c>
      <c r="Q354">
        <f t="shared" si="206"/>
        <v>2</v>
      </c>
      <c r="R354">
        <f t="shared" si="184"/>
        <v>300</v>
      </c>
      <c r="S354">
        <f t="shared" si="207"/>
        <v>0</v>
      </c>
      <c r="T354">
        <f t="shared" si="208"/>
        <v>-1</v>
      </c>
      <c r="U354">
        <f t="shared" si="198"/>
        <v>1</v>
      </c>
      <c r="V354">
        <f t="shared" si="199"/>
        <v>1</v>
      </c>
      <c r="W354">
        <f t="shared" si="185"/>
        <v>0</v>
      </c>
      <c r="X354">
        <f t="shared" si="209"/>
        <v>0</v>
      </c>
      <c r="Y354">
        <f t="shared" si="186"/>
        <v>0</v>
      </c>
      <c r="Z354">
        <f t="shared" si="187"/>
        <v>0</v>
      </c>
      <c r="AA354">
        <f t="shared" si="188"/>
        <v>0</v>
      </c>
      <c r="AB354" s="29">
        <f t="shared" si="189"/>
        <v>0</v>
      </c>
      <c r="AC354" s="25">
        <f t="shared" si="190"/>
        <v>0</v>
      </c>
      <c r="AD354" s="29">
        <f t="shared" si="191"/>
        <v>0</v>
      </c>
      <c r="AE354" s="25">
        <f t="shared" si="200"/>
        <v>0</v>
      </c>
      <c r="AF354" s="25">
        <f t="shared" si="192"/>
        <v>0</v>
      </c>
      <c r="AG354" s="25">
        <f>IF($A354&lt;0,0,IF(instatk="bs",(1.5+talSCallInstBon)*(MHavg+(ap+Z354-$Z$1)/APtoDPS*MHnorm+170)*(1+sa*0.1+0.04*opp+0.02*agg+Slayer4value-1),IF(instatk="hemo",Slayer4value*(MHavg+(ap+Z354-$Z$1)/APtoDPS*MHnorm)*(1.1+talSCallInstBon)+420*(1+raidcrit)*debuffon,IF(instatk="ss",(MHavg+(ap+Z354-$Z$1)/APtoDPS*MHnorm+98)*(1+sa*0.1+0.02*agg+Slayer4value-1),IF(instatk="v",(ohavg+(ap+Z354-$Z$1)/APtoDPS*OHnorm)*(1+sa*0.1)*(0.5+0.05*dws)+avipdam,Slayer4value*((1+0.04*opp)*(MHavg+101+(ap+Z354-$Z$1)/APtoDPS*MHnorm+(0.5+0.05*dws)*(ohavg+(ap+Z354-$Z$1)/APtoDPS*OHnorm)+101*(1+0.1*dws))*(1+0.5*IF(Talents!$O$18="Yes",1,0)))))))*(instactualhit+(1+((leth*0.06+2)-1)*(cfact-1))*instactualcrit)*fwfactor*AB354*instsec*(AF354/$AN$45))</f>
        <v>0</v>
      </c>
      <c r="AH354" s="25">
        <f t="shared" si="210"/>
        <v>0</v>
      </c>
      <c r="AI354" s="25">
        <f t="shared" si="211"/>
        <v>0</v>
      </c>
      <c r="AJ354" s="25">
        <f t="shared" si="212"/>
        <v>0</v>
      </c>
    </row>
    <row r="355" spans="1:36">
      <c r="A355">
        <f t="shared" si="193"/>
        <v>-1</v>
      </c>
      <c r="B355">
        <f t="shared" si="201"/>
        <v>6</v>
      </c>
      <c r="C355">
        <f t="shared" si="179"/>
        <v>300</v>
      </c>
      <c r="D355">
        <f t="shared" si="194"/>
        <v>0</v>
      </c>
      <c r="E355">
        <f t="shared" si="213"/>
        <v>5</v>
      </c>
      <c r="F355">
        <f t="shared" si="180"/>
        <v>360</v>
      </c>
      <c r="G355">
        <f t="shared" si="195"/>
        <v>0</v>
      </c>
      <c r="H355">
        <f t="shared" si="202"/>
        <v>4</v>
      </c>
      <c r="I355">
        <f t="shared" si="181"/>
        <v>360</v>
      </c>
      <c r="J355">
        <f t="shared" si="196"/>
        <v>0</v>
      </c>
      <c r="K355">
        <f t="shared" si="203"/>
        <v>3</v>
      </c>
      <c r="L355">
        <f t="shared" si="182"/>
        <v>360</v>
      </c>
      <c r="M355">
        <f t="shared" si="197"/>
        <v>0</v>
      </c>
      <c r="N355">
        <f t="shared" si="204"/>
        <v>2</v>
      </c>
      <c r="O355">
        <f t="shared" si="183"/>
        <v>300</v>
      </c>
      <c r="P355">
        <f t="shared" si="205"/>
        <v>0</v>
      </c>
      <c r="Q355">
        <f t="shared" si="206"/>
        <v>2</v>
      </c>
      <c r="R355">
        <f t="shared" si="184"/>
        <v>300</v>
      </c>
      <c r="S355">
        <f t="shared" si="207"/>
        <v>0</v>
      </c>
      <c r="T355">
        <f t="shared" si="208"/>
        <v>-1</v>
      </c>
      <c r="U355">
        <f t="shared" si="198"/>
        <v>1</v>
      </c>
      <c r="V355">
        <f t="shared" si="199"/>
        <v>1</v>
      </c>
      <c r="W355">
        <f t="shared" si="185"/>
        <v>0</v>
      </c>
      <c r="X355">
        <f t="shared" si="209"/>
        <v>0</v>
      </c>
      <c r="Y355">
        <f t="shared" si="186"/>
        <v>0</v>
      </c>
      <c r="Z355">
        <f t="shared" si="187"/>
        <v>0</v>
      </c>
      <c r="AA355">
        <f t="shared" si="188"/>
        <v>0</v>
      </c>
      <c r="AB355" s="29">
        <f t="shared" si="189"/>
        <v>0</v>
      </c>
      <c r="AC355" s="25">
        <f t="shared" si="190"/>
        <v>0</v>
      </c>
      <c r="AD355" s="29">
        <f t="shared" si="191"/>
        <v>0</v>
      </c>
      <c r="AE355" s="25">
        <f t="shared" si="200"/>
        <v>0</v>
      </c>
      <c r="AF355" s="25">
        <f t="shared" si="192"/>
        <v>0</v>
      </c>
      <c r="AG355" s="25">
        <f>IF($A355&lt;0,0,IF(instatk="bs",(1.5+talSCallInstBon)*(MHavg+(ap+Z355-$Z$1)/APtoDPS*MHnorm+170)*(1+sa*0.1+0.04*opp+0.02*agg+Slayer4value-1),IF(instatk="hemo",Slayer4value*(MHavg+(ap+Z355-$Z$1)/APtoDPS*MHnorm)*(1.1+talSCallInstBon)+420*(1+raidcrit)*debuffon,IF(instatk="ss",(MHavg+(ap+Z355-$Z$1)/APtoDPS*MHnorm+98)*(1+sa*0.1+0.02*agg+Slayer4value-1),IF(instatk="v",(ohavg+(ap+Z355-$Z$1)/APtoDPS*OHnorm)*(1+sa*0.1)*(0.5+0.05*dws)+avipdam,Slayer4value*((1+0.04*opp)*(MHavg+101+(ap+Z355-$Z$1)/APtoDPS*MHnorm+(0.5+0.05*dws)*(ohavg+(ap+Z355-$Z$1)/APtoDPS*OHnorm)+101*(1+0.1*dws))*(1+0.5*IF(Talents!$O$18="Yes",1,0)))))))*(instactualhit+(1+((leth*0.06+2)-1)*(cfact-1))*instactualcrit)*fwfactor*AB355*instsec*(AF355/$AN$45))</f>
        <v>0</v>
      </c>
      <c r="AH355" s="25">
        <f t="shared" si="210"/>
        <v>0</v>
      </c>
      <c r="AI355" s="25">
        <f t="shared" si="211"/>
        <v>0</v>
      </c>
      <c r="AJ355" s="25">
        <f t="shared" si="212"/>
        <v>0</v>
      </c>
    </row>
    <row r="356" spans="1:36">
      <c r="A356">
        <f t="shared" si="193"/>
        <v>-1</v>
      </c>
      <c r="B356">
        <f t="shared" si="201"/>
        <v>6</v>
      </c>
      <c r="C356">
        <f t="shared" si="179"/>
        <v>300</v>
      </c>
      <c r="D356">
        <f t="shared" si="194"/>
        <v>0</v>
      </c>
      <c r="E356">
        <f t="shared" si="213"/>
        <v>5</v>
      </c>
      <c r="F356">
        <f t="shared" si="180"/>
        <v>360</v>
      </c>
      <c r="G356">
        <f t="shared" si="195"/>
        <v>0</v>
      </c>
      <c r="H356">
        <f t="shared" si="202"/>
        <v>4</v>
      </c>
      <c r="I356">
        <f t="shared" si="181"/>
        <v>360</v>
      </c>
      <c r="J356">
        <f t="shared" si="196"/>
        <v>0</v>
      </c>
      <c r="K356">
        <f t="shared" si="203"/>
        <v>3</v>
      </c>
      <c r="L356">
        <f t="shared" si="182"/>
        <v>360</v>
      </c>
      <c r="M356">
        <f t="shared" si="197"/>
        <v>0</v>
      </c>
      <c r="N356">
        <f t="shared" si="204"/>
        <v>2</v>
      </c>
      <c r="O356">
        <f t="shared" si="183"/>
        <v>300</v>
      </c>
      <c r="P356">
        <f t="shared" si="205"/>
        <v>0</v>
      </c>
      <c r="Q356">
        <f t="shared" si="206"/>
        <v>2</v>
      </c>
      <c r="R356">
        <f t="shared" si="184"/>
        <v>300</v>
      </c>
      <c r="S356">
        <f t="shared" si="207"/>
        <v>0</v>
      </c>
      <c r="T356">
        <f t="shared" si="208"/>
        <v>-1</v>
      </c>
      <c r="U356">
        <f t="shared" si="198"/>
        <v>1</v>
      </c>
      <c r="V356">
        <f t="shared" si="199"/>
        <v>1</v>
      </c>
      <c r="W356">
        <f t="shared" si="185"/>
        <v>0</v>
      </c>
      <c r="X356">
        <f t="shared" si="209"/>
        <v>0</v>
      </c>
      <c r="Y356">
        <f t="shared" si="186"/>
        <v>0</v>
      </c>
      <c r="Z356">
        <f t="shared" si="187"/>
        <v>0</v>
      </c>
      <c r="AA356">
        <f t="shared" si="188"/>
        <v>0</v>
      </c>
      <c r="AB356" s="29">
        <f t="shared" si="189"/>
        <v>0</v>
      </c>
      <c r="AC356" s="25">
        <f t="shared" si="190"/>
        <v>0</v>
      </c>
      <c r="AD356" s="29">
        <f t="shared" si="191"/>
        <v>0</v>
      </c>
      <c r="AE356" s="25">
        <f t="shared" si="200"/>
        <v>0</v>
      </c>
      <c r="AF356" s="25">
        <f t="shared" si="192"/>
        <v>0</v>
      </c>
      <c r="AG356" s="25">
        <f>IF($A356&lt;0,0,IF(instatk="bs",(1.5+talSCallInstBon)*(MHavg+(ap+Z356-$Z$1)/APtoDPS*MHnorm+170)*(1+sa*0.1+0.04*opp+0.02*agg+Slayer4value-1),IF(instatk="hemo",Slayer4value*(MHavg+(ap+Z356-$Z$1)/APtoDPS*MHnorm)*(1.1+talSCallInstBon)+420*(1+raidcrit)*debuffon,IF(instatk="ss",(MHavg+(ap+Z356-$Z$1)/APtoDPS*MHnorm+98)*(1+sa*0.1+0.02*agg+Slayer4value-1),IF(instatk="v",(ohavg+(ap+Z356-$Z$1)/APtoDPS*OHnorm)*(1+sa*0.1)*(0.5+0.05*dws)+avipdam,Slayer4value*((1+0.04*opp)*(MHavg+101+(ap+Z356-$Z$1)/APtoDPS*MHnorm+(0.5+0.05*dws)*(ohavg+(ap+Z356-$Z$1)/APtoDPS*OHnorm)+101*(1+0.1*dws))*(1+0.5*IF(Talents!$O$18="Yes",1,0)))))))*(instactualhit+(1+((leth*0.06+2)-1)*(cfact-1))*instactualcrit)*fwfactor*AB356*instsec*(AF356/$AN$45))</f>
        <v>0</v>
      </c>
      <c r="AH356" s="25">
        <f t="shared" si="210"/>
        <v>0</v>
      </c>
      <c r="AI356" s="25">
        <f t="shared" si="211"/>
        <v>0</v>
      </c>
      <c r="AJ356" s="25">
        <f t="shared" si="212"/>
        <v>0</v>
      </c>
    </row>
    <row r="357" spans="1:36">
      <c r="A357">
        <f t="shared" si="193"/>
        <v>-1</v>
      </c>
      <c r="B357">
        <f t="shared" si="201"/>
        <v>6</v>
      </c>
      <c r="C357">
        <f t="shared" si="179"/>
        <v>300</v>
      </c>
      <c r="D357">
        <f t="shared" si="194"/>
        <v>0</v>
      </c>
      <c r="E357">
        <f t="shared" si="213"/>
        <v>5</v>
      </c>
      <c r="F357">
        <f t="shared" si="180"/>
        <v>360</v>
      </c>
      <c r="G357">
        <f t="shared" si="195"/>
        <v>0</v>
      </c>
      <c r="H357">
        <f t="shared" si="202"/>
        <v>4</v>
      </c>
      <c r="I357">
        <f t="shared" si="181"/>
        <v>360</v>
      </c>
      <c r="J357">
        <f t="shared" si="196"/>
        <v>0</v>
      </c>
      <c r="K357">
        <f t="shared" si="203"/>
        <v>3</v>
      </c>
      <c r="L357">
        <f t="shared" si="182"/>
        <v>360</v>
      </c>
      <c r="M357">
        <f t="shared" si="197"/>
        <v>0</v>
      </c>
      <c r="N357">
        <f t="shared" si="204"/>
        <v>2</v>
      </c>
      <c r="O357">
        <f t="shared" si="183"/>
        <v>300</v>
      </c>
      <c r="P357">
        <f t="shared" si="205"/>
        <v>0</v>
      </c>
      <c r="Q357">
        <f t="shared" si="206"/>
        <v>2</v>
      </c>
      <c r="R357">
        <f t="shared" si="184"/>
        <v>300</v>
      </c>
      <c r="S357">
        <f t="shared" si="207"/>
        <v>0</v>
      </c>
      <c r="T357">
        <f t="shared" si="208"/>
        <v>-1</v>
      </c>
      <c r="U357">
        <f t="shared" si="198"/>
        <v>1</v>
      </c>
      <c r="V357">
        <f t="shared" si="199"/>
        <v>1</v>
      </c>
      <c r="W357">
        <f t="shared" si="185"/>
        <v>0</v>
      </c>
      <c r="X357">
        <f t="shared" si="209"/>
        <v>0</v>
      </c>
      <c r="Y357">
        <f t="shared" si="186"/>
        <v>0</v>
      </c>
      <c r="Z357">
        <f t="shared" si="187"/>
        <v>0</v>
      </c>
      <c r="AA357">
        <f t="shared" si="188"/>
        <v>0</v>
      </c>
      <c r="AB357" s="29">
        <f t="shared" si="189"/>
        <v>0</v>
      </c>
      <c r="AC357" s="25">
        <f t="shared" si="190"/>
        <v>0</v>
      </c>
      <c r="AD357" s="29">
        <f t="shared" si="191"/>
        <v>0</v>
      </c>
      <c r="AE357" s="25">
        <f t="shared" si="200"/>
        <v>0</v>
      </c>
      <c r="AF357" s="25">
        <f t="shared" si="192"/>
        <v>0</v>
      </c>
      <c r="AG357" s="25">
        <f>IF($A357&lt;0,0,IF(instatk="bs",(1.5+talSCallInstBon)*(MHavg+(ap+Z357-$Z$1)/APtoDPS*MHnorm+170)*(1+sa*0.1+0.04*opp+0.02*agg+Slayer4value-1),IF(instatk="hemo",Slayer4value*(MHavg+(ap+Z357-$Z$1)/APtoDPS*MHnorm)*(1.1+talSCallInstBon)+420*(1+raidcrit)*debuffon,IF(instatk="ss",(MHavg+(ap+Z357-$Z$1)/APtoDPS*MHnorm+98)*(1+sa*0.1+0.02*agg+Slayer4value-1),IF(instatk="v",(ohavg+(ap+Z357-$Z$1)/APtoDPS*OHnorm)*(1+sa*0.1)*(0.5+0.05*dws)+avipdam,Slayer4value*((1+0.04*opp)*(MHavg+101+(ap+Z357-$Z$1)/APtoDPS*MHnorm+(0.5+0.05*dws)*(ohavg+(ap+Z357-$Z$1)/APtoDPS*OHnorm)+101*(1+0.1*dws))*(1+0.5*IF(Talents!$O$18="Yes",1,0)))))))*(instactualhit+(1+((leth*0.06+2)-1)*(cfact-1))*instactualcrit)*fwfactor*AB357*instsec*(AF357/$AN$45))</f>
        <v>0</v>
      </c>
      <c r="AH357" s="25">
        <f t="shared" si="210"/>
        <v>0</v>
      </c>
      <c r="AI357" s="25">
        <f t="shared" si="211"/>
        <v>0</v>
      </c>
      <c r="AJ357" s="25">
        <f t="shared" si="212"/>
        <v>0</v>
      </c>
    </row>
    <row r="358" spans="1:36">
      <c r="A358">
        <f t="shared" si="193"/>
        <v>-1</v>
      </c>
      <c r="B358">
        <f t="shared" si="201"/>
        <v>6</v>
      </c>
      <c r="C358">
        <f t="shared" si="179"/>
        <v>300</v>
      </c>
      <c r="D358">
        <f t="shared" si="194"/>
        <v>0</v>
      </c>
      <c r="E358">
        <f t="shared" si="213"/>
        <v>5</v>
      </c>
      <c r="F358">
        <f t="shared" si="180"/>
        <v>360</v>
      </c>
      <c r="G358">
        <f t="shared" si="195"/>
        <v>0</v>
      </c>
      <c r="H358">
        <f t="shared" si="202"/>
        <v>4</v>
      </c>
      <c r="I358">
        <f t="shared" si="181"/>
        <v>360</v>
      </c>
      <c r="J358">
        <f t="shared" si="196"/>
        <v>0</v>
      </c>
      <c r="K358">
        <f t="shared" si="203"/>
        <v>3</v>
      </c>
      <c r="L358">
        <f t="shared" si="182"/>
        <v>360</v>
      </c>
      <c r="M358">
        <f t="shared" si="197"/>
        <v>0</v>
      </c>
      <c r="N358">
        <f t="shared" si="204"/>
        <v>2</v>
      </c>
      <c r="O358">
        <f t="shared" si="183"/>
        <v>300</v>
      </c>
      <c r="P358">
        <f t="shared" si="205"/>
        <v>0</v>
      </c>
      <c r="Q358">
        <f t="shared" si="206"/>
        <v>2</v>
      </c>
      <c r="R358">
        <f t="shared" si="184"/>
        <v>300</v>
      </c>
      <c r="S358">
        <f t="shared" si="207"/>
        <v>0</v>
      </c>
      <c r="T358">
        <f t="shared" si="208"/>
        <v>-1</v>
      </c>
      <c r="U358">
        <f t="shared" si="198"/>
        <v>1</v>
      </c>
      <c r="V358">
        <f t="shared" si="199"/>
        <v>1</v>
      </c>
      <c r="W358">
        <f t="shared" si="185"/>
        <v>0</v>
      </c>
      <c r="X358">
        <f t="shared" si="209"/>
        <v>0</v>
      </c>
      <c r="Y358">
        <f t="shared" si="186"/>
        <v>0</v>
      </c>
      <c r="Z358">
        <f t="shared" si="187"/>
        <v>0</v>
      </c>
      <c r="AA358">
        <f t="shared" si="188"/>
        <v>0</v>
      </c>
      <c r="AB358" s="29">
        <f t="shared" si="189"/>
        <v>0</v>
      </c>
      <c r="AC358" s="25">
        <f t="shared" si="190"/>
        <v>0</v>
      </c>
      <c r="AD358" s="29">
        <f t="shared" si="191"/>
        <v>0</v>
      </c>
      <c r="AE358" s="25">
        <f t="shared" si="200"/>
        <v>0</v>
      </c>
      <c r="AF358" s="25">
        <f t="shared" si="192"/>
        <v>0</v>
      </c>
      <c r="AG358" s="25">
        <f>IF($A358&lt;0,0,IF(instatk="bs",(1.5+talSCallInstBon)*(MHavg+(ap+Z358-$Z$1)/APtoDPS*MHnorm+170)*(1+sa*0.1+0.04*opp+0.02*agg+Slayer4value-1),IF(instatk="hemo",Slayer4value*(MHavg+(ap+Z358-$Z$1)/APtoDPS*MHnorm)*(1.1+talSCallInstBon)+420*(1+raidcrit)*debuffon,IF(instatk="ss",(MHavg+(ap+Z358-$Z$1)/APtoDPS*MHnorm+98)*(1+sa*0.1+0.02*agg+Slayer4value-1),IF(instatk="v",(ohavg+(ap+Z358-$Z$1)/APtoDPS*OHnorm)*(1+sa*0.1)*(0.5+0.05*dws)+avipdam,Slayer4value*((1+0.04*opp)*(MHavg+101+(ap+Z358-$Z$1)/APtoDPS*MHnorm+(0.5+0.05*dws)*(ohavg+(ap+Z358-$Z$1)/APtoDPS*OHnorm)+101*(1+0.1*dws))*(1+0.5*IF(Talents!$O$18="Yes",1,0)))))))*(instactualhit+(1+((leth*0.06+2)-1)*(cfact-1))*instactualcrit)*fwfactor*AB358*instsec*(AF358/$AN$45))</f>
        <v>0</v>
      </c>
      <c r="AH358" s="25">
        <f t="shared" si="210"/>
        <v>0</v>
      </c>
      <c r="AI358" s="25">
        <f t="shared" si="211"/>
        <v>0</v>
      </c>
      <c r="AJ358" s="25">
        <f t="shared" si="212"/>
        <v>0</v>
      </c>
    </row>
    <row r="359" spans="1:36">
      <c r="A359">
        <f t="shared" si="193"/>
        <v>-1</v>
      </c>
      <c r="B359">
        <f t="shared" si="201"/>
        <v>6</v>
      </c>
      <c r="C359">
        <f t="shared" si="179"/>
        <v>300</v>
      </c>
      <c r="D359">
        <f t="shared" si="194"/>
        <v>0</v>
      </c>
      <c r="E359">
        <f t="shared" si="213"/>
        <v>5</v>
      </c>
      <c r="F359">
        <f t="shared" si="180"/>
        <v>360</v>
      </c>
      <c r="G359">
        <f t="shared" si="195"/>
        <v>0</v>
      </c>
      <c r="H359">
        <f t="shared" si="202"/>
        <v>4</v>
      </c>
      <c r="I359">
        <f t="shared" si="181"/>
        <v>360</v>
      </c>
      <c r="J359">
        <f t="shared" si="196"/>
        <v>0</v>
      </c>
      <c r="K359">
        <f t="shared" si="203"/>
        <v>3</v>
      </c>
      <c r="L359">
        <f t="shared" si="182"/>
        <v>360</v>
      </c>
      <c r="M359">
        <f t="shared" si="197"/>
        <v>0</v>
      </c>
      <c r="N359">
        <f t="shared" si="204"/>
        <v>2</v>
      </c>
      <c r="O359">
        <f t="shared" si="183"/>
        <v>300</v>
      </c>
      <c r="P359">
        <f t="shared" si="205"/>
        <v>0</v>
      </c>
      <c r="Q359">
        <f t="shared" si="206"/>
        <v>2</v>
      </c>
      <c r="R359">
        <f t="shared" si="184"/>
        <v>300</v>
      </c>
      <c r="S359">
        <f t="shared" si="207"/>
        <v>0</v>
      </c>
      <c r="T359">
        <f t="shared" si="208"/>
        <v>-1</v>
      </c>
      <c r="U359">
        <f t="shared" si="198"/>
        <v>1</v>
      </c>
      <c r="V359">
        <f t="shared" si="199"/>
        <v>1</v>
      </c>
      <c r="W359">
        <f t="shared" si="185"/>
        <v>0</v>
      </c>
      <c r="X359">
        <f t="shared" si="209"/>
        <v>0</v>
      </c>
      <c r="Y359">
        <f t="shared" si="186"/>
        <v>0</v>
      </c>
      <c r="Z359">
        <f t="shared" si="187"/>
        <v>0</v>
      </c>
      <c r="AA359">
        <f t="shared" si="188"/>
        <v>0</v>
      </c>
      <c r="AB359" s="29">
        <f t="shared" si="189"/>
        <v>0</v>
      </c>
      <c r="AC359" s="25">
        <f t="shared" si="190"/>
        <v>0</v>
      </c>
      <c r="AD359" s="29">
        <f t="shared" si="191"/>
        <v>0</v>
      </c>
      <c r="AE359" s="25">
        <f t="shared" si="200"/>
        <v>0</v>
      </c>
      <c r="AF359" s="25">
        <f t="shared" si="192"/>
        <v>0</v>
      </c>
      <c r="AG359" s="25">
        <f>IF($A359&lt;0,0,IF(instatk="bs",(1.5+talSCallInstBon)*(MHavg+(ap+Z359-$Z$1)/APtoDPS*MHnorm+170)*(1+sa*0.1+0.04*opp+0.02*agg+Slayer4value-1),IF(instatk="hemo",Slayer4value*(MHavg+(ap+Z359-$Z$1)/APtoDPS*MHnorm)*(1.1+talSCallInstBon)+420*(1+raidcrit)*debuffon,IF(instatk="ss",(MHavg+(ap+Z359-$Z$1)/APtoDPS*MHnorm+98)*(1+sa*0.1+0.02*agg+Slayer4value-1),IF(instatk="v",(ohavg+(ap+Z359-$Z$1)/APtoDPS*OHnorm)*(1+sa*0.1)*(0.5+0.05*dws)+avipdam,Slayer4value*((1+0.04*opp)*(MHavg+101+(ap+Z359-$Z$1)/APtoDPS*MHnorm+(0.5+0.05*dws)*(ohavg+(ap+Z359-$Z$1)/APtoDPS*OHnorm)+101*(1+0.1*dws))*(1+0.5*IF(Talents!$O$18="Yes",1,0)))))))*(instactualhit+(1+((leth*0.06+2)-1)*(cfact-1))*instactualcrit)*fwfactor*AB359*instsec*(AF359/$AN$45))</f>
        <v>0</v>
      </c>
      <c r="AH359" s="25">
        <f t="shared" si="210"/>
        <v>0</v>
      </c>
      <c r="AI359" s="25">
        <f t="shared" si="211"/>
        <v>0</v>
      </c>
      <c r="AJ359" s="25">
        <f t="shared" si="212"/>
        <v>0</v>
      </c>
    </row>
    <row r="360" spans="1:36">
      <c r="A360">
        <f t="shared" si="193"/>
        <v>-1</v>
      </c>
      <c r="B360">
        <f t="shared" si="201"/>
        <v>6</v>
      </c>
      <c r="C360">
        <f t="shared" si="179"/>
        <v>300</v>
      </c>
      <c r="D360">
        <f t="shared" si="194"/>
        <v>0</v>
      </c>
      <c r="E360">
        <f t="shared" si="213"/>
        <v>5</v>
      </c>
      <c r="F360">
        <f t="shared" si="180"/>
        <v>360</v>
      </c>
      <c r="G360">
        <f t="shared" si="195"/>
        <v>0</v>
      </c>
      <c r="H360">
        <f t="shared" si="202"/>
        <v>4</v>
      </c>
      <c r="I360">
        <f t="shared" si="181"/>
        <v>360</v>
      </c>
      <c r="J360">
        <f t="shared" si="196"/>
        <v>0</v>
      </c>
      <c r="K360">
        <f t="shared" si="203"/>
        <v>3</v>
      </c>
      <c r="L360">
        <f t="shared" si="182"/>
        <v>360</v>
      </c>
      <c r="M360">
        <f t="shared" si="197"/>
        <v>0</v>
      </c>
      <c r="N360">
        <f t="shared" si="204"/>
        <v>2</v>
      </c>
      <c r="O360">
        <f t="shared" si="183"/>
        <v>300</v>
      </c>
      <c r="P360">
        <f t="shared" si="205"/>
        <v>0</v>
      </c>
      <c r="Q360">
        <f t="shared" si="206"/>
        <v>2</v>
      </c>
      <c r="R360">
        <f t="shared" si="184"/>
        <v>300</v>
      </c>
      <c r="S360">
        <f t="shared" si="207"/>
        <v>0</v>
      </c>
      <c r="T360">
        <f t="shared" si="208"/>
        <v>-1</v>
      </c>
      <c r="U360">
        <f t="shared" si="198"/>
        <v>1</v>
      </c>
      <c r="V360">
        <f t="shared" si="199"/>
        <v>1</v>
      </c>
      <c r="W360">
        <f t="shared" si="185"/>
        <v>0</v>
      </c>
      <c r="X360">
        <f t="shared" si="209"/>
        <v>0</v>
      </c>
      <c r="Y360">
        <f t="shared" si="186"/>
        <v>0</v>
      </c>
      <c r="Z360">
        <f t="shared" si="187"/>
        <v>0</v>
      </c>
      <c r="AA360">
        <f t="shared" si="188"/>
        <v>0</v>
      </c>
      <c r="AB360" s="29">
        <f t="shared" si="189"/>
        <v>0</v>
      </c>
      <c r="AC360" s="25">
        <f t="shared" si="190"/>
        <v>0</v>
      </c>
      <c r="AD360" s="29">
        <f t="shared" si="191"/>
        <v>0</v>
      </c>
      <c r="AE360" s="25">
        <f t="shared" si="200"/>
        <v>0</v>
      </c>
      <c r="AF360" s="25">
        <f t="shared" si="192"/>
        <v>0</v>
      </c>
      <c r="AG360" s="25">
        <f>IF($A360&lt;0,0,IF(instatk="bs",(1.5+talSCallInstBon)*(MHavg+(ap+Z360-$Z$1)/APtoDPS*MHnorm+170)*(1+sa*0.1+0.04*opp+0.02*agg+Slayer4value-1),IF(instatk="hemo",Slayer4value*(MHavg+(ap+Z360-$Z$1)/APtoDPS*MHnorm)*(1.1+talSCallInstBon)+420*(1+raidcrit)*debuffon,IF(instatk="ss",(MHavg+(ap+Z360-$Z$1)/APtoDPS*MHnorm+98)*(1+sa*0.1+0.02*agg+Slayer4value-1),IF(instatk="v",(ohavg+(ap+Z360-$Z$1)/APtoDPS*OHnorm)*(1+sa*0.1)*(0.5+0.05*dws)+avipdam,Slayer4value*((1+0.04*opp)*(MHavg+101+(ap+Z360-$Z$1)/APtoDPS*MHnorm+(0.5+0.05*dws)*(ohavg+(ap+Z360-$Z$1)/APtoDPS*OHnorm)+101*(1+0.1*dws))*(1+0.5*IF(Talents!$O$18="Yes",1,0)))))))*(instactualhit+(1+((leth*0.06+2)-1)*(cfact-1))*instactualcrit)*fwfactor*AB360*instsec*(AF360/$AN$45))</f>
        <v>0</v>
      </c>
      <c r="AH360" s="25">
        <f t="shared" si="210"/>
        <v>0</v>
      </c>
      <c r="AI360" s="25">
        <f t="shared" si="211"/>
        <v>0</v>
      </c>
      <c r="AJ360" s="25">
        <f t="shared" si="212"/>
        <v>0</v>
      </c>
    </row>
    <row r="361" spans="1:36">
      <c r="A361">
        <f t="shared" si="193"/>
        <v>-1</v>
      </c>
      <c r="B361">
        <f t="shared" si="201"/>
        <v>6</v>
      </c>
      <c r="C361">
        <f t="shared" si="179"/>
        <v>300</v>
      </c>
      <c r="D361">
        <f t="shared" si="194"/>
        <v>0</v>
      </c>
      <c r="E361">
        <f t="shared" si="213"/>
        <v>5</v>
      </c>
      <c r="F361">
        <f t="shared" si="180"/>
        <v>360</v>
      </c>
      <c r="G361">
        <f t="shared" si="195"/>
        <v>0</v>
      </c>
      <c r="H361">
        <f t="shared" si="202"/>
        <v>4</v>
      </c>
      <c r="I361">
        <f t="shared" si="181"/>
        <v>360</v>
      </c>
      <c r="J361">
        <f t="shared" si="196"/>
        <v>0</v>
      </c>
      <c r="K361">
        <f t="shared" si="203"/>
        <v>3</v>
      </c>
      <c r="L361">
        <f t="shared" si="182"/>
        <v>360</v>
      </c>
      <c r="M361">
        <f t="shared" si="197"/>
        <v>0</v>
      </c>
      <c r="N361">
        <f t="shared" si="204"/>
        <v>2</v>
      </c>
      <c r="O361">
        <f t="shared" si="183"/>
        <v>300</v>
      </c>
      <c r="P361">
        <f t="shared" si="205"/>
        <v>0</v>
      </c>
      <c r="Q361">
        <f t="shared" si="206"/>
        <v>2</v>
      </c>
      <c r="R361">
        <f t="shared" si="184"/>
        <v>300</v>
      </c>
      <c r="S361">
        <f t="shared" si="207"/>
        <v>0</v>
      </c>
      <c r="T361">
        <f t="shared" si="208"/>
        <v>-1</v>
      </c>
      <c r="U361">
        <f t="shared" si="198"/>
        <v>1</v>
      </c>
      <c r="V361">
        <f t="shared" si="199"/>
        <v>1</v>
      </c>
      <c r="W361">
        <f t="shared" si="185"/>
        <v>0</v>
      </c>
      <c r="X361">
        <f t="shared" si="209"/>
        <v>0</v>
      </c>
      <c r="Y361">
        <f t="shared" si="186"/>
        <v>0</v>
      </c>
      <c r="Z361">
        <f t="shared" si="187"/>
        <v>0</v>
      </c>
      <c r="AA361">
        <f t="shared" si="188"/>
        <v>0</v>
      </c>
      <c r="AB361" s="29">
        <f t="shared" si="189"/>
        <v>0</v>
      </c>
      <c r="AC361" s="25">
        <f t="shared" si="190"/>
        <v>0</v>
      </c>
      <c r="AD361" s="29">
        <f t="shared" si="191"/>
        <v>0</v>
      </c>
      <c r="AE361" s="25">
        <f t="shared" si="200"/>
        <v>0</v>
      </c>
      <c r="AF361" s="25">
        <f t="shared" si="192"/>
        <v>0</v>
      </c>
      <c r="AG361" s="25">
        <f>IF($A361&lt;0,0,IF(instatk="bs",(1.5+talSCallInstBon)*(MHavg+(ap+Z361-$Z$1)/APtoDPS*MHnorm+170)*(1+sa*0.1+0.04*opp+0.02*agg+Slayer4value-1),IF(instatk="hemo",Slayer4value*(MHavg+(ap+Z361-$Z$1)/APtoDPS*MHnorm)*(1.1+talSCallInstBon)+420*(1+raidcrit)*debuffon,IF(instatk="ss",(MHavg+(ap+Z361-$Z$1)/APtoDPS*MHnorm+98)*(1+sa*0.1+0.02*agg+Slayer4value-1),IF(instatk="v",(ohavg+(ap+Z361-$Z$1)/APtoDPS*OHnorm)*(1+sa*0.1)*(0.5+0.05*dws)+avipdam,Slayer4value*((1+0.04*opp)*(MHavg+101+(ap+Z361-$Z$1)/APtoDPS*MHnorm+(0.5+0.05*dws)*(ohavg+(ap+Z361-$Z$1)/APtoDPS*OHnorm)+101*(1+0.1*dws))*(1+0.5*IF(Talents!$O$18="Yes",1,0)))))))*(instactualhit+(1+((leth*0.06+2)-1)*(cfact-1))*instactualcrit)*fwfactor*AB361*instsec*(AF361/$AN$45))</f>
        <v>0</v>
      </c>
      <c r="AH361" s="25">
        <f t="shared" si="210"/>
        <v>0</v>
      </c>
      <c r="AI361" s="25">
        <f t="shared" si="211"/>
        <v>0</v>
      </c>
      <c r="AJ361" s="25">
        <f t="shared" si="212"/>
        <v>0</v>
      </c>
    </row>
    <row r="362" spans="1:36">
      <c r="A362">
        <f t="shared" si="193"/>
        <v>-1</v>
      </c>
      <c r="B362">
        <f t="shared" si="201"/>
        <v>6</v>
      </c>
      <c r="C362">
        <f t="shared" si="179"/>
        <v>300</v>
      </c>
      <c r="D362">
        <f t="shared" si="194"/>
        <v>0</v>
      </c>
      <c r="E362">
        <f t="shared" si="213"/>
        <v>5</v>
      </c>
      <c r="F362">
        <f t="shared" si="180"/>
        <v>360</v>
      </c>
      <c r="G362">
        <f t="shared" si="195"/>
        <v>0</v>
      </c>
      <c r="H362">
        <f t="shared" si="202"/>
        <v>4</v>
      </c>
      <c r="I362">
        <f t="shared" si="181"/>
        <v>360</v>
      </c>
      <c r="J362">
        <f t="shared" si="196"/>
        <v>0</v>
      </c>
      <c r="K362">
        <f t="shared" si="203"/>
        <v>3</v>
      </c>
      <c r="L362">
        <f t="shared" si="182"/>
        <v>360</v>
      </c>
      <c r="M362">
        <f t="shared" si="197"/>
        <v>0</v>
      </c>
      <c r="N362">
        <f t="shared" si="204"/>
        <v>2</v>
      </c>
      <c r="O362">
        <f t="shared" si="183"/>
        <v>300</v>
      </c>
      <c r="P362">
        <f t="shared" si="205"/>
        <v>0</v>
      </c>
      <c r="Q362">
        <f t="shared" si="206"/>
        <v>2</v>
      </c>
      <c r="R362">
        <f t="shared" si="184"/>
        <v>300</v>
      </c>
      <c r="S362">
        <f t="shared" si="207"/>
        <v>0</v>
      </c>
      <c r="T362">
        <f t="shared" si="208"/>
        <v>-1</v>
      </c>
      <c r="U362">
        <f t="shared" si="198"/>
        <v>1</v>
      </c>
      <c r="V362">
        <f t="shared" si="199"/>
        <v>1</v>
      </c>
      <c r="W362">
        <f t="shared" si="185"/>
        <v>0</v>
      </c>
      <c r="X362">
        <f t="shared" si="209"/>
        <v>0</v>
      </c>
      <c r="Y362">
        <f t="shared" si="186"/>
        <v>0</v>
      </c>
      <c r="Z362">
        <f t="shared" si="187"/>
        <v>0</v>
      </c>
      <c r="AA362">
        <f t="shared" si="188"/>
        <v>0</v>
      </c>
      <c r="AB362" s="29">
        <f t="shared" si="189"/>
        <v>0</v>
      </c>
      <c r="AC362" s="25">
        <f t="shared" si="190"/>
        <v>0</v>
      </c>
      <c r="AD362" s="29">
        <f t="shared" si="191"/>
        <v>0</v>
      </c>
      <c r="AE362" s="25">
        <f t="shared" si="200"/>
        <v>0</v>
      </c>
      <c r="AF362" s="25">
        <f t="shared" si="192"/>
        <v>0</v>
      </c>
      <c r="AG362" s="25">
        <f>IF($A362&lt;0,0,IF(instatk="bs",(1.5+talSCallInstBon)*(MHavg+(ap+Z362-$Z$1)/APtoDPS*MHnorm+170)*(1+sa*0.1+0.04*opp+0.02*agg+Slayer4value-1),IF(instatk="hemo",Slayer4value*(MHavg+(ap+Z362-$Z$1)/APtoDPS*MHnorm)*(1.1+talSCallInstBon)+420*(1+raidcrit)*debuffon,IF(instatk="ss",(MHavg+(ap+Z362-$Z$1)/APtoDPS*MHnorm+98)*(1+sa*0.1+0.02*agg+Slayer4value-1),IF(instatk="v",(ohavg+(ap+Z362-$Z$1)/APtoDPS*OHnorm)*(1+sa*0.1)*(0.5+0.05*dws)+avipdam,Slayer4value*((1+0.04*opp)*(MHavg+101+(ap+Z362-$Z$1)/APtoDPS*MHnorm+(0.5+0.05*dws)*(ohavg+(ap+Z362-$Z$1)/APtoDPS*OHnorm)+101*(1+0.1*dws))*(1+0.5*IF(Talents!$O$18="Yes",1,0)))))))*(instactualhit+(1+((leth*0.06+2)-1)*(cfact-1))*instactualcrit)*fwfactor*AB362*instsec*(AF362/$AN$45))</f>
        <v>0</v>
      </c>
      <c r="AH362" s="25">
        <f t="shared" si="210"/>
        <v>0</v>
      </c>
      <c r="AI362" s="25">
        <f t="shared" si="211"/>
        <v>0</v>
      </c>
      <c r="AJ362" s="25">
        <f t="shared" si="212"/>
        <v>0</v>
      </c>
    </row>
    <row r="363" spans="1:36">
      <c r="A363">
        <f t="shared" si="193"/>
        <v>-1</v>
      </c>
      <c r="B363">
        <f t="shared" si="201"/>
        <v>6</v>
      </c>
      <c r="C363">
        <f t="shared" si="179"/>
        <v>300</v>
      </c>
      <c r="D363">
        <f t="shared" si="194"/>
        <v>0</v>
      </c>
      <c r="E363">
        <f t="shared" si="213"/>
        <v>5</v>
      </c>
      <c r="F363">
        <f t="shared" si="180"/>
        <v>360</v>
      </c>
      <c r="G363">
        <f t="shared" si="195"/>
        <v>0</v>
      </c>
      <c r="H363">
        <f t="shared" si="202"/>
        <v>4</v>
      </c>
      <c r="I363">
        <f t="shared" si="181"/>
        <v>360</v>
      </c>
      <c r="J363">
        <f t="shared" si="196"/>
        <v>0</v>
      </c>
      <c r="K363">
        <f t="shared" si="203"/>
        <v>3</v>
      </c>
      <c r="L363">
        <f t="shared" si="182"/>
        <v>360</v>
      </c>
      <c r="M363">
        <f t="shared" si="197"/>
        <v>0</v>
      </c>
      <c r="N363">
        <f t="shared" si="204"/>
        <v>2</v>
      </c>
      <c r="O363">
        <f t="shared" si="183"/>
        <v>300</v>
      </c>
      <c r="P363">
        <f t="shared" si="205"/>
        <v>0</v>
      </c>
      <c r="Q363">
        <f t="shared" si="206"/>
        <v>2</v>
      </c>
      <c r="R363">
        <f t="shared" si="184"/>
        <v>300</v>
      </c>
      <c r="S363">
        <f t="shared" si="207"/>
        <v>0</v>
      </c>
      <c r="T363">
        <f t="shared" si="208"/>
        <v>-1</v>
      </c>
      <c r="U363">
        <f t="shared" si="198"/>
        <v>1</v>
      </c>
      <c r="V363">
        <f t="shared" si="199"/>
        <v>1</v>
      </c>
      <c r="W363">
        <f t="shared" si="185"/>
        <v>0</v>
      </c>
      <c r="X363">
        <f t="shared" si="209"/>
        <v>0</v>
      </c>
      <c r="Y363">
        <f t="shared" si="186"/>
        <v>0</v>
      </c>
      <c r="Z363">
        <f t="shared" si="187"/>
        <v>0</v>
      </c>
      <c r="AA363">
        <f t="shared" si="188"/>
        <v>0</v>
      </c>
      <c r="AB363" s="29">
        <f t="shared" si="189"/>
        <v>0</v>
      </c>
      <c r="AC363" s="25">
        <f t="shared" si="190"/>
        <v>0</v>
      </c>
      <c r="AD363" s="29">
        <f t="shared" si="191"/>
        <v>0</v>
      </c>
      <c r="AE363" s="25">
        <f t="shared" si="200"/>
        <v>0</v>
      </c>
      <c r="AF363" s="25">
        <f t="shared" si="192"/>
        <v>0</v>
      </c>
      <c r="AG363" s="25">
        <f>IF($A363&lt;0,0,IF(instatk="bs",(1.5+talSCallInstBon)*(MHavg+(ap+Z363-$Z$1)/APtoDPS*MHnorm+170)*(1+sa*0.1+0.04*opp+0.02*agg+Slayer4value-1),IF(instatk="hemo",Slayer4value*(MHavg+(ap+Z363-$Z$1)/APtoDPS*MHnorm)*(1.1+talSCallInstBon)+420*(1+raidcrit)*debuffon,IF(instatk="ss",(MHavg+(ap+Z363-$Z$1)/APtoDPS*MHnorm+98)*(1+sa*0.1+0.02*agg+Slayer4value-1),IF(instatk="v",(ohavg+(ap+Z363-$Z$1)/APtoDPS*OHnorm)*(1+sa*0.1)*(0.5+0.05*dws)+avipdam,Slayer4value*((1+0.04*opp)*(MHavg+101+(ap+Z363-$Z$1)/APtoDPS*MHnorm+(0.5+0.05*dws)*(ohavg+(ap+Z363-$Z$1)/APtoDPS*OHnorm)+101*(1+0.1*dws))*(1+0.5*IF(Talents!$O$18="Yes",1,0)))))))*(instactualhit+(1+((leth*0.06+2)-1)*(cfact-1))*instactualcrit)*fwfactor*AB363*instsec*(AF363/$AN$45))</f>
        <v>0</v>
      </c>
      <c r="AH363" s="25">
        <f t="shared" si="210"/>
        <v>0</v>
      </c>
      <c r="AI363" s="25">
        <f t="shared" si="211"/>
        <v>0</v>
      </c>
      <c r="AJ363" s="25">
        <f t="shared" si="212"/>
        <v>0</v>
      </c>
    </row>
    <row r="364" spans="1:36">
      <c r="A364">
        <f t="shared" si="193"/>
        <v>-1</v>
      </c>
      <c r="B364">
        <f t="shared" si="201"/>
        <v>6</v>
      </c>
      <c r="C364">
        <f t="shared" si="179"/>
        <v>300</v>
      </c>
      <c r="D364">
        <f t="shared" si="194"/>
        <v>0</v>
      </c>
      <c r="E364">
        <f t="shared" si="213"/>
        <v>5</v>
      </c>
      <c r="F364">
        <f t="shared" si="180"/>
        <v>360</v>
      </c>
      <c r="G364">
        <f t="shared" si="195"/>
        <v>0</v>
      </c>
      <c r="H364">
        <f t="shared" si="202"/>
        <v>4</v>
      </c>
      <c r="I364">
        <f t="shared" si="181"/>
        <v>360</v>
      </c>
      <c r="J364">
        <f t="shared" si="196"/>
        <v>0</v>
      </c>
      <c r="K364">
        <f t="shared" si="203"/>
        <v>3</v>
      </c>
      <c r="L364">
        <f t="shared" si="182"/>
        <v>360</v>
      </c>
      <c r="M364">
        <f t="shared" si="197"/>
        <v>0</v>
      </c>
      <c r="N364">
        <f t="shared" si="204"/>
        <v>2</v>
      </c>
      <c r="O364">
        <f t="shared" si="183"/>
        <v>300</v>
      </c>
      <c r="P364">
        <f t="shared" si="205"/>
        <v>0</v>
      </c>
      <c r="Q364">
        <f t="shared" si="206"/>
        <v>2</v>
      </c>
      <c r="R364">
        <f t="shared" si="184"/>
        <v>300</v>
      </c>
      <c r="S364">
        <f t="shared" si="207"/>
        <v>0</v>
      </c>
      <c r="T364">
        <f t="shared" si="208"/>
        <v>-1</v>
      </c>
      <c r="U364">
        <f t="shared" si="198"/>
        <v>1</v>
      </c>
      <c r="V364">
        <f t="shared" si="199"/>
        <v>1</v>
      </c>
      <c r="W364">
        <f t="shared" si="185"/>
        <v>0</v>
      </c>
      <c r="X364">
        <f t="shared" si="209"/>
        <v>0</v>
      </c>
      <c r="Y364">
        <f t="shared" si="186"/>
        <v>0</v>
      </c>
      <c r="Z364">
        <f t="shared" si="187"/>
        <v>0</v>
      </c>
      <c r="AA364">
        <f t="shared" si="188"/>
        <v>0</v>
      </c>
      <c r="AB364" s="29">
        <f t="shared" si="189"/>
        <v>0</v>
      </c>
      <c r="AC364" s="25">
        <f t="shared" si="190"/>
        <v>0</v>
      </c>
      <c r="AD364" s="29">
        <f t="shared" si="191"/>
        <v>0</v>
      </c>
      <c r="AE364" s="25">
        <f t="shared" si="200"/>
        <v>0</v>
      </c>
      <c r="AF364" s="25">
        <f t="shared" si="192"/>
        <v>0</v>
      </c>
      <c r="AG364" s="25">
        <f>IF($A364&lt;0,0,IF(instatk="bs",(1.5+talSCallInstBon)*(MHavg+(ap+Z364-$Z$1)/APtoDPS*MHnorm+170)*(1+sa*0.1+0.04*opp+0.02*agg+Slayer4value-1),IF(instatk="hemo",Slayer4value*(MHavg+(ap+Z364-$Z$1)/APtoDPS*MHnorm)*(1.1+talSCallInstBon)+420*(1+raidcrit)*debuffon,IF(instatk="ss",(MHavg+(ap+Z364-$Z$1)/APtoDPS*MHnorm+98)*(1+sa*0.1+0.02*agg+Slayer4value-1),IF(instatk="v",(ohavg+(ap+Z364-$Z$1)/APtoDPS*OHnorm)*(1+sa*0.1)*(0.5+0.05*dws)+avipdam,Slayer4value*((1+0.04*opp)*(MHavg+101+(ap+Z364-$Z$1)/APtoDPS*MHnorm+(0.5+0.05*dws)*(ohavg+(ap+Z364-$Z$1)/APtoDPS*OHnorm)+101*(1+0.1*dws))*(1+0.5*IF(Talents!$O$18="Yes",1,0)))))))*(instactualhit+(1+((leth*0.06+2)-1)*(cfact-1))*instactualcrit)*fwfactor*AB364*instsec*(AF364/$AN$45))</f>
        <v>0</v>
      </c>
      <c r="AH364" s="25">
        <f t="shared" si="210"/>
        <v>0</v>
      </c>
      <c r="AI364" s="25">
        <f t="shared" si="211"/>
        <v>0</v>
      </c>
      <c r="AJ364" s="25">
        <f t="shared" si="212"/>
        <v>0</v>
      </c>
    </row>
    <row r="365" spans="1:36">
      <c r="A365">
        <f t="shared" si="193"/>
        <v>-1</v>
      </c>
      <c r="B365">
        <f t="shared" si="201"/>
        <v>6</v>
      </c>
      <c r="C365">
        <f t="shared" si="179"/>
        <v>300</v>
      </c>
      <c r="D365">
        <f t="shared" si="194"/>
        <v>0</v>
      </c>
      <c r="E365">
        <f t="shared" si="213"/>
        <v>5</v>
      </c>
      <c r="F365">
        <f t="shared" si="180"/>
        <v>360</v>
      </c>
      <c r="G365">
        <f t="shared" si="195"/>
        <v>0</v>
      </c>
      <c r="H365">
        <f t="shared" si="202"/>
        <v>4</v>
      </c>
      <c r="I365">
        <f t="shared" si="181"/>
        <v>360</v>
      </c>
      <c r="J365">
        <f t="shared" si="196"/>
        <v>0</v>
      </c>
      <c r="K365">
        <f t="shared" si="203"/>
        <v>3</v>
      </c>
      <c r="L365">
        <f t="shared" si="182"/>
        <v>360</v>
      </c>
      <c r="M365">
        <f t="shared" si="197"/>
        <v>0</v>
      </c>
      <c r="N365">
        <f t="shared" si="204"/>
        <v>2</v>
      </c>
      <c r="O365">
        <f t="shared" si="183"/>
        <v>300</v>
      </c>
      <c r="P365">
        <f t="shared" si="205"/>
        <v>0</v>
      </c>
      <c r="Q365">
        <f t="shared" si="206"/>
        <v>2</v>
      </c>
      <c r="R365">
        <f t="shared" si="184"/>
        <v>300</v>
      </c>
      <c r="S365">
        <f t="shared" si="207"/>
        <v>0</v>
      </c>
      <c r="T365">
        <f t="shared" si="208"/>
        <v>-1</v>
      </c>
      <c r="U365">
        <f t="shared" si="198"/>
        <v>1</v>
      </c>
      <c r="V365">
        <f t="shared" si="199"/>
        <v>1</v>
      </c>
      <c r="W365">
        <f t="shared" si="185"/>
        <v>0</v>
      </c>
      <c r="X365">
        <f t="shared" si="209"/>
        <v>0</v>
      </c>
      <c r="Y365">
        <f t="shared" si="186"/>
        <v>0</v>
      </c>
      <c r="Z365">
        <f t="shared" si="187"/>
        <v>0</v>
      </c>
      <c r="AA365">
        <f t="shared" si="188"/>
        <v>0</v>
      </c>
      <c r="AB365" s="29">
        <f t="shared" si="189"/>
        <v>0</v>
      </c>
      <c r="AC365" s="25">
        <f t="shared" si="190"/>
        <v>0</v>
      </c>
      <c r="AD365" s="29">
        <f t="shared" si="191"/>
        <v>0</v>
      </c>
      <c r="AE365" s="25">
        <f t="shared" si="200"/>
        <v>0</v>
      </c>
      <c r="AF365" s="25">
        <f t="shared" si="192"/>
        <v>0</v>
      </c>
      <c r="AG365" s="25">
        <f>IF($A365&lt;0,0,IF(instatk="bs",(1.5+talSCallInstBon)*(MHavg+(ap+Z365-$Z$1)/APtoDPS*MHnorm+170)*(1+sa*0.1+0.04*opp+0.02*agg+Slayer4value-1),IF(instatk="hemo",Slayer4value*(MHavg+(ap+Z365-$Z$1)/APtoDPS*MHnorm)*(1.1+talSCallInstBon)+420*(1+raidcrit)*debuffon,IF(instatk="ss",(MHavg+(ap+Z365-$Z$1)/APtoDPS*MHnorm+98)*(1+sa*0.1+0.02*agg+Slayer4value-1),IF(instatk="v",(ohavg+(ap+Z365-$Z$1)/APtoDPS*OHnorm)*(1+sa*0.1)*(0.5+0.05*dws)+avipdam,Slayer4value*((1+0.04*opp)*(MHavg+101+(ap+Z365-$Z$1)/APtoDPS*MHnorm+(0.5+0.05*dws)*(ohavg+(ap+Z365-$Z$1)/APtoDPS*OHnorm)+101*(1+0.1*dws))*(1+0.5*IF(Talents!$O$18="Yes",1,0)))))))*(instactualhit+(1+((leth*0.06+2)-1)*(cfact-1))*instactualcrit)*fwfactor*AB365*instsec*(AF365/$AN$45))</f>
        <v>0</v>
      </c>
      <c r="AH365" s="25">
        <f t="shared" si="210"/>
        <v>0</v>
      </c>
      <c r="AI365" s="25">
        <f t="shared" si="211"/>
        <v>0</v>
      </c>
      <c r="AJ365" s="25">
        <f t="shared" si="212"/>
        <v>0</v>
      </c>
    </row>
    <row r="366" spans="1:36">
      <c r="A366">
        <f t="shared" si="193"/>
        <v>-1</v>
      </c>
      <c r="B366">
        <f t="shared" si="201"/>
        <v>6</v>
      </c>
      <c r="C366">
        <f t="shared" si="179"/>
        <v>300</v>
      </c>
      <c r="D366">
        <f t="shared" si="194"/>
        <v>0</v>
      </c>
      <c r="E366">
        <f t="shared" si="213"/>
        <v>5</v>
      </c>
      <c r="F366">
        <f t="shared" si="180"/>
        <v>360</v>
      </c>
      <c r="G366">
        <f t="shared" si="195"/>
        <v>0</v>
      </c>
      <c r="H366">
        <f t="shared" si="202"/>
        <v>4</v>
      </c>
      <c r="I366">
        <f t="shared" si="181"/>
        <v>360</v>
      </c>
      <c r="J366">
        <f t="shared" si="196"/>
        <v>0</v>
      </c>
      <c r="K366">
        <f t="shared" si="203"/>
        <v>3</v>
      </c>
      <c r="L366">
        <f t="shared" si="182"/>
        <v>360</v>
      </c>
      <c r="M366">
        <f t="shared" si="197"/>
        <v>0</v>
      </c>
      <c r="N366">
        <f t="shared" si="204"/>
        <v>2</v>
      </c>
      <c r="O366">
        <f t="shared" si="183"/>
        <v>300</v>
      </c>
      <c r="P366">
        <f t="shared" si="205"/>
        <v>0</v>
      </c>
      <c r="Q366">
        <f t="shared" si="206"/>
        <v>2</v>
      </c>
      <c r="R366">
        <f t="shared" si="184"/>
        <v>300</v>
      </c>
      <c r="S366">
        <f t="shared" si="207"/>
        <v>0</v>
      </c>
      <c r="T366">
        <f t="shared" si="208"/>
        <v>-1</v>
      </c>
      <c r="U366">
        <f t="shared" si="198"/>
        <v>1</v>
      </c>
      <c r="V366">
        <f t="shared" si="199"/>
        <v>1</v>
      </c>
      <c r="W366">
        <f t="shared" si="185"/>
        <v>0</v>
      </c>
      <c r="X366">
        <f t="shared" si="209"/>
        <v>0</v>
      </c>
      <c r="Y366">
        <f t="shared" si="186"/>
        <v>0</v>
      </c>
      <c r="Z366">
        <f t="shared" si="187"/>
        <v>0</v>
      </c>
      <c r="AA366">
        <f t="shared" si="188"/>
        <v>0</v>
      </c>
      <c r="AB366" s="29">
        <f t="shared" si="189"/>
        <v>0</v>
      </c>
      <c r="AC366" s="25">
        <f t="shared" si="190"/>
        <v>0</v>
      </c>
      <c r="AD366" s="29">
        <f t="shared" si="191"/>
        <v>0</v>
      </c>
      <c r="AE366" s="25">
        <f t="shared" si="200"/>
        <v>0</v>
      </c>
      <c r="AF366" s="25">
        <f t="shared" si="192"/>
        <v>0</v>
      </c>
      <c r="AG366" s="25">
        <f>IF($A366&lt;0,0,IF(instatk="bs",(1.5+talSCallInstBon)*(MHavg+(ap+Z366-$Z$1)/APtoDPS*MHnorm+170)*(1+sa*0.1+0.04*opp+0.02*agg+Slayer4value-1),IF(instatk="hemo",Slayer4value*(MHavg+(ap+Z366-$Z$1)/APtoDPS*MHnorm)*(1.1+talSCallInstBon)+420*(1+raidcrit)*debuffon,IF(instatk="ss",(MHavg+(ap+Z366-$Z$1)/APtoDPS*MHnorm+98)*(1+sa*0.1+0.02*agg+Slayer4value-1),IF(instatk="v",(ohavg+(ap+Z366-$Z$1)/APtoDPS*OHnorm)*(1+sa*0.1)*(0.5+0.05*dws)+avipdam,Slayer4value*((1+0.04*opp)*(MHavg+101+(ap+Z366-$Z$1)/APtoDPS*MHnorm+(0.5+0.05*dws)*(ohavg+(ap+Z366-$Z$1)/APtoDPS*OHnorm)+101*(1+0.1*dws))*(1+0.5*IF(Talents!$O$18="Yes",1,0)))))))*(instactualhit+(1+((leth*0.06+2)-1)*(cfact-1))*instactualcrit)*fwfactor*AB366*instsec*(AF366/$AN$45))</f>
        <v>0</v>
      </c>
      <c r="AH366" s="25">
        <f t="shared" si="210"/>
        <v>0</v>
      </c>
      <c r="AI366" s="25">
        <f t="shared" si="211"/>
        <v>0</v>
      </c>
      <c r="AJ366" s="25">
        <f t="shared" si="212"/>
        <v>0</v>
      </c>
    </row>
    <row r="367" spans="1:36">
      <c r="A367">
        <f t="shared" si="193"/>
        <v>-1</v>
      </c>
      <c r="B367">
        <f t="shared" si="201"/>
        <v>6</v>
      </c>
      <c r="C367">
        <f t="shared" si="179"/>
        <v>300</v>
      </c>
      <c r="D367">
        <f t="shared" si="194"/>
        <v>0</v>
      </c>
      <c r="E367">
        <f t="shared" si="213"/>
        <v>5</v>
      </c>
      <c r="F367">
        <f t="shared" si="180"/>
        <v>360</v>
      </c>
      <c r="G367">
        <f t="shared" si="195"/>
        <v>0</v>
      </c>
      <c r="H367">
        <f t="shared" si="202"/>
        <v>4</v>
      </c>
      <c r="I367">
        <f t="shared" si="181"/>
        <v>360</v>
      </c>
      <c r="J367">
        <f t="shared" si="196"/>
        <v>0</v>
      </c>
      <c r="K367">
        <f t="shared" si="203"/>
        <v>3</v>
      </c>
      <c r="L367">
        <f t="shared" si="182"/>
        <v>360</v>
      </c>
      <c r="M367">
        <f t="shared" si="197"/>
        <v>0</v>
      </c>
      <c r="N367">
        <f t="shared" si="204"/>
        <v>2</v>
      </c>
      <c r="O367">
        <f t="shared" si="183"/>
        <v>300</v>
      </c>
      <c r="P367">
        <f t="shared" si="205"/>
        <v>0</v>
      </c>
      <c r="Q367">
        <f t="shared" si="206"/>
        <v>2</v>
      </c>
      <c r="R367">
        <f t="shared" si="184"/>
        <v>300</v>
      </c>
      <c r="S367">
        <f t="shared" si="207"/>
        <v>0</v>
      </c>
      <c r="T367">
        <f t="shared" si="208"/>
        <v>-1</v>
      </c>
      <c r="U367">
        <f t="shared" si="198"/>
        <v>1</v>
      </c>
      <c r="V367">
        <f t="shared" si="199"/>
        <v>1</v>
      </c>
      <c r="W367">
        <f t="shared" si="185"/>
        <v>0</v>
      </c>
      <c r="X367">
        <f t="shared" si="209"/>
        <v>0</v>
      </c>
      <c r="Y367">
        <f t="shared" si="186"/>
        <v>0</v>
      </c>
      <c r="Z367">
        <f t="shared" si="187"/>
        <v>0</v>
      </c>
      <c r="AA367">
        <f t="shared" si="188"/>
        <v>0</v>
      </c>
      <c r="AB367" s="29">
        <f t="shared" si="189"/>
        <v>0</v>
      </c>
      <c r="AC367" s="25">
        <f t="shared" si="190"/>
        <v>0</v>
      </c>
      <c r="AD367" s="29">
        <f t="shared" si="191"/>
        <v>0</v>
      </c>
      <c r="AE367" s="25">
        <f t="shared" si="200"/>
        <v>0</v>
      </c>
      <c r="AF367" s="25">
        <f t="shared" si="192"/>
        <v>0</v>
      </c>
      <c r="AG367" s="25">
        <f>IF($A367&lt;0,0,IF(instatk="bs",(1.5+talSCallInstBon)*(MHavg+(ap+Z367-$Z$1)/APtoDPS*MHnorm+170)*(1+sa*0.1+0.04*opp+0.02*agg+Slayer4value-1),IF(instatk="hemo",Slayer4value*(MHavg+(ap+Z367-$Z$1)/APtoDPS*MHnorm)*(1.1+talSCallInstBon)+420*(1+raidcrit)*debuffon,IF(instatk="ss",(MHavg+(ap+Z367-$Z$1)/APtoDPS*MHnorm+98)*(1+sa*0.1+0.02*agg+Slayer4value-1),IF(instatk="v",(ohavg+(ap+Z367-$Z$1)/APtoDPS*OHnorm)*(1+sa*0.1)*(0.5+0.05*dws)+avipdam,Slayer4value*((1+0.04*opp)*(MHavg+101+(ap+Z367-$Z$1)/APtoDPS*MHnorm+(0.5+0.05*dws)*(ohavg+(ap+Z367-$Z$1)/APtoDPS*OHnorm)+101*(1+0.1*dws))*(1+0.5*IF(Talents!$O$18="Yes",1,0)))))))*(instactualhit+(1+((leth*0.06+2)-1)*(cfact-1))*instactualcrit)*fwfactor*AB367*instsec*(AF367/$AN$45))</f>
        <v>0</v>
      </c>
      <c r="AH367" s="25">
        <f t="shared" si="210"/>
        <v>0</v>
      </c>
      <c r="AI367" s="25">
        <f t="shared" si="211"/>
        <v>0</v>
      </c>
      <c r="AJ367" s="25">
        <f t="shared" si="212"/>
        <v>0</v>
      </c>
    </row>
    <row r="368" spans="1:36">
      <c r="A368">
        <f t="shared" si="193"/>
        <v>-1</v>
      </c>
      <c r="B368">
        <f t="shared" si="201"/>
        <v>6</v>
      </c>
      <c r="C368">
        <f t="shared" si="179"/>
        <v>300</v>
      </c>
      <c r="D368">
        <f t="shared" si="194"/>
        <v>0</v>
      </c>
      <c r="E368">
        <f t="shared" si="213"/>
        <v>5</v>
      </c>
      <c r="F368">
        <f t="shared" si="180"/>
        <v>360</v>
      </c>
      <c r="G368">
        <f t="shared" si="195"/>
        <v>0</v>
      </c>
      <c r="H368">
        <f t="shared" si="202"/>
        <v>4</v>
      </c>
      <c r="I368">
        <f t="shared" si="181"/>
        <v>360</v>
      </c>
      <c r="J368">
        <f t="shared" si="196"/>
        <v>0</v>
      </c>
      <c r="K368">
        <f t="shared" si="203"/>
        <v>3</v>
      </c>
      <c r="L368">
        <f t="shared" si="182"/>
        <v>360</v>
      </c>
      <c r="M368">
        <f t="shared" si="197"/>
        <v>0</v>
      </c>
      <c r="N368">
        <f t="shared" si="204"/>
        <v>2</v>
      </c>
      <c r="O368">
        <f t="shared" si="183"/>
        <v>300</v>
      </c>
      <c r="P368">
        <f t="shared" si="205"/>
        <v>0</v>
      </c>
      <c r="Q368">
        <f t="shared" si="206"/>
        <v>2</v>
      </c>
      <c r="R368">
        <f t="shared" si="184"/>
        <v>300</v>
      </c>
      <c r="S368">
        <f t="shared" si="207"/>
        <v>0</v>
      </c>
      <c r="T368">
        <f t="shared" si="208"/>
        <v>-1</v>
      </c>
      <c r="U368">
        <f t="shared" si="198"/>
        <v>1</v>
      </c>
      <c r="V368">
        <f t="shared" si="199"/>
        <v>1</v>
      </c>
      <c r="W368">
        <f t="shared" si="185"/>
        <v>0</v>
      </c>
      <c r="X368">
        <f t="shared" si="209"/>
        <v>0</v>
      </c>
      <c r="Y368">
        <f t="shared" si="186"/>
        <v>0</v>
      </c>
      <c r="Z368">
        <f t="shared" si="187"/>
        <v>0</v>
      </c>
      <c r="AA368">
        <f t="shared" si="188"/>
        <v>0</v>
      </c>
      <c r="AB368" s="29">
        <f t="shared" si="189"/>
        <v>0</v>
      </c>
      <c r="AC368" s="25">
        <f t="shared" si="190"/>
        <v>0</v>
      </c>
      <c r="AD368" s="29">
        <f t="shared" si="191"/>
        <v>0</v>
      </c>
      <c r="AE368" s="25">
        <f t="shared" si="200"/>
        <v>0</v>
      </c>
      <c r="AF368" s="25">
        <f t="shared" si="192"/>
        <v>0</v>
      </c>
      <c r="AG368" s="25">
        <f>IF($A368&lt;0,0,IF(instatk="bs",(1.5+talSCallInstBon)*(MHavg+(ap+Z368-$Z$1)/APtoDPS*MHnorm+170)*(1+sa*0.1+0.04*opp+0.02*agg+Slayer4value-1),IF(instatk="hemo",Slayer4value*(MHavg+(ap+Z368-$Z$1)/APtoDPS*MHnorm)*(1.1+talSCallInstBon)+420*(1+raidcrit)*debuffon,IF(instatk="ss",(MHavg+(ap+Z368-$Z$1)/APtoDPS*MHnorm+98)*(1+sa*0.1+0.02*agg+Slayer4value-1),IF(instatk="v",(ohavg+(ap+Z368-$Z$1)/APtoDPS*OHnorm)*(1+sa*0.1)*(0.5+0.05*dws)+avipdam,Slayer4value*((1+0.04*opp)*(MHavg+101+(ap+Z368-$Z$1)/APtoDPS*MHnorm+(0.5+0.05*dws)*(ohavg+(ap+Z368-$Z$1)/APtoDPS*OHnorm)+101*(1+0.1*dws))*(1+0.5*IF(Talents!$O$18="Yes",1,0)))))))*(instactualhit+(1+((leth*0.06+2)-1)*(cfact-1))*instactualcrit)*fwfactor*AB368*instsec*(AF368/$AN$45))</f>
        <v>0</v>
      </c>
      <c r="AH368" s="25">
        <f t="shared" si="210"/>
        <v>0</v>
      </c>
      <c r="AI368" s="25">
        <f t="shared" si="211"/>
        <v>0</v>
      </c>
      <c r="AJ368" s="25">
        <f t="shared" si="212"/>
        <v>0</v>
      </c>
    </row>
    <row r="369" spans="1:36">
      <c r="A369">
        <f t="shared" si="193"/>
        <v>-1</v>
      </c>
      <c r="B369">
        <f t="shared" si="201"/>
        <v>6</v>
      </c>
      <c r="C369">
        <f t="shared" si="179"/>
        <v>300</v>
      </c>
      <c r="D369">
        <f t="shared" si="194"/>
        <v>0</v>
      </c>
      <c r="E369">
        <f t="shared" si="213"/>
        <v>5</v>
      </c>
      <c r="F369">
        <f t="shared" si="180"/>
        <v>360</v>
      </c>
      <c r="G369">
        <f t="shared" si="195"/>
        <v>0</v>
      </c>
      <c r="H369">
        <f t="shared" si="202"/>
        <v>4</v>
      </c>
      <c r="I369">
        <f t="shared" si="181"/>
        <v>360</v>
      </c>
      <c r="J369">
        <f t="shared" si="196"/>
        <v>0</v>
      </c>
      <c r="K369">
        <f t="shared" si="203"/>
        <v>3</v>
      </c>
      <c r="L369">
        <f t="shared" si="182"/>
        <v>360</v>
      </c>
      <c r="M369">
        <f t="shared" si="197"/>
        <v>0</v>
      </c>
      <c r="N369">
        <f t="shared" si="204"/>
        <v>2</v>
      </c>
      <c r="O369">
        <f t="shared" si="183"/>
        <v>300</v>
      </c>
      <c r="P369">
        <f t="shared" si="205"/>
        <v>0</v>
      </c>
      <c r="Q369">
        <f t="shared" si="206"/>
        <v>2</v>
      </c>
      <c r="R369">
        <f t="shared" si="184"/>
        <v>300</v>
      </c>
      <c r="S369">
        <f t="shared" si="207"/>
        <v>0</v>
      </c>
      <c r="T369">
        <f t="shared" si="208"/>
        <v>-1</v>
      </c>
      <c r="U369">
        <f t="shared" si="198"/>
        <v>1</v>
      </c>
      <c r="V369">
        <f t="shared" si="199"/>
        <v>1</v>
      </c>
      <c r="W369">
        <f t="shared" si="185"/>
        <v>0</v>
      </c>
      <c r="X369">
        <f t="shared" si="209"/>
        <v>0</v>
      </c>
      <c r="Y369">
        <f t="shared" si="186"/>
        <v>0</v>
      </c>
      <c r="Z369">
        <f t="shared" si="187"/>
        <v>0</v>
      </c>
      <c r="AA369">
        <f t="shared" si="188"/>
        <v>0</v>
      </c>
      <c r="AB369" s="29">
        <f t="shared" si="189"/>
        <v>0</v>
      </c>
      <c r="AC369" s="25">
        <f t="shared" si="190"/>
        <v>0</v>
      </c>
      <c r="AD369" s="29">
        <f t="shared" si="191"/>
        <v>0</v>
      </c>
      <c r="AE369" s="25">
        <f t="shared" si="200"/>
        <v>0</v>
      </c>
      <c r="AF369" s="25">
        <f t="shared" si="192"/>
        <v>0</v>
      </c>
      <c r="AG369" s="25">
        <f>IF($A369&lt;0,0,IF(instatk="bs",(1.5+talSCallInstBon)*(MHavg+(ap+Z369-$Z$1)/APtoDPS*MHnorm+170)*(1+sa*0.1+0.04*opp+0.02*agg+Slayer4value-1),IF(instatk="hemo",Slayer4value*(MHavg+(ap+Z369-$Z$1)/APtoDPS*MHnorm)*(1.1+talSCallInstBon)+420*(1+raidcrit)*debuffon,IF(instatk="ss",(MHavg+(ap+Z369-$Z$1)/APtoDPS*MHnorm+98)*(1+sa*0.1+0.02*agg+Slayer4value-1),IF(instatk="v",(ohavg+(ap+Z369-$Z$1)/APtoDPS*OHnorm)*(1+sa*0.1)*(0.5+0.05*dws)+avipdam,Slayer4value*((1+0.04*opp)*(MHavg+101+(ap+Z369-$Z$1)/APtoDPS*MHnorm+(0.5+0.05*dws)*(ohavg+(ap+Z369-$Z$1)/APtoDPS*OHnorm)+101*(1+0.1*dws))*(1+0.5*IF(Talents!$O$18="Yes",1,0)))))))*(instactualhit+(1+((leth*0.06+2)-1)*(cfact-1))*instactualcrit)*fwfactor*AB369*instsec*(AF369/$AN$45))</f>
        <v>0</v>
      </c>
      <c r="AH369" s="25">
        <f t="shared" si="210"/>
        <v>0</v>
      </c>
      <c r="AI369" s="25">
        <f t="shared" si="211"/>
        <v>0</v>
      </c>
      <c r="AJ369" s="25">
        <f t="shared" si="212"/>
        <v>0</v>
      </c>
    </row>
    <row r="370" spans="1:36">
      <c r="A370">
        <f t="shared" si="193"/>
        <v>-1</v>
      </c>
      <c r="B370">
        <f t="shared" si="201"/>
        <v>6</v>
      </c>
      <c r="C370">
        <f t="shared" si="179"/>
        <v>300</v>
      </c>
      <c r="D370">
        <f t="shared" si="194"/>
        <v>0</v>
      </c>
      <c r="E370">
        <f t="shared" si="213"/>
        <v>5</v>
      </c>
      <c r="F370">
        <f t="shared" si="180"/>
        <v>360</v>
      </c>
      <c r="G370">
        <f t="shared" si="195"/>
        <v>0</v>
      </c>
      <c r="H370">
        <f t="shared" si="202"/>
        <v>4</v>
      </c>
      <c r="I370">
        <f t="shared" si="181"/>
        <v>360</v>
      </c>
      <c r="J370">
        <f t="shared" si="196"/>
        <v>0</v>
      </c>
      <c r="K370">
        <f t="shared" si="203"/>
        <v>3</v>
      </c>
      <c r="L370">
        <f t="shared" si="182"/>
        <v>360</v>
      </c>
      <c r="M370">
        <f t="shared" si="197"/>
        <v>0</v>
      </c>
      <c r="N370">
        <f t="shared" si="204"/>
        <v>2</v>
      </c>
      <c r="O370">
        <f t="shared" si="183"/>
        <v>300</v>
      </c>
      <c r="P370">
        <f t="shared" si="205"/>
        <v>0</v>
      </c>
      <c r="Q370">
        <f t="shared" si="206"/>
        <v>2</v>
      </c>
      <c r="R370">
        <f t="shared" si="184"/>
        <v>300</v>
      </c>
      <c r="S370">
        <f t="shared" si="207"/>
        <v>0</v>
      </c>
      <c r="T370">
        <f t="shared" si="208"/>
        <v>-1</v>
      </c>
      <c r="U370">
        <f t="shared" si="198"/>
        <v>1</v>
      </c>
      <c r="V370">
        <f t="shared" si="199"/>
        <v>1</v>
      </c>
      <c r="W370">
        <f t="shared" si="185"/>
        <v>0</v>
      </c>
      <c r="X370">
        <f t="shared" si="209"/>
        <v>0</v>
      </c>
      <c r="Y370">
        <f t="shared" si="186"/>
        <v>0</v>
      </c>
      <c r="Z370">
        <f t="shared" si="187"/>
        <v>0</v>
      </c>
      <c r="AA370">
        <f t="shared" si="188"/>
        <v>0</v>
      </c>
      <c r="AB370" s="29">
        <f t="shared" si="189"/>
        <v>0</v>
      </c>
      <c r="AC370" s="25">
        <f t="shared" si="190"/>
        <v>0</v>
      </c>
      <c r="AD370" s="29">
        <f t="shared" si="191"/>
        <v>0</v>
      </c>
      <c r="AE370" s="25">
        <f t="shared" si="200"/>
        <v>0</v>
      </c>
      <c r="AF370" s="25">
        <f t="shared" si="192"/>
        <v>0</v>
      </c>
      <c r="AG370" s="25">
        <f>IF($A370&lt;0,0,IF(instatk="bs",(1.5+talSCallInstBon)*(MHavg+(ap+Z370-$Z$1)/APtoDPS*MHnorm+170)*(1+sa*0.1+0.04*opp+0.02*agg+Slayer4value-1),IF(instatk="hemo",Slayer4value*(MHavg+(ap+Z370-$Z$1)/APtoDPS*MHnorm)*(1.1+talSCallInstBon)+420*(1+raidcrit)*debuffon,IF(instatk="ss",(MHavg+(ap+Z370-$Z$1)/APtoDPS*MHnorm+98)*(1+sa*0.1+0.02*agg+Slayer4value-1),IF(instatk="v",(ohavg+(ap+Z370-$Z$1)/APtoDPS*OHnorm)*(1+sa*0.1)*(0.5+0.05*dws)+avipdam,Slayer4value*((1+0.04*opp)*(MHavg+101+(ap+Z370-$Z$1)/APtoDPS*MHnorm+(0.5+0.05*dws)*(ohavg+(ap+Z370-$Z$1)/APtoDPS*OHnorm)+101*(1+0.1*dws))*(1+0.5*IF(Talents!$O$18="Yes",1,0)))))))*(instactualhit+(1+((leth*0.06+2)-1)*(cfact-1))*instactualcrit)*fwfactor*AB370*instsec*(AF370/$AN$45))</f>
        <v>0</v>
      </c>
      <c r="AH370" s="25">
        <f t="shared" si="210"/>
        <v>0</v>
      </c>
      <c r="AI370" s="25">
        <f t="shared" si="211"/>
        <v>0</v>
      </c>
      <c r="AJ370" s="25">
        <f t="shared" si="212"/>
        <v>0</v>
      </c>
    </row>
    <row r="371" spans="1:36">
      <c r="A371">
        <f t="shared" si="193"/>
        <v>-1</v>
      </c>
      <c r="B371">
        <f t="shared" si="201"/>
        <v>6</v>
      </c>
      <c r="C371">
        <f t="shared" si="179"/>
        <v>300</v>
      </c>
      <c r="D371">
        <f t="shared" si="194"/>
        <v>0</v>
      </c>
      <c r="E371">
        <f t="shared" si="213"/>
        <v>5</v>
      </c>
      <c r="F371">
        <f t="shared" si="180"/>
        <v>360</v>
      </c>
      <c r="G371">
        <f t="shared" si="195"/>
        <v>0</v>
      </c>
      <c r="H371">
        <f t="shared" si="202"/>
        <v>4</v>
      </c>
      <c r="I371">
        <f t="shared" si="181"/>
        <v>360</v>
      </c>
      <c r="J371">
        <f t="shared" si="196"/>
        <v>0</v>
      </c>
      <c r="K371">
        <f t="shared" si="203"/>
        <v>3</v>
      </c>
      <c r="L371">
        <f t="shared" si="182"/>
        <v>360</v>
      </c>
      <c r="M371">
        <f t="shared" si="197"/>
        <v>0</v>
      </c>
      <c r="N371">
        <f t="shared" si="204"/>
        <v>2</v>
      </c>
      <c r="O371">
        <f t="shared" si="183"/>
        <v>300</v>
      </c>
      <c r="P371">
        <f t="shared" si="205"/>
        <v>0</v>
      </c>
      <c r="Q371">
        <f t="shared" si="206"/>
        <v>2</v>
      </c>
      <c r="R371">
        <f t="shared" si="184"/>
        <v>300</v>
      </c>
      <c r="S371">
        <f t="shared" si="207"/>
        <v>0</v>
      </c>
      <c r="T371">
        <f t="shared" si="208"/>
        <v>-1</v>
      </c>
      <c r="U371">
        <f t="shared" si="198"/>
        <v>1</v>
      </c>
      <c r="V371">
        <f t="shared" si="199"/>
        <v>1</v>
      </c>
      <c r="W371">
        <f t="shared" si="185"/>
        <v>0</v>
      </c>
      <c r="X371">
        <f t="shared" si="209"/>
        <v>0</v>
      </c>
      <c r="Y371">
        <f t="shared" si="186"/>
        <v>0</v>
      </c>
      <c r="Z371">
        <f t="shared" si="187"/>
        <v>0</v>
      </c>
      <c r="AA371">
        <f t="shared" si="188"/>
        <v>0</v>
      </c>
      <c r="AB371" s="29">
        <f t="shared" si="189"/>
        <v>0</v>
      </c>
      <c r="AC371" s="25">
        <f t="shared" si="190"/>
        <v>0</v>
      </c>
      <c r="AD371" s="29">
        <f t="shared" si="191"/>
        <v>0</v>
      </c>
      <c r="AE371" s="25">
        <f t="shared" si="200"/>
        <v>0</v>
      </c>
      <c r="AF371" s="25">
        <f t="shared" si="192"/>
        <v>0</v>
      </c>
      <c r="AG371" s="25">
        <f>IF($A371&lt;0,0,IF(instatk="bs",(1.5+talSCallInstBon)*(MHavg+(ap+Z371-$Z$1)/APtoDPS*MHnorm+170)*(1+sa*0.1+0.04*opp+0.02*agg+Slayer4value-1),IF(instatk="hemo",Slayer4value*(MHavg+(ap+Z371-$Z$1)/APtoDPS*MHnorm)*(1.1+talSCallInstBon)+420*(1+raidcrit)*debuffon,IF(instatk="ss",(MHavg+(ap+Z371-$Z$1)/APtoDPS*MHnorm+98)*(1+sa*0.1+0.02*agg+Slayer4value-1),IF(instatk="v",(ohavg+(ap+Z371-$Z$1)/APtoDPS*OHnorm)*(1+sa*0.1)*(0.5+0.05*dws)+avipdam,Slayer4value*((1+0.04*opp)*(MHavg+101+(ap+Z371-$Z$1)/APtoDPS*MHnorm+(0.5+0.05*dws)*(ohavg+(ap+Z371-$Z$1)/APtoDPS*OHnorm)+101*(1+0.1*dws))*(1+0.5*IF(Talents!$O$18="Yes",1,0)))))))*(instactualhit+(1+((leth*0.06+2)-1)*(cfact-1))*instactualcrit)*fwfactor*AB371*instsec*(AF371/$AN$45))</f>
        <v>0</v>
      </c>
      <c r="AH371" s="25">
        <f t="shared" si="210"/>
        <v>0</v>
      </c>
      <c r="AI371" s="25">
        <f t="shared" si="211"/>
        <v>0</v>
      </c>
      <c r="AJ371" s="25">
        <f t="shared" si="212"/>
        <v>0</v>
      </c>
    </row>
    <row r="372" spans="1:36">
      <c r="A372">
        <f t="shared" si="193"/>
        <v>-1</v>
      </c>
      <c r="B372">
        <f t="shared" si="201"/>
        <v>6</v>
      </c>
      <c r="C372">
        <f t="shared" si="179"/>
        <v>300</v>
      </c>
      <c r="D372">
        <f t="shared" si="194"/>
        <v>0</v>
      </c>
      <c r="E372">
        <f t="shared" si="213"/>
        <v>5</v>
      </c>
      <c r="F372">
        <f t="shared" si="180"/>
        <v>360</v>
      </c>
      <c r="G372">
        <f t="shared" si="195"/>
        <v>0</v>
      </c>
      <c r="H372">
        <f t="shared" si="202"/>
        <v>4</v>
      </c>
      <c r="I372">
        <f t="shared" si="181"/>
        <v>360</v>
      </c>
      <c r="J372">
        <f t="shared" si="196"/>
        <v>0</v>
      </c>
      <c r="K372">
        <f t="shared" si="203"/>
        <v>3</v>
      </c>
      <c r="L372">
        <f t="shared" si="182"/>
        <v>360</v>
      </c>
      <c r="M372">
        <f t="shared" si="197"/>
        <v>0</v>
      </c>
      <c r="N372">
        <f t="shared" si="204"/>
        <v>2</v>
      </c>
      <c r="O372">
        <f t="shared" si="183"/>
        <v>300</v>
      </c>
      <c r="P372">
        <f t="shared" si="205"/>
        <v>0</v>
      </c>
      <c r="Q372">
        <f t="shared" si="206"/>
        <v>2</v>
      </c>
      <c r="R372">
        <f t="shared" si="184"/>
        <v>300</v>
      </c>
      <c r="S372">
        <f t="shared" si="207"/>
        <v>0</v>
      </c>
      <c r="T372">
        <f t="shared" si="208"/>
        <v>-1</v>
      </c>
      <c r="U372">
        <f t="shared" si="198"/>
        <v>1</v>
      </c>
      <c r="V372">
        <f t="shared" si="199"/>
        <v>1</v>
      </c>
      <c r="W372">
        <f t="shared" si="185"/>
        <v>0</v>
      </c>
      <c r="X372">
        <f t="shared" si="209"/>
        <v>0</v>
      </c>
      <c r="Y372">
        <f t="shared" si="186"/>
        <v>0</v>
      </c>
      <c r="Z372">
        <f t="shared" si="187"/>
        <v>0</v>
      </c>
      <c r="AA372">
        <f t="shared" si="188"/>
        <v>0</v>
      </c>
      <c r="AB372" s="29">
        <f t="shared" si="189"/>
        <v>0</v>
      </c>
      <c r="AC372" s="25">
        <f t="shared" si="190"/>
        <v>0</v>
      </c>
      <c r="AD372" s="29">
        <f t="shared" si="191"/>
        <v>0</v>
      </c>
      <c r="AE372" s="25">
        <f t="shared" si="200"/>
        <v>0</v>
      </c>
      <c r="AF372" s="25">
        <f t="shared" si="192"/>
        <v>0</v>
      </c>
      <c r="AG372" s="25">
        <f>IF($A372&lt;0,0,IF(instatk="bs",(1.5+talSCallInstBon)*(MHavg+(ap+Z372-$Z$1)/APtoDPS*MHnorm+170)*(1+sa*0.1+0.04*opp+0.02*agg+Slayer4value-1),IF(instatk="hemo",Slayer4value*(MHavg+(ap+Z372-$Z$1)/APtoDPS*MHnorm)*(1.1+talSCallInstBon)+420*(1+raidcrit)*debuffon,IF(instatk="ss",(MHavg+(ap+Z372-$Z$1)/APtoDPS*MHnorm+98)*(1+sa*0.1+0.02*agg+Slayer4value-1),IF(instatk="v",(ohavg+(ap+Z372-$Z$1)/APtoDPS*OHnorm)*(1+sa*0.1)*(0.5+0.05*dws)+avipdam,Slayer4value*((1+0.04*opp)*(MHavg+101+(ap+Z372-$Z$1)/APtoDPS*MHnorm+(0.5+0.05*dws)*(ohavg+(ap+Z372-$Z$1)/APtoDPS*OHnorm)+101*(1+0.1*dws))*(1+0.5*IF(Talents!$O$18="Yes",1,0)))))))*(instactualhit+(1+((leth*0.06+2)-1)*(cfact-1))*instactualcrit)*fwfactor*AB372*instsec*(AF372/$AN$45))</f>
        <v>0</v>
      </c>
      <c r="AH372" s="25">
        <f t="shared" si="210"/>
        <v>0</v>
      </c>
      <c r="AI372" s="25">
        <f t="shared" si="211"/>
        <v>0</v>
      </c>
      <c r="AJ372" s="25">
        <f t="shared" si="212"/>
        <v>0</v>
      </c>
    </row>
    <row r="373" spans="1:36">
      <c r="A373">
        <f t="shared" si="193"/>
        <v>-1</v>
      </c>
      <c r="B373">
        <f t="shared" si="201"/>
        <v>6</v>
      </c>
      <c r="C373">
        <f t="shared" si="179"/>
        <v>300</v>
      </c>
      <c r="D373">
        <f t="shared" si="194"/>
        <v>0</v>
      </c>
      <c r="E373">
        <f t="shared" si="213"/>
        <v>5</v>
      </c>
      <c r="F373">
        <f t="shared" si="180"/>
        <v>360</v>
      </c>
      <c r="G373">
        <f t="shared" si="195"/>
        <v>0</v>
      </c>
      <c r="H373">
        <f t="shared" si="202"/>
        <v>4</v>
      </c>
      <c r="I373">
        <f t="shared" si="181"/>
        <v>360</v>
      </c>
      <c r="J373">
        <f t="shared" si="196"/>
        <v>0</v>
      </c>
      <c r="K373">
        <f t="shared" si="203"/>
        <v>3</v>
      </c>
      <c r="L373">
        <f t="shared" si="182"/>
        <v>360</v>
      </c>
      <c r="M373">
        <f t="shared" si="197"/>
        <v>0</v>
      </c>
      <c r="N373">
        <f t="shared" si="204"/>
        <v>2</v>
      </c>
      <c r="O373">
        <f t="shared" si="183"/>
        <v>300</v>
      </c>
      <c r="P373">
        <f t="shared" si="205"/>
        <v>0</v>
      </c>
      <c r="Q373">
        <f t="shared" si="206"/>
        <v>2</v>
      </c>
      <c r="R373">
        <f t="shared" si="184"/>
        <v>300</v>
      </c>
      <c r="S373">
        <f t="shared" si="207"/>
        <v>0</v>
      </c>
      <c r="T373">
        <f t="shared" si="208"/>
        <v>-1</v>
      </c>
      <c r="U373">
        <f t="shared" si="198"/>
        <v>1</v>
      </c>
      <c r="V373">
        <f t="shared" si="199"/>
        <v>1</v>
      </c>
      <c r="W373">
        <f t="shared" si="185"/>
        <v>0</v>
      </c>
      <c r="X373">
        <f t="shared" si="209"/>
        <v>0</v>
      </c>
      <c r="Y373">
        <f t="shared" si="186"/>
        <v>0</v>
      </c>
      <c r="Z373">
        <f t="shared" si="187"/>
        <v>0</v>
      </c>
      <c r="AA373">
        <f t="shared" si="188"/>
        <v>0</v>
      </c>
      <c r="AB373" s="29">
        <f t="shared" si="189"/>
        <v>0</v>
      </c>
      <c r="AC373" s="25">
        <f t="shared" si="190"/>
        <v>0</v>
      </c>
      <c r="AD373" s="29">
        <f t="shared" si="191"/>
        <v>0</v>
      </c>
      <c r="AE373" s="25">
        <f t="shared" si="200"/>
        <v>0</v>
      </c>
      <c r="AF373" s="25">
        <f t="shared" si="192"/>
        <v>0</v>
      </c>
      <c r="AG373" s="25">
        <f>IF($A373&lt;0,0,IF(instatk="bs",(1.5+talSCallInstBon)*(MHavg+(ap+Z373-$Z$1)/APtoDPS*MHnorm+170)*(1+sa*0.1+0.04*opp+0.02*agg+Slayer4value-1),IF(instatk="hemo",Slayer4value*(MHavg+(ap+Z373-$Z$1)/APtoDPS*MHnorm)*(1.1+talSCallInstBon)+420*(1+raidcrit)*debuffon,IF(instatk="ss",(MHavg+(ap+Z373-$Z$1)/APtoDPS*MHnorm+98)*(1+sa*0.1+0.02*agg+Slayer4value-1),IF(instatk="v",(ohavg+(ap+Z373-$Z$1)/APtoDPS*OHnorm)*(1+sa*0.1)*(0.5+0.05*dws)+avipdam,Slayer4value*((1+0.04*opp)*(MHavg+101+(ap+Z373-$Z$1)/APtoDPS*MHnorm+(0.5+0.05*dws)*(ohavg+(ap+Z373-$Z$1)/APtoDPS*OHnorm)+101*(1+0.1*dws))*(1+0.5*IF(Talents!$O$18="Yes",1,0)))))))*(instactualhit+(1+((leth*0.06+2)-1)*(cfact-1))*instactualcrit)*fwfactor*AB373*instsec*(AF373/$AN$45))</f>
        <v>0</v>
      </c>
      <c r="AH373" s="25">
        <f t="shared" si="210"/>
        <v>0</v>
      </c>
      <c r="AI373" s="25">
        <f t="shared" si="211"/>
        <v>0</v>
      </c>
      <c r="AJ373" s="25">
        <f t="shared" si="212"/>
        <v>0</v>
      </c>
    </row>
    <row r="374" spans="1:36">
      <c r="A374">
        <f t="shared" si="193"/>
        <v>-1</v>
      </c>
      <c r="B374">
        <f t="shared" si="201"/>
        <v>6</v>
      </c>
      <c r="C374">
        <f t="shared" si="179"/>
        <v>300</v>
      </c>
      <c r="D374">
        <f t="shared" si="194"/>
        <v>0</v>
      </c>
      <c r="E374">
        <f t="shared" si="213"/>
        <v>5</v>
      </c>
      <c r="F374">
        <f t="shared" si="180"/>
        <v>360</v>
      </c>
      <c r="G374">
        <f t="shared" si="195"/>
        <v>0</v>
      </c>
      <c r="H374">
        <f t="shared" si="202"/>
        <v>4</v>
      </c>
      <c r="I374">
        <f t="shared" si="181"/>
        <v>360</v>
      </c>
      <c r="J374">
        <f t="shared" si="196"/>
        <v>0</v>
      </c>
      <c r="K374">
        <f t="shared" si="203"/>
        <v>3</v>
      </c>
      <c r="L374">
        <f t="shared" si="182"/>
        <v>360</v>
      </c>
      <c r="M374">
        <f t="shared" si="197"/>
        <v>0</v>
      </c>
      <c r="N374">
        <f t="shared" si="204"/>
        <v>2</v>
      </c>
      <c r="O374">
        <f t="shared" si="183"/>
        <v>300</v>
      </c>
      <c r="P374">
        <f t="shared" si="205"/>
        <v>0</v>
      </c>
      <c r="Q374">
        <f t="shared" si="206"/>
        <v>2</v>
      </c>
      <c r="R374">
        <f t="shared" si="184"/>
        <v>300</v>
      </c>
      <c r="S374">
        <f t="shared" si="207"/>
        <v>0</v>
      </c>
      <c r="T374">
        <f t="shared" si="208"/>
        <v>-1</v>
      </c>
      <c r="U374">
        <f t="shared" si="198"/>
        <v>1</v>
      </c>
      <c r="V374">
        <f t="shared" si="199"/>
        <v>1</v>
      </c>
      <c r="W374">
        <f t="shared" si="185"/>
        <v>0</v>
      </c>
      <c r="X374">
        <f t="shared" si="209"/>
        <v>0</v>
      </c>
      <c r="Y374">
        <f t="shared" si="186"/>
        <v>0</v>
      </c>
      <c r="Z374">
        <f t="shared" si="187"/>
        <v>0</v>
      </c>
      <c r="AA374">
        <f t="shared" si="188"/>
        <v>0</v>
      </c>
      <c r="AB374" s="29">
        <f t="shared" si="189"/>
        <v>0</v>
      </c>
      <c r="AC374" s="25">
        <f t="shared" si="190"/>
        <v>0</v>
      </c>
      <c r="AD374" s="29">
        <f t="shared" si="191"/>
        <v>0</v>
      </c>
      <c r="AE374" s="25">
        <f t="shared" si="200"/>
        <v>0</v>
      </c>
      <c r="AF374" s="25">
        <f t="shared" si="192"/>
        <v>0</v>
      </c>
      <c r="AG374" s="25">
        <f>IF($A374&lt;0,0,IF(instatk="bs",(1.5+talSCallInstBon)*(MHavg+(ap+Z374-$Z$1)/APtoDPS*MHnorm+170)*(1+sa*0.1+0.04*opp+0.02*agg+Slayer4value-1),IF(instatk="hemo",Slayer4value*(MHavg+(ap+Z374-$Z$1)/APtoDPS*MHnorm)*(1.1+talSCallInstBon)+420*(1+raidcrit)*debuffon,IF(instatk="ss",(MHavg+(ap+Z374-$Z$1)/APtoDPS*MHnorm+98)*(1+sa*0.1+0.02*agg+Slayer4value-1),IF(instatk="v",(ohavg+(ap+Z374-$Z$1)/APtoDPS*OHnorm)*(1+sa*0.1)*(0.5+0.05*dws)+avipdam,Slayer4value*((1+0.04*opp)*(MHavg+101+(ap+Z374-$Z$1)/APtoDPS*MHnorm+(0.5+0.05*dws)*(ohavg+(ap+Z374-$Z$1)/APtoDPS*OHnorm)+101*(1+0.1*dws))*(1+0.5*IF(Talents!$O$18="Yes",1,0)))))))*(instactualhit+(1+((leth*0.06+2)-1)*(cfact-1))*instactualcrit)*fwfactor*AB374*instsec*(AF374/$AN$45))</f>
        <v>0</v>
      </c>
      <c r="AH374" s="25">
        <f t="shared" si="210"/>
        <v>0</v>
      </c>
      <c r="AI374" s="25">
        <f t="shared" si="211"/>
        <v>0</v>
      </c>
      <c r="AJ374" s="25">
        <f t="shared" si="212"/>
        <v>0</v>
      </c>
    </row>
    <row r="375" spans="1:36">
      <c r="A375">
        <f t="shared" si="193"/>
        <v>-1</v>
      </c>
      <c r="B375">
        <f t="shared" si="201"/>
        <v>6</v>
      </c>
      <c r="C375">
        <f t="shared" si="179"/>
        <v>300</v>
      </c>
      <c r="D375">
        <f t="shared" si="194"/>
        <v>0</v>
      </c>
      <c r="E375">
        <f t="shared" si="213"/>
        <v>5</v>
      </c>
      <c r="F375">
        <f t="shared" si="180"/>
        <v>360</v>
      </c>
      <c r="G375">
        <f t="shared" si="195"/>
        <v>0</v>
      </c>
      <c r="H375">
        <f t="shared" si="202"/>
        <v>4</v>
      </c>
      <c r="I375">
        <f t="shared" si="181"/>
        <v>360</v>
      </c>
      <c r="J375">
        <f t="shared" si="196"/>
        <v>0</v>
      </c>
      <c r="K375">
        <f t="shared" si="203"/>
        <v>3</v>
      </c>
      <c r="L375">
        <f t="shared" si="182"/>
        <v>360</v>
      </c>
      <c r="M375">
        <f t="shared" si="197"/>
        <v>0</v>
      </c>
      <c r="N375">
        <f t="shared" si="204"/>
        <v>2</v>
      </c>
      <c r="O375">
        <f t="shared" si="183"/>
        <v>300</v>
      </c>
      <c r="P375">
        <f t="shared" si="205"/>
        <v>0</v>
      </c>
      <c r="Q375">
        <f t="shared" si="206"/>
        <v>2</v>
      </c>
      <c r="R375">
        <f t="shared" si="184"/>
        <v>300</v>
      </c>
      <c r="S375">
        <f t="shared" si="207"/>
        <v>0</v>
      </c>
      <c r="T375">
        <f t="shared" si="208"/>
        <v>-1</v>
      </c>
      <c r="U375">
        <f t="shared" si="198"/>
        <v>1</v>
      </c>
      <c r="V375">
        <f t="shared" si="199"/>
        <v>1</v>
      </c>
      <c r="W375">
        <f t="shared" si="185"/>
        <v>0</v>
      </c>
      <c r="X375">
        <f t="shared" si="209"/>
        <v>0</v>
      </c>
      <c r="Y375">
        <f t="shared" si="186"/>
        <v>0</v>
      </c>
      <c r="Z375">
        <f t="shared" si="187"/>
        <v>0</v>
      </c>
      <c r="AA375">
        <f t="shared" si="188"/>
        <v>0</v>
      </c>
      <c r="AB375" s="29">
        <f t="shared" si="189"/>
        <v>0</v>
      </c>
      <c r="AC375" s="25">
        <f t="shared" si="190"/>
        <v>0</v>
      </c>
      <c r="AD375" s="29">
        <f t="shared" si="191"/>
        <v>0</v>
      </c>
      <c r="AE375" s="25">
        <f t="shared" si="200"/>
        <v>0</v>
      </c>
      <c r="AF375" s="25">
        <f t="shared" si="192"/>
        <v>0</v>
      </c>
      <c r="AG375" s="25">
        <f>IF($A375&lt;0,0,IF(instatk="bs",(1.5+talSCallInstBon)*(MHavg+(ap+Z375-$Z$1)/APtoDPS*MHnorm+170)*(1+sa*0.1+0.04*opp+0.02*agg+Slayer4value-1),IF(instatk="hemo",Slayer4value*(MHavg+(ap+Z375-$Z$1)/APtoDPS*MHnorm)*(1.1+talSCallInstBon)+420*(1+raidcrit)*debuffon,IF(instatk="ss",(MHavg+(ap+Z375-$Z$1)/APtoDPS*MHnorm+98)*(1+sa*0.1+0.02*agg+Slayer4value-1),IF(instatk="v",(ohavg+(ap+Z375-$Z$1)/APtoDPS*OHnorm)*(1+sa*0.1)*(0.5+0.05*dws)+avipdam,Slayer4value*((1+0.04*opp)*(MHavg+101+(ap+Z375-$Z$1)/APtoDPS*MHnorm+(0.5+0.05*dws)*(ohavg+(ap+Z375-$Z$1)/APtoDPS*OHnorm)+101*(1+0.1*dws))*(1+0.5*IF(Talents!$O$18="Yes",1,0)))))))*(instactualhit+(1+((leth*0.06+2)-1)*(cfact-1))*instactualcrit)*fwfactor*AB375*instsec*(AF375/$AN$45))</f>
        <v>0</v>
      </c>
      <c r="AH375" s="25">
        <f t="shared" si="210"/>
        <v>0</v>
      </c>
      <c r="AI375" s="25">
        <f t="shared" si="211"/>
        <v>0</v>
      </c>
      <c r="AJ375" s="25">
        <f t="shared" si="212"/>
        <v>0</v>
      </c>
    </row>
    <row r="376" spans="1:36">
      <c r="A376">
        <f t="shared" si="193"/>
        <v>-1</v>
      </c>
      <c r="B376">
        <f t="shared" si="201"/>
        <v>6</v>
      </c>
      <c r="C376">
        <f t="shared" si="179"/>
        <v>300</v>
      </c>
      <c r="D376">
        <f t="shared" si="194"/>
        <v>0</v>
      </c>
      <c r="E376">
        <f t="shared" si="213"/>
        <v>5</v>
      </c>
      <c r="F376">
        <f t="shared" si="180"/>
        <v>360</v>
      </c>
      <c r="G376">
        <f t="shared" si="195"/>
        <v>0</v>
      </c>
      <c r="H376">
        <f t="shared" si="202"/>
        <v>4</v>
      </c>
      <c r="I376">
        <f t="shared" si="181"/>
        <v>360</v>
      </c>
      <c r="J376">
        <f t="shared" si="196"/>
        <v>0</v>
      </c>
      <c r="K376">
        <f t="shared" si="203"/>
        <v>3</v>
      </c>
      <c r="L376">
        <f t="shared" si="182"/>
        <v>360</v>
      </c>
      <c r="M376">
        <f t="shared" si="197"/>
        <v>0</v>
      </c>
      <c r="N376">
        <f t="shared" si="204"/>
        <v>2</v>
      </c>
      <c r="O376">
        <f t="shared" si="183"/>
        <v>300</v>
      </c>
      <c r="P376">
        <f t="shared" si="205"/>
        <v>0</v>
      </c>
      <c r="Q376">
        <f t="shared" si="206"/>
        <v>2</v>
      </c>
      <c r="R376">
        <f t="shared" si="184"/>
        <v>300</v>
      </c>
      <c r="S376">
        <f t="shared" si="207"/>
        <v>0</v>
      </c>
      <c r="T376">
        <f t="shared" si="208"/>
        <v>-1</v>
      </c>
      <c r="U376">
        <f t="shared" si="198"/>
        <v>1</v>
      </c>
      <c r="V376">
        <f t="shared" si="199"/>
        <v>1</v>
      </c>
      <c r="W376">
        <f t="shared" si="185"/>
        <v>0</v>
      </c>
      <c r="X376">
        <f t="shared" si="209"/>
        <v>0</v>
      </c>
      <c r="Y376">
        <f t="shared" si="186"/>
        <v>0</v>
      </c>
      <c r="Z376">
        <f t="shared" si="187"/>
        <v>0</v>
      </c>
      <c r="AA376">
        <f t="shared" si="188"/>
        <v>0</v>
      </c>
      <c r="AB376" s="29">
        <f t="shared" si="189"/>
        <v>0</v>
      </c>
      <c r="AC376" s="25">
        <f t="shared" si="190"/>
        <v>0</v>
      </c>
      <c r="AD376" s="29">
        <f t="shared" si="191"/>
        <v>0</v>
      </c>
      <c r="AE376" s="25">
        <f t="shared" si="200"/>
        <v>0</v>
      </c>
      <c r="AF376" s="25">
        <f t="shared" si="192"/>
        <v>0</v>
      </c>
      <c r="AG376" s="25">
        <f>IF($A376&lt;0,0,IF(instatk="bs",(1.5+talSCallInstBon)*(MHavg+(ap+Z376-$Z$1)/APtoDPS*MHnorm+170)*(1+sa*0.1+0.04*opp+0.02*agg+Slayer4value-1),IF(instatk="hemo",Slayer4value*(MHavg+(ap+Z376-$Z$1)/APtoDPS*MHnorm)*(1.1+talSCallInstBon)+420*(1+raidcrit)*debuffon,IF(instatk="ss",(MHavg+(ap+Z376-$Z$1)/APtoDPS*MHnorm+98)*(1+sa*0.1+0.02*agg+Slayer4value-1),IF(instatk="v",(ohavg+(ap+Z376-$Z$1)/APtoDPS*OHnorm)*(1+sa*0.1)*(0.5+0.05*dws)+avipdam,Slayer4value*((1+0.04*opp)*(MHavg+101+(ap+Z376-$Z$1)/APtoDPS*MHnorm+(0.5+0.05*dws)*(ohavg+(ap+Z376-$Z$1)/APtoDPS*OHnorm)+101*(1+0.1*dws))*(1+0.5*IF(Talents!$O$18="Yes",1,0)))))))*(instactualhit+(1+((leth*0.06+2)-1)*(cfact-1))*instactualcrit)*fwfactor*AB376*instsec*(AF376/$AN$45))</f>
        <v>0</v>
      </c>
      <c r="AH376" s="25">
        <f t="shared" si="210"/>
        <v>0</v>
      </c>
      <c r="AI376" s="25">
        <f t="shared" si="211"/>
        <v>0</v>
      </c>
      <c r="AJ376" s="25">
        <f t="shared" si="212"/>
        <v>0</v>
      </c>
    </row>
    <row r="377" spans="1:36">
      <c r="A377">
        <f t="shared" si="193"/>
        <v>-1</v>
      </c>
      <c r="B377">
        <f t="shared" si="201"/>
        <v>6</v>
      </c>
      <c r="C377">
        <f t="shared" si="179"/>
        <v>300</v>
      </c>
      <c r="D377">
        <f t="shared" si="194"/>
        <v>0</v>
      </c>
      <c r="E377">
        <f t="shared" si="213"/>
        <v>5</v>
      </c>
      <c r="F377">
        <f t="shared" si="180"/>
        <v>360</v>
      </c>
      <c r="G377">
        <f t="shared" si="195"/>
        <v>0</v>
      </c>
      <c r="H377">
        <f t="shared" si="202"/>
        <v>4</v>
      </c>
      <c r="I377">
        <f t="shared" si="181"/>
        <v>360</v>
      </c>
      <c r="J377">
        <f t="shared" si="196"/>
        <v>0</v>
      </c>
      <c r="K377">
        <f t="shared" si="203"/>
        <v>3</v>
      </c>
      <c r="L377">
        <f t="shared" si="182"/>
        <v>360</v>
      </c>
      <c r="M377">
        <f t="shared" si="197"/>
        <v>0</v>
      </c>
      <c r="N377">
        <f t="shared" si="204"/>
        <v>2</v>
      </c>
      <c r="O377">
        <f t="shared" si="183"/>
        <v>300</v>
      </c>
      <c r="P377">
        <f t="shared" si="205"/>
        <v>0</v>
      </c>
      <c r="Q377">
        <f t="shared" si="206"/>
        <v>2</v>
      </c>
      <c r="R377">
        <f t="shared" si="184"/>
        <v>300</v>
      </c>
      <c r="S377">
        <f t="shared" si="207"/>
        <v>0</v>
      </c>
      <c r="T377">
        <f t="shared" si="208"/>
        <v>-1</v>
      </c>
      <c r="U377">
        <f t="shared" si="198"/>
        <v>1</v>
      </c>
      <c r="V377">
        <f t="shared" si="199"/>
        <v>1</v>
      </c>
      <c r="W377">
        <f t="shared" si="185"/>
        <v>0</v>
      </c>
      <c r="X377">
        <f t="shared" si="209"/>
        <v>0</v>
      </c>
      <c r="Y377">
        <f t="shared" si="186"/>
        <v>0</v>
      </c>
      <c r="Z377">
        <f t="shared" si="187"/>
        <v>0</v>
      </c>
      <c r="AA377">
        <f t="shared" si="188"/>
        <v>0</v>
      </c>
      <c r="AB377" s="29">
        <f t="shared" si="189"/>
        <v>0</v>
      </c>
      <c r="AC377" s="25">
        <f t="shared" si="190"/>
        <v>0</v>
      </c>
      <c r="AD377" s="29">
        <f t="shared" si="191"/>
        <v>0</v>
      </c>
      <c r="AE377" s="25">
        <f t="shared" si="200"/>
        <v>0</v>
      </c>
      <c r="AF377" s="25">
        <f t="shared" si="192"/>
        <v>0</v>
      </c>
      <c r="AG377" s="25">
        <f>IF($A377&lt;0,0,IF(instatk="bs",(1.5+talSCallInstBon)*(MHavg+(ap+Z377-$Z$1)/APtoDPS*MHnorm+170)*(1+sa*0.1+0.04*opp+0.02*agg+Slayer4value-1),IF(instatk="hemo",Slayer4value*(MHavg+(ap+Z377-$Z$1)/APtoDPS*MHnorm)*(1.1+talSCallInstBon)+420*(1+raidcrit)*debuffon,IF(instatk="ss",(MHavg+(ap+Z377-$Z$1)/APtoDPS*MHnorm+98)*(1+sa*0.1+0.02*agg+Slayer4value-1),IF(instatk="v",(ohavg+(ap+Z377-$Z$1)/APtoDPS*OHnorm)*(1+sa*0.1)*(0.5+0.05*dws)+avipdam,Slayer4value*((1+0.04*opp)*(MHavg+101+(ap+Z377-$Z$1)/APtoDPS*MHnorm+(0.5+0.05*dws)*(ohavg+(ap+Z377-$Z$1)/APtoDPS*OHnorm)+101*(1+0.1*dws))*(1+0.5*IF(Talents!$O$18="Yes",1,0)))))))*(instactualhit+(1+((leth*0.06+2)-1)*(cfact-1))*instactualcrit)*fwfactor*AB377*instsec*(AF377/$AN$45))</f>
        <v>0</v>
      </c>
      <c r="AH377" s="25">
        <f t="shared" si="210"/>
        <v>0</v>
      </c>
      <c r="AI377" s="25">
        <f t="shared" si="211"/>
        <v>0</v>
      </c>
      <c r="AJ377" s="25">
        <f t="shared" si="212"/>
        <v>0</v>
      </c>
    </row>
    <row r="378" spans="1:36">
      <c r="A378">
        <f t="shared" si="193"/>
        <v>-1</v>
      </c>
      <c r="B378">
        <f t="shared" si="201"/>
        <v>6</v>
      </c>
      <c r="C378">
        <f t="shared" si="179"/>
        <v>300</v>
      </c>
      <c r="D378">
        <f t="shared" si="194"/>
        <v>0</v>
      </c>
      <c r="E378">
        <f t="shared" si="213"/>
        <v>5</v>
      </c>
      <c r="F378">
        <f t="shared" si="180"/>
        <v>360</v>
      </c>
      <c r="G378">
        <f t="shared" si="195"/>
        <v>0</v>
      </c>
      <c r="H378">
        <f t="shared" si="202"/>
        <v>4</v>
      </c>
      <c r="I378">
        <f t="shared" si="181"/>
        <v>360</v>
      </c>
      <c r="J378">
        <f t="shared" si="196"/>
        <v>0</v>
      </c>
      <c r="K378">
        <f t="shared" si="203"/>
        <v>3</v>
      </c>
      <c r="L378">
        <f t="shared" si="182"/>
        <v>360</v>
      </c>
      <c r="M378">
        <f t="shared" si="197"/>
        <v>0</v>
      </c>
      <c r="N378">
        <f t="shared" si="204"/>
        <v>2</v>
      </c>
      <c r="O378">
        <f t="shared" si="183"/>
        <v>300</v>
      </c>
      <c r="P378">
        <f t="shared" si="205"/>
        <v>0</v>
      </c>
      <c r="Q378">
        <f t="shared" si="206"/>
        <v>2</v>
      </c>
      <c r="R378">
        <f t="shared" si="184"/>
        <v>300</v>
      </c>
      <c r="S378">
        <f t="shared" si="207"/>
        <v>0</v>
      </c>
      <c r="T378">
        <f t="shared" si="208"/>
        <v>-1</v>
      </c>
      <c r="U378">
        <f t="shared" si="198"/>
        <v>1</v>
      </c>
      <c r="V378">
        <f t="shared" si="199"/>
        <v>1</v>
      </c>
      <c r="W378">
        <f t="shared" si="185"/>
        <v>0</v>
      </c>
      <c r="X378">
        <f t="shared" si="209"/>
        <v>0</v>
      </c>
      <c r="Y378">
        <f t="shared" si="186"/>
        <v>0</v>
      </c>
      <c r="Z378">
        <f t="shared" si="187"/>
        <v>0</v>
      </c>
      <c r="AA378">
        <f t="shared" si="188"/>
        <v>0</v>
      </c>
      <c r="AB378" s="29">
        <f t="shared" si="189"/>
        <v>0</v>
      </c>
      <c r="AC378" s="25">
        <f t="shared" si="190"/>
        <v>0</v>
      </c>
      <c r="AD378" s="29">
        <f t="shared" si="191"/>
        <v>0</v>
      </c>
      <c r="AE378" s="25">
        <f t="shared" si="200"/>
        <v>0</v>
      </c>
      <c r="AF378" s="25">
        <f t="shared" si="192"/>
        <v>0</v>
      </c>
      <c r="AG378" s="25">
        <f>IF($A378&lt;0,0,IF(instatk="bs",(1.5+talSCallInstBon)*(MHavg+(ap+Z378-$Z$1)/APtoDPS*MHnorm+170)*(1+sa*0.1+0.04*opp+0.02*agg+Slayer4value-1),IF(instatk="hemo",Slayer4value*(MHavg+(ap+Z378-$Z$1)/APtoDPS*MHnorm)*(1.1+talSCallInstBon)+420*(1+raidcrit)*debuffon,IF(instatk="ss",(MHavg+(ap+Z378-$Z$1)/APtoDPS*MHnorm+98)*(1+sa*0.1+0.02*agg+Slayer4value-1),IF(instatk="v",(ohavg+(ap+Z378-$Z$1)/APtoDPS*OHnorm)*(1+sa*0.1)*(0.5+0.05*dws)+avipdam,Slayer4value*((1+0.04*opp)*(MHavg+101+(ap+Z378-$Z$1)/APtoDPS*MHnorm+(0.5+0.05*dws)*(ohavg+(ap+Z378-$Z$1)/APtoDPS*OHnorm)+101*(1+0.1*dws))*(1+0.5*IF(Talents!$O$18="Yes",1,0)))))))*(instactualhit+(1+((leth*0.06+2)-1)*(cfact-1))*instactualcrit)*fwfactor*AB378*instsec*(AF378/$AN$45))</f>
        <v>0</v>
      </c>
      <c r="AH378" s="25">
        <f t="shared" si="210"/>
        <v>0</v>
      </c>
      <c r="AI378" s="25">
        <f t="shared" si="211"/>
        <v>0</v>
      </c>
      <c r="AJ378" s="25">
        <f t="shared" si="212"/>
        <v>0</v>
      </c>
    </row>
    <row r="379" spans="1:36">
      <c r="A379">
        <f t="shared" si="193"/>
        <v>-1</v>
      </c>
      <c r="B379">
        <f t="shared" si="201"/>
        <v>6</v>
      </c>
      <c r="C379">
        <f t="shared" si="179"/>
        <v>300</v>
      </c>
      <c r="D379">
        <f t="shared" si="194"/>
        <v>0</v>
      </c>
      <c r="E379">
        <f t="shared" si="213"/>
        <v>5</v>
      </c>
      <c r="F379">
        <f t="shared" si="180"/>
        <v>360</v>
      </c>
      <c r="G379">
        <f t="shared" si="195"/>
        <v>0</v>
      </c>
      <c r="H379">
        <f t="shared" si="202"/>
        <v>4</v>
      </c>
      <c r="I379">
        <f t="shared" si="181"/>
        <v>360</v>
      </c>
      <c r="J379">
        <f t="shared" si="196"/>
        <v>0</v>
      </c>
      <c r="K379">
        <f t="shared" si="203"/>
        <v>3</v>
      </c>
      <c r="L379">
        <f t="shared" si="182"/>
        <v>360</v>
      </c>
      <c r="M379">
        <f t="shared" si="197"/>
        <v>0</v>
      </c>
      <c r="N379">
        <f t="shared" si="204"/>
        <v>2</v>
      </c>
      <c r="O379">
        <f t="shared" si="183"/>
        <v>300</v>
      </c>
      <c r="P379">
        <f t="shared" si="205"/>
        <v>0</v>
      </c>
      <c r="Q379">
        <f t="shared" si="206"/>
        <v>2</v>
      </c>
      <c r="R379">
        <f t="shared" si="184"/>
        <v>300</v>
      </c>
      <c r="S379">
        <f t="shared" si="207"/>
        <v>0</v>
      </c>
      <c r="T379">
        <f t="shared" si="208"/>
        <v>-1</v>
      </c>
      <c r="U379">
        <f t="shared" si="198"/>
        <v>1</v>
      </c>
      <c r="V379">
        <f t="shared" si="199"/>
        <v>1</v>
      </c>
      <c r="W379">
        <f t="shared" si="185"/>
        <v>0</v>
      </c>
      <c r="X379">
        <f t="shared" si="209"/>
        <v>0</v>
      </c>
      <c r="Y379">
        <f t="shared" si="186"/>
        <v>0</v>
      </c>
      <c r="Z379">
        <f t="shared" si="187"/>
        <v>0</v>
      </c>
      <c r="AA379">
        <f t="shared" si="188"/>
        <v>0</v>
      </c>
      <c r="AB379" s="29">
        <f t="shared" si="189"/>
        <v>0</v>
      </c>
      <c r="AC379" s="25">
        <f t="shared" si="190"/>
        <v>0</v>
      </c>
      <c r="AD379" s="29">
        <f t="shared" si="191"/>
        <v>0</v>
      </c>
      <c r="AE379" s="25">
        <f t="shared" si="200"/>
        <v>0</v>
      </c>
      <c r="AF379" s="25">
        <f t="shared" si="192"/>
        <v>0</v>
      </c>
      <c r="AG379" s="25">
        <f>IF($A379&lt;0,0,IF(instatk="bs",(1.5+talSCallInstBon)*(MHavg+(ap+Z379-$Z$1)/APtoDPS*MHnorm+170)*(1+sa*0.1+0.04*opp+0.02*agg+Slayer4value-1),IF(instatk="hemo",Slayer4value*(MHavg+(ap+Z379-$Z$1)/APtoDPS*MHnorm)*(1.1+talSCallInstBon)+420*(1+raidcrit)*debuffon,IF(instatk="ss",(MHavg+(ap+Z379-$Z$1)/APtoDPS*MHnorm+98)*(1+sa*0.1+0.02*agg+Slayer4value-1),IF(instatk="v",(ohavg+(ap+Z379-$Z$1)/APtoDPS*OHnorm)*(1+sa*0.1)*(0.5+0.05*dws)+avipdam,Slayer4value*((1+0.04*opp)*(MHavg+101+(ap+Z379-$Z$1)/APtoDPS*MHnorm+(0.5+0.05*dws)*(ohavg+(ap+Z379-$Z$1)/APtoDPS*OHnorm)+101*(1+0.1*dws))*(1+0.5*IF(Talents!$O$18="Yes",1,0)))))))*(instactualhit+(1+((leth*0.06+2)-1)*(cfact-1))*instactualcrit)*fwfactor*AB379*instsec*(AF379/$AN$45))</f>
        <v>0</v>
      </c>
      <c r="AH379" s="25">
        <f t="shared" si="210"/>
        <v>0</v>
      </c>
      <c r="AI379" s="25">
        <f t="shared" si="211"/>
        <v>0</v>
      </c>
      <c r="AJ379" s="25">
        <f t="shared" si="212"/>
        <v>0</v>
      </c>
    </row>
    <row r="380" spans="1:36">
      <c r="A380">
        <f t="shared" si="193"/>
        <v>-1</v>
      </c>
      <c r="B380">
        <f t="shared" si="201"/>
        <v>6</v>
      </c>
      <c r="C380">
        <f t="shared" si="179"/>
        <v>300</v>
      </c>
      <c r="D380">
        <f t="shared" si="194"/>
        <v>0</v>
      </c>
      <c r="E380">
        <f t="shared" si="213"/>
        <v>5</v>
      </c>
      <c r="F380">
        <f t="shared" si="180"/>
        <v>360</v>
      </c>
      <c r="G380">
        <f t="shared" si="195"/>
        <v>0</v>
      </c>
      <c r="H380">
        <f t="shared" si="202"/>
        <v>4</v>
      </c>
      <c r="I380">
        <f t="shared" si="181"/>
        <v>360</v>
      </c>
      <c r="J380">
        <f t="shared" si="196"/>
        <v>0</v>
      </c>
      <c r="K380">
        <f t="shared" si="203"/>
        <v>3</v>
      </c>
      <c r="L380">
        <f t="shared" si="182"/>
        <v>360</v>
      </c>
      <c r="M380">
        <f t="shared" si="197"/>
        <v>0</v>
      </c>
      <c r="N380">
        <f t="shared" si="204"/>
        <v>2</v>
      </c>
      <c r="O380">
        <f t="shared" si="183"/>
        <v>300</v>
      </c>
      <c r="P380">
        <f t="shared" si="205"/>
        <v>0</v>
      </c>
      <c r="Q380">
        <f t="shared" si="206"/>
        <v>2</v>
      </c>
      <c r="R380">
        <f t="shared" si="184"/>
        <v>300</v>
      </c>
      <c r="S380">
        <f t="shared" si="207"/>
        <v>0</v>
      </c>
      <c r="T380">
        <f t="shared" si="208"/>
        <v>-1</v>
      </c>
      <c r="U380">
        <f t="shared" si="198"/>
        <v>1</v>
      </c>
      <c r="V380">
        <f t="shared" si="199"/>
        <v>1</v>
      </c>
      <c r="W380">
        <f t="shared" si="185"/>
        <v>0</v>
      </c>
      <c r="X380">
        <f t="shared" si="209"/>
        <v>0</v>
      </c>
      <c r="Y380">
        <f t="shared" si="186"/>
        <v>0</v>
      </c>
      <c r="Z380">
        <f t="shared" si="187"/>
        <v>0</v>
      </c>
      <c r="AA380">
        <f t="shared" si="188"/>
        <v>0</v>
      </c>
      <c r="AB380" s="29">
        <f t="shared" si="189"/>
        <v>0</v>
      </c>
      <c r="AC380" s="25">
        <f t="shared" si="190"/>
        <v>0</v>
      </c>
      <c r="AD380" s="29">
        <f t="shared" si="191"/>
        <v>0</v>
      </c>
      <c r="AE380" s="25">
        <f t="shared" si="200"/>
        <v>0</v>
      </c>
      <c r="AF380" s="25">
        <f t="shared" si="192"/>
        <v>0</v>
      </c>
      <c r="AG380" s="25">
        <f>IF($A380&lt;0,0,IF(instatk="bs",(1.5+talSCallInstBon)*(MHavg+(ap+Z380-$Z$1)/APtoDPS*MHnorm+170)*(1+sa*0.1+0.04*opp+0.02*agg+Slayer4value-1),IF(instatk="hemo",Slayer4value*(MHavg+(ap+Z380-$Z$1)/APtoDPS*MHnorm)*(1.1+talSCallInstBon)+420*(1+raidcrit)*debuffon,IF(instatk="ss",(MHavg+(ap+Z380-$Z$1)/APtoDPS*MHnorm+98)*(1+sa*0.1+0.02*agg+Slayer4value-1),IF(instatk="v",(ohavg+(ap+Z380-$Z$1)/APtoDPS*OHnorm)*(1+sa*0.1)*(0.5+0.05*dws)+avipdam,Slayer4value*((1+0.04*opp)*(MHavg+101+(ap+Z380-$Z$1)/APtoDPS*MHnorm+(0.5+0.05*dws)*(ohavg+(ap+Z380-$Z$1)/APtoDPS*OHnorm)+101*(1+0.1*dws))*(1+0.5*IF(Talents!$O$18="Yes",1,0)))))))*(instactualhit+(1+((leth*0.06+2)-1)*(cfact-1))*instactualcrit)*fwfactor*AB380*instsec*(AF380/$AN$45))</f>
        <v>0</v>
      </c>
      <c r="AH380" s="25">
        <f t="shared" si="210"/>
        <v>0</v>
      </c>
      <c r="AI380" s="25">
        <f t="shared" si="211"/>
        <v>0</v>
      </c>
      <c r="AJ380" s="25">
        <f t="shared" si="212"/>
        <v>0</v>
      </c>
    </row>
    <row r="381" spans="1:36">
      <c r="A381">
        <f t="shared" si="193"/>
        <v>-1</v>
      </c>
      <c r="B381">
        <f t="shared" si="201"/>
        <v>6</v>
      </c>
      <c r="C381">
        <f t="shared" si="179"/>
        <v>300</v>
      </c>
      <c r="D381">
        <f t="shared" si="194"/>
        <v>0</v>
      </c>
      <c r="E381">
        <f t="shared" si="213"/>
        <v>5</v>
      </c>
      <c r="F381">
        <f t="shared" si="180"/>
        <v>360</v>
      </c>
      <c r="G381">
        <f t="shared" si="195"/>
        <v>0</v>
      </c>
      <c r="H381">
        <f t="shared" si="202"/>
        <v>4</v>
      </c>
      <c r="I381">
        <f t="shared" si="181"/>
        <v>360</v>
      </c>
      <c r="J381">
        <f t="shared" si="196"/>
        <v>0</v>
      </c>
      <c r="K381">
        <f t="shared" si="203"/>
        <v>3</v>
      </c>
      <c r="L381">
        <f t="shared" si="182"/>
        <v>360</v>
      </c>
      <c r="M381">
        <f t="shared" si="197"/>
        <v>0</v>
      </c>
      <c r="N381">
        <f t="shared" si="204"/>
        <v>2</v>
      </c>
      <c r="O381">
        <f t="shared" si="183"/>
        <v>300</v>
      </c>
      <c r="P381">
        <f t="shared" si="205"/>
        <v>0</v>
      </c>
      <c r="Q381">
        <f t="shared" si="206"/>
        <v>2</v>
      </c>
      <c r="R381">
        <f t="shared" si="184"/>
        <v>300</v>
      </c>
      <c r="S381">
        <f t="shared" si="207"/>
        <v>0</v>
      </c>
      <c r="T381">
        <f t="shared" si="208"/>
        <v>-1</v>
      </c>
      <c r="U381">
        <f t="shared" si="198"/>
        <v>1</v>
      </c>
      <c r="V381">
        <f t="shared" si="199"/>
        <v>1</v>
      </c>
      <c r="W381">
        <f t="shared" si="185"/>
        <v>0</v>
      </c>
      <c r="X381">
        <f t="shared" si="209"/>
        <v>0</v>
      </c>
      <c r="Y381">
        <f t="shared" si="186"/>
        <v>0</v>
      </c>
      <c r="Z381">
        <f t="shared" si="187"/>
        <v>0</v>
      </c>
      <c r="AA381">
        <f t="shared" si="188"/>
        <v>0</v>
      </c>
      <c r="AB381" s="29">
        <f t="shared" si="189"/>
        <v>0</v>
      </c>
      <c r="AC381" s="25">
        <f t="shared" si="190"/>
        <v>0</v>
      </c>
      <c r="AD381" s="29">
        <f t="shared" si="191"/>
        <v>0</v>
      </c>
      <c r="AE381" s="25">
        <f t="shared" si="200"/>
        <v>0</v>
      </c>
      <c r="AF381" s="25">
        <f t="shared" si="192"/>
        <v>0</v>
      </c>
      <c r="AG381" s="25">
        <f>IF($A381&lt;0,0,IF(instatk="bs",(1.5+talSCallInstBon)*(MHavg+(ap+Z381-$Z$1)/APtoDPS*MHnorm+170)*(1+sa*0.1+0.04*opp+0.02*agg+Slayer4value-1),IF(instatk="hemo",Slayer4value*(MHavg+(ap+Z381-$Z$1)/APtoDPS*MHnorm)*(1.1+talSCallInstBon)+420*(1+raidcrit)*debuffon,IF(instatk="ss",(MHavg+(ap+Z381-$Z$1)/APtoDPS*MHnorm+98)*(1+sa*0.1+0.02*agg+Slayer4value-1),IF(instatk="v",(ohavg+(ap+Z381-$Z$1)/APtoDPS*OHnorm)*(1+sa*0.1)*(0.5+0.05*dws)+avipdam,Slayer4value*((1+0.04*opp)*(MHavg+101+(ap+Z381-$Z$1)/APtoDPS*MHnorm+(0.5+0.05*dws)*(ohavg+(ap+Z381-$Z$1)/APtoDPS*OHnorm)+101*(1+0.1*dws))*(1+0.5*IF(Talents!$O$18="Yes",1,0)))))))*(instactualhit+(1+((leth*0.06+2)-1)*(cfact-1))*instactualcrit)*fwfactor*AB381*instsec*(AF381/$AN$45))</f>
        <v>0</v>
      </c>
      <c r="AH381" s="25">
        <f t="shared" si="210"/>
        <v>0</v>
      </c>
      <c r="AI381" s="25">
        <f t="shared" si="211"/>
        <v>0</v>
      </c>
      <c r="AJ381" s="25">
        <f t="shared" si="212"/>
        <v>0</v>
      </c>
    </row>
    <row r="382" spans="1:36">
      <c r="A382">
        <f t="shared" si="193"/>
        <v>-1</v>
      </c>
      <c r="B382">
        <f t="shared" si="201"/>
        <v>6</v>
      </c>
      <c r="C382">
        <f t="shared" si="179"/>
        <v>300</v>
      </c>
      <c r="D382">
        <f t="shared" si="194"/>
        <v>0</v>
      </c>
      <c r="E382">
        <f t="shared" si="213"/>
        <v>5</v>
      </c>
      <c r="F382">
        <f t="shared" si="180"/>
        <v>360</v>
      </c>
      <c r="G382">
        <f t="shared" si="195"/>
        <v>0</v>
      </c>
      <c r="H382">
        <f t="shared" si="202"/>
        <v>4</v>
      </c>
      <c r="I382">
        <f t="shared" si="181"/>
        <v>360</v>
      </c>
      <c r="J382">
        <f t="shared" si="196"/>
        <v>0</v>
      </c>
      <c r="K382">
        <f t="shared" si="203"/>
        <v>3</v>
      </c>
      <c r="L382">
        <f t="shared" si="182"/>
        <v>360</v>
      </c>
      <c r="M382">
        <f t="shared" si="197"/>
        <v>0</v>
      </c>
      <c r="N382">
        <f t="shared" si="204"/>
        <v>2</v>
      </c>
      <c r="O382">
        <f t="shared" si="183"/>
        <v>300</v>
      </c>
      <c r="P382">
        <f t="shared" si="205"/>
        <v>0</v>
      </c>
      <c r="Q382">
        <f t="shared" si="206"/>
        <v>2</v>
      </c>
      <c r="R382">
        <f t="shared" si="184"/>
        <v>300</v>
      </c>
      <c r="S382">
        <f t="shared" si="207"/>
        <v>0</v>
      </c>
      <c r="T382">
        <f t="shared" si="208"/>
        <v>-1</v>
      </c>
      <c r="U382">
        <f t="shared" si="198"/>
        <v>1</v>
      </c>
      <c r="V382">
        <f t="shared" si="199"/>
        <v>1</v>
      </c>
      <c r="W382">
        <f t="shared" si="185"/>
        <v>0</v>
      </c>
      <c r="X382">
        <f t="shared" si="209"/>
        <v>0</v>
      </c>
      <c r="Y382">
        <f t="shared" si="186"/>
        <v>0</v>
      </c>
      <c r="Z382">
        <f t="shared" si="187"/>
        <v>0</v>
      </c>
      <c r="AA382">
        <f t="shared" si="188"/>
        <v>0</v>
      </c>
      <c r="AB382" s="29">
        <f t="shared" si="189"/>
        <v>0</v>
      </c>
      <c r="AC382" s="25">
        <f t="shared" si="190"/>
        <v>0</v>
      </c>
      <c r="AD382" s="29">
        <f t="shared" si="191"/>
        <v>0</v>
      </c>
      <c r="AE382" s="25">
        <f t="shared" si="200"/>
        <v>0</v>
      </c>
      <c r="AF382" s="25">
        <f t="shared" si="192"/>
        <v>0</v>
      </c>
      <c r="AG382" s="25">
        <f>IF($A382&lt;0,0,IF(instatk="bs",(1.5+talSCallInstBon)*(MHavg+(ap+Z382-$Z$1)/APtoDPS*MHnorm+170)*(1+sa*0.1+0.04*opp+0.02*agg+Slayer4value-1),IF(instatk="hemo",Slayer4value*(MHavg+(ap+Z382-$Z$1)/APtoDPS*MHnorm)*(1.1+talSCallInstBon)+420*(1+raidcrit)*debuffon,IF(instatk="ss",(MHavg+(ap+Z382-$Z$1)/APtoDPS*MHnorm+98)*(1+sa*0.1+0.02*agg+Slayer4value-1),IF(instatk="v",(ohavg+(ap+Z382-$Z$1)/APtoDPS*OHnorm)*(1+sa*0.1)*(0.5+0.05*dws)+avipdam,Slayer4value*((1+0.04*opp)*(MHavg+101+(ap+Z382-$Z$1)/APtoDPS*MHnorm+(0.5+0.05*dws)*(ohavg+(ap+Z382-$Z$1)/APtoDPS*OHnorm)+101*(1+0.1*dws))*(1+0.5*IF(Talents!$O$18="Yes",1,0)))))))*(instactualhit+(1+((leth*0.06+2)-1)*(cfact-1))*instactualcrit)*fwfactor*AB382*instsec*(AF382/$AN$45))</f>
        <v>0</v>
      </c>
      <c r="AH382" s="25">
        <f t="shared" si="210"/>
        <v>0</v>
      </c>
      <c r="AI382" s="25">
        <f t="shared" si="211"/>
        <v>0</v>
      </c>
      <c r="AJ382" s="25">
        <f t="shared" si="212"/>
        <v>0</v>
      </c>
    </row>
    <row r="383" spans="1:36">
      <c r="A383">
        <f t="shared" si="193"/>
        <v>-1</v>
      </c>
      <c r="B383">
        <f t="shared" si="201"/>
        <v>6</v>
      </c>
      <c r="C383">
        <f t="shared" si="179"/>
        <v>300</v>
      </c>
      <c r="D383">
        <f t="shared" si="194"/>
        <v>0</v>
      </c>
      <c r="E383">
        <f t="shared" si="213"/>
        <v>5</v>
      </c>
      <c r="F383">
        <f t="shared" si="180"/>
        <v>360</v>
      </c>
      <c r="G383">
        <f t="shared" si="195"/>
        <v>0</v>
      </c>
      <c r="H383">
        <f t="shared" si="202"/>
        <v>4</v>
      </c>
      <c r="I383">
        <f t="shared" si="181"/>
        <v>360</v>
      </c>
      <c r="J383">
        <f t="shared" si="196"/>
        <v>0</v>
      </c>
      <c r="K383">
        <f t="shared" si="203"/>
        <v>3</v>
      </c>
      <c r="L383">
        <f t="shared" si="182"/>
        <v>360</v>
      </c>
      <c r="M383">
        <f t="shared" si="197"/>
        <v>0</v>
      </c>
      <c r="N383">
        <f t="shared" si="204"/>
        <v>2</v>
      </c>
      <c r="O383">
        <f t="shared" si="183"/>
        <v>300</v>
      </c>
      <c r="P383">
        <f t="shared" si="205"/>
        <v>0</v>
      </c>
      <c r="Q383">
        <f t="shared" si="206"/>
        <v>2</v>
      </c>
      <c r="R383">
        <f t="shared" si="184"/>
        <v>300</v>
      </c>
      <c r="S383">
        <f t="shared" si="207"/>
        <v>0</v>
      </c>
      <c r="T383">
        <f t="shared" si="208"/>
        <v>-1</v>
      </c>
      <c r="U383">
        <f t="shared" si="198"/>
        <v>1</v>
      </c>
      <c r="V383">
        <f t="shared" si="199"/>
        <v>1</v>
      </c>
      <c r="W383">
        <f t="shared" si="185"/>
        <v>0</v>
      </c>
      <c r="X383">
        <f t="shared" si="209"/>
        <v>0</v>
      </c>
      <c r="Y383">
        <f t="shared" si="186"/>
        <v>0</v>
      </c>
      <c r="Z383">
        <f t="shared" si="187"/>
        <v>0</v>
      </c>
      <c r="AA383">
        <f t="shared" si="188"/>
        <v>0</v>
      </c>
      <c r="AB383" s="29">
        <f t="shared" si="189"/>
        <v>0</v>
      </c>
      <c r="AC383" s="25">
        <f t="shared" si="190"/>
        <v>0</v>
      </c>
      <c r="AD383" s="29">
        <f t="shared" si="191"/>
        <v>0</v>
      </c>
      <c r="AE383" s="25">
        <f t="shared" si="200"/>
        <v>0</v>
      </c>
      <c r="AF383" s="25">
        <f t="shared" si="192"/>
        <v>0</v>
      </c>
      <c r="AG383" s="25">
        <f>IF($A383&lt;0,0,IF(instatk="bs",(1.5+talSCallInstBon)*(MHavg+(ap+Z383-$Z$1)/APtoDPS*MHnorm+170)*(1+sa*0.1+0.04*opp+0.02*agg+Slayer4value-1),IF(instatk="hemo",Slayer4value*(MHavg+(ap+Z383-$Z$1)/APtoDPS*MHnorm)*(1.1+talSCallInstBon)+420*(1+raidcrit)*debuffon,IF(instatk="ss",(MHavg+(ap+Z383-$Z$1)/APtoDPS*MHnorm+98)*(1+sa*0.1+0.02*agg+Slayer4value-1),IF(instatk="v",(ohavg+(ap+Z383-$Z$1)/APtoDPS*OHnorm)*(1+sa*0.1)*(0.5+0.05*dws)+avipdam,Slayer4value*((1+0.04*opp)*(MHavg+101+(ap+Z383-$Z$1)/APtoDPS*MHnorm+(0.5+0.05*dws)*(ohavg+(ap+Z383-$Z$1)/APtoDPS*OHnorm)+101*(1+0.1*dws))*(1+0.5*IF(Talents!$O$18="Yes",1,0)))))))*(instactualhit+(1+((leth*0.06+2)-1)*(cfact-1))*instactualcrit)*fwfactor*AB383*instsec*(AF383/$AN$45))</f>
        <v>0</v>
      </c>
      <c r="AH383" s="25">
        <f t="shared" si="210"/>
        <v>0</v>
      </c>
      <c r="AI383" s="25">
        <f t="shared" si="211"/>
        <v>0</v>
      </c>
      <c r="AJ383" s="25">
        <f t="shared" si="212"/>
        <v>0</v>
      </c>
    </row>
    <row r="384" spans="1:36">
      <c r="A384">
        <f t="shared" si="193"/>
        <v>-1</v>
      </c>
      <c r="B384">
        <f t="shared" si="201"/>
        <v>6</v>
      </c>
      <c r="C384">
        <f t="shared" si="179"/>
        <v>300</v>
      </c>
      <c r="D384">
        <f t="shared" si="194"/>
        <v>0</v>
      </c>
      <c r="E384">
        <f t="shared" si="213"/>
        <v>5</v>
      </c>
      <c r="F384">
        <f t="shared" si="180"/>
        <v>360</v>
      </c>
      <c r="G384">
        <f t="shared" si="195"/>
        <v>0</v>
      </c>
      <c r="H384">
        <f t="shared" si="202"/>
        <v>4</v>
      </c>
      <c r="I384">
        <f t="shared" si="181"/>
        <v>360</v>
      </c>
      <c r="J384">
        <f t="shared" si="196"/>
        <v>0</v>
      </c>
      <c r="K384">
        <f t="shared" si="203"/>
        <v>3</v>
      </c>
      <c r="L384">
        <f t="shared" si="182"/>
        <v>360</v>
      </c>
      <c r="M384">
        <f t="shared" si="197"/>
        <v>0</v>
      </c>
      <c r="N384">
        <f t="shared" si="204"/>
        <v>2</v>
      </c>
      <c r="O384">
        <f t="shared" si="183"/>
        <v>300</v>
      </c>
      <c r="P384">
        <f t="shared" si="205"/>
        <v>0</v>
      </c>
      <c r="Q384">
        <f t="shared" si="206"/>
        <v>2</v>
      </c>
      <c r="R384">
        <f t="shared" si="184"/>
        <v>300</v>
      </c>
      <c r="S384">
        <f t="shared" si="207"/>
        <v>0</v>
      </c>
      <c r="T384">
        <f t="shared" si="208"/>
        <v>-1</v>
      </c>
      <c r="U384">
        <f t="shared" si="198"/>
        <v>1</v>
      </c>
      <c r="V384">
        <f t="shared" si="199"/>
        <v>1</v>
      </c>
      <c r="W384">
        <f t="shared" si="185"/>
        <v>0</v>
      </c>
      <c r="X384">
        <f t="shared" si="209"/>
        <v>0</v>
      </c>
      <c r="Y384">
        <f t="shared" si="186"/>
        <v>0</v>
      </c>
      <c r="Z384">
        <f t="shared" si="187"/>
        <v>0</v>
      </c>
      <c r="AA384">
        <f t="shared" si="188"/>
        <v>0</v>
      </c>
      <c r="AB384" s="29">
        <f t="shared" si="189"/>
        <v>0</v>
      </c>
      <c r="AC384" s="25">
        <f t="shared" si="190"/>
        <v>0</v>
      </c>
      <c r="AD384" s="29">
        <f t="shared" si="191"/>
        <v>0</v>
      </c>
      <c r="AE384" s="25">
        <f t="shared" si="200"/>
        <v>0</v>
      </c>
      <c r="AF384" s="25">
        <f t="shared" si="192"/>
        <v>0</v>
      </c>
      <c r="AG384" s="25">
        <f>IF($A384&lt;0,0,IF(instatk="bs",(1.5+talSCallInstBon)*(MHavg+(ap+Z384-$Z$1)/APtoDPS*MHnorm+170)*(1+sa*0.1+0.04*opp+0.02*agg+Slayer4value-1),IF(instatk="hemo",Slayer4value*(MHavg+(ap+Z384-$Z$1)/APtoDPS*MHnorm)*(1.1+talSCallInstBon)+420*(1+raidcrit)*debuffon,IF(instatk="ss",(MHavg+(ap+Z384-$Z$1)/APtoDPS*MHnorm+98)*(1+sa*0.1+0.02*agg+Slayer4value-1),IF(instatk="v",(ohavg+(ap+Z384-$Z$1)/APtoDPS*OHnorm)*(1+sa*0.1)*(0.5+0.05*dws)+avipdam,Slayer4value*((1+0.04*opp)*(MHavg+101+(ap+Z384-$Z$1)/APtoDPS*MHnorm+(0.5+0.05*dws)*(ohavg+(ap+Z384-$Z$1)/APtoDPS*OHnorm)+101*(1+0.1*dws))*(1+0.5*IF(Talents!$O$18="Yes",1,0)))))))*(instactualhit+(1+((leth*0.06+2)-1)*(cfact-1))*instactualcrit)*fwfactor*AB384*instsec*(AF384/$AN$45))</f>
        <v>0</v>
      </c>
      <c r="AH384" s="25">
        <f t="shared" si="210"/>
        <v>0</v>
      </c>
      <c r="AI384" s="25">
        <f t="shared" si="211"/>
        <v>0</v>
      </c>
      <c r="AJ384" s="25">
        <f t="shared" si="212"/>
        <v>0</v>
      </c>
    </row>
    <row r="385" spans="1:36">
      <c r="A385">
        <f t="shared" si="193"/>
        <v>-1</v>
      </c>
      <c r="B385">
        <f t="shared" si="201"/>
        <v>6</v>
      </c>
      <c r="C385">
        <f t="shared" si="179"/>
        <v>300</v>
      </c>
      <c r="D385">
        <f t="shared" si="194"/>
        <v>0</v>
      </c>
      <c r="E385">
        <f t="shared" si="213"/>
        <v>5</v>
      </c>
      <c r="F385">
        <f t="shared" si="180"/>
        <v>360</v>
      </c>
      <c r="G385">
        <f t="shared" si="195"/>
        <v>0</v>
      </c>
      <c r="H385">
        <f t="shared" si="202"/>
        <v>4</v>
      </c>
      <c r="I385">
        <f t="shared" si="181"/>
        <v>360</v>
      </c>
      <c r="J385">
        <f t="shared" si="196"/>
        <v>0</v>
      </c>
      <c r="K385">
        <f t="shared" si="203"/>
        <v>3</v>
      </c>
      <c r="L385">
        <f t="shared" si="182"/>
        <v>360</v>
      </c>
      <c r="M385">
        <f t="shared" si="197"/>
        <v>0</v>
      </c>
      <c r="N385">
        <f t="shared" si="204"/>
        <v>2</v>
      </c>
      <c r="O385">
        <f t="shared" si="183"/>
        <v>300</v>
      </c>
      <c r="P385">
        <f t="shared" si="205"/>
        <v>0</v>
      </c>
      <c r="Q385">
        <f t="shared" si="206"/>
        <v>2</v>
      </c>
      <c r="R385">
        <f t="shared" si="184"/>
        <v>300</v>
      </c>
      <c r="S385">
        <f t="shared" si="207"/>
        <v>0</v>
      </c>
      <c r="T385">
        <f t="shared" si="208"/>
        <v>-1</v>
      </c>
      <c r="U385">
        <f t="shared" si="198"/>
        <v>1</v>
      </c>
      <c r="V385">
        <f t="shared" si="199"/>
        <v>1</v>
      </c>
      <c r="W385">
        <f t="shared" si="185"/>
        <v>0</v>
      </c>
      <c r="X385">
        <f t="shared" si="209"/>
        <v>0</v>
      </c>
      <c r="Y385">
        <f t="shared" si="186"/>
        <v>0</v>
      </c>
      <c r="Z385">
        <f t="shared" si="187"/>
        <v>0</v>
      </c>
      <c r="AA385">
        <f t="shared" si="188"/>
        <v>0</v>
      </c>
      <c r="AB385" s="29">
        <f t="shared" si="189"/>
        <v>0</v>
      </c>
      <c r="AC385" s="25">
        <f t="shared" si="190"/>
        <v>0</v>
      </c>
      <c r="AD385" s="29">
        <f t="shared" si="191"/>
        <v>0</v>
      </c>
      <c r="AE385" s="25">
        <f t="shared" si="200"/>
        <v>0</v>
      </c>
      <c r="AF385" s="25">
        <f t="shared" si="192"/>
        <v>0</v>
      </c>
      <c r="AG385" s="25">
        <f>IF($A385&lt;0,0,IF(instatk="bs",(1.5+talSCallInstBon)*(MHavg+(ap+Z385-$Z$1)/APtoDPS*MHnorm+170)*(1+sa*0.1+0.04*opp+0.02*agg+Slayer4value-1),IF(instatk="hemo",Slayer4value*(MHavg+(ap+Z385-$Z$1)/APtoDPS*MHnorm)*(1.1+talSCallInstBon)+420*(1+raidcrit)*debuffon,IF(instatk="ss",(MHavg+(ap+Z385-$Z$1)/APtoDPS*MHnorm+98)*(1+sa*0.1+0.02*agg+Slayer4value-1),IF(instatk="v",(ohavg+(ap+Z385-$Z$1)/APtoDPS*OHnorm)*(1+sa*0.1)*(0.5+0.05*dws)+avipdam,Slayer4value*((1+0.04*opp)*(MHavg+101+(ap+Z385-$Z$1)/APtoDPS*MHnorm+(0.5+0.05*dws)*(ohavg+(ap+Z385-$Z$1)/APtoDPS*OHnorm)+101*(1+0.1*dws))*(1+0.5*IF(Talents!$O$18="Yes",1,0)))))))*(instactualhit+(1+((leth*0.06+2)-1)*(cfact-1))*instactualcrit)*fwfactor*AB385*instsec*(AF385/$AN$45))</f>
        <v>0</v>
      </c>
      <c r="AH385" s="25">
        <f t="shared" si="210"/>
        <v>0</v>
      </c>
      <c r="AI385" s="25">
        <f t="shared" si="211"/>
        <v>0</v>
      </c>
      <c r="AJ385" s="25">
        <f t="shared" si="212"/>
        <v>0</v>
      </c>
    </row>
    <row r="386" spans="1:36">
      <c r="A386">
        <f t="shared" si="193"/>
        <v>-1</v>
      </c>
      <c r="B386">
        <f t="shared" si="201"/>
        <v>6</v>
      </c>
      <c r="C386">
        <f t="shared" si="179"/>
        <v>300</v>
      </c>
      <c r="D386">
        <f t="shared" si="194"/>
        <v>0</v>
      </c>
      <c r="E386">
        <f t="shared" si="213"/>
        <v>5</v>
      </c>
      <c r="F386">
        <f t="shared" si="180"/>
        <v>360</v>
      </c>
      <c r="G386">
        <f t="shared" si="195"/>
        <v>0</v>
      </c>
      <c r="H386">
        <f t="shared" si="202"/>
        <v>4</v>
      </c>
      <c r="I386">
        <f t="shared" si="181"/>
        <v>360</v>
      </c>
      <c r="J386">
        <f t="shared" si="196"/>
        <v>0</v>
      </c>
      <c r="K386">
        <f t="shared" si="203"/>
        <v>3</v>
      </c>
      <c r="L386">
        <f t="shared" si="182"/>
        <v>360</v>
      </c>
      <c r="M386">
        <f t="shared" si="197"/>
        <v>0</v>
      </c>
      <c r="N386">
        <f t="shared" si="204"/>
        <v>2</v>
      </c>
      <c r="O386">
        <f t="shared" si="183"/>
        <v>300</v>
      </c>
      <c r="P386">
        <f t="shared" si="205"/>
        <v>0</v>
      </c>
      <c r="Q386">
        <f t="shared" si="206"/>
        <v>2</v>
      </c>
      <c r="R386">
        <f t="shared" si="184"/>
        <v>300</v>
      </c>
      <c r="S386">
        <f t="shared" si="207"/>
        <v>0</v>
      </c>
      <c r="T386">
        <f t="shared" si="208"/>
        <v>-1</v>
      </c>
      <c r="U386">
        <f t="shared" si="198"/>
        <v>1</v>
      </c>
      <c r="V386">
        <f t="shared" si="199"/>
        <v>1</v>
      </c>
      <c r="W386">
        <f t="shared" si="185"/>
        <v>0</v>
      </c>
      <c r="X386">
        <f t="shared" si="209"/>
        <v>0</v>
      </c>
      <c r="Y386">
        <f t="shared" si="186"/>
        <v>0</v>
      </c>
      <c r="Z386">
        <f t="shared" si="187"/>
        <v>0</v>
      </c>
      <c r="AA386">
        <f t="shared" si="188"/>
        <v>0</v>
      </c>
      <c r="AB386" s="29">
        <f t="shared" si="189"/>
        <v>0</v>
      </c>
      <c r="AC386" s="25">
        <f t="shared" si="190"/>
        <v>0</v>
      </c>
      <c r="AD386" s="29">
        <f t="shared" si="191"/>
        <v>0</v>
      </c>
      <c r="AE386" s="25">
        <f t="shared" si="200"/>
        <v>0</v>
      </c>
      <c r="AF386" s="25">
        <f t="shared" si="192"/>
        <v>0</v>
      </c>
      <c r="AG386" s="25">
        <f>IF($A386&lt;0,0,IF(instatk="bs",(1.5+talSCallInstBon)*(MHavg+(ap+Z386-$Z$1)/APtoDPS*MHnorm+170)*(1+sa*0.1+0.04*opp+0.02*agg+Slayer4value-1),IF(instatk="hemo",Slayer4value*(MHavg+(ap+Z386-$Z$1)/APtoDPS*MHnorm)*(1.1+talSCallInstBon)+420*(1+raidcrit)*debuffon,IF(instatk="ss",(MHavg+(ap+Z386-$Z$1)/APtoDPS*MHnorm+98)*(1+sa*0.1+0.02*agg+Slayer4value-1),IF(instatk="v",(ohavg+(ap+Z386-$Z$1)/APtoDPS*OHnorm)*(1+sa*0.1)*(0.5+0.05*dws)+avipdam,Slayer4value*((1+0.04*opp)*(MHavg+101+(ap+Z386-$Z$1)/APtoDPS*MHnorm+(0.5+0.05*dws)*(ohavg+(ap+Z386-$Z$1)/APtoDPS*OHnorm)+101*(1+0.1*dws))*(1+0.5*IF(Talents!$O$18="Yes",1,0)))))))*(instactualhit+(1+((leth*0.06+2)-1)*(cfact-1))*instactualcrit)*fwfactor*AB386*instsec*(AF386/$AN$45))</f>
        <v>0</v>
      </c>
      <c r="AH386" s="25">
        <f t="shared" si="210"/>
        <v>0</v>
      </c>
      <c r="AI386" s="25">
        <f t="shared" si="211"/>
        <v>0</v>
      </c>
      <c r="AJ386" s="25">
        <f t="shared" si="212"/>
        <v>0</v>
      </c>
    </row>
    <row r="387" spans="1:36">
      <c r="A387">
        <f t="shared" si="193"/>
        <v>-1</v>
      </c>
      <c r="B387">
        <f t="shared" si="201"/>
        <v>6</v>
      </c>
      <c r="C387">
        <f t="shared" ref="C387:C450" si="214">IF(AND(cdspec60,cdspec60plus),CHOOSE($B387,cdspec601,cdspec602,cdspec603,cdspec604,cdspec605,cdspec606,cdspec607,cdspec608,cdspec609,cdspec6010),($B387-1)*60+IF(cdspec60,cdspec601,0))</f>
        <v>300</v>
      </c>
      <c r="D387">
        <f t="shared" si="194"/>
        <v>0</v>
      </c>
      <c r="E387">
        <f t="shared" si="213"/>
        <v>5</v>
      </c>
      <c r="F387">
        <f t="shared" ref="F387:F450" si="215">IF(AND(cdspec90,cdspec90plus),CHOOSE(E387,cdspec901,cdspec902,cdspec903,cdspec904,cdspec905,cdspec906),(E387-1)*IF(cdtreat90as120,120,90)+IF(cdspec90,cdspec901,0))</f>
        <v>360</v>
      </c>
      <c r="G387">
        <f t="shared" si="195"/>
        <v>0</v>
      </c>
      <c r="H387">
        <f t="shared" si="202"/>
        <v>4</v>
      </c>
      <c r="I387">
        <f t="shared" ref="I387:I450" si="216">IF(AND(cdspec120,cdspec120plus),CHOOSE(H387,cdspec1201,cdspec1202,cdspec1203,cdspec1204,cdspec1205),(H387-1)*120+IF(cdspec120,cdspec1201,0))</f>
        <v>360</v>
      </c>
      <c r="J387">
        <f t="shared" si="196"/>
        <v>0</v>
      </c>
      <c r="K387">
        <f t="shared" si="203"/>
        <v>3</v>
      </c>
      <c r="L387">
        <f t="shared" ref="L387:L450" si="217">IF(AND(cdspec180,cdspec180plus),CHOOSE(K387,cdspec1801,cdspec1802,cdspec1803,cdspec1804),(K387-1)*IF(cdtreat180as240,240,180)+IF(cdspec180,cdspec1801,0))</f>
        <v>360</v>
      </c>
      <c r="M387">
        <f t="shared" si="197"/>
        <v>0</v>
      </c>
      <c r="N387">
        <f t="shared" si="204"/>
        <v>2</v>
      </c>
      <c r="O387">
        <f t="shared" ref="O387:O450" si="218">IF(cdspecar,CHOOSE(N387,cdar1,cdar2),(N387-1)*300)</f>
        <v>300</v>
      </c>
      <c r="P387">
        <f t="shared" si="205"/>
        <v>0</v>
      </c>
      <c r="Q387">
        <f t="shared" si="206"/>
        <v>2</v>
      </c>
      <c r="R387">
        <f t="shared" ref="R387:R450" si="219">IF(cdspectea,CHOOSE(Q387,cdtea1,cdtea2),(Q387-1)*300)</f>
        <v>300</v>
      </c>
      <c r="S387">
        <f t="shared" si="207"/>
        <v>0</v>
      </c>
      <c r="T387">
        <f t="shared" si="208"/>
        <v>-1</v>
      </c>
      <c r="U387">
        <f t="shared" si="198"/>
        <v>1</v>
      </c>
      <c r="V387">
        <f t="shared" si="199"/>
        <v>1</v>
      </c>
      <c r="W387">
        <f t="shared" ref="W387:W450" si="220">IF(V387=0,-1,IF(cdspeclust,CHOOSE(V387,cdlust1,cdlust2,cdlust3,cdlust4,cdlust5,cdlust6,cdlust7,cdlust8,cdlust9,cdlust10,cdlust11,cdlust12,cdlust13,cdlust14,cdlust15),(V387-1)*120))</f>
        <v>0</v>
      </c>
      <c r="X387">
        <f t="shared" si="209"/>
        <v>0</v>
      </c>
      <c r="Y387">
        <f t="shared" ref="Y387:Y450" si="221">IF($A387&lt;0, 0, IF($J387=0, 0, $AO$16*($J387&lt;=$AT$16)-IF($AW$14, $AO$3*($J387&lt;=$AT$3)))+IF($U387=0, 0, $AO$3))</f>
        <v>0</v>
      </c>
      <c r="Z387">
        <f t="shared" ref="Z387:Z450" si="222">IF($A387&lt;0, 0, IF($D387=0, 0, $AP$6*($D387&lt;=$AT$6)-IF($AW$5, $AP$3*($D387&lt;=$AT$3)))+IF($G387=0, 0, ($AP$9+$AP$10+$AP$11+$AP$12)*($G387&lt;=$AT$9)-IF($AW$8, $AP$3*($G387&lt;=$AT$3)))+IF($J387=0, 0, ($AP$17+$AP$18+$AP$19+$AP$24)*($J387&lt;=$AT$17)+($AP$23+$AP$25+$AP$27)*($J387&lt;=$AT$23)+$AP$30*($J387&lt;=$AT$30)+$AP$21*ROUNDUP($J387/2,0)*($J387&lt;=$AT$21)-IF($AW$14, IF($AP$3=65,$AP$3*ROUNDUP($J387/2,0)*($J387&lt;=$AT$3),$AP$3*($J387&lt;=$AT$3))))+IF($M387=0, 0, $AP$34*($M387&lt;=$AT$34)-IF($AW$32, $AP$3*($M387&lt;=$AT$3)))+IF($U387=0, 0, IF($AP$3=65,$AP$3*ROUNDUP($U387/2,0),$AP$3)))</f>
        <v>0</v>
      </c>
      <c r="AA387">
        <f t="shared" ref="AA387:AA450" si="223">IF($A387&lt;0,0,IF($J387=0,0,$AQ$20*($J387&lt;=$AT$20)-IF($AW$14,$AQ$3*($J387&lt;=$AT$3)))+IF($M387=0,0,$AQ$33*($M387&lt;=$AT$33))+IF($U387=0,0,$AQ$3))</f>
        <v>0</v>
      </c>
      <c r="AB387" s="29">
        <f t="shared" ref="AB387:AB450" si="224">IF($A387&lt;0,0,1-MAX($AN$44-AA387,0)/(MAX($AN$44-AA387,0)+467.5*CharLevel-22167.5))</f>
        <v>0</v>
      </c>
      <c r="AC387" s="25">
        <f t="shared" ref="AC387:AC450" si="225">IF($A387&lt;0,0,$AN$43+IF($J387=0, 0, $AR$15*($J387&lt;=$AT$15)+$AR$22*($J387&lt;=$AT$22)+$AR$28*($J387&lt;=$AT$28)+$AR$29*($J387&lt;=$AT$29)-IF($AW$14, $AR$3*($J387&lt;=$AT$3))))</f>
        <v>0</v>
      </c>
      <c r="AD387" s="29">
        <f t="shared" ref="AD387:AD450" si="226">IF($A387&lt;0,0,(1+$AC387/(hasterate*100))*(1+$AS$26/100*AND($J387&gt;0,$J387&lt;=$AT$26))*(1+$AS$35/100*AND($M387&gt;0,$M387&lt;=$AT$35))*(1+0.3*($X387&gt;0)))</f>
        <v>0</v>
      </c>
      <c r="AE387" s="25">
        <f t="shared" si="200"/>
        <v>0</v>
      </c>
      <c r="AF387" s="25">
        <f t="shared" ref="AF387:AF450" si="227">MIN(instcost,AE387)</f>
        <v>0</v>
      </c>
      <c r="AG387" s="25">
        <f>IF($A387&lt;0,0,IF(instatk="bs",(1.5+talSCallInstBon)*(MHavg+(ap+Z387-$Z$1)/APtoDPS*MHnorm+170)*(1+sa*0.1+0.04*opp+0.02*agg+Slayer4value-1),IF(instatk="hemo",Slayer4value*(MHavg+(ap+Z387-$Z$1)/APtoDPS*MHnorm)*(1.1+talSCallInstBon)+420*(1+raidcrit)*debuffon,IF(instatk="ss",(MHavg+(ap+Z387-$Z$1)/APtoDPS*MHnorm+98)*(1+sa*0.1+0.02*agg+Slayer4value-1),IF(instatk="v",(ohavg+(ap+Z387-$Z$1)/APtoDPS*OHnorm)*(1+sa*0.1)*(0.5+0.05*dws)+avipdam,Slayer4value*((1+0.04*opp)*(MHavg+101+(ap+Z387-$Z$1)/APtoDPS*MHnorm+(0.5+0.05*dws)*(ohavg+(ap+Z387-$Z$1)/APtoDPS*OHnorm)+101*(1+0.1*dws))*(1+0.5*IF(Talents!$O$18="Yes",1,0)))))))*(instactualhit+(1+((leth*0.06+2)-1)*(cfact-1))*instactualcrit)*fwfactor*AB387*instsec*(AF387/$AN$45))</f>
        <v>0</v>
      </c>
      <c r="AH387" s="25">
        <f t="shared" si="210"/>
        <v>0</v>
      </c>
      <c r="AI387" s="25">
        <f t="shared" si="211"/>
        <v>0</v>
      </c>
      <c r="AJ387" s="25">
        <f t="shared" si="212"/>
        <v>0</v>
      </c>
    </row>
    <row r="388" spans="1:36">
      <c r="A388">
        <f t="shared" ref="A388:A451" si="228">IF(A387&lt;0,-1,IF(A387+1&gt;=time,-1,A387+1))</f>
        <v>-1</v>
      </c>
      <c r="B388">
        <f t="shared" si="201"/>
        <v>6</v>
      </c>
      <c r="C388">
        <f t="shared" si="214"/>
        <v>300</v>
      </c>
      <c r="D388">
        <f t="shared" ref="D388:D451" si="229">IF($A388=$C388,1,IF(AND($D387&gt;0,$D387&lt;30),$D387+1,0))</f>
        <v>0</v>
      </c>
      <c r="E388">
        <f t="shared" si="213"/>
        <v>5</v>
      </c>
      <c r="F388">
        <f t="shared" si="215"/>
        <v>360</v>
      </c>
      <c r="G388">
        <f t="shared" ref="G388:G451" si="230">IF($A388=F388,1,IF(AND(G387&gt;0,G387&lt;30),G387+1,0))</f>
        <v>0</v>
      </c>
      <c r="H388">
        <f t="shared" si="202"/>
        <v>4</v>
      </c>
      <c r="I388">
        <f t="shared" si="216"/>
        <v>360</v>
      </c>
      <c r="J388">
        <f t="shared" ref="J388:J451" si="231">IF($A388=I388,1,IF(AND(J387&gt;0,J387&lt;30),J387+1,0))</f>
        <v>0</v>
      </c>
      <c r="K388">
        <f t="shared" si="203"/>
        <v>3</v>
      </c>
      <c r="L388">
        <f t="shared" si="217"/>
        <v>360</v>
      </c>
      <c r="M388">
        <f t="shared" ref="M388:M451" si="232">IF($A388=L388,1,IF(AND(M387&gt;0,M387&lt;30),M387+1,0))</f>
        <v>0</v>
      </c>
      <c r="N388">
        <f t="shared" si="204"/>
        <v>2</v>
      </c>
      <c r="O388">
        <f t="shared" si="218"/>
        <v>300</v>
      </c>
      <c r="P388">
        <f t="shared" si="205"/>
        <v>0</v>
      </c>
      <c r="Q388">
        <f t="shared" si="206"/>
        <v>2</v>
      </c>
      <c r="R388">
        <f t="shared" si="219"/>
        <v>300</v>
      </c>
      <c r="S388">
        <f t="shared" si="207"/>
        <v>0</v>
      </c>
      <c r="T388">
        <f t="shared" si="208"/>
        <v>-1</v>
      </c>
      <c r="U388">
        <f t="shared" ref="U388:U451" si="233">IF($A388=T388,1,IF(AND(U387&gt;0,U387&lt;$AT$3),U387+1,0))</f>
        <v>1</v>
      </c>
      <c r="V388">
        <f t="shared" ref="V388:V451" si="234">MIN(IF(X387=1,V387+1,V387),blustcount)</f>
        <v>1</v>
      </c>
      <c r="W388">
        <f t="shared" si="220"/>
        <v>0</v>
      </c>
      <c r="X388">
        <f t="shared" si="209"/>
        <v>0</v>
      </c>
      <c r="Y388">
        <f t="shared" si="221"/>
        <v>0</v>
      </c>
      <c r="Z388">
        <f t="shared" si="222"/>
        <v>0</v>
      </c>
      <c r="AA388">
        <f t="shared" si="223"/>
        <v>0</v>
      </c>
      <c r="AB388" s="29">
        <f t="shared" si="224"/>
        <v>0</v>
      </c>
      <c r="AC388" s="25">
        <f t="shared" si="225"/>
        <v>0</v>
      </c>
      <c r="AD388" s="29">
        <f t="shared" si="226"/>
        <v>0</v>
      </c>
      <c r="AE388" s="25">
        <f t="shared" ref="AE388:AE451" si="235">IF($A388&lt;0,0,$AN$45+IF($P388&gt;0,$AN$37*$AL$37,0)+$S388*(60-IF(CharLevel&gt;60,(CharLevel-60)*2,0))*$AL$38+IF($J388=1,$AL$26*-25+IF($AL$39, 30, 0),0)+IF($M388=1,$AL$35*-10,0)+IF(AE387&gt;instcost,AE387-instcost,0))</f>
        <v>0</v>
      </c>
      <c r="AF388" s="25">
        <f t="shared" si="227"/>
        <v>0</v>
      </c>
      <c r="AG388" s="25">
        <f>IF($A388&lt;0,0,IF(instatk="bs",(1.5+talSCallInstBon)*(MHavg+(ap+Z388-$Z$1)/APtoDPS*MHnorm+170)*(1+sa*0.1+0.04*opp+0.02*agg+Slayer4value-1),IF(instatk="hemo",Slayer4value*(MHavg+(ap+Z388-$Z$1)/APtoDPS*MHnorm)*(1.1+talSCallInstBon)+420*(1+raidcrit)*debuffon,IF(instatk="ss",(MHavg+(ap+Z388-$Z$1)/APtoDPS*MHnorm+98)*(1+sa*0.1+0.02*agg+Slayer4value-1),IF(instatk="v",(ohavg+(ap+Z388-$Z$1)/APtoDPS*OHnorm)*(1+sa*0.1)*(0.5+0.05*dws)+avipdam,Slayer4value*((1+0.04*opp)*(MHavg+101+(ap+Z388-$Z$1)/APtoDPS*MHnorm+(0.5+0.05*dws)*(ohavg+(ap+Z388-$Z$1)/APtoDPS*OHnorm)+101*(1+0.1*dws))*(1+0.5*IF(Talents!$O$18="Yes",1,0)))))))*(instactualhit+(1+((leth*0.06+2)-1)*(cfact-1))*instactualcrit)*fwfactor*AB388*instsec*(AF388/$AN$45))</f>
        <v>0</v>
      </c>
      <c r="AH388" s="25">
        <f t="shared" si="210"/>
        <v>0</v>
      </c>
      <c r="AI388" s="25">
        <f t="shared" si="211"/>
        <v>0</v>
      </c>
      <c r="AJ388" s="25">
        <f t="shared" si="212"/>
        <v>0</v>
      </c>
    </row>
    <row r="389" spans="1:36">
      <c r="A389">
        <f t="shared" si="228"/>
        <v>-1</v>
      </c>
      <c r="B389">
        <f t="shared" ref="B389:B452" si="236">MIN(IF(D388=1,B388+1,B388),10)</f>
        <v>6</v>
      </c>
      <c r="C389">
        <f t="shared" si="214"/>
        <v>300</v>
      </c>
      <c r="D389">
        <f t="shared" si="229"/>
        <v>0</v>
      </c>
      <c r="E389">
        <f t="shared" si="213"/>
        <v>5</v>
      </c>
      <c r="F389">
        <f t="shared" si="215"/>
        <v>360</v>
      </c>
      <c r="G389">
        <f t="shared" si="230"/>
        <v>0</v>
      </c>
      <c r="H389">
        <f t="shared" ref="H389:H452" si="237">MIN(IF(J388=1,H388+1,H388),5)</f>
        <v>4</v>
      </c>
      <c r="I389">
        <f t="shared" si="216"/>
        <v>360</v>
      </c>
      <c r="J389">
        <f t="shared" si="231"/>
        <v>0</v>
      </c>
      <c r="K389">
        <f t="shared" ref="K389:K452" si="238">MIN(IF(M388=1,K388+1,K388),4)</f>
        <v>3</v>
      </c>
      <c r="L389">
        <f t="shared" si="217"/>
        <v>360</v>
      </c>
      <c r="M389">
        <f t="shared" si="232"/>
        <v>0</v>
      </c>
      <c r="N389">
        <f t="shared" ref="N389:N452" si="239">MIN(IF(P388=1,N388+1,N388),2)</f>
        <v>2</v>
      </c>
      <c r="O389">
        <f t="shared" si="218"/>
        <v>300</v>
      </c>
      <c r="P389">
        <f t="shared" ref="P389:P452" si="240">IF($A389=O389,1,IF(AND(P388&gt;0,P388&lt;15),P388+1,0))</f>
        <v>0</v>
      </c>
      <c r="Q389">
        <f t="shared" ref="Q389:Q452" si="241">MIN(IF(S388=1,Q388+1,Q388),2)</f>
        <v>2</v>
      </c>
      <c r="R389">
        <f t="shared" si="219"/>
        <v>300</v>
      </c>
      <c r="S389">
        <f t="shared" ref="S389:S452" si="242">IF($A389=R389,1,IF(AND(S388&gt;0,S388&lt;1),S388+1,0))</f>
        <v>0</v>
      </c>
      <c r="T389">
        <f t="shared" ref="T389:T452" si="243">IF($AU$3, IF(AND(T388&gt;IF($AV$5,C389,IF($AV$8,F389,IF($AV$14,I389,IF($AV$32,L389))))-$AT$3,T388&lt;IF($AV$5,C389,IF($AV$8,F389,IF($AV$14,I389,IF($AV$32,L389))))+$AU$3), IF($AV$5,C389,IF($AV$8,F389,IF($AV$14,I389,IF($AV$32,L389))))+$AU$3, T388)+IF(T388-A388=0, IF($AW$5,60,IF($AW$8,90,IF($AW$14,120,IF($AW$32,180))))), -1)</f>
        <v>-1</v>
      </c>
      <c r="U389">
        <f t="shared" si="233"/>
        <v>1</v>
      </c>
      <c r="V389">
        <f t="shared" si="234"/>
        <v>1</v>
      </c>
      <c r="W389">
        <f t="shared" si="220"/>
        <v>0</v>
      </c>
      <c r="X389">
        <f t="shared" ref="X389:X452" si="244">IF($A389=W389,1,IF(AND(X388&gt;0,X388&lt;40),X388+1,0))</f>
        <v>0</v>
      </c>
      <c r="Y389">
        <f t="shared" si="221"/>
        <v>0</v>
      </c>
      <c r="Z389">
        <f t="shared" si="222"/>
        <v>0</v>
      </c>
      <c r="AA389">
        <f t="shared" si="223"/>
        <v>0</v>
      </c>
      <c r="AB389" s="29">
        <f t="shared" si="224"/>
        <v>0</v>
      </c>
      <c r="AC389" s="25">
        <f t="shared" si="225"/>
        <v>0</v>
      </c>
      <c r="AD389" s="29">
        <f t="shared" si="226"/>
        <v>0</v>
      </c>
      <c r="AE389" s="25">
        <f t="shared" si="235"/>
        <v>0</v>
      </c>
      <c r="AF389" s="25">
        <f t="shared" si="227"/>
        <v>0</v>
      </c>
      <c r="AG389" s="25">
        <f>IF($A389&lt;0,0,IF(instatk="bs",(1.5+talSCallInstBon)*(MHavg+(ap+Z389-$Z$1)/APtoDPS*MHnorm+170)*(1+sa*0.1+0.04*opp+0.02*agg+Slayer4value-1),IF(instatk="hemo",Slayer4value*(MHavg+(ap+Z389-$Z$1)/APtoDPS*MHnorm)*(1.1+talSCallInstBon)+420*(1+raidcrit)*debuffon,IF(instatk="ss",(MHavg+(ap+Z389-$Z$1)/APtoDPS*MHnorm+98)*(1+sa*0.1+0.02*agg+Slayer4value-1),IF(instatk="v",(ohavg+(ap+Z389-$Z$1)/APtoDPS*OHnorm)*(1+sa*0.1)*(0.5+0.05*dws)+avipdam,Slayer4value*((1+0.04*opp)*(MHavg+101+(ap+Z389-$Z$1)/APtoDPS*MHnorm+(0.5+0.05*dws)*(ohavg+(ap+Z389-$Z$1)/APtoDPS*OHnorm)+101*(1+0.1*dws))*(1+0.5*IF(Talents!$O$18="Yes",1,0)))))))*(instactualhit+(1+((leth*0.06+2)-1)*(cfact-1))*instactualcrit)*fwfactor*AB389*instsec*(AF389/$AN$45))</f>
        <v>0</v>
      </c>
      <c r="AH389" s="25">
        <f t="shared" ref="AH389:AH452" si="245">IF(AH388-$AF389&lt;0,0,AH388-$AF389)</f>
        <v>0</v>
      </c>
      <c r="AI389" s="25">
        <f t="shared" ref="AI389:AI452" si="246">IF(AI388-AF389&lt;0,0,AI388-AF389)</f>
        <v>0</v>
      </c>
      <c r="AJ389" s="25">
        <f t="shared" ref="AJ389:AJ452" si="247">IF(AJ388-$AF389&lt;0,0,AJ388-$AF389)</f>
        <v>0</v>
      </c>
    </row>
    <row r="390" spans="1:36">
      <c r="A390">
        <f t="shared" si="228"/>
        <v>-1</v>
      </c>
      <c r="B390">
        <f t="shared" si="236"/>
        <v>6</v>
      </c>
      <c r="C390">
        <f t="shared" si="214"/>
        <v>300</v>
      </c>
      <c r="D390">
        <f t="shared" si="229"/>
        <v>0</v>
      </c>
      <c r="E390">
        <f t="shared" ref="E390:E453" si="248">MIN(IF(G389=1,E389+1,E389),6)</f>
        <v>5</v>
      </c>
      <c r="F390">
        <f t="shared" si="215"/>
        <v>360</v>
      </c>
      <c r="G390">
        <f t="shared" si="230"/>
        <v>0</v>
      </c>
      <c r="H390">
        <f t="shared" si="237"/>
        <v>4</v>
      </c>
      <c r="I390">
        <f t="shared" si="216"/>
        <v>360</v>
      </c>
      <c r="J390">
        <f t="shared" si="231"/>
        <v>0</v>
      </c>
      <c r="K390">
        <f t="shared" si="238"/>
        <v>3</v>
      </c>
      <c r="L390">
        <f t="shared" si="217"/>
        <v>360</v>
      </c>
      <c r="M390">
        <f t="shared" si="232"/>
        <v>0</v>
      </c>
      <c r="N390">
        <f t="shared" si="239"/>
        <v>2</v>
      </c>
      <c r="O390">
        <f t="shared" si="218"/>
        <v>300</v>
      </c>
      <c r="P390">
        <f t="shared" si="240"/>
        <v>0</v>
      </c>
      <c r="Q390">
        <f t="shared" si="241"/>
        <v>2</v>
      </c>
      <c r="R390">
        <f t="shared" si="219"/>
        <v>300</v>
      </c>
      <c r="S390">
        <f t="shared" si="242"/>
        <v>0</v>
      </c>
      <c r="T390">
        <f t="shared" si="243"/>
        <v>-1</v>
      </c>
      <c r="U390">
        <f t="shared" si="233"/>
        <v>1</v>
      </c>
      <c r="V390">
        <f t="shared" si="234"/>
        <v>1</v>
      </c>
      <c r="W390">
        <f t="shared" si="220"/>
        <v>0</v>
      </c>
      <c r="X390">
        <f t="shared" si="244"/>
        <v>0</v>
      </c>
      <c r="Y390">
        <f t="shared" si="221"/>
        <v>0</v>
      </c>
      <c r="Z390">
        <f t="shared" si="222"/>
        <v>0</v>
      </c>
      <c r="AA390">
        <f t="shared" si="223"/>
        <v>0</v>
      </c>
      <c r="AB390" s="29">
        <f t="shared" si="224"/>
        <v>0</v>
      </c>
      <c r="AC390" s="25">
        <f t="shared" si="225"/>
        <v>0</v>
      </c>
      <c r="AD390" s="29">
        <f t="shared" si="226"/>
        <v>0</v>
      </c>
      <c r="AE390" s="25">
        <f t="shared" si="235"/>
        <v>0</v>
      </c>
      <c r="AF390" s="25">
        <f t="shared" si="227"/>
        <v>0</v>
      </c>
      <c r="AG390" s="25">
        <f>IF($A390&lt;0,0,IF(instatk="bs",(1.5+talSCallInstBon)*(MHavg+(ap+Z390-$Z$1)/APtoDPS*MHnorm+170)*(1+sa*0.1+0.04*opp+0.02*agg+Slayer4value-1),IF(instatk="hemo",Slayer4value*(MHavg+(ap+Z390-$Z$1)/APtoDPS*MHnorm)*(1.1+talSCallInstBon)+420*(1+raidcrit)*debuffon,IF(instatk="ss",(MHavg+(ap+Z390-$Z$1)/APtoDPS*MHnorm+98)*(1+sa*0.1+0.02*agg+Slayer4value-1),IF(instatk="v",(ohavg+(ap+Z390-$Z$1)/APtoDPS*OHnorm)*(1+sa*0.1)*(0.5+0.05*dws)+avipdam,Slayer4value*((1+0.04*opp)*(MHavg+101+(ap+Z390-$Z$1)/APtoDPS*MHnorm+(0.5+0.05*dws)*(ohavg+(ap+Z390-$Z$1)/APtoDPS*OHnorm)+101*(1+0.1*dws))*(1+0.5*IF(Talents!$O$18="Yes",1,0)))))))*(instactualhit+(1+((leth*0.06+2)-1)*(cfact-1))*instactualcrit)*fwfactor*AB390*instsec*(AF390/$AN$45))</f>
        <v>0</v>
      </c>
      <c r="AH390" s="25">
        <f t="shared" si="245"/>
        <v>0</v>
      </c>
      <c r="AI390" s="25">
        <f t="shared" si="246"/>
        <v>0</v>
      </c>
      <c r="AJ390" s="25">
        <f t="shared" si="247"/>
        <v>0</v>
      </c>
    </row>
    <row r="391" spans="1:36">
      <c r="A391">
        <f t="shared" si="228"/>
        <v>-1</v>
      </c>
      <c r="B391">
        <f t="shared" si="236"/>
        <v>6</v>
      </c>
      <c r="C391">
        <f t="shared" si="214"/>
        <v>300</v>
      </c>
      <c r="D391">
        <f t="shared" si="229"/>
        <v>0</v>
      </c>
      <c r="E391">
        <f t="shared" si="248"/>
        <v>5</v>
      </c>
      <c r="F391">
        <f t="shared" si="215"/>
        <v>360</v>
      </c>
      <c r="G391">
        <f t="shared" si="230"/>
        <v>0</v>
      </c>
      <c r="H391">
        <f t="shared" si="237"/>
        <v>4</v>
      </c>
      <c r="I391">
        <f t="shared" si="216"/>
        <v>360</v>
      </c>
      <c r="J391">
        <f t="shared" si="231"/>
        <v>0</v>
      </c>
      <c r="K391">
        <f t="shared" si="238"/>
        <v>3</v>
      </c>
      <c r="L391">
        <f t="shared" si="217"/>
        <v>360</v>
      </c>
      <c r="M391">
        <f t="shared" si="232"/>
        <v>0</v>
      </c>
      <c r="N391">
        <f t="shared" si="239"/>
        <v>2</v>
      </c>
      <c r="O391">
        <f t="shared" si="218"/>
        <v>300</v>
      </c>
      <c r="P391">
        <f t="shared" si="240"/>
        <v>0</v>
      </c>
      <c r="Q391">
        <f t="shared" si="241"/>
        <v>2</v>
      </c>
      <c r="R391">
        <f t="shared" si="219"/>
        <v>300</v>
      </c>
      <c r="S391">
        <f t="shared" si="242"/>
        <v>0</v>
      </c>
      <c r="T391">
        <f t="shared" si="243"/>
        <v>-1</v>
      </c>
      <c r="U391">
        <f t="shared" si="233"/>
        <v>1</v>
      </c>
      <c r="V391">
        <f t="shared" si="234"/>
        <v>1</v>
      </c>
      <c r="W391">
        <f t="shared" si="220"/>
        <v>0</v>
      </c>
      <c r="X391">
        <f t="shared" si="244"/>
        <v>0</v>
      </c>
      <c r="Y391">
        <f t="shared" si="221"/>
        <v>0</v>
      </c>
      <c r="Z391">
        <f t="shared" si="222"/>
        <v>0</v>
      </c>
      <c r="AA391">
        <f t="shared" si="223"/>
        <v>0</v>
      </c>
      <c r="AB391" s="29">
        <f t="shared" si="224"/>
        <v>0</v>
      </c>
      <c r="AC391" s="25">
        <f t="shared" si="225"/>
        <v>0</v>
      </c>
      <c r="AD391" s="29">
        <f t="shared" si="226"/>
        <v>0</v>
      </c>
      <c r="AE391" s="25">
        <f t="shared" si="235"/>
        <v>0</v>
      </c>
      <c r="AF391" s="25">
        <f t="shared" si="227"/>
        <v>0</v>
      </c>
      <c r="AG391" s="25">
        <f>IF($A391&lt;0,0,IF(instatk="bs",(1.5+talSCallInstBon)*(MHavg+(ap+Z391-$Z$1)/APtoDPS*MHnorm+170)*(1+sa*0.1+0.04*opp+0.02*agg+Slayer4value-1),IF(instatk="hemo",Slayer4value*(MHavg+(ap+Z391-$Z$1)/APtoDPS*MHnorm)*(1.1+talSCallInstBon)+420*(1+raidcrit)*debuffon,IF(instatk="ss",(MHavg+(ap+Z391-$Z$1)/APtoDPS*MHnorm+98)*(1+sa*0.1+0.02*agg+Slayer4value-1),IF(instatk="v",(ohavg+(ap+Z391-$Z$1)/APtoDPS*OHnorm)*(1+sa*0.1)*(0.5+0.05*dws)+avipdam,Slayer4value*((1+0.04*opp)*(MHavg+101+(ap+Z391-$Z$1)/APtoDPS*MHnorm+(0.5+0.05*dws)*(ohavg+(ap+Z391-$Z$1)/APtoDPS*OHnorm)+101*(1+0.1*dws))*(1+0.5*IF(Talents!$O$18="Yes",1,0)))))))*(instactualhit+(1+((leth*0.06+2)-1)*(cfact-1))*instactualcrit)*fwfactor*AB391*instsec*(AF391/$AN$45))</f>
        <v>0</v>
      </c>
      <c r="AH391" s="25">
        <f t="shared" si="245"/>
        <v>0</v>
      </c>
      <c r="AI391" s="25">
        <f t="shared" si="246"/>
        <v>0</v>
      </c>
      <c r="AJ391" s="25">
        <f t="shared" si="247"/>
        <v>0</v>
      </c>
    </row>
    <row r="392" spans="1:36">
      <c r="A392">
        <f t="shared" si="228"/>
        <v>-1</v>
      </c>
      <c r="B392">
        <f t="shared" si="236"/>
        <v>6</v>
      </c>
      <c r="C392">
        <f t="shared" si="214"/>
        <v>300</v>
      </c>
      <c r="D392">
        <f t="shared" si="229"/>
        <v>0</v>
      </c>
      <c r="E392">
        <f t="shared" si="248"/>
        <v>5</v>
      </c>
      <c r="F392">
        <f t="shared" si="215"/>
        <v>360</v>
      </c>
      <c r="G392">
        <f t="shared" si="230"/>
        <v>0</v>
      </c>
      <c r="H392">
        <f t="shared" si="237"/>
        <v>4</v>
      </c>
      <c r="I392">
        <f t="shared" si="216"/>
        <v>360</v>
      </c>
      <c r="J392">
        <f t="shared" si="231"/>
        <v>0</v>
      </c>
      <c r="K392">
        <f t="shared" si="238"/>
        <v>3</v>
      </c>
      <c r="L392">
        <f t="shared" si="217"/>
        <v>360</v>
      </c>
      <c r="M392">
        <f t="shared" si="232"/>
        <v>0</v>
      </c>
      <c r="N392">
        <f t="shared" si="239"/>
        <v>2</v>
      </c>
      <c r="O392">
        <f t="shared" si="218"/>
        <v>300</v>
      </c>
      <c r="P392">
        <f t="shared" si="240"/>
        <v>0</v>
      </c>
      <c r="Q392">
        <f t="shared" si="241"/>
        <v>2</v>
      </c>
      <c r="R392">
        <f t="shared" si="219"/>
        <v>300</v>
      </c>
      <c r="S392">
        <f t="shared" si="242"/>
        <v>0</v>
      </c>
      <c r="T392">
        <f t="shared" si="243"/>
        <v>-1</v>
      </c>
      <c r="U392">
        <f t="shared" si="233"/>
        <v>1</v>
      </c>
      <c r="V392">
        <f t="shared" si="234"/>
        <v>1</v>
      </c>
      <c r="W392">
        <f t="shared" si="220"/>
        <v>0</v>
      </c>
      <c r="X392">
        <f t="shared" si="244"/>
        <v>0</v>
      </c>
      <c r="Y392">
        <f t="shared" si="221"/>
        <v>0</v>
      </c>
      <c r="Z392">
        <f t="shared" si="222"/>
        <v>0</v>
      </c>
      <c r="AA392">
        <f t="shared" si="223"/>
        <v>0</v>
      </c>
      <c r="AB392" s="29">
        <f t="shared" si="224"/>
        <v>0</v>
      </c>
      <c r="AC392" s="25">
        <f t="shared" si="225"/>
        <v>0</v>
      </c>
      <c r="AD392" s="29">
        <f t="shared" si="226"/>
        <v>0</v>
      </c>
      <c r="AE392" s="25">
        <f t="shared" si="235"/>
        <v>0</v>
      </c>
      <c r="AF392" s="25">
        <f t="shared" si="227"/>
        <v>0</v>
      </c>
      <c r="AG392" s="25">
        <f>IF($A392&lt;0,0,IF(instatk="bs",(1.5+talSCallInstBon)*(MHavg+(ap+Z392-$Z$1)/APtoDPS*MHnorm+170)*(1+sa*0.1+0.04*opp+0.02*agg+Slayer4value-1),IF(instatk="hemo",Slayer4value*(MHavg+(ap+Z392-$Z$1)/APtoDPS*MHnorm)*(1.1+talSCallInstBon)+420*(1+raidcrit)*debuffon,IF(instatk="ss",(MHavg+(ap+Z392-$Z$1)/APtoDPS*MHnorm+98)*(1+sa*0.1+0.02*agg+Slayer4value-1),IF(instatk="v",(ohavg+(ap+Z392-$Z$1)/APtoDPS*OHnorm)*(1+sa*0.1)*(0.5+0.05*dws)+avipdam,Slayer4value*((1+0.04*opp)*(MHavg+101+(ap+Z392-$Z$1)/APtoDPS*MHnorm+(0.5+0.05*dws)*(ohavg+(ap+Z392-$Z$1)/APtoDPS*OHnorm)+101*(1+0.1*dws))*(1+0.5*IF(Talents!$O$18="Yes",1,0)))))))*(instactualhit+(1+((leth*0.06+2)-1)*(cfact-1))*instactualcrit)*fwfactor*AB392*instsec*(AF392/$AN$45))</f>
        <v>0</v>
      </c>
      <c r="AH392" s="25">
        <f t="shared" si="245"/>
        <v>0</v>
      </c>
      <c r="AI392" s="25">
        <f t="shared" si="246"/>
        <v>0</v>
      </c>
      <c r="AJ392" s="25">
        <f t="shared" si="247"/>
        <v>0</v>
      </c>
    </row>
    <row r="393" spans="1:36">
      <c r="A393">
        <f t="shared" si="228"/>
        <v>-1</v>
      </c>
      <c r="B393">
        <f t="shared" si="236"/>
        <v>6</v>
      </c>
      <c r="C393">
        <f t="shared" si="214"/>
        <v>300</v>
      </c>
      <c r="D393">
        <f t="shared" si="229"/>
        <v>0</v>
      </c>
      <c r="E393">
        <f t="shared" si="248"/>
        <v>5</v>
      </c>
      <c r="F393">
        <f t="shared" si="215"/>
        <v>360</v>
      </c>
      <c r="G393">
        <f t="shared" si="230"/>
        <v>0</v>
      </c>
      <c r="H393">
        <f t="shared" si="237"/>
        <v>4</v>
      </c>
      <c r="I393">
        <f t="shared" si="216"/>
        <v>360</v>
      </c>
      <c r="J393">
        <f t="shared" si="231"/>
        <v>0</v>
      </c>
      <c r="K393">
        <f t="shared" si="238"/>
        <v>3</v>
      </c>
      <c r="L393">
        <f t="shared" si="217"/>
        <v>360</v>
      </c>
      <c r="M393">
        <f t="shared" si="232"/>
        <v>0</v>
      </c>
      <c r="N393">
        <f t="shared" si="239"/>
        <v>2</v>
      </c>
      <c r="O393">
        <f t="shared" si="218"/>
        <v>300</v>
      </c>
      <c r="P393">
        <f t="shared" si="240"/>
        <v>0</v>
      </c>
      <c r="Q393">
        <f t="shared" si="241"/>
        <v>2</v>
      </c>
      <c r="R393">
        <f t="shared" si="219"/>
        <v>300</v>
      </c>
      <c r="S393">
        <f t="shared" si="242"/>
        <v>0</v>
      </c>
      <c r="T393">
        <f t="shared" si="243"/>
        <v>-1</v>
      </c>
      <c r="U393">
        <f t="shared" si="233"/>
        <v>1</v>
      </c>
      <c r="V393">
        <f t="shared" si="234"/>
        <v>1</v>
      </c>
      <c r="W393">
        <f t="shared" si="220"/>
        <v>0</v>
      </c>
      <c r="X393">
        <f t="shared" si="244"/>
        <v>0</v>
      </c>
      <c r="Y393">
        <f t="shared" si="221"/>
        <v>0</v>
      </c>
      <c r="Z393">
        <f t="shared" si="222"/>
        <v>0</v>
      </c>
      <c r="AA393">
        <f t="shared" si="223"/>
        <v>0</v>
      </c>
      <c r="AB393" s="29">
        <f t="shared" si="224"/>
        <v>0</v>
      </c>
      <c r="AC393" s="25">
        <f t="shared" si="225"/>
        <v>0</v>
      </c>
      <c r="AD393" s="29">
        <f t="shared" si="226"/>
        <v>0</v>
      </c>
      <c r="AE393" s="25">
        <f t="shared" si="235"/>
        <v>0</v>
      </c>
      <c r="AF393" s="25">
        <f t="shared" si="227"/>
        <v>0</v>
      </c>
      <c r="AG393" s="25">
        <f>IF($A393&lt;0,0,IF(instatk="bs",(1.5+talSCallInstBon)*(MHavg+(ap+Z393-$Z$1)/APtoDPS*MHnorm+170)*(1+sa*0.1+0.04*opp+0.02*agg+Slayer4value-1),IF(instatk="hemo",Slayer4value*(MHavg+(ap+Z393-$Z$1)/APtoDPS*MHnorm)*(1.1+talSCallInstBon)+420*(1+raidcrit)*debuffon,IF(instatk="ss",(MHavg+(ap+Z393-$Z$1)/APtoDPS*MHnorm+98)*(1+sa*0.1+0.02*agg+Slayer4value-1),IF(instatk="v",(ohavg+(ap+Z393-$Z$1)/APtoDPS*OHnorm)*(1+sa*0.1)*(0.5+0.05*dws)+avipdam,Slayer4value*((1+0.04*opp)*(MHavg+101+(ap+Z393-$Z$1)/APtoDPS*MHnorm+(0.5+0.05*dws)*(ohavg+(ap+Z393-$Z$1)/APtoDPS*OHnorm)+101*(1+0.1*dws))*(1+0.5*IF(Talents!$O$18="Yes",1,0)))))))*(instactualhit+(1+((leth*0.06+2)-1)*(cfact-1))*instactualcrit)*fwfactor*AB393*instsec*(AF393/$AN$45))</f>
        <v>0</v>
      </c>
      <c r="AH393" s="25">
        <f t="shared" si="245"/>
        <v>0</v>
      </c>
      <c r="AI393" s="25">
        <f t="shared" si="246"/>
        <v>0</v>
      </c>
      <c r="AJ393" s="25">
        <f t="shared" si="247"/>
        <v>0</v>
      </c>
    </row>
    <row r="394" spans="1:36">
      <c r="A394">
        <f t="shared" si="228"/>
        <v>-1</v>
      </c>
      <c r="B394">
        <f t="shared" si="236"/>
        <v>6</v>
      </c>
      <c r="C394">
        <f t="shared" si="214"/>
        <v>300</v>
      </c>
      <c r="D394">
        <f t="shared" si="229"/>
        <v>0</v>
      </c>
      <c r="E394">
        <f t="shared" si="248"/>
        <v>5</v>
      </c>
      <c r="F394">
        <f t="shared" si="215"/>
        <v>360</v>
      </c>
      <c r="G394">
        <f t="shared" si="230"/>
        <v>0</v>
      </c>
      <c r="H394">
        <f t="shared" si="237"/>
        <v>4</v>
      </c>
      <c r="I394">
        <f t="shared" si="216"/>
        <v>360</v>
      </c>
      <c r="J394">
        <f t="shared" si="231"/>
        <v>0</v>
      </c>
      <c r="K394">
        <f t="shared" si="238"/>
        <v>3</v>
      </c>
      <c r="L394">
        <f t="shared" si="217"/>
        <v>360</v>
      </c>
      <c r="M394">
        <f t="shared" si="232"/>
        <v>0</v>
      </c>
      <c r="N394">
        <f t="shared" si="239"/>
        <v>2</v>
      </c>
      <c r="O394">
        <f t="shared" si="218"/>
        <v>300</v>
      </c>
      <c r="P394">
        <f t="shared" si="240"/>
        <v>0</v>
      </c>
      <c r="Q394">
        <f t="shared" si="241"/>
        <v>2</v>
      </c>
      <c r="R394">
        <f t="shared" si="219"/>
        <v>300</v>
      </c>
      <c r="S394">
        <f t="shared" si="242"/>
        <v>0</v>
      </c>
      <c r="T394">
        <f t="shared" si="243"/>
        <v>-1</v>
      </c>
      <c r="U394">
        <f t="shared" si="233"/>
        <v>1</v>
      </c>
      <c r="V394">
        <f t="shared" si="234"/>
        <v>1</v>
      </c>
      <c r="W394">
        <f t="shared" si="220"/>
        <v>0</v>
      </c>
      <c r="X394">
        <f t="shared" si="244"/>
        <v>0</v>
      </c>
      <c r="Y394">
        <f t="shared" si="221"/>
        <v>0</v>
      </c>
      <c r="Z394">
        <f t="shared" si="222"/>
        <v>0</v>
      </c>
      <c r="AA394">
        <f t="shared" si="223"/>
        <v>0</v>
      </c>
      <c r="AB394" s="29">
        <f t="shared" si="224"/>
        <v>0</v>
      </c>
      <c r="AC394" s="25">
        <f t="shared" si="225"/>
        <v>0</v>
      </c>
      <c r="AD394" s="29">
        <f t="shared" si="226"/>
        <v>0</v>
      </c>
      <c r="AE394" s="25">
        <f t="shared" si="235"/>
        <v>0</v>
      </c>
      <c r="AF394" s="25">
        <f t="shared" si="227"/>
        <v>0</v>
      </c>
      <c r="AG394" s="25">
        <f>IF($A394&lt;0,0,IF(instatk="bs",(1.5+talSCallInstBon)*(MHavg+(ap+Z394-$Z$1)/APtoDPS*MHnorm+170)*(1+sa*0.1+0.04*opp+0.02*agg+Slayer4value-1),IF(instatk="hemo",Slayer4value*(MHavg+(ap+Z394-$Z$1)/APtoDPS*MHnorm)*(1.1+talSCallInstBon)+420*(1+raidcrit)*debuffon,IF(instatk="ss",(MHavg+(ap+Z394-$Z$1)/APtoDPS*MHnorm+98)*(1+sa*0.1+0.02*agg+Slayer4value-1),IF(instatk="v",(ohavg+(ap+Z394-$Z$1)/APtoDPS*OHnorm)*(1+sa*0.1)*(0.5+0.05*dws)+avipdam,Slayer4value*((1+0.04*opp)*(MHavg+101+(ap+Z394-$Z$1)/APtoDPS*MHnorm+(0.5+0.05*dws)*(ohavg+(ap+Z394-$Z$1)/APtoDPS*OHnorm)+101*(1+0.1*dws))*(1+0.5*IF(Talents!$O$18="Yes",1,0)))))))*(instactualhit+(1+((leth*0.06+2)-1)*(cfact-1))*instactualcrit)*fwfactor*AB394*instsec*(AF394/$AN$45))</f>
        <v>0</v>
      </c>
      <c r="AH394" s="25">
        <f t="shared" si="245"/>
        <v>0</v>
      </c>
      <c r="AI394" s="25">
        <f t="shared" si="246"/>
        <v>0</v>
      </c>
      <c r="AJ394" s="25">
        <f t="shared" si="247"/>
        <v>0</v>
      </c>
    </row>
    <row r="395" spans="1:36">
      <c r="A395">
        <f t="shared" si="228"/>
        <v>-1</v>
      </c>
      <c r="B395">
        <f t="shared" si="236"/>
        <v>6</v>
      </c>
      <c r="C395">
        <f t="shared" si="214"/>
        <v>300</v>
      </c>
      <c r="D395">
        <f t="shared" si="229"/>
        <v>0</v>
      </c>
      <c r="E395">
        <f t="shared" si="248"/>
        <v>5</v>
      </c>
      <c r="F395">
        <f t="shared" si="215"/>
        <v>360</v>
      </c>
      <c r="G395">
        <f t="shared" si="230"/>
        <v>0</v>
      </c>
      <c r="H395">
        <f t="shared" si="237"/>
        <v>4</v>
      </c>
      <c r="I395">
        <f t="shared" si="216"/>
        <v>360</v>
      </c>
      <c r="J395">
        <f t="shared" si="231"/>
        <v>0</v>
      </c>
      <c r="K395">
        <f t="shared" si="238"/>
        <v>3</v>
      </c>
      <c r="L395">
        <f t="shared" si="217"/>
        <v>360</v>
      </c>
      <c r="M395">
        <f t="shared" si="232"/>
        <v>0</v>
      </c>
      <c r="N395">
        <f t="shared" si="239"/>
        <v>2</v>
      </c>
      <c r="O395">
        <f t="shared" si="218"/>
        <v>300</v>
      </c>
      <c r="P395">
        <f t="shared" si="240"/>
        <v>0</v>
      </c>
      <c r="Q395">
        <f t="shared" si="241"/>
        <v>2</v>
      </c>
      <c r="R395">
        <f t="shared" si="219"/>
        <v>300</v>
      </c>
      <c r="S395">
        <f t="shared" si="242"/>
        <v>0</v>
      </c>
      <c r="T395">
        <f t="shared" si="243"/>
        <v>-1</v>
      </c>
      <c r="U395">
        <f t="shared" si="233"/>
        <v>1</v>
      </c>
      <c r="V395">
        <f t="shared" si="234"/>
        <v>1</v>
      </c>
      <c r="W395">
        <f t="shared" si="220"/>
        <v>0</v>
      </c>
      <c r="X395">
        <f t="shared" si="244"/>
        <v>0</v>
      </c>
      <c r="Y395">
        <f t="shared" si="221"/>
        <v>0</v>
      </c>
      <c r="Z395">
        <f t="shared" si="222"/>
        <v>0</v>
      </c>
      <c r="AA395">
        <f t="shared" si="223"/>
        <v>0</v>
      </c>
      <c r="AB395" s="29">
        <f t="shared" si="224"/>
        <v>0</v>
      </c>
      <c r="AC395" s="25">
        <f t="shared" si="225"/>
        <v>0</v>
      </c>
      <c r="AD395" s="29">
        <f t="shared" si="226"/>
        <v>0</v>
      </c>
      <c r="AE395" s="25">
        <f t="shared" si="235"/>
        <v>0</v>
      </c>
      <c r="AF395" s="25">
        <f t="shared" si="227"/>
        <v>0</v>
      </c>
      <c r="AG395" s="25">
        <f>IF($A395&lt;0,0,IF(instatk="bs",(1.5+talSCallInstBon)*(MHavg+(ap+Z395-$Z$1)/APtoDPS*MHnorm+170)*(1+sa*0.1+0.04*opp+0.02*agg+Slayer4value-1),IF(instatk="hemo",Slayer4value*(MHavg+(ap+Z395-$Z$1)/APtoDPS*MHnorm)*(1.1+talSCallInstBon)+420*(1+raidcrit)*debuffon,IF(instatk="ss",(MHavg+(ap+Z395-$Z$1)/APtoDPS*MHnorm+98)*(1+sa*0.1+0.02*agg+Slayer4value-1),IF(instatk="v",(ohavg+(ap+Z395-$Z$1)/APtoDPS*OHnorm)*(1+sa*0.1)*(0.5+0.05*dws)+avipdam,Slayer4value*((1+0.04*opp)*(MHavg+101+(ap+Z395-$Z$1)/APtoDPS*MHnorm+(0.5+0.05*dws)*(ohavg+(ap+Z395-$Z$1)/APtoDPS*OHnorm)+101*(1+0.1*dws))*(1+0.5*IF(Talents!$O$18="Yes",1,0)))))))*(instactualhit+(1+((leth*0.06+2)-1)*(cfact-1))*instactualcrit)*fwfactor*AB395*instsec*(AF395/$AN$45))</f>
        <v>0</v>
      </c>
      <c r="AH395" s="25">
        <f t="shared" si="245"/>
        <v>0</v>
      </c>
      <c r="AI395" s="25">
        <f t="shared" si="246"/>
        <v>0</v>
      </c>
      <c r="AJ395" s="25">
        <f t="shared" si="247"/>
        <v>0</v>
      </c>
    </row>
    <row r="396" spans="1:36">
      <c r="A396">
        <f t="shared" si="228"/>
        <v>-1</v>
      </c>
      <c r="B396">
        <f t="shared" si="236"/>
        <v>6</v>
      </c>
      <c r="C396">
        <f t="shared" si="214"/>
        <v>300</v>
      </c>
      <c r="D396">
        <f t="shared" si="229"/>
        <v>0</v>
      </c>
      <c r="E396">
        <f t="shared" si="248"/>
        <v>5</v>
      </c>
      <c r="F396">
        <f t="shared" si="215"/>
        <v>360</v>
      </c>
      <c r="G396">
        <f t="shared" si="230"/>
        <v>0</v>
      </c>
      <c r="H396">
        <f t="shared" si="237"/>
        <v>4</v>
      </c>
      <c r="I396">
        <f t="shared" si="216"/>
        <v>360</v>
      </c>
      <c r="J396">
        <f t="shared" si="231"/>
        <v>0</v>
      </c>
      <c r="K396">
        <f t="shared" si="238"/>
        <v>3</v>
      </c>
      <c r="L396">
        <f t="shared" si="217"/>
        <v>360</v>
      </c>
      <c r="M396">
        <f t="shared" si="232"/>
        <v>0</v>
      </c>
      <c r="N396">
        <f t="shared" si="239"/>
        <v>2</v>
      </c>
      <c r="O396">
        <f t="shared" si="218"/>
        <v>300</v>
      </c>
      <c r="P396">
        <f t="shared" si="240"/>
        <v>0</v>
      </c>
      <c r="Q396">
        <f t="shared" si="241"/>
        <v>2</v>
      </c>
      <c r="R396">
        <f t="shared" si="219"/>
        <v>300</v>
      </c>
      <c r="S396">
        <f t="shared" si="242"/>
        <v>0</v>
      </c>
      <c r="T396">
        <f t="shared" si="243"/>
        <v>-1</v>
      </c>
      <c r="U396">
        <f t="shared" si="233"/>
        <v>1</v>
      </c>
      <c r="V396">
        <f t="shared" si="234"/>
        <v>1</v>
      </c>
      <c r="W396">
        <f t="shared" si="220"/>
        <v>0</v>
      </c>
      <c r="X396">
        <f t="shared" si="244"/>
        <v>0</v>
      </c>
      <c r="Y396">
        <f t="shared" si="221"/>
        <v>0</v>
      </c>
      <c r="Z396">
        <f t="shared" si="222"/>
        <v>0</v>
      </c>
      <c r="AA396">
        <f t="shared" si="223"/>
        <v>0</v>
      </c>
      <c r="AB396" s="29">
        <f t="shared" si="224"/>
        <v>0</v>
      </c>
      <c r="AC396" s="25">
        <f t="shared" si="225"/>
        <v>0</v>
      </c>
      <c r="AD396" s="29">
        <f t="shared" si="226"/>
        <v>0</v>
      </c>
      <c r="AE396" s="25">
        <f t="shared" si="235"/>
        <v>0</v>
      </c>
      <c r="AF396" s="25">
        <f t="shared" si="227"/>
        <v>0</v>
      </c>
      <c r="AG396" s="25">
        <f>IF($A396&lt;0,0,IF(instatk="bs",(1.5+talSCallInstBon)*(MHavg+(ap+Z396-$Z$1)/APtoDPS*MHnorm+170)*(1+sa*0.1+0.04*opp+0.02*agg+Slayer4value-1),IF(instatk="hemo",Slayer4value*(MHavg+(ap+Z396-$Z$1)/APtoDPS*MHnorm)*(1.1+talSCallInstBon)+420*(1+raidcrit)*debuffon,IF(instatk="ss",(MHavg+(ap+Z396-$Z$1)/APtoDPS*MHnorm+98)*(1+sa*0.1+0.02*agg+Slayer4value-1),IF(instatk="v",(ohavg+(ap+Z396-$Z$1)/APtoDPS*OHnorm)*(1+sa*0.1)*(0.5+0.05*dws)+avipdam,Slayer4value*((1+0.04*opp)*(MHavg+101+(ap+Z396-$Z$1)/APtoDPS*MHnorm+(0.5+0.05*dws)*(ohavg+(ap+Z396-$Z$1)/APtoDPS*OHnorm)+101*(1+0.1*dws))*(1+0.5*IF(Talents!$O$18="Yes",1,0)))))))*(instactualhit+(1+((leth*0.06+2)-1)*(cfact-1))*instactualcrit)*fwfactor*AB396*instsec*(AF396/$AN$45))</f>
        <v>0</v>
      </c>
      <c r="AH396" s="25">
        <f t="shared" si="245"/>
        <v>0</v>
      </c>
      <c r="AI396" s="25">
        <f t="shared" si="246"/>
        <v>0</v>
      </c>
      <c r="AJ396" s="25">
        <f t="shared" si="247"/>
        <v>0</v>
      </c>
    </row>
    <row r="397" spans="1:36">
      <c r="A397">
        <f t="shared" si="228"/>
        <v>-1</v>
      </c>
      <c r="B397">
        <f t="shared" si="236"/>
        <v>6</v>
      </c>
      <c r="C397">
        <f t="shared" si="214"/>
        <v>300</v>
      </c>
      <c r="D397">
        <f t="shared" si="229"/>
        <v>0</v>
      </c>
      <c r="E397">
        <f t="shared" si="248"/>
        <v>5</v>
      </c>
      <c r="F397">
        <f t="shared" si="215"/>
        <v>360</v>
      </c>
      <c r="G397">
        <f t="shared" si="230"/>
        <v>0</v>
      </c>
      <c r="H397">
        <f t="shared" si="237"/>
        <v>4</v>
      </c>
      <c r="I397">
        <f t="shared" si="216"/>
        <v>360</v>
      </c>
      <c r="J397">
        <f t="shared" si="231"/>
        <v>0</v>
      </c>
      <c r="K397">
        <f t="shared" si="238"/>
        <v>3</v>
      </c>
      <c r="L397">
        <f t="shared" si="217"/>
        <v>360</v>
      </c>
      <c r="M397">
        <f t="shared" si="232"/>
        <v>0</v>
      </c>
      <c r="N397">
        <f t="shared" si="239"/>
        <v>2</v>
      </c>
      <c r="O397">
        <f t="shared" si="218"/>
        <v>300</v>
      </c>
      <c r="P397">
        <f t="shared" si="240"/>
        <v>0</v>
      </c>
      <c r="Q397">
        <f t="shared" si="241"/>
        <v>2</v>
      </c>
      <c r="R397">
        <f t="shared" si="219"/>
        <v>300</v>
      </c>
      <c r="S397">
        <f t="shared" si="242"/>
        <v>0</v>
      </c>
      <c r="T397">
        <f t="shared" si="243"/>
        <v>-1</v>
      </c>
      <c r="U397">
        <f t="shared" si="233"/>
        <v>1</v>
      </c>
      <c r="V397">
        <f t="shared" si="234"/>
        <v>1</v>
      </c>
      <c r="W397">
        <f t="shared" si="220"/>
        <v>0</v>
      </c>
      <c r="X397">
        <f t="shared" si="244"/>
        <v>0</v>
      </c>
      <c r="Y397">
        <f t="shared" si="221"/>
        <v>0</v>
      </c>
      <c r="Z397">
        <f t="shared" si="222"/>
        <v>0</v>
      </c>
      <c r="AA397">
        <f t="shared" si="223"/>
        <v>0</v>
      </c>
      <c r="AB397" s="29">
        <f t="shared" si="224"/>
        <v>0</v>
      </c>
      <c r="AC397" s="25">
        <f t="shared" si="225"/>
        <v>0</v>
      </c>
      <c r="AD397" s="29">
        <f t="shared" si="226"/>
        <v>0</v>
      </c>
      <c r="AE397" s="25">
        <f t="shared" si="235"/>
        <v>0</v>
      </c>
      <c r="AF397" s="25">
        <f t="shared" si="227"/>
        <v>0</v>
      </c>
      <c r="AG397" s="25">
        <f>IF($A397&lt;0,0,IF(instatk="bs",(1.5+talSCallInstBon)*(MHavg+(ap+Z397-$Z$1)/APtoDPS*MHnorm+170)*(1+sa*0.1+0.04*opp+0.02*agg+Slayer4value-1),IF(instatk="hemo",Slayer4value*(MHavg+(ap+Z397-$Z$1)/APtoDPS*MHnorm)*(1.1+talSCallInstBon)+420*(1+raidcrit)*debuffon,IF(instatk="ss",(MHavg+(ap+Z397-$Z$1)/APtoDPS*MHnorm+98)*(1+sa*0.1+0.02*agg+Slayer4value-1),IF(instatk="v",(ohavg+(ap+Z397-$Z$1)/APtoDPS*OHnorm)*(1+sa*0.1)*(0.5+0.05*dws)+avipdam,Slayer4value*((1+0.04*opp)*(MHavg+101+(ap+Z397-$Z$1)/APtoDPS*MHnorm+(0.5+0.05*dws)*(ohavg+(ap+Z397-$Z$1)/APtoDPS*OHnorm)+101*(1+0.1*dws))*(1+0.5*IF(Talents!$O$18="Yes",1,0)))))))*(instactualhit+(1+((leth*0.06+2)-1)*(cfact-1))*instactualcrit)*fwfactor*AB397*instsec*(AF397/$AN$45))</f>
        <v>0</v>
      </c>
      <c r="AH397" s="25">
        <f t="shared" si="245"/>
        <v>0</v>
      </c>
      <c r="AI397" s="25">
        <f t="shared" si="246"/>
        <v>0</v>
      </c>
      <c r="AJ397" s="25">
        <f t="shared" si="247"/>
        <v>0</v>
      </c>
    </row>
    <row r="398" spans="1:36">
      <c r="A398">
        <f t="shared" si="228"/>
        <v>-1</v>
      </c>
      <c r="B398">
        <f t="shared" si="236"/>
        <v>6</v>
      </c>
      <c r="C398">
        <f t="shared" si="214"/>
        <v>300</v>
      </c>
      <c r="D398">
        <f t="shared" si="229"/>
        <v>0</v>
      </c>
      <c r="E398">
        <f t="shared" si="248"/>
        <v>5</v>
      </c>
      <c r="F398">
        <f t="shared" si="215"/>
        <v>360</v>
      </c>
      <c r="G398">
        <f t="shared" si="230"/>
        <v>0</v>
      </c>
      <c r="H398">
        <f t="shared" si="237"/>
        <v>4</v>
      </c>
      <c r="I398">
        <f t="shared" si="216"/>
        <v>360</v>
      </c>
      <c r="J398">
        <f t="shared" si="231"/>
        <v>0</v>
      </c>
      <c r="K398">
        <f t="shared" si="238"/>
        <v>3</v>
      </c>
      <c r="L398">
        <f t="shared" si="217"/>
        <v>360</v>
      </c>
      <c r="M398">
        <f t="shared" si="232"/>
        <v>0</v>
      </c>
      <c r="N398">
        <f t="shared" si="239"/>
        <v>2</v>
      </c>
      <c r="O398">
        <f t="shared" si="218"/>
        <v>300</v>
      </c>
      <c r="P398">
        <f t="shared" si="240"/>
        <v>0</v>
      </c>
      <c r="Q398">
        <f t="shared" si="241"/>
        <v>2</v>
      </c>
      <c r="R398">
        <f t="shared" si="219"/>
        <v>300</v>
      </c>
      <c r="S398">
        <f t="shared" si="242"/>
        <v>0</v>
      </c>
      <c r="T398">
        <f t="shared" si="243"/>
        <v>-1</v>
      </c>
      <c r="U398">
        <f t="shared" si="233"/>
        <v>1</v>
      </c>
      <c r="V398">
        <f t="shared" si="234"/>
        <v>1</v>
      </c>
      <c r="W398">
        <f t="shared" si="220"/>
        <v>0</v>
      </c>
      <c r="X398">
        <f t="shared" si="244"/>
        <v>0</v>
      </c>
      <c r="Y398">
        <f t="shared" si="221"/>
        <v>0</v>
      </c>
      <c r="Z398">
        <f t="shared" si="222"/>
        <v>0</v>
      </c>
      <c r="AA398">
        <f t="shared" si="223"/>
        <v>0</v>
      </c>
      <c r="AB398" s="29">
        <f t="shared" si="224"/>
        <v>0</v>
      </c>
      <c r="AC398" s="25">
        <f t="shared" si="225"/>
        <v>0</v>
      </c>
      <c r="AD398" s="29">
        <f t="shared" si="226"/>
        <v>0</v>
      </c>
      <c r="AE398" s="25">
        <f t="shared" si="235"/>
        <v>0</v>
      </c>
      <c r="AF398" s="25">
        <f t="shared" si="227"/>
        <v>0</v>
      </c>
      <c r="AG398" s="25">
        <f>IF($A398&lt;0,0,IF(instatk="bs",(1.5+talSCallInstBon)*(MHavg+(ap+Z398-$Z$1)/APtoDPS*MHnorm+170)*(1+sa*0.1+0.04*opp+0.02*agg+Slayer4value-1),IF(instatk="hemo",Slayer4value*(MHavg+(ap+Z398-$Z$1)/APtoDPS*MHnorm)*(1.1+talSCallInstBon)+420*(1+raidcrit)*debuffon,IF(instatk="ss",(MHavg+(ap+Z398-$Z$1)/APtoDPS*MHnorm+98)*(1+sa*0.1+0.02*agg+Slayer4value-1),IF(instatk="v",(ohavg+(ap+Z398-$Z$1)/APtoDPS*OHnorm)*(1+sa*0.1)*(0.5+0.05*dws)+avipdam,Slayer4value*((1+0.04*opp)*(MHavg+101+(ap+Z398-$Z$1)/APtoDPS*MHnorm+(0.5+0.05*dws)*(ohavg+(ap+Z398-$Z$1)/APtoDPS*OHnorm)+101*(1+0.1*dws))*(1+0.5*IF(Talents!$O$18="Yes",1,0)))))))*(instactualhit+(1+((leth*0.06+2)-1)*(cfact-1))*instactualcrit)*fwfactor*AB398*instsec*(AF398/$AN$45))</f>
        <v>0</v>
      </c>
      <c r="AH398" s="25">
        <f t="shared" si="245"/>
        <v>0</v>
      </c>
      <c r="AI398" s="25">
        <f t="shared" si="246"/>
        <v>0</v>
      </c>
      <c r="AJ398" s="25">
        <f t="shared" si="247"/>
        <v>0</v>
      </c>
    </row>
    <row r="399" spans="1:36">
      <c r="A399">
        <f t="shared" si="228"/>
        <v>-1</v>
      </c>
      <c r="B399">
        <f t="shared" si="236"/>
        <v>6</v>
      </c>
      <c r="C399">
        <f t="shared" si="214"/>
        <v>300</v>
      </c>
      <c r="D399">
        <f t="shared" si="229"/>
        <v>0</v>
      </c>
      <c r="E399">
        <f t="shared" si="248"/>
        <v>5</v>
      </c>
      <c r="F399">
        <f t="shared" si="215"/>
        <v>360</v>
      </c>
      <c r="G399">
        <f t="shared" si="230"/>
        <v>0</v>
      </c>
      <c r="H399">
        <f t="shared" si="237"/>
        <v>4</v>
      </c>
      <c r="I399">
        <f t="shared" si="216"/>
        <v>360</v>
      </c>
      <c r="J399">
        <f t="shared" si="231"/>
        <v>0</v>
      </c>
      <c r="K399">
        <f t="shared" si="238"/>
        <v>3</v>
      </c>
      <c r="L399">
        <f t="shared" si="217"/>
        <v>360</v>
      </c>
      <c r="M399">
        <f t="shared" si="232"/>
        <v>0</v>
      </c>
      <c r="N399">
        <f t="shared" si="239"/>
        <v>2</v>
      </c>
      <c r="O399">
        <f t="shared" si="218"/>
        <v>300</v>
      </c>
      <c r="P399">
        <f t="shared" si="240"/>
        <v>0</v>
      </c>
      <c r="Q399">
        <f t="shared" si="241"/>
        <v>2</v>
      </c>
      <c r="R399">
        <f t="shared" si="219"/>
        <v>300</v>
      </c>
      <c r="S399">
        <f t="shared" si="242"/>
        <v>0</v>
      </c>
      <c r="T399">
        <f t="shared" si="243"/>
        <v>-1</v>
      </c>
      <c r="U399">
        <f t="shared" si="233"/>
        <v>1</v>
      </c>
      <c r="V399">
        <f t="shared" si="234"/>
        <v>1</v>
      </c>
      <c r="W399">
        <f t="shared" si="220"/>
        <v>0</v>
      </c>
      <c r="X399">
        <f t="shared" si="244"/>
        <v>0</v>
      </c>
      <c r="Y399">
        <f t="shared" si="221"/>
        <v>0</v>
      </c>
      <c r="Z399">
        <f t="shared" si="222"/>
        <v>0</v>
      </c>
      <c r="AA399">
        <f t="shared" si="223"/>
        <v>0</v>
      </c>
      <c r="AB399" s="29">
        <f t="shared" si="224"/>
        <v>0</v>
      </c>
      <c r="AC399" s="25">
        <f t="shared" si="225"/>
        <v>0</v>
      </c>
      <c r="AD399" s="29">
        <f t="shared" si="226"/>
        <v>0</v>
      </c>
      <c r="AE399" s="25">
        <f t="shared" si="235"/>
        <v>0</v>
      </c>
      <c r="AF399" s="25">
        <f t="shared" si="227"/>
        <v>0</v>
      </c>
      <c r="AG399" s="25">
        <f>IF($A399&lt;0,0,IF(instatk="bs",(1.5+talSCallInstBon)*(MHavg+(ap+Z399-$Z$1)/APtoDPS*MHnorm+170)*(1+sa*0.1+0.04*opp+0.02*agg+Slayer4value-1),IF(instatk="hemo",Slayer4value*(MHavg+(ap+Z399-$Z$1)/APtoDPS*MHnorm)*(1.1+talSCallInstBon)+420*(1+raidcrit)*debuffon,IF(instatk="ss",(MHavg+(ap+Z399-$Z$1)/APtoDPS*MHnorm+98)*(1+sa*0.1+0.02*agg+Slayer4value-1),IF(instatk="v",(ohavg+(ap+Z399-$Z$1)/APtoDPS*OHnorm)*(1+sa*0.1)*(0.5+0.05*dws)+avipdam,Slayer4value*((1+0.04*opp)*(MHavg+101+(ap+Z399-$Z$1)/APtoDPS*MHnorm+(0.5+0.05*dws)*(ohavg+(ap+Z399-$Z$1)/APtoDPS*OHnorm)+101*(1+0.1*dws))*(1+0.5*IF(Talents!$O$18="Yes",1,0)))))))*(instactualhit+(1+((leth*0.06+2)-1)*(cfact-1))*instactualcrit)*fwfactor*AB399*instsec*(AF399/$AN$45))</f>
        <v>0</v>
      </c>
      <c r="AH399" s="25">
        <f t="shared" si="245"/>
        <v>0</v>
      </c>
      <c r="AI399" s="25">
        <f t="shared" si="246"/>
        <v>0</v>
      </c>
      <c r="AJ399" s="25">
        <f t="shared" si="247"/>
        <v>0</v>
      </c>
    </row>
    <row r="400" spans="1:36">
      <c r="A400">
        <f t="shared" si="228"/>
        <v>-1</v>
      </c>
      <c r="B400">
        <f t="shared" si="236"/>
        <v>6</v>
      </c>
      <c r="C400">
        <f t="shared" si="214"/>
        <v>300</v>
      </c>
      <c r="D400">
        <f t="shared" si="229"/>
        <v>0</v>
      </c>
      <c r="E400">
        <f t="shared" si="248"/>
        <v>5</v>
      </c>
      <c r="F400">
        <f t="shared" si="215"/>
        <v>360</v>
      </c>
      <c r="G400">
        <f t="shared" si="230"/>
        <v>0</v>
      </c>
      <c r="H400">
        <f t="shared" si="237"/>
        <v>4</v>
      </c>
      <c r="I400">
        <f t="shared" si="216"/>
        <v>360</v>
      </c>
      <c r="J400">
        <f t="shared" si="231"/>
        <v>0</v>
      </c>
      <c r="K400">
        <f t="shared" si="238"/>
        <v>3</v>
      </c>
      <c r="L400">
        <f t="shared" si="217"/>
        <v>360</v>
      </c>
      <c r="M400">
        <f t="shared" si="232"/>
        <v>0</v>
      </c>
      <c r="N400">
        <f t="shared" si="239"/>
        <v>2</v>
      </c>
      <c r="O400">
        <f t="shared" si="218"/>
        <v>300</v>
      </c>
      <c r="P400">
        <f t="shared" si="240"/>
        <v>0</v>
      </c>
      <c r="Q400">
        <f t="shared" si="241"/>
        <v>2</v>
      </c>
      <c r="R400">
        <f t="shared" si="219"/>
        <v>300</v>
      </c>
      <c r="S400">
        <f t="shared" si="242"/>
        <v>0</v>
      </c>
      <c r="T400">
        <f t="shared" si="243"/>
        <v>-1</v>
      </c>
      <c r="U400">
        <f t="shared" si="233"/>
        <v>1</v>
      </c>
      <c r="V400">
        <f t="shared" si="234"/>
        <v>1</v>
      </c>
      <c r="W400">
        <f t="shared" si="220"/>
        <v>0</v>
      </c>
      <c r="X400">
        <f t="shared" si="244"/>
        <v>0</v>
      </c>
      <c r="Y400">
        <f t="shared" si="221"/>
        <v>0</v>
      </c>
      <c r="Z400">
        <f t="shared" si="222"/>
        <v>0</v>
      </c>
      <c r="AA400">
        <f t="shared" si="223"/>
        <v>0</v>
      </c>
      <c r="AB400" s="29">
        <f t="shared" si="224"/>
        <v>0</v>
      </c>
      <c r="AC400" s="25">
        <f t="shared" si="225"/>
        <v>0</v>
      </c>
      <c r="AD400" s="29">
        <f t="shared" si="226"/>
        <v>0</v>
      </c>
      <c r="AE400" s="25">
        <f t="shared" si="235"/>
        <v>0</v>
      </c>
      <c r="AF400" s="25">
        <f t="shared" si="227"/>
        <v>0</v>
      </c>
      <c r="AG400" s="25">
        <f>IF($A400&lt;0,0,IF(instatk="bs",(1.5+talSCallInstBon)*(MHavg+(ap+Z400-$Z$1)/APtoDPS*MHnorm+170)*(1+sa*0.1+0.04*opp+0.02*agg+Slayer4value-1),IF(instatk="hemo",Slayer4value*(MHavg+(ap+Z400-$Z$1)/APtoDPS*MHnorm)*(1.1+talSCallInstBon)+420*(1+raidcrit)*debuffon,IF(instatk="ss",(MHavg+(ap+Z400-$Z$1)/APtoDPS*MHnorm+98)*(1+sa*0.1+0.02*agg+Slayer4value-1),IF(instatk="v",(ohavg+(ap+Z400-$Z$1)/APtoDPS*OHnorm)*(1+sa*0.1)*(0.5+0.05*dws)+avipdam,Slayer4value*((1+0.04*opp)*(MHavg+101+(ap+Z400-$Z$1)/APtoDPS*MHnorm+(0.5+0.05*dws)*(ohavg+(ap+Z400-$Z$1)/APtoDPS*OHnorm)+101*(1+0.1*dws))*(1+0.5*IF(Talents!$O$18="Yes",1,0)))))))*(instactualhit+(1+((leth*0.06+2)-1)*(cfact-1))*instactualcrit)*fwfactor*AB400*instsec*(AF400/$AN$45))</f>
        <v>0</v>
      </c>
      <c r="AH400" s="25">
        <f t="shared" si="245"/>
        <v>0</v>
      </c>
      <c r="AI400" s="25">
        <f t="shared" si="246"/>
        <v>0</v>
      </c>
      <c r="AJ400" s="25">
        <f t="shared" si="247"/>
        <v>0</v>
      </c>
    </row>
    <row r="401" spans="1:36">
      <c r="A401">
        <f t="shared" si="228"/>
        <v>-1</v>
      </c>
      <c r="B401">
        <f t="shared" si="236"/>
        <v>6</v>
      </c>
      <c r="C401">
        <f t="shared" si="214"/>
        <v>300</v>
      </c>
      <c r="D401">
        <f t="shared" si="229"/>
        <v>0</v>
      </c>
      <c r="E401">
        <f t="shared" si="248"/>
        <v>5</v>
      </c>
      <c r="F401">
        <f t="shared" si="215"/>
        <v>360</v>
      </c>
      <c r="G401">
        <f t="shared" si="230"/>
        <v>0</v>
      </c>
      <c r="H401">
        <f t="shared" si="237"/>
        <v>4</v>
      </c>
      <c r="I401">
        <f t="shared" si="216"/>
        <v>360</v>
      </c>
      <c r="J401">
        <f t="shared" si="231"/>
        <v>0</v>
      </c>
      <c r="K401">
        <f t="shared" si="238"/>
        <v>3</v>
      </c>
      <c r="L401">
        <f t="shared" si="217"/>
        <v>360</v>
      </c>
      <c r="M401">
        <f t="shared" si="232"/>
        <v>0</v>
      </c>
      <c r="N401">
        <f t="shared" si="239"/>
        <v>2</v>
      </c>
      <c r="O401">
        <f t="shared" si="218"/>
        <v>300</v>
      </c>
      <c r="P401">
        <f t="shared" si="240"/>
        <v>0</v>
      </c>
      <c r="Q401">
        <f t="shared" si="241"/>
        <v>2</v>
      </c>
      <c r="R401">
        <f t="shared" si="219"/>
        <v>300</v>
      </c>
      <c r="S401">
        <f t="shared" si="242"/>
        <v>0</v>
      </c>
      <c r="T401">
        <f t="shared" si="243"/>
        <v>-1</v>
      </c>
      <c r="U401">
        <f t="shared" si="233"/>
        <v>1</v>
      </c>
      <c r="V401">
        <f t="shared" si="234"/>
        <v>1</v>
      </c>
      <c r="W401">
        <f t="shared" si="220"/>
        <v>0</v>
      </c>
      <c r="X401">
        <f t="shared" si="244"/>
        <v>0</v>
      </c>
      <c r="Y401">
        <f t="shared" si="221"/>
        <v>0</v>
      </c>
      <c r="Z401">
        <f t="shared" si="222"/>
        <v>0</v>
      </c>
      <c r="AA401">
        <f t="shared" si="223"/>
        <v>0</v>
      </c>
      <c r="AB401" s="29">
        <f t="shared" si="224"/>
        <v>0</v>
      </c>
      <c r="AC401" s="25">
        <f t="shared" si="225"/>
        <v>0</v>
      </c>
      <c r="AD401" s="29">
        <f t="shared" si="226"/>
        <v>0</v>
      </c>
      <c r="AE401" s="25">
        <f t="shared" si="235"/>
        <v>0</v>
      </c>
      <c r="AF401" s="25">
        <f t="shared" si="227"/>
        <v>0</v>
      </c>
      <c r="AG401" s="25">
        <f>IF($A401&lt;0,0,IF(instatk="bs",(1.5+talSCallInstBon)*(MHavg+(ap+Z401-$Z$1)/APtoDPS*MHnorm+170)*(1+sa*0.1+0.04*opp+0.02*agg+Slayer4value-1),IF(instatk="hemo",Slayer4value*(MHavg+(ap+Z401-$Z$1)/APtoDPS*MHnorm)*(1.1+talSCallInstBon)+420*(1+raidcrit)*debuffon,IF(instatk="ss",(MHavg+(ap+Z401-$Z$1)/APtoDPS*MHnorm+98)*(1+sa*0.1+0.02*agg+Slayer4value-1),IF(instatk="v",(ohavg+(ap+Z401-$Z$1)/APtoDPS*OHnorm)*(1+sa*0.1)*(0.5+0.05*dws)+avipdam,Slayer4value*((1+0.04*opp)*(MHavg+101+(ap+Z401-$Z$1)/APtoDPS*MHnorm+(0.5+0.05*dws)*(ohavg+(ap+Z401-$Z$1)/APtoDPS*OHnorm)+101*(1+0.1*dws))*(1+0.5*IF(Talents!$O$18="Yes",1,0)))))))*(instactualhit+(1+((leth*0.06+2)-1)*(cfact-1))*instactualcrit)*fwfactor*AB401*instsec*(AF401/$AN$45))</f>
        <v>0</v>
      </c>
      <c r="AH401" s="25">
        <f t="shared" si="245"/>
        <v>0</v>
      </c>
      <c r="AI401" s="25">
        <f t="shared" si="246"/>
        <v>0</v>
      </c>
      <c r="AJ401" s="25">
        <f t="shared" si="247"/>
        <v>0</v>
      </c>
    </row>
    <row r="402" spans="1:36">
      <c r="A402">
        <f t="shared" si="228"/>
        <v>-1</v>
      </c>
      <c r="B402">
        <f t="shared" si="236"/>
        <v>6</v>
      </c>
      <c r="C402">
        <f t="shared" si="214"/>
        <v>300</v>
      </c>
      <c r="D402">
        <f t="shared" si="229"/>
        <v>0</v>
      </c>
      <c r="E402">
        <f t="shared" si="248"/>
        <v>5</v>
      </c>
      <c r="F402">
        <f t="shared" si="215"/>
        <v>360</v>
      </c>
      <c r="G402">
        <f t="shared" si="230"/>
        <v>0</v>
      </c>
      <c r="H402">
        <f t="shared" si="237"/>
        <v>4</v>
      </c>
      <c r="I402">
        <f t="shared" si="216"/>
        <v>360</v>
      </c>
      <c r="J402">
        <f t="shared" si="231"/>
        <v>0</v>
      </c>
      <c r="K402">
        <f t="shared" si="238"/>
        <v>3</v>
      </c>
      <c r="L402">
        <f t="shared" si="217"/>
        <v>360</v>
      </c>
      <c r="M402">
        <f t="shared" si="232"/>
        <v>0</v>
      </c>
      <c r="N402">
        <f t="shared" si="239"/>
        <v>2</v>
      </c>
      <c r="O402">
        <f t="shared" si="218"/>
        <v>300</v>
      </c>
      <c r="P402">
        <f t="shared" si="240"/>
        <v>0</v>
      </c>
      <c r="Q402">
        <f t="shared" si="241"/>
        <v>2</v>
      </c>
      <c r="R402">
        <f t="shared" si="219"/>
        <v>300</v>
      </c>
      <c r="S402">
        <f t="shared" si="242"/>
        <v>0</v>
      </c>
      <c r="T402">
        <f t="shared" si="243"/>
        <v>-1</v>
      </c>
      <c r="U402">
        <f t="shared" si="233"/>
        <v>1</v>
      </c>
      <c r="V402">
        <f t="shared" si="234"/>
        <v>1</v>
      </c>
      <c r="W402">
        <f t="shared" si="220"/>
        <v>0</v>
      </c>
      <c r="X402">
        <f t="shared" si="244"/>
        <v>0</v>
      </c>
      <c r="Y402">
        <f t="shared" si="221"/>
        <v>0</v>
      </c>
      <c r="Z402">
        <f t="shared" si="222"/>
        <v>0</v>
      </c>
      <c r="AA402">
        <f t="shared" si="223"/>
        <v>0</v>
      </c>
      <c r="AB402" s="29">
        <f t="shared" si="224"/>
        <v>0</v>
      </c>
      <c r="AC402" s="25">
        <f t="shared" si="225"/>
        <v>0</v>
      </c>
      <c r="AD402" s="29">
        <f t="shared" si="226"/>
        <v>0</v>
      </c>
      <c r="AE402" s="25">
        <f t="shared" si="235"/>
        <v>0</v>
      </c>
      <c r="AF402" s="25">
        <f t="shared" si="227"/>
        <v>0</v>
      </c>
      <c r="AG402" s="25">
        <f>IF($A402&lt;0,0,IF(instatk="bs",(1.5+talSCallInstBon)*(MHavg+(ap+Z402-$Z$1)/APtoDPS*MHnorm+170)*(1+sa*0.1+0.04*opp+0.02*agg+Slayer4value-1),IF(instatk="hemo",Slayer4value*(MHavg+(ap+Z402-$Z$1)/APtoDPS*MHnorm)*(1.1+talSCallInstBon)+420*(1+raidcrit)*debuffon,IF(instatk="ss",(MHavg+(ap+Z402-$Z$1)/APtoDPS*MHnorm+98)*(1+sa*0.1+0.02*agg+Slayer4value-1),IF(instatk="v",(ohavg+(ap+Z402-$Z$1)/APtoDPS*OHnorm)*(1+sa*0.1)*(0.5+0.05*dws)+avipdam,Slayer4value*((1+0.04*opp)*(MHavg+101+(ap+Z402-$Z$1)/APtoDPS*MHnorm+(0.5+0.05*dws)*(ohavg+(ap+Z402-$Z$1)/APtoDPS*OHnorm)+101*(1+0.1*dws))*(1+0.5*IF(Talents!$O$18="Yes",1,0)))))))*(instactualhit+(1+((leth*0.06+2)-1)*(cfact-1))*instactualcrit)*fwfactor*AB402*instsec*(AF402/$AN$45))</f>
        <v>0</v>
      </c>
      <c r="AH402" s="25">
        <f t="shared" si="245"/>
        <v>0</v>
      </c>
      <c r="AI402" s="25">
        <f t="shared" si="246"/>
        <v>0</v>
      </c>
      <c r="AJ402" s="25">
        <f t="shared" si="247"/>
        <v>0</v>
      </c>
    </row>
    <row r="403" spans="1:36">
      <c r="A403">
        <f t="shared" si="228"/>
        <v>-1</v>
      </c>
      <c r="B403">
        <f t="shared" si="236"/>
        <v>6</v>
      </c>
      <c r="C403">
        <f t="shared" si="214"/>
        <v>300</v>
      </c>
      <c r="D403">
        <f t="shared" si="229"/>
        <v>0</v>
      </c>
      <c r="E403">
        <f t="shared" si="248"/>
        <v>5</v>
      </c>
      <c r="F403">
        <f t="shared" si="215"/>
        <v>360</v>
      </c>
      <c r="G403">
        <f t="shared" si="230"/>
        <v>0</v>
      </c>
      <c r="H403">
        <f t="shared" si="237"/>
        <v>4</v>
      </c>
      <c r="I403">
        <f t="shared" si="216"/>
        <v>360</v>
      </c>
      <c r="J403">
        <f t="shared" si="231"/>
        <v>0</v>
      </c>
      <c r="K403">
        <f t="shared" si="238"/>
        <v>3</v>
      </c>
      <c r="L403">
        <f t="shared" si="217"/>
        <v>360</v>
      </c>
      <c r="M403">
        <f t="shared" si="232"/>
        <v>0</v>
      </c>
      <c r="N403">
        <f t="shared" si="239"/>
        <v>2</v>
      </c>
      <c r="O403">
        <f t="shared" si="218"/>
        <v>300</v>
      </c>
      <c r="P403">
        <f t="shared" si="240"/>
        <v>0</v>
      </c>
      <c r="Q403">
        <f t="shared" si="241"/>
        <v>2</v>
      </c>
      <c r="R403">
        <f t="shared" si="219"/>
        <v>300</v>
      </c>
      <c r="S403">
        <f t="shared" si="242"/>
        <v>0</v>
      </c>
      <c r="T403">
        <f t="shared" si="243"/>
        <v>-1</v>
      </c>
      <c r="U403">
        <f t="shared" si="233"/>
        <v>1</v>
      </c>
      <c r="V403">
        <f t="shared" si="234"/>
        <v>1</v>
      </c>
      <c r="W403">
        <f t="shared" si="220"/>
        <v>0</v>
      </c>
      <c r="X403">
        <f t="shared" si="244"/>
        <v>0</v>
      </c>
      <c r="Y403">
        <f t="shared" si="221"/>
        <v>0</v>
      </c>
      <c r="Z403">
        <f t="shared" si="222"/>
        <v>0</v>
      </c>
      <c r="AA403">
        <f t="shared" si="223"/>
        <v>0</v>
      </c>
      <c r="AB403" s="29">
        <f t="shared" si="224"/>
        <v>0</v>
      </c>
      <c r="AC403" s="25">
        <f t="shared" si="225"/>
        <v>0</v>
      </c>
      <c r="AD403" s="29">
        <f t="shared" si="226"/>
        <v>0</v>
      </c>
      <c r="AE403" s="25">
        <f t="shared" si="235"/>
        <v>0</v>
      </c>
      <c r="AF403" s="25">
        <f t="shared" si="227"/>
        <v>0</v>
      </c>
      <c r="AG403" s="25">
        <f>IF($A403&lt;0,0,IF(instatk="bs",(1.5+talSCallInstBon)*(MHavg+(ap+Z403-$Z$1)/APtoDPS*MHnorm+170)*(1+sa*0.1+0.04*opp+0.02*agg+Slayer4value-1),IF(instatk="hemo",Slayer4value*(MHavg+(ap+Z403-$Z$1)/APtoDPS*MHnorm)*(1.1+talSCallInstBon)+420*(1+raidcrit)*debuffon,IF(instatk="ss",(MHavg+(ap+Z403-$Z$1)/APtoDPS*MHnorm+98)*(1+sa*0.1+0.02*agg+Slayer4value-1),IF(instatk="v",(ohavg+(ap+Z403-$Z$1)/APtoDPS*OHnorm)*(1+sa*0.1)*(0.5+0.05*dws)+avipdam,Slayer4value*((1+0.04*opp)*(MHavg+101+(ap+Z403-$Z$1)/APtoDPS*MHnorm+(0.5+0.05*dws)*(ohavg+(ap+Z403-$Z$1)/APtoDPS*OHnorm)+101*(1+0.1*dws))*(1+0.5*IF(Talents!$O$18="Yes",1,0)))))))*(instactualhit+(1+((leth*0.06+2)-1)*(cfact-1))*instactualcrit)*fwfactor*AB403*instsec*(AF403/$AN$45))</f>
        <v>0</v>
      </c>
      <c r="AH403" s="25">
        <f t="shared" si="245"/>
        <v>0</v>
      </c>
      <c r="AI403" s="25">
        <f t="shared" si="246"/>
        <v>0</v>
      </c>
      <c r="AJ403" s="25">
        <f t="shared" si="247"/>
        <v>0</v>
      </c>
    </row>
    <row r="404" spans="1:36">
      <c r="A404">
        <f t="shared" si="228"/>
        <v>-1</v>
      </c>
      <c r="B404">
        <f t="shared" si="236"/>
        <v>6</v>
      </c>
      <c r="C404">
        <f t="shared" si="214"/>
        <v>300</v>
      </c>
      <c r="D404">
        <f t="shared" si="229"/>
        <v>0</v>
      </c>
      <c r="E404">
        <f t="shared" si="248"/>
        <v>5</v>
      </c>
      <c r="F404">
        <f t="shared" si="215"/>
        <v>360</v>
      </c>
      <c r="G404">
        <f t="shared" si="230"/>
        <v>0</v>
      </c>
      <c r="H404">
        <f t="shared" si="237"/>
        <v>4</v>
      </c>
      <c r="I404">
        <f t="shared" si="216"/>
        <v>360</v>
      </c>
      <c r="J404">
        <f t="shared" si="231"/>
        <v>0</v>
      </c>
      <c r="K404">
        <f t="shared" si="238"/>
        <v>3</v>
      </c>
      <c r="L404">
        <f t="shared" si="217"/>
        <v>360</v>
      </c>
      <c r="M404">
        <f t="shared" si="232"/>
        <v>0</v>
      </c>
      <c r="N404">
        <f t="shared" si="239"/>
        <v>2</v>
      </c>
      <c r="O404">
        <f t="shared" si="218"/>
        <v>300</v>
      </c>
      <c r="P404">
        <f t="shared" si="240"/>
        <v>0</v>
      </c>
      <c r="Q404">
        <f t="shared" si="241"/>
        <v>2</v>
      </c>
      <c r="R404">
        <f t="shared" si="219"/>
        <v>300</v>
      </c>
      <c r="S404">
        <f t="shared" si="242"/>
        <v>0</v>
      </c>
      <c r="T404">
        <f t="shared" si="243"/>
        <v>-1</v>
      </c>
      <c r="U404">
        <f t="shared" si="233"/>
        <v>1</v>
      </c>
      <c r="V404">
        <f t="shared" si="234"/>
        <v>1</v>
      </c>
      <c r="W404">
        <f t="shared" si="220"/>
        <v>0</v>
      </c>
      <c r="X404">
        <f t="shared" si="244"/>
        <v>0</v>
      </c>
      <c r="Y404">
        <f t="shared" si="221"/>
        <v>0</v>
      </c>
      <c r="Z404">
        <f t="shared" si="222"/>
        <v>0</v>
      </c>
      <c r="AA404">
        <f t="shared" si="223"/>
        <v>0</v>
      </c>
      <c r="AB404" s="29">
        <f t="shared" si="224"/>
        <v>0</v>
      </c>
      <c r="AC404" s="25">
        <f t="shared" si="225"/>
        <v>0</v>
      </c>
      <c r="AD404" s="29">
        <f t="shared" si="226"/>
        <v>0</v>
      </c>
      <c r="AE404" s="25">
        <f t="shared" si="235"/>
        <v>0</v>
      </c>
      <c r="AF404" s="25">
        <f t="shared" si="227"/>
        <v>0</v>
      </c>
      <c r="AG404" s="25">
        <f>IF($A404&lt;0,0,IF(instatk="bs",(1.5+talSCallInstBon)*(MHavg+(ap+Z404-$Z$1)/APtoDPS*MHnorm+170)*(1+sa*0.1+0.04*opp+0.02*agg+Slayer4value-1),IF(instatk="hemo",Slayer4value*(MHavg+(ap+Z404-$Z$1)/APtoDPS*MHnorm)*(1.1+talSCallInstBon)+420*(1+raidcrit)*debuffon,IF(instatk="ss",(MHavg+(ap+Z404-$Z$1)/APtoDPS*MHnorm+98)*(1+sa*0.1+0.02*agg+Slayer4value-1),IF(instatk="v",(ohavg+(ap+Z404-$Z$1)/APtoDPS*OHnorm)*(1+sa*0.1)*(0.5+0.05*dws)+avipdam,Slayer4value*((1+0.04*opp)*(MHavg+101+(ap+Z404-$Z$1)/APtoDPS*MHnorm+(0.5+0.05*dws)*(ohavg+(ap+Z404-$Z$1)/APtoDPS*OHnorm)+101*(1+0.1*dws))*(1+0.5*IF(Talents!$O$18="Yes",1,0)))))))*(instactualhit+(1+((leth*0.06+2)-1)*(cfact-1))*instactualcrit)*fwfactor*AB404*instsec*(AF404/$AN$45))</f>
        <v>0</v>
      </c>
      <c r="AH404" s="25">
        <f t="shared" si="245"/>
        <v>0</v>
      </c>
      <c r="AI404" s="25">
        <f t="shared" si="246"/>
        <v>0</v>
      </c>
      <c r="AJ404" s="25">
        <f t="shared" si="247"/>
        <v>0</v>
      </c>
    </row>
    <row r="405" spans="1:36">
      <c r="A405">
        <f t="shared" si="228"/>
        <v>-1</v>
      </c>
      <c r="B405">
        <f t="shared" si="236"/>
        <v>6</v>
      </c>
      <c r="C405">
        <f t="shared" si="214"/>
        <v>300</v>
      </c>
      <c r="D405">
        <f t="shared" si="229"/>
        <v>0</v>
      </c>
      <c r="E405">
        <f t="shared" si="248"/>
        <v>5</v>
      </c>
      <c r="F405">
        <f t="shared" si="215"/>
        <v>360</v>
      </c>
      <c r="G405">
        <f t="shared" si="230"/>
        <v>0</v>
      </c>
      <c r="H405">
        <f t="shared" si="237"/>
        <v>4</v>
      </c>
      <c r="I405">
        <f t="shared" si="216"/>
        <v>360</v>
      </c>
      <c r="J405">
        <f t="shared" si="231"/>
        <v>0</v>
      </c>
      <c r="K405">
        <f t="shared" si="238"/>
        <v>3</v>
      </c>
      <c r="L405">
        <f t="shared" si="217"/>
        <v>360</v>
      </c>
      <c r="M405">
        <f t="shared" si="232"/>
        <v>0</v>
      </c>
      <c r="N405">
        <f t="shared" si="239"/>
        <v>2</v>
      </c>
      <c r="O405">
        <f t="shared" si="218"/>
        <v>300</v>
      </c>
      <c r="P405">
        <f t="shared" si="240"/>
        <v>0</v>
      </c>
      <c r="Q405">
        <f t="shared" si="241"/>
        <v>2</v>
      </c>
      <c r="R405">
        <f t="shared" si="219"/>
        <v>300</v>
      </c>
      <c r="S405">
        <f t="shared" si="242"/>
        <v>0</v>
      </c>
      <c r="T405">
        <f t="shared" si="243"/>
        <v>-1</v>
      </c>
      <c r="U405">
        <f t="shared" si="233"/>
        <v>1</v>
      </c>
      <c r="V405">
        <f t="shared" si="234"/>
        <v>1</v>
      </c>
      <c r="W405">
        <f t="shared" si="220"/>
        <v>0</v>
      </c>
      <c r="X405">
        <f t="shared" si="244"/>
        <v>0</v>
      </c>
      <c r="Y405">
        <f t="shared" si="221"/>
        <v>0</v>
      </c>
      <c r="Z405">
        <f t="shared" si="222"/>
        <v>0</v>
      </c>
      <c r="AA405">
        <f t="shared" si="223"/>
        <v>0</v>
      </c>
      <c r="AB405" s="29">
        <f t="shared" si="224"/>
        <v>0</v>
      </c>
      <c r="AC405" s="25">
        <f t="shared" si="225"/>
        <v>0</v>
      </c>
      <c r="AD405" s="29">
        <f t="shared" si="226"/>
        <v>0</v>
      </c>
      <c r="AE405" s="25">
        <f t="shared" si="235"/>
        <v>0</v>
      </c>
      <c r="AF405" s="25">
        <f t="shared" si="227"/>
        <v>0</v>
      </c>
      <c r="AG405" s="25">
        <f>IF($A405&lt;0,0,IF(instatk="bs",(1.5+talSCallInstBon)*(MHavg+(ap+Z405-$Z$1)/APtoDPS*MHnorm+170)*(1+sa*0.1+0.04*opp+0.02*agg+Slayer4value-1),IF(instatk="hemo",Slayer4value*(MHavg+(ap+Z405-$Z$1)/APtoDPS*MHnorm)*(1.1+talSCallInstBon)+420*(1+raidcrit)*debuffon,IF(instatk="ss",(MHavg+(ap+Z405-$Z$1)/APtoDPS*MHnorm+98)*(1+sa*0.1+0.02*agg+Slayer4value-1),IF(instatk="v",(ohavg+(ap+Z405-$Z$1)/APtoDPS*OHnorm)*(1+sa*0.1)*(0.5+0.05*dws)+avipdam,Slayer4value*((1+0.04*opp)*(MHavg+101+(ap+Z405-$Z$1)/APtoDPS*MHnorm+(0.5+0.05*dws)*(ohavg+(ap+Z405-$Z$1)/APtoDPS*OHnorm)+101*(1+0.1*dws))*(1+0.5*IF(Talents!$O$18="Yes",1,0)))))))*(instactualhit+(1+((leth*0.06+2)-1)*(cfact-1))*instactualcrit)*fwfactor*AB405*instsec*(AF405/$AN$45))</f>
        <v>0</v>
      </c>
      <c r="AH405" s="25">
        <f t="shared" si="245"/>
        <v>0</v>
      </c>
      <c r="AI405" s="25">
        <f t="shared" si="246"/>
        <v>0</v>
      </c>
      <c r="AJ405" s="25">
        <f t="shared" si="247"/>
        <v>0</v>
      </c>
    </row>
    <row r="406" spans="1:36">
      <c r="A406">
        <f t="shared" si="228"/>
        <v>-1</v>
      </c>
      <c r="B406">
        <f t="shared" si="236"/>
        <v>6</v>
      </c>
      <c r="C406">
        <f t="shared" si="214"/>
        <v>300</v>
      </c>
      <c r="D406">
        <f t="shared" si="229"/>
        <v>0</v>
      </c>
      <c r="E406">
        <f t="shared" si="248"/>
        <v>5</v>
      </c>
      <c r="F406">
        <f t="shared" si="215"/>
        <v>360</v>
      </c>
      <c r="G406">
        <f t="shared" si="230"/>
        <v>0</v>
      </c>
      <c r="H406">
        <f t="shared" si="237"/>
        <v>4</v>
      </c>
      <c r="I406">
        <f t="shared" si="216"/>
        <v>360</v>
      </c>
      <c r="J406">
        <f t="shared" si="231"/>
        <v>0</v>
      </c>
      <c r="K406">
        <f t="shared" si="238"/>
        <v>3</v>
      </c>
      <c r="L406">
        <f t="shared" si="217"/>
        <v>360</v>
      </c>
      <c r="M406">
        <f t="shared" si="232"/>
        <v>0</v>
      </c>
      <c r="N406">
        <f t="shared" si="239"/>
        <v>2</v>
      </c>
      <c r="O406">
        <f t="shared" si="218"/>
        <v>300</v>
      </c>
      <c r="P406">
        <f t="shared" si="240"/>
        <v>0</v>
      </c>
      <c r="Q406">
        <f t="shared" si="241"/>
        <v>2</v>
      </c>
      <c r="R406">
        <f t="shared" si="219"/>
        <v>300</v>
      </c>
      <c r="S406">
        <f t="shared" si="242"/>
        <v>0</v>
      </c>
      <c r="T406">
        <f t="shared" si="243"/>
        <v>-1</v>
      </c>
      <c r="U406">
        <f t="shared" si="233"/>
        <v>1</v>
      </c>
      <c r="V406">
        <f t="shared" si="234"/>
        <v>1</v>
      </c>
      <c r="W406">
        <f t="shared" si="220"/>
        <v>0</v>
      </c>
      <c r="X406">
        <f t="shared" si="244"/>
        <v>0</v>
      </c>
      <c r="Y406">
        <f t="shared" si="221"/>
        <v>0</v>
      </c>
      <c r="Z406">
        <f t="shared" si="222"/>
        <v>0</v>
      </c>
      <c r="AA406">
        <f t="shared" si="223"/>
        <v>0</v>
      </c>
      <c r="AB406" s="29">
        <f t="shared" si="224"/>
        <v>0</v>
      </c>
      <c r="AC406" s="25">
        <f t="shared" si="225"/>
        <v>0</v>
      </c>
      <c r="AD406" s="29">
        <f t="shared" si="226"/>
        <v>0</v>
      </c>
      <c r="AE406" s="25">
        <f t="shared" si="235"/>
        <v>0</v>
      </c>
      <c r="AF406" s="25">
        <f t="shared" si="227"/>
        <v>0</v>
      </c>
      <c r="AG406" s="25">
        <f>IF($A406&lt;0,0,IF(instatk="bs",(1.5+talSCallInstBon)*(MHavg+(ap+Z406-$Z$1)/APtoDPS*MHnorm+170)*(1+sa*0.1+0.04*opp+0.02*agg+Slayer4value-1),IF(instatk="hemo",Slayer4value*(MHavg+(ap+Z406-$Z$1)/APtoDPS*MHnorm)*(1.1+talSCallInstBon)+420*(1+raidcrit)*debuffon,IF(instatk="ss",(MHavg+(ap+Z406-$Z$1)/APtoDPS*MHnorm+98)*(1+sa*0.1+0.02*agg+Slayer4value-1),IF(instatk="v",(ohavg+(ap+Z406-$Z$1)/APtoDPS*OHnorm)*(1+sa*0.1)*(0.5+0.05*dws)+avipdam,Slayer4value*((1+0.04*opp)*(MHavg+101+(ap+Z406-$Z$1)/APtoDPS*MHnorm+(0.5+0.05*dws)*(ohavg+(ap+Z406-$Z$1)/APtoDPS*OHnorm)+101*(1+0.1*dws))*(1+0.5*IF(Talents!$O$18="Yes",1,0)))))))*(instactualhit+(1+((leth*0.06+2)-1)*(cfact-1))*instactualcrit)*fwfactor*AB406*instsec*(AF406/$AN$45))</f>
        <v>0</v>
      </c>
      <c r="AH406" s="25">
        <f t="shared" si="245"/>
        <v>0</v>
      </c>
      <c r="AI406" s="25">
        <f t="shared" si="246"/>
        <v>0</v>
      </c>
      <c r="AJ406" s="25">
        <f t="shared" si="247"/>
        <v>0</v>
      </c>
    </row>
    <row r="407" spans="1:36">
      <c r="A407">
        <f t="shared" si="228"/>
        <v>-1</v>
      </c>
      <c r="B407">
        <f t="shared" si="236"/>
        <v>6</v>
      </c>
      <c r="C407">
        <f t="shared" si="214"/>
        <v>300</v>
      </c>
      <c r="D407">
        <f t="shared" si="229"/>
        <v>0</v>
      </c>
      <c r="E407">
        <f t="shared" si="248"/>
        <v>5</v>
      </c>
      <c r="F407">
        <f t="shared" si="215"/>
        <v>360</v>
      </c>
      <c r="G407">
        <f t="shared" si="230"/>
        <v>0</v>
      </c>
      <c r="H407">
        <f t="shared" si="237"/>
        <v>4</v>
      </c>
      <c r="I407">
        <f t="shared" si="216"/>
        <v>360</v>
      </c>
      <c r="J407">
        <f t="shared" si="231"/>
        <v>0</v>
      </c>
      <c r="K407">
        <f t="shared" si="238"/>
        <v>3</v>
      </c>
      <c r="L407">
        <f t="shared" si="217"/>
        <v>360</v>
      </c>
      <c r="M407">
        <f t="shared" si="232"/>
        <v>0</v>
      </c>
      <c r="N407">
        <f t="shared" si="239"/>
        <v>2</v>
      </c>
      <c r="O407">
        <f t="shared" si="218"/>
        <v>300</v>
      </c>
      <c r="P407">
        <f t="shared" si="240"/>
        <v>0</v>
      </c>
      <c r="Q407">
        <f t="shared" si="241"/>
        <v>2</v>
      </c>
      <c r="R407">
        <f t="shared" si="219"/>
        <v>300</v>
      </c>
      <c r="S407">
        <f t="shared" si="242"/>
        <v>0</v>
      </c>
      <c r="T407">
        <f t="shared" si="243"/>
        <v>-1</v>
      </c>
      <c r="U407">
        <f t="shared" si="233"/>
        <v>1</v>
      </c>
      <c r="V407">
        <f t="shared" si="234"/>
        <v>1</v>
      </c>
      <c r="W407">
        <f t="shared" si="220"/>
        <v>0</v>
      </c>
      <c r="X407">
        <f t="shared" si="244"/>
        <v>0</v>
      </c>
      <c r="Y407">
        <f t="shared" si="221"/>
        <v>0</v>
      </c>
      <c r="Z407">
        <f t="shared" si="222"/>
        <v>0</v>
      </c>
      <c r="AA407">
        <f t="shared" si="223"/>
        <v>0</v>
      </c>
      <c r="AB407" s="29">
        <f t="shared" si="224"/>
        <v>0</v>
      </c>
      <c r="AC407" s="25">
        <f t="shared" si="225"/>
        <v>0</v>
      </c>
      <c r="AD407" s="29">
        <f t="shared" si="226"/>
        <v>0</v>
      </c>
      <c r="AE407" s="25">
        <f t="shared" si="235"/>
        <v>0</v>
      </c>
      <c r="AF407" s="25">
        <f t="shared" si="227"/>
        <v>0</v>
      </c>
      <c r="AG407" s="25">
        <f>IF($A407&lt;0,0,IF(instatk="bs",(1.5+talSCallInstBon)*(MHavg+(ap+Z407-$Z$1)/APtoDPS*MHnorm+170)*(1+sa*0.1+0.04*opp+0.02*agg+Slayer4value-1),IF(instatk="hemo",Slayer4value*(MHavg+(ap+Z407-$Z$1)/APtoDPS*MHnorm)*(1.1+talSCallInstBon)+420*(1+raidcrit)*debuffon,IF(instatk="ss",(MHavg+(ap+Z407-$Z$1)/APtoDPS*MHnorm+98)*(1+sa*0.1+0.02*agg+Slayer4value-1),IF(instatk="v",(ohavg+(ap+Z407-$Z$1)/APtoDPS*OHnorm)*(1+sa*0.1)*(0.5+0.05*dws)+avipdam,Slayer4value*((1+0.04*opp)*(MHavg+101+(ap+Z407-$Z$1)/APtoDPS*MHnorm+(0.5+0.05*dws)*(ohavg+(ap+Z407-$Z$1)/APtoDPS*OHnorm)+101*(1+0.1*dws))*(1+0.5*IF(Talents!$O$18="Yes",1,0)))))))*(instactualhit+(1+((leth*0.06+2)-1)*(cfact-1))*instactualcrit)*fwfactor*AB407*instsec*(AF407/$AN$45))</f>
        <v>0</v>
      </c>
      <c r="AH407" s="25">
        <f t="shared" si="245"/>
        <v>0</v>
      </c>
      <c r="AI407" s="25">
        <f t="shared" si="246"/>
        <v>0</v>
      </c>
      <c r="AJ407" s="25">
        <f t="shared" si="247"/>
        <v>0</v>
      </c>
    </row>
    <row r="408" spans="1:36">
      <c r="A408">
        <f t="shared" si="228"/>
        <v>-1</v>
      </c>
      <c r="B408">
        <f t="shared" si="236"/>
        <v>6</v>
      </c>
      <c r="C408">
        <f t="shared" si="214"/>
        <v>300</v>
      </c>
      <c r="D408">
        <f t="shared" si="229"/>
        <v>0</v>
      </c>
      <c r="E408">
        <f t="shared" si="248"/>
        <v>5</v>
      </c>
      <c r="F408">
        <f t="shared" si="215"/>
        <v>360</v>
      </c>
      <c r="G408">
        <f t="shared" si="230"/>
        <v>0</v>
      </c>
      <c r="H408">
        <f t="shared" si="237"/>
        <v>4</v>
      </c>
      <c r="I408">
        <f t="shared" si="216"/>
        <v>360</v>
      </c>
      <c r="J408">
        <f t="shared" si="231"/>
        <v>0</v>
      </c>
      <c r="K408">
        <f t="shared" si="238"/>
        <v>3</v>
      </c>
      <c r="L408">
        <f t="shared" si="217"/>
        <v>360</v>
      </c>
      <c r="M408">
        <f t="shared" si="232"/>
        <v>0</v>
      </c>
      <c r="N408">
        <f t="shared" si="239"/>
        <v>2</v>
      </c>
      <c r="O408">
        <f t="shared" si="218"/>
        <v>300</v>
      </c>
      <c r="P408">
        <f t="shared" si="240"/>
        <v>0</v>
      </c>
      <c r="Q408">
        <f t="shared" si="241"/>
        <v>2</v>
      </c>
      <c r="R408">
        <f t="shared" si="219"/>
        <v>300</v>
      </c>
      <c r="S408">
        <f t="shared" si="242"/>
        <v>0</v>
      </c>
      <c r="T408">
        <f t="shared" si="243"/>
        <v>-1</v>
      </c>
      <c r="U408">
        <f t="shared" si="233"/>
        <v>1</v>
      </c>
      <c r="V408">
        <f t="shared" si="234"/>
        <v>1</v>
      </c>
      <c r="W408">
        <f t="shared" si="220"/>
        <v>0</v>
      </c>
      <c r="X408">
        <f t="shared" si="244"/>
        <v>0</v>
      </c>
      <c r="Y408">
        <f t="shared" si="221"/>
        <v>0</v>
      </c>
      <c r="Z408">
        <f t="shared" si="222"/>
        <v>0</v>
      </c>
      <c r="AA408">
        <f t="shared" si="223"/>
        <v>0</v>
      </c>
      <c r="AB408" s="29">
        <f t="shared" si="224"/>
        <v>0</v>
      </c>
      <c r="AC408" s="25">
        <f t="shared" si="225"/>
        <v>0</v>
      </c>
      <c r="AD408" s="29">
        <f t="shared" si="226"/>
        <v>0</v>
      </c>
      <c r="AE408" s="25">
        <f t="shared" si="235"/>
        <v>0</v>
      </c>
      <c r="AF408" s="25">
        <f t="shared" si="227"/>
        <v>0</v>
      </c>
      <c r="AG408" s="25">
        <f>IF($A408&lt;0,0,IF(instatk="bs",(1.5+talSCallInstBon)*(MHavg+(ap+Z408-$Z$1)/APtoDPS*MHnorm+170)*(1+sa*0.1+0.04*opp+0.02*agg+Slayer4value-1),IF(instatk="hemo",Slayer4value*(MHavg+(ap+Z408-$Z$1)/APtoDPS*MHnorm)*(1.1+talSCallInstBon)+420*(1+raidcrit)*debuffon,IF(instatk="ss",(MHavg+(ap+Z408-$Z$1)/APtoDPS*MHnorm+98)*(1+sa*0.1+0.02*agg+Slayer4value-1),IF(instatk="v",(ohavg+(ap+Z408-$Z$1)/APtoDPS*OHnorm)*(1+sa*0.1)*(0.5+0.05*dws)+avipdam,Slayer4value*((1+0.04*opp)*(MHavg+101+(ap+Z408-$Z$1)/APtoDPS*MHnorm+(0.5+0.05*dws)*(ohavg+(ap+Z408-$Z$1)/APtoDPS*OHnorm)+101*(1+0.1*dws))*(1+0.5*IF(Talents!$O$18="Yes",1,0)))))))*(instactualhit+(1+((leth*0.06+2)-1)*(cfact-1))*instactualcrit)*fwfactor*AB408*instsec*(AF408/$AN$45))</f>
        <v>0</v>
      </c>
      <c r="AH408" s="25">
        <f t="shared" si="245"/>
        <v>0</v>
      </c>
      <c r="AI408" s="25">
        <f t="shared" si="246"/>
        <v>0</v>
      </c>
      <c r="AJ408" s="25">
        <f t="shared" si="247"/>
        <v>0</v>
      </c>
    </row>
    <row r="409" spans="1:36">
      <c r="A409">
        <f t="shared" si="228"/>
        <v>-1</v>
      </c>
      <c r="B409">
        <f t="shared" si="236"/>
        <v>6</v>
      </c>
      <c r="C409">
        <f t="shared" si="214"/>
        <v>300</v>
      </c>
      <c r="D409">
        <f t="shared" si="229"/>
        <v>0</v>
      </c>
      <c r="E409">
        <f t="shared" si="248"/>
        <v>5</v>
      </c>
      <c r="F409">
        <f t="shared" si="215"/>
        <v>360</v>
      </c>
      <c r="G409">
        <f t="shared" si="230"/>
        <v>0</v>
      </c>
      <c r="H409">
        <f t="shared" si="237"/>
        <v>4</v>
      </c>
      <c r="I409">
        <f t="shared" si="216"/>
        <v>360</v>
      </c>
      <c r="J409">
        <f t="shared" si="231"/>
        <v>0</v>
      </c>
      <c r="K409">
        <f t="shared" si="238"/>
        <v>3</v>
      </c>
      <c r="L409">
        <f t="shared" si="217"/>
        <v>360</v>
      </c>
      <c r="M409">
        <f t="shared" si="232"/>
        <v>0</v>
      </c>
      <c r="N409">
        <f t="shared" si="239"/>
        <v>2</v>
      </c>
      <c r="O409">
        <f t="shared" si="218"/>
        <v>300</v>
      </c>
      <c r="P409">
        <f t="shared" si="240"/>
        <v>0</v>
      </c>
      <c r="Q409">
        <f t="shared" si="241"/>
        <v>2</v>
      </c>
      <c r="R409">
        <f t="shared" si="219"/>
        <v>300</v>
      </c>
      <c r="S409">
        <f t="shared" si="242"/>
        <v>0</v>
      </c>
      <c r="T409">
        <f t="shared" si="243"/>
        <v>-1</v>
      </c>
      <c r="U409">
        <f t="shared" si="233"/>
        <v>1</v>
      </c>
      <c r="V409">
        <f t="shared" si="234"/>
        <v>1</v>
      </c>
      <c r="W409">
        <f t="shared" si="220"/>
        <v>0</v>
      </c>
      <c r="X409">
        <f t="shared" si="244"/>
        <v>0</v>
      </c>
      <c r="Y409">
        <f t="shared" si="221"/>
        <v>0</v>
      </c>
      <c r="Z409">
        <f t="shared" si="222"/>
        <v>0</v>
      </c>
      <c r="AA409">
        <f t="shared" si="223"/>
        <v>0</v>
      </c>
      <c r="AB409" s="29">
        <f t="shared" si="224"/>
        <v>0</v>
      </c>
      <c r="AC409" s="25">
        <f t="shared" si="225"/>
        <v>0</v>
      </c>
      <c r="AD409" s="29">
        <f t="shared" si="226"/>
        <v>0</v>
      </c>
      <c r="AE409" s="25">
        <f t="shared" si="235"/>
        <v>0</v>
      </c>
      <c r="AF409" s="25">
        <f t="shared" si="227"/>
        <v>0</v>
      </c>
      <c r="AG409" s="25">
        <f>IF($A409&lt;0,0,IF(instatk="bs",(1.5+talSCallInstBon)*(MHavg+(ap+Z409-$Z$1)/APtoDPS*MHnorm+170)*(1+sa*0.1+0.04*opp+0.02*agg+Slayer4value-1),IF(instatk="hemo",Slayer4value*(MHavg+(ap+Z409-$Z$1)/APtoDPS*MHnorm)*(1.1+talSCallInstBon)+420*(1+raidcrit)*debuffon,IF(instatk="ss",(MHavg+(ap+Z409-$Z$1)/APtoDPS*MHnorm+98)*(1+sa*0.1+0.02*agg+Slayer4value-1),IF(instatk="v",(ohavg+(ap+Z409-$Z$1)/APtoDPS*OHnorm)*(1+sa*0.1)*(0.5+0.05*dws)+avipdam,Slayer4value*((1+0.04*opp)*(MHavg+101+(ap+Z409-$Z$1)/APtoDPS*MHnorm+(0.5+0.05*dws)*(ohavg+(ap+Z409-$Z$1)/APtoDPS*OHnorm)+101*(1+0.1*dws))*(1+0.5*IF(Talents!$O$18="Yes",1,0)))))))*(instactualhit+(1+((leth*0.06+2)-1)*(cfact-1))*instactualcrit)*fwfactor*AB409*instsec*(AF409/$AN$45))</f>
        <v>0</v>
      </c>
      <c r="AH409" s="25">
        <f t="shared" si="245"/>
        <v>0</v>
      </c>
      <c r="AI409" s="25">
        <f t="shared" si="246"/>
        <v>0</v>
      </c>
      <c r="AJ409" s="25">
        <f t="shared" si="247"/>
        <v>0</v>
      </c>
    </row>
    <row r="410" spans="1:36">
      <c r="A410">
        <f t="shared" si="228"/>
        <v>-1</v>
      </c>
      <c r="B410">
        <f t="shared" si="236"/>
        <v>6</v>
      </c>
      <c r="C410">
        <f t="shared" si="214"/>
        <v>300</v>
      </c>
      <c r="D410">
        <f t="shared" si="229"/>
        <v>0</v>
      </c>
      <c r="E410">
        <f t="shared" si="248"/>
        <v>5</v>
      </c>
      <c r="F410">
        <f t="shared" si="215"/>
        <v>360</v>
      </c>
      <c r="G410">
        <f t="shared" si="230"/>
        <v>0</v>
      </c>
      <c r="H410">
        <f t="shared" si="237"/>
        <v>4</v>
      </c>
      <c r="I410">
        <f t="shared" si="216"/>
        <v>360</v>
      </c>
      <c r="J410">
        <f t="shared" si="231"/>
        <v>0</v>
      </c>
      <c r="K410">
        <f t="shared" si="238"/>
        <v>3</v>
      </c>
      <c r="L410">
        <f t="shared" si="217"/>
        <v>360</v>
      </c>
      <c r="M410">
        <f t="shared" si="232"/>
        <v>0</v>
      </c>
      <c r="N410">
        <f t="shared" si="239"/>
        <v>2</v>
      </c>
      <c r="O410">
        <f t="shared" si="218"/>
        <v>300</v>
      </c>
      <c r="P410">
        <f t="shared" si="240"/>
        <v>0</v>
      </c>
      <c r="Q410">
        <f t="shared" si="241"/>
        <v>2</v>
      </c>
      <c r="R410">
        <f t="shared" si="219"/>
        <v>300</v>
      </c>
      <c r="S410">
        <f t="shared" si="242"/>
        <v>0</v>
      </c>
      <c r="T410">
        <f t="shared" si="243"/>
        <v>-1</v>
      </c>
      <c r="U410">
        <f t="shared" si="233"/>
        <v>1</v>
      </c>
      <c r="V410">
        <f t="shared" si="234"/>
        <v>1</v>
      </c>
      <c r="W410">
        <f t="shared" si="220"/>
        <v>0</v>
      </c>
      <c r="X410">
        <f t="shared" si="244"/>
        <v>0</v>
      </c>
      <c r="Y410">
        <f t="shared" si="221"/>
        <v>0</v>
      </c>
      <c r="Z410">
        <f t="shared" si="222"/>
        <v>0</v>
      </c>
      <c r="AA410">
        <f t="shared" si="223"/>
        <v>0</v>
      </c>
      <c r="AB410" s="29">
        <f t="shared" si="224"/>
        <v>0</v>
      </c>
      <c r="AC410" s="25">
        <f t="shared" si="225"/>
        <v>0</v>
      </c>
      <c r="AD410" s="29">
        <f t="shared" si="226"/>
        <v>0</v>
      </c>
      <c r="AE410" s="25">
        <f t="shared" si="235"/>
        <v>0</v>
      </c>
      <c r="AF410" s="25">
        <f t="shared" si="227"/>
        <v>0</v>
      </c>
      <c r="AG410" s="25">
        <f>IF($A410&lt;0,0,IF(instatk="bs",(1.5+talSCallInstBon)*(MHavg+(ap+Z410-$Z$1)/APtoDPS*MHnorm+170)*(1+sa*0.1+0.04*opp+0.02*agg+Slayer4value-1),IF(instatk="hemo",Slayer4value*(MHavg+(ap+Z410-$Z$1)/APtoDPS*MHnorm)*(1.1+talSCallInstBon)+420*(1+raidcrit)*debuffon,IF(instatk="ss",(MHavg+(ap+Z410-$Z$1)/APtoDPS*MHnorm+98)*(1+sa*0.1+0.02*agg+Slayer4value-1),IF(instatk="v",(ohavg+(ap+Z410-$Z$1)/APtoDPS*OHnorm)*(1+sa*0.1)*(0.5+0.05*dws)+avipdam,Slayer4value*((1+0.04*opp)*(MHavg+101+(ap+Z410-$Z$1)/APtoDPS*MHnorm+(0.5+0.05*dws)*(ohavg+(ap+Z410-$Z$1)/APtoDPS*OHnorm)+101*(1+0.1*dws))*(1+0.5*IF(Talents!$O$18="Yes",1,0)))))))*(instactualhit+(1+((leth*0.06+2)-1)*(cfact-1))*instactualcrit)*fwfactor*AB410*instsec*(AF410/$AN$45))</f>
        <v>0</v>
      </c>
      <c r="AH410" s="25">
        <f t="shared" si="245"/>
        <v>0</v>
      </c>
      <c r="AI410" s="25">
        <f t="shared" si="246"/>
        <v>0</v>
      </c>
      <c r="AJ410" s="25">
        <f t="shared" si="247"/>
        <v>0</v>
      </c>
    </row>
    <row r="411" spans="1:36">
      <c r="A411">
        <f t="shared" si="228"/>
        <v>-1</v>
      </c>
      <c r="B411">
        <f t="shared" si="236"/>
        <v>6</v>
      </c>
      <c r="C411">
        <f t="shared" si="214"/>
        <v>300</v>
      </c>
      <c r="D411">
        <f t="shared" si="229"/>
        <v>0</v>
      </c>
      <c r="E411">
        <f t="shared" si="248"/>
        <v>5</v>
      </c>
      <c r="F411">
        <f t="shared" si="215"/>
        <v>360</v>
      </c>
      <c r="G411">
        <f t="shared" si="230"/>
        <v>0</v>
      </c>
      <c r="H411">
        <f t="shared" si="237"/>
        <v>4</v>
      </c>
      <c r="I411">
        <f t="shared" si="216"/>
        <v>360</v>
      </c>
      <c r="J411">
        <f t="shared" si="231"/>
        <v>0</v>
      </c>
      <c r="K411">
        <f t="shared" si="238"/>
        <v>3</v>
      </c>
      <c r="L411">
        <f t="shared" si="217"/>
        <v>360</v>
      </c>
      <c r="M411">
        <f t="shared" si="232"/>
        <v>0</v>
      </c>
      <c r="N411">
        <f t="shared" si="239"/>
        <v>2</v>
      </c>
      <c r="O411">
        <f t="shared" si="218"/>
        <v>300</v>
      </c>
      <c r="P411">
        <f t="shared" si="240"/>
        <v>0</v>
      </c>
      <c r="Q411">
        <f t="shared" si="241"/>
        <v>2</v>
      </c>
      <c r="R411">
        <f t="shared" si="219"/>
        <v>300</v>
      </c>
      <c r="S411">
        <f t="shared" si="242"/>
        <v>0</v>
      </c>
      <c r="T411">
        <f t="shared" si="243"/>
        <v>-1</v>
      </c>
      <c r="U411">
        <f t="shared" si="233"/>
        <v>1</v>
      </c>
      <c r="V411">
        <f t="shared" si="234"/>
        <v>1</v>
      </c>
      <c r="W411">
        <f t="shared" si="220"/>
        <v>0</v>
      </c>
      <c r="X411">
        <f t="shared" si="244"/>
        <v>0</v>
      </c>
      <c r="Y411">
        <f t="shared" si="221"/>
        <v>0</v>
      </c>
      <c r="Z411">
        <f t="shared" si="222"/>
        <v>0</v>
      </c>
      <c r="AA411">
        <f t="shared" si="223"/>
        <v>0</v>
      </c>
      <c r="AB411" s="29">
        <f t="shared" si="224"/>
        <v>0</v>
      </c>
      <c r="AC411" s="25">
        <f t="shared" si="225"/>
        <v>0</v>
      </c>
      <c r="AD411" s="29">
        <f t="shared" si="226"/>
        <v>0</v>
      </c>
      <c r="AE411" s="25">
        <f t="shared" si="235"/>
        <v>0</v>
      </c>
      <c r="AF411" s="25">
        <f t="shared" si="227"/>
        <v>0</v>
      </c>
      <c r="AG411" s="25">
        <f>IF($A411&lt;0,0,IF(instatk="bs",(1.5+talSCallInstBon)*(MHavg+(ap+Z411-$Z$1)/APtoDPS*MHnorm+170)*(1+sa*0.1+0.04*opp+0.02*agg+Slayer4value-1),IF(instatk="hemo",Slayer4value*(MHavg+(ap+Z411-$Z$1)/APtoDPS*MHnorm)*(1.1+talSCallInstBon)+420*(1+raidcrit)*debuffon,IF(instatk="ss",(MHavg+(ap+Z411-$Z$1)/APtoDPS*MHnorm+98)*(1+sa*0.1+0.02*agg+Slayer4value-1),IF(instatk="v",(ohavg+(ap+Z411-$Z$1)/APtoDPS*OHnorm)*(1+sa*0.1)*(0.5+0.05*dws)+avipdam,Slayer4value*((1+0.04*opp)*(MHavg+101+(ap+Z411-$Z$1)/APtoDPS*MHnorm+(0.5+0.05*dws)*(ohavg+(ap+Z411-$Z$1)/APtoDPS*OHnorm)+101*(1+0.1*dws))*(1+0.5*IF(Talents!$O$18="Yes",1,0)))))))*(instactualhit+(1+((leth*0.06+2)-1)*(cfact-1))*instactualcrit)*fwfactor*AB411*instsec*(AF411/$AN$45))</f>
        <v>0</v>
      </c>
      <c r="AH411" s="25">
        <f t="shared" si="245"/>
        <v>0</v>
      </c>
      <c r="AI411" s="25">
        <f t="shared" si="246"/>
        <v>0</v>
      </c>
      <c r="AJ411" s="25">
        <f t="shared" si="247"/>
        <v>0</v>
      </c>
    </row>
    <row r="412" spans="1:36">
      <c r="A412">
        <f t="shared" si="228"/>
        <v>-1</v>
      </c>
      <c r="B412">
        <f t="shared" si="236"/>
        <v>6</v>
      </c>
      <c r="C412">
        <f t="shared" si="214"/>
        <v>300</v>
      </c>
      <c r="D412">
        <f t="shared" si="229"/>
        <v>0</v>
      </c>
      <c r="E412">
        <f t="shared" si="248"/>
        <v>5</v>
      </c>
      <c r="F412">
        <f t="shared" si="215"/>
        <v>360</v>
      </c>
      <c r="G412">
        <f t="shared" si="230"/>
        <v>0</v>
      </c>
      <c r="H412">
        <f t="shared" si="237"/>
        <v>4</v>
      </c>
      <c r="I412">
        <f t="shared" si="216"/>
        <v>360</v>
      </c>
      <c r="J412">
        <f t="shared" si="231"/>
        <v>0</v>
      </c>
      <c r="K412">
        <f t="shared" si="238"/>
        <v>3</v>
      </c>
      <c r="L412">
        <f t="shared" si="217"/>
        <v>360</v>
      </c>
      <c r="M412">
        <f t="shared" si="232"/>
        <v>0</v>
      </c>
      <c r="N412">
        <f t="shared" si="239"/>
        <v>2</v>
      </c>
      <c r="O412">
        <f t="shared" si="218"/>
        <v>300</v>
      </c>
      <c r="P412">
        <f t="shared" si="240"/>
        <v>0</v>
      </c>
      <c r="Q412">
        <f t="shared" si="241"/>
        <v>2</v>
      </c>
      <c r="R412">
        <f t="shared" si="219"/>
        <v>300</v>
      </c>
      <c r="S412">
        <f t="shared" si="242"/>
        <v>0</v>
      </c>
      <c r="T412">
        <f t="shared" si="243"/>
        <v>-1</v>
      </c>
      <c r="U412">
        <f t="shared" si="233"/>
        <v>1</v>
      </c>
      <c r="V412">
        <f t="shared" si="234"/>
        <v>1</v>
      </c>
      <c r="W412">
        <f t="shared" si="220"/>
        <v>0</v>
      </c>
      <c r="X412">
        <f t="shared" si="244"/>
        <v>0</v>
      </c>
      <c r="Y412">
        <f t="shared" si="221"/>
        <v>0</v>
      </c>
      <c r="Z412">
        <f t="shared" si="222"/>
        <v>0</v>
      </c>
      <c r="AA412">
        <f t="shared" si="223"/>
        <v>0</v>
      </c>
      <c r="AB412" s="29">
        <f t="shared" si="224"/>
        <v>0</v>
      </c>
      <c r="AC412" s="25">
        <f t="shared" si="225"/>
        <v>0</v>
      </c>
      <c r="AD412" s="29">
        <f t="shared" si="226"/>
        <v>0</v>
      </c>
      <c r="AE412" s="25">
        <f t="shared" si="235"/>
        <v>0</v>
      </c>
      <c r="AF412" s="25">
        <f t="shared" si="227"/>
        <v>0</v>
      </c>
      <c r="AG412" s="25">
        <f>IF($A412&lt;0,0,IF(instatk="bs",(1.5+talSCallInstBon)*(MHavg+(ap+Z412-$Z$1)/APtoDPS*MHnorm+170)*(1+sa*0.1+0.04*opp+0.02*agg+Slayer4value-1),IF(instatk="hemo",Slayer4value*(MHavg+(ap+Z412-$Z$1)/APtoDPS*MHnorm)*(1.1+talSCallInstBon)+420*(1+raidcrit)*debuffon,IF(instatk="ss",(MHavg+(ap+Z412-$Z$1)/APtoDPS*MHnorm+98)*(1+sa*0.1+0.02*agg+Slayer4value-1),IF(instatk="v",(ohavg+(ap+Z412-$Z$1)/APtoDPS*OHnorm)*(1+sa*0.1)*(0.5+0.05*dws)+avipdam,Slayer4value*((1+0.04*opp)*(MHavg+101+(ap+Z412-$Z$1)/APtoDPS*MHnorm+(0.5+0.05*dws)*(ohavg+(ap+Z412-$Z$1)/APtoDPS*OHnorm)+101*(1+0.1*dws))*(1+0.5*IF(Talents!$O$18="Yes",1,0)))))))*(instactualhit+(1+((leth*0.06+2)-1)*(cfact-1))*instactualcrit)*fwfactor*AB412*instsec*(AF412/$AN$45))</f>
        <v>0</v>
      </c>
      <c r="AH412" s="25">
        <f t="shared" si="245"/>
        <v>0</v>
      </c>
      <c r="AI412" s="25">
        <f t="shared" si="246"/>
        <v>0</v>
      </c>
      <c r="AJ412" s="25">
        <f t="shared" si="247"/>
        <v>0</v>
      </c>
    </row>
    <row r="413" spans="1:36">
      <c r="A413">
        <f t="shared" si="228"/>
        <v>-1</v>
      </c>
      <c r="B413">
        <f t="shared" si="236"/>
        <v>6</v>
      </c>
      <c r="C413">
        <f t="shared" si="214"/>
        <v>300</v>
      </c>
      <c r="D413">
        <f t="shared" si="229"/>
        <v>0</v>
      </c>
      <c r="E413">
        <f t="shared" si="248"/>
        <v>5</v>
      </c>
      <c r="F413">
        <f t="shared" si="215"/>
        <v>360</v>
      </c>
      <c r="G413">
        <f t="shared" si="230"/>
        <v>0</v>
      </c>
      <c r="H413">
        <f t="shared" si="237"/>
        <v>4</v>
      </c>
      <c r="I413">
        <f t="shared" si="216"/>
        <v>360</v>
      </c>
      <c r="J413">
        <f t="shared" si="231"/>
        <v>0</v>
      </c>
      <c r="K413">
        <f t="shared" si="238"/>
        <v>3</v>
      </c>
      <c r="L413">
        <f t="shared" si="217"/>
        <v>360</v>
      </c>
      <c r="M413">
        <f t="shared" si="232"/>
        <v>0</v>
      </c>
      <c r="N413">
        <f t="shared" si="239"/>
        <v>2</v>
      </c>
      <c r="O413">
        <f t="shared" si="218"/>
        <v>300</v>
      </c>
      <c r="P413">
        <f t="shared" si="240"/>
        <v>0</v>
      </c>
      <c r="Q413">
        <f t="shared" si="241"/>
        <v>2</v>
      </c>
      <c r="R413">
        <f t="shared" si="219"/>
        <v>300</v>
      </c>
      <c r="S413">
        <f t="shared" si="242"/>
        <v>0</v>
      </c>
      <c r="T413">
        <f t="shared" si="243"/>
        <v>-1</v>
      </c>
      <c r="U413">
        <f t="shared" si="233"/>
        <v>1</v>
      </c>
      <c r="V413">
        <f t="shared" si="234"/>
        <v>1</v>
      </c>
      <c r="W413">
        <f t="shared" si="220"/>
        <v>0</v>
      </c>
      <c r="X413">
        <f t="shared" si="244"/>
        <v>0</v>
      </c>
      <c r="Y413">
        <f t="shared" si="221"/>
        <v>0</v>
      </c>
      <c r="Z413">
        <f t="shared" si="222"/>
        <v>0</v>
      </c>
      <c r="AA413">
        <f t="shared" si="223"/>
        <v>0</v>
      </c>
      <c r="AB413" s="29">
        <f t="shared" si="224"/>
        <v>0</v>
      </c>
      <c r="AC413" s="25">
        <f t="shared" si="225"/>
        <v>0</v>
      </c>
      <c r="AD413" s="29">
        <f t="shared" si="226"/>
        <v>0</v>
      </c>
      <c r="AE413" s="25">
        <f t="shared" si="235"/>
        <v>0</v>
      </c>
      <c r="AF413" s="25">
        <f t="shared" si="227"/>
        <v>0</v>
      </c>
      <c r="AG413" s="25">
        <f>IF($A413&lt;0,0,IF(instatk="bs",(1.5+talSCallInstBon)*(MHavg+(ap+Z413-$Z$1)/APtoDPS*MHnorm+170)*(1+sa*0.1+0.04*opp+0.02*agg+Slayer4value-1),IF(instatk="hemo",Slayer4value*(MHavg+(ap+Z413-$Z$1)/APtoDPS*MHnorm)*(1.1+talSCallInstBon)+420*(1+raidcrit)*debuffon,IF(instatk="ss",(MHavg+(ap+Z413-$Z$1)/APtoDPS*MHnorm+98)*(1+sa*0.1+0.02*agg+Slayer4value-1),IF(instatk="v",(ohavg+(ap+Z413-$Z$1)/APtoDPS*OHnorm)*(1+sa*0.1)*(0.5+0.05*dws)+avipdam,Slayer4value*((1+0.04*opp)*(MHavg+101+(ap+Z413-$Z$1)/APtoDPS*MHnorm+(0.5+0.05*dws)*(ohavg+(ap+Z413-$Z$1)/APtoDPS*OHnorm)+101*(1+0.1*dws))*(1+0.5*IF(Talents!$O$18="Yes",1,0)))))))*(instactualhit+(1+((leth*0.06+2)-1)*(cfact-1))*instactualcrit)*fwfactor*AB413*instsec*(AF413/$AN$45))</f>
        <v>0</v>
      </c>
      <c r="AH413" s="25">
        <f t="shared" si="245"/>
        <v>0</v>
      </c>
      <c r="AI413" s="25">
        <f t="shared" si="246"/>
        <v>0</v>
      </c>
      <c r="AJ413" s="25">
        <f t="shared" si="247"/>
        <v>0</v>
      </c>
    </row>
    <row r="414" spans="1:36">
      <c r="A414">
        <f t="shared" si="228"/>
        <v>-1</v>
      </c>
      <c r="B414">
        <f t="shared" si="236"/>
        <v>6</v>
      </c>
      <c r="C414">
        <f t="shared" si="214"/>
        <v>300</v>
      </c>
      <c r="D414">
        <f t="shared" si="229"/>
        <v>0</v>
      </c>
      <c r="E414">
        <f t="shared" si="248"/>
        <v>5</v>
      </c>
      <c r="F414">
        <f t="shared" si="215"/>
        <v>360</v>
      </c>
      <c r="G414">
        <f t="shared" si="230"/>
        <v>0</v>
      </c>
      <c r="H414">
        <f t="shared" si="237"/>
        <v>4</v>
      </c>
      <c r="I414">
        <f t="shared" si="216"/>
        <v>360</v>
      </c>
      <c r="J414">
        <f t="shared" si="231"/>
        <v>0</v>
      </c>
      <c r="K414">
        <f t="shared" si="238"/>
        <v>3</v>
      </c>
      <c r="L414">
        <f t="shared" si="217"/>
        <v>360</v>
      </c>
      <c r="M414">
        <f t="shared" si="232"/>
        <v>0</v>
      </c>
      <c r="N414">
        <f t="shared" si="239"/>
        <v>2</v>
      </c>
      <c r="O414">
        <f t="shared" si="218"/>
        <v>300</v>
      </c>
      <c r="P414">
        <f t="shared" si="240"/>
        <v>0</v>
      </c>
      <c r="Q414">
        <f t="shared" si="241"/>
        <v>2</v>
      </c>
      <c r="R414">
        <f t="shared" si="219"/>
        <v>300</v>
      </c>
      <c r="S414">
        <f t="shared" si="242"/>
        <v>0</v>
      </c>
      <c r="T414">
        <f t="shared" si="243"/>
        <v>-1</v>
      </c>
      <c r="U414">
        <f t="shared" si="233"/>
        <v>1</v>
      </c>
      <c r="V414">
        <f t="shared" si="234"/>
        <v>1</v>
      </c>
      <c r="W414">
        <f t="shared" si="220"/>
        <v>0</v>
      </c>
      <c r="X414">
        <f t="shared" si="244"/>
        <v>0</v>
      </c>
      <c r="Y414">
        <f t="shared" si="221"/>
        <v>0</v>
      </c>
      <c r="Z414">
        <f t="shared" si="222"/>
        <v>0</v>
      </c>
      <c r="AA414">
        <f t="shared" si="223"/>
        <v>0</v>
      </c>
      <c r="AB414" s="29">
        <f t="shared" si="224"/>
        <v>0</v>
      </c>
      <c r="AC414" s="25">
        <f t="shared" si="225"/>
        <v>0</v>
      </c>
      <c r="AD414" s="29">
        <f t="shared" si="226"/>
        <v>0</v>
      </c>
      <c r="AE414" s="25">
        <f t="shared" si="235"/>
        <v>0</v>
      </c>
      <c r="AF414" s="25">
        <f t="shared" si="227"/>
        <v>0</v>
      </c>
      <c r="AG414" s="25">
        <f>IF($A414&lt;0,0,IF(instatk="bs",(1.5+talSCallInstBon)*(MHavg+(ap+Z414-$Z$1)/APtoDPS*MHnorm+170)*(1+sa*0.1+0.04*opp+0.02*agg+Slayer4value-1),IF(instatk="hemo",Slayer4value*(MHavg+(ap+Z414-$Z$1)/APtoDPS*MHnorm)*(1.1+talSCallInstBon)+420*(1+raidcrit)*debuffon,IF(instatk="ss",(MHavg+(ap+Z414-$Z$1)/APtoDPS*MHnorm+98)*(1+sa*0.1+0.02*agg+Slayer4value-1),IF(instatk="v",(ohavg+(ap+Z414-$Z$1)/APtoDPS*OHnorm)*(1+sa*0.1)*(0.5+0.05*dws)+avipdam,Slayer4value*((1+0.04*opp)*(MHavg+101+(ap+Z414-$Z$1)/APtoDPS*MHnorm+(0.5+0.05*dws)*(ohavg+(ap+Z414-$Z$1)/APtoDPS*OHnorm)+101*(1+0.1*dws))*(1+0.5*IF(Talents!$O$18="Yes",1,0)))))))*(instactualhit+(1+((leth*0.06+2)-1)*(cfact-1))*instactualcrit)*fwfactor*AB414*instsec*(AF414/$AN$45))</f>
        <v>0</v>
      </c>
      <c r="AH414" s="25">
        <f t="shared" si="245"/>
        <v>0</v>
      </c>
      <c r="AI414" s="25">
        <f t="shared" si="246"/>
        <v>0</v>
      </c>
      <c r="AJ414" s="25">
        <f t="shared" si="247"/>
        <v>0</v>
      </c>
    </row>
    <row r="415" spans="1:36">
      <c r="A415">
        <f t="shared" si="228"/>
        <v>-1</v>
      </c>
      <c r="B415">
        <f t="shared" si="236"/>
        <v>6</v>
      </c>
      <c r="C415">
        <f t="shared" si="214"/>
        <v>300</v>
      </c>
      <c r="D415">
        <f t="shared" si="229"/>
        <v>0</v>
      </c>
      <c r="E415">
        <f t="shared" si="248"/>
        <v>5</v>
      </c>
      <c r="F415">
        <f t="shared" si="215"/>
        <v>360</v>
      </c>
      <c r="G415">
        <f t="shared" si="230"/>
        <v>0</v>
      </c>
      <c r="H415">
        <f t="shared" si="237"/>
        <v>4</v>
      </c>
      <c r="I415">
        <f t="shared" si="216"/>
        <v>360</v>
      </c>
      <c r="J415">
        <f t="shared" si="231"/>
        <v>0</v>
      </c>
      <c r="K415">
        <f t="shared" si="238"/>
        <v>3</v>
      </c>
      <c r="L415">
        <f t="shared" si="217"/>
        <v>360</v>
      </c>
      <c r="M415">
        <f t="shared" si="232"/>
        <v>0</v>
      </c>
      <c r="N415">
        <f t="shared" si="239"/>
        <v>2</v>
      </c>
      <c r="O415">
        <f t="shared" si="218"/>
        <v>300</v>
      </c>
      <c r="P415">
        <f t="shared" si="240"/>
        <v>0</v>
      </c>
      <c r="Q415">
        <f t="shared" si="241"/>
        <v>2</v>
      </c>
      <c r="R415">
        <f t="shared" si="219"/>
        <v>300</v>
      </c>
      <c r="S415">
        <f t="shared" si="242"/>
        <v>0</v>
      </c>
      <c r="T415">
        <f t="shared" si="243"/>
        <v>-1</v>
      </c>
      <c r="U415">
        <f t="shared" si="233"/>
        <v>1</v>
      </c>
      <c r="V415">
        <f t="shared" si="234"/>
        <v>1</v>
      </c>
      <c r="W415">
        <f t="shared" si="220"/>
        <v>0</v>
      </c>
      <c r="X415">
        <f t="shared" si="244"/>
        <v>0</v>
      </c>
      <c r="Y415">
        <f t="shared" si="221"/>
        <v>0</v>
      </c>
      <c r="Z415">
        <f t="shared" si="222"/>
        <v>0</v>
      </c>
      <c r="AA415">
        <f t="shared" si="223"/>
        <v>0</v>
      </c>
      <c r="AB415" s="29">
        <f t="shared" si="224"/>
        <v>0</v>
      </c>
      <c r="AC415" s="25">
        <f t="shared" si="225"/>
        <v>0</v>
      </c>
      <c r="AD415" s="29">
        <f t="shared" si="226"/>
        <v>0</v>
      </c>
      <c r="AE415" s="25">
        <f t="shared" si="235"/>
        <v>0</v>
      </c>
      <c r="AF415" s="25">
        <f t="shared" si="227"/>
        <v>0</v>
      </c>
      <c r="AG415" s="25">
        <f>IF($A415&lt;0,0,IF(instatk="bs",(1.5+talSCallInstBon)*(MHavg+(ap+Z415-$Z$1)/APtoDPS*MHnorm+170)*(1+sa*0.1+0.04*opp+0.02*agg+Slayer4value-1),IF(instatk="hemo",Slayer4value*(MHavg+(ap+Z415-$Z$1)/APtoDPS*MHnorm)*(1.1+talSCallInstBon)+420*(1+raidcrit)*debuffon,IF(instatk="ss",(MHavg+(ap+Z415-$Z$1)/APtoDPS*MHnorm+98)*(1+sa*0.1+0.02*agg+Slayer4value-1),IF(instatk="v",(ohavg+(ap+Z415-$Z$1)/APtoDPS*OHnorm)*(1+sa*0.1)*(0.5+0.05*dws)+avipdam,Slayer4value*((1+0.04*opp)*(MHavg+101+(ap+Z415-$Z$1)/APtoDPS*MHnorm+(0.5+0.05*dws)*(ohavg+(ap+Z415-$Z$1)/APtoDPS*OHnorm)+101*(1+0.1*dws))*(1+0.5*IF(Talents!$O$18="Yes",1,0)))))))*(instactualhit+(1+((leth*0.06+2)-1)*(cfact-1))*instactualcrit)*fwfactor*AB415*instsec*(AF415/$AN$45))</f>
        <v>0</v>
      </c>
      <c r="AH415" s="25">
        <f t="shared" si="245"/>
        <v>0</v>
      </c>
      <c r="AI415" s="25">
        <f t="shared" si="246"/>
        <v>0</v>
      </c>
      <c r="AJ415" s="25">
        <f t="shared" si="247"/>
        <v>0</v>
      </c>
    </row>
    <row r="416" spans="1:36">
      <c r="A416">
        <f t="shared" si="228"/>
        <v>-1</v>
      </c>
      <c r="B416">
        <f t="shared" si="236"/>
        <v>6</v>
      </c>
      <c r="C416">
        <f t="shared" si="214"/>
        <v>300</v>
      </c>
      <c r="D416">
        <f t="shared" si="229"/>
        <v>0</v>
      </c>
      <c r="E416">
        <f t="shared" si="248"/>
        <v>5</v>
      </c>
      <c r="F416">
        <f t="shared" si="215"/>
        <v>360</v>
      </c>
      <c r="G416">
        <f t="shared" si="230"/>
        <v>0</v>
      </c>
      <c r="H416">
        <f t="shared" si="237"/>
        <v>4</v>
      </c>
      <c r="I416">
        <f t="shared" si="216"/>
        <v>360</v>
      </c>
      <c r="J416">
        <f t="shared" si="231"/>
        <v>0</v>
      </c>
      <c r="K416">
        <f t="shared" si="238"/>
        <v>3</v>
      </c>
      <c r="L416">
        <f t="shared" si="217"/>
        <v>360</v>
      </c>
      <c r="M416">
        <f t="shared" si="232"/>
        <v>0</v>
      </c>
      <c r="N416">
        <f t="shared" si="239"/>
        <v>2</v>
      </c>
      <c r="O416">
        <f t="shared" si="218"/>
        <v>300</v>
      </c>
      <c r="P416">
        <f t="shared" si="240"/>
        <v>0</v>
      </c>
      <c r="Q416">
        <f t="shared" si="241"/>
        <v>2</v>
      </c>
      <c r="R416">
        <f t="shared" si="219"/>
        <v>300</v>
      </c>
      <c r="S416">
        <f t="shared" si="242"/>
        <v>0</v>
      </c>
      <c r="T416">
        <f t="shared" si="243"/>
        <v>-1</v>
      </c>
      <c r="U416">
        <f t="shared" si="233"/>
        <v>1</v>
      </c>
      <c r="V416">
        <f t="shared" si="234"/>
        <v>1</v>
      </c>
      <c r="W416">
        <f t="shared" si="220"/>
        <v>0</v>
      </c>
      <c r="X416">
        <f t="shared" si="244"/>
        <v>0</v>
      </c>
      <c r="Y416">
        <f t="shared" si="221"/>
        <v>0</v>
      </c>
      <c r="Z416">
        <f t="shared" si="222"/>
        <v>0</v>
      </c>
      <c r="AA416">
        <f t="shared" si="223"/>
        <v>0</v>
      </c>
      <c r="AB416" s="29">
        <f t="shared" si="224"/>
        <v>0</v>
      </c>
      <c r="AC416" s="25">
        <f t="shared" si="225"/>
        <v>0</v>
      </c>
      <c r="AD416" s="29">
        <f t="shared" si="226"/>
        <v>0</v>
      </c>
      <c r="AE416" s="25">
        <f t="shared" si="235"/>
        <v>0</v>
      </c>
      <c r="AF416" s="25">
        <f t="shared" si="227"/>
        <v>0</v>
      </c>
      <c r="AG416" s="25">
        <f>IF($A416&lt;0,0,IF(instatk="bs",(1.5+talSCallInstBon)*(MHavg+(ap+Z416-$Z$1)/APtoDPS*MHnorm+170)*(1+sa*0.1+0.04*opp+0.02*agg+Slayer4value-1),IF(instatk="hemo",Slayer4value*(MHavg+(ap+Z416-$Z$1)/APtoDPS*MHnorm)*(1.1+talSCallInstBon)+420*(1+raidcrit)*debuffon,IF(instatk="ss",(MHavg+(ap+Z416-$Z$1)/APtoDPS*MHnorm+98)*(1+sa*0.1+0.02*agg+Slayer4value-1),IF(instatk="v",(ohavg+(ap+Z416-$Z$1)/APtoDPS*OHnorm)*(1+sa*0.1)*(0.5+0.05*dws)+avipdam,Slayer4value*((1+0.04*opp)*(MHavg+101+(ap+Z416-$Z$1)/APtoDPS*MHnorm+(0.5+0.05*dws)*(ohavg+(ap+Z416-$Z$1)/APtoDPS*OHnorm)+101*(1+0.1*dws))*(1+0.5*IF(Talents!$O$18="Yes",1,0)))))))*(instactualhit+(1+((leth*0.06+2)-1)*(cfact-1))*instactualcrit)*fwfactor*AB416*instsec*(AF416/$AN$45))</f>
        <v>0</v>
      </c>
      <c r="AH416" s="25">
        <f t="shared" si="245"/>
        <v>0</v>
      </c>
      <c r="AI416" s="25">
        <f t="shared" si="246"/>
        <v>0</v>
      </c>
      <c r="AJ416" s="25">
        <f t="shared" si="247"/>
        <v>0</v>
      </c>
    </row>
    <row r="417" spans="1:36">
      <c r="A417">
        <f t="shared" si="228"/>
        <v>-1</v>
      </c>
      <c r="B417">
        <f t="shared" si="236"/>
        <v>6</v>
      </c>
      <c r="C417">
        <f t="shared" si="214"/>
        <v>300</v>
      </c>
      <c r="D417">
        <f t="shared" si="229"/>
        <v>0</v>
      </c>
      <c r="E417">
        <f t="shared" si="248"/>
        <v>5</v>
      </c>
      <c r="F417">
        <f t="shared" si="215"/>
        <v>360</v>
      </c>
      <c r="G417">
        <f t="shared" si="230"/>
        <v>0</v>
      </c>
      <c r="H417">
        <f t="shared" si="237"/>
        <v>4</v>
      </c>
      <c r="I417">
        <f t="shared" si="216"/>
        <v>360</v>
      </c>
      <c r="J417">
        <f t="shared" si="231"/>
        <v>0</v>
      </c>
      <c r="K417">
        <f t="shared" si="238"/>
        <v>3</v>
      </c>
      <c r="L417">
        <f t="shared" si="217"/>
        <v>360</v>
      </c>
      <c r="M417">
        <f t="shared" si="232"/>
        <v>0</v>
      </c>
      <c r="N417">
        <f t="shared" si="239"/>
        <v>2</v>
      </c>
      <c r="O417">
        <f t="shared" si="218"/>
        <v>300</v>
      </c>
      <c r="P417">
        <f t="shared" si="240"/>
        <v>0</v>
      </c>
      <c r="Q417">
        <f t="shared" si="241"/>
        <v>2</v>
      </c>
      <c r="R417">
        <f t="shared" si="219"/>
        <v>300</v>
      </c>
      <c r="S417">
        <f t="shared" si="242"/>
        <v>0</v>
      </c>
      <c r="T417">
        <f t="shared" si="243"/>
        <v>-1</v>
      </c>
      <c r="U417">
        <f t="shared" si="233"/>
        <v>1</v>
      </c>
      <c r="V417">
        <f t="shared" si="234"/>
        <v>1</v>
      </c>
      <c r="W417">
        <f t="shared" si="220"/>
        <v>0</v>
      </c>
      <c r="X417">
        <f t="shared" si="244"/>
        <v>0</v>
      </c>
      <c r="Y417">
        <f t="shared" si="221"/>
        <v>0</v>
      </c>
      <c r="Z417">
        <f t="shared" si="222"/>
        <v>0</v>
      </c>
      <c r="AA417">
        <f t="shared" si="223"/>
        <v>0</v>
      </c>
      <c r="AB417" s="29">
        <f t="shared" si="224"/>
        <v>0</v>
      </c>
      <c r="AC417" s="25">
        <f t="shared" si="225"/>
        <v>0</v>
      </c>
      <c r="AD417" s="29">
        <f t="shared" si="226"/>
        <v>0</v>
      </c>
      <c r="AE417" s="25">
        <f t="shared" si="235"/>
        <v>0</v>
      </c>
      <c r="AF417" s="25">
        <f t="shared" si="227"/>
        <v>0</v>
      </c>
      <c r="AG417" s="25">
        <f>IF($A417&lt;0,0,IF(instatk="bs",(1.5+talSCallInstBon)*(MHavg+(ap+Z417-$Z$1)/APtoDPS*MHnorm+170)*(1+sa*0.1+0.04*opp+0.02*agg+Slayer4value-1),IF(instatk="hemo",Slayer4value*(MHavg+(ap+Z417-$Z$1)/APtoDPS*MHnorm)*(1.1+talSCallInstBon)+420*(1+raidcrit)*debuffon,IF(instatk="ss",(MHavg+(ap+Z417-$Z$1)/APtoDPS*MHnorm+98)*(1+sa*0.1+0.02*agg+Slayer4value-1),IF(instatk="v",(ohavg+(ap+Z417-$Z$1)/APtoDPS*OHnorm)*(1+sa*0.1)*(0.5+0.05*dws)+avipdam,Slayer4value*((1+0.04*opp)*(MHavg+101+(ap+Z417-$Z$1)/APtoDPS*MHnorm+(0.5+0.05*dws)*(ohavg+(ap+Z417-$Z$1)/APtoDPS*OHnorm)+101*(1+0.1*dws))*(1+0.5*IF(Talents!$O$18="Yes",1,0)))))))*(instactualhit+(1+((leth*0.06+2)-1)*(cfact-1))*instactualcrit)*fwfactor*AB417*instsec*(AF417/$AN$45))</f>
        <v>0</v>
      </c>
      <c r="AH417" s="25">
        <f t="shared" si="245"/>
        <v>0</v>
      </c>
      <c r="AI417" s="25">
        <f t="shared" si="246"/>
        <v>0</v>
      </c>
      <c r="AJ417" s="25">
        <f t="shared" si="247"/>
        <v>0</v>
      </c>
    </row>
    <row r="418" spans="1:36">
      <c r="A418">
        <f t="shared" si="228"/>
        <v>-1</v>
      </c>
      <c r="B418">
        <f t="shared" si="236"/>
        <v>6</v>
      </c>
      <c r="C418">
        <f t="shared" si="214"/>
        <v>300</v>
      </c>
      <c r="D418">
        <f t="shared" si="229"/>
        <v>0</v>
      </c>
      <c r="E418">
        <f t="shared" si="248"/>
        <v>5</v>
      </c>
      <c r="F418">
        <f t="shared" si="215"/>
        <v>360</v>
      </c>
      <c r="G418">
        <f t="shared" si="230"/>
        <v>0</v>
      </c>
      <c r="H418">
        <f t="shared" si="237"/>
        <v>4</v>
      </c>
      <c r="I418">
        <f t="shared" si="216"/>
        <v>360</v>
      </c>
      <c r="J418">
        <f t="shared" si="231"/>
        <v>0</v>
      </c>
      <c r="K418">
        <f t="shared" si="238"/>
        <v>3</v>
      </c>
      <c r="L418">
        <f t="shared" si="217"/>
        <v>360</v>
      </c>
      <c r="M418">
        <f t="shared" si="232"/>
        <v>0</v>
      </c>
      <c r="N418">
        <f t="shared" si="239"/>
        <v>2</v>
      </c>
      <c r="O418">
        <f t="shared" si="218"/>
        <v>300</v>
      </c>
      <c r="P418">
        <f t="shared" si="240"/>
        <v>0</v>
      </c>
      <c r="Q418">
        <f t="shared" si="241"/>
        <v>2</v>
      </c>
      <c r="R418">
        <f t="shared" si="219"/>
        <v>300</v>
      </c>
      <c r="S418">
        <f t="shared" si="242"/>
        <v>0</v>
      </c>
      <c r="T418">
        <f t="shared" si="243"/>
        <v>-1</v>
      </c>
      <c r="U418">
        <f t="shared" si="233"/>
        <v>1</v>
      </c>
      <c r="V418">
        <f t="shared" si="234"/>
        <v>1</v>
      </c>
      <c r="W418">
        <f t="shared" si="220"/>
        <v>0</v>
      </c>
      <c r="X418">
        <f t="shared" si="244"/>
        <v>0</v>
      </c>
      <c r="Y418">
        <f t="shared" si="221"/>
        <v>0</v>
      </c>
      <c r="Z418">
        <f t="shared" si="222"/>
        <v>0</v>
      </c>
      <c r="AA418">
        <f t="shared" si="223"/>
        <v>0</v>
      </c>
      <c r="AB418" s="29">
        <f t="shared" si="224"/>
        <v>0</v>
      </c>
      <c r="AC418" s="25">
        <f t="shared" si="225"/>
        <v>0</v>
      </c>
      <c r="AD418" s="29">
        <f t="shared" si="226"/>
        <v>0</v>
      </c>
      <c r="AE418" s="25">
        <f t="shared" si="235"/>
        <v>0</v>
      </c>
      <c r="AF418" s="25">
        <f t="shared" si="227"/>
        <v>0</v>
      </c>
      <c r="AG418" s="25">
        <f>IF($A418&lt;0,0,IF(instatk="bs",(1.5+talSCallInstBon)*(MHavg+(ap+Z418-$Z$1)/APtoDPS*MHnorm+170)*(1+sa*0.1+0.04*opp+0.02*agg+Slayer4value-1),IF(instatk="hemo",Slayer4value*(MHavg+(ap+Z418-$Z$1)/APtoDPS*MHnorm)*(1.1+talSCallInstBon)+420*(1+raidcrit)*debuffon,IF(instatk="ss",(MHavg+(ap+Z418-$Z$1)/APtoDPS*MHnorm+98)*(1+sa*0.1+0.02*agg+Slayer4value-1),IF(instatk="v",(ohavg+(ap+Z418-$Z$1)/APtoDPS*OHnorm)*(1+sa*0.1)*(0.5+0.05*dws)+avipdam,Slayer4value*((1+0.04*opp)*(MHavg+101+(ap+Z418-$Z$1)/APtoDPS*MHnorm+(0.5+0.05*dws)*(ohavg+(ap+Z418-$Z$1)/APtoDPS*OHnorm)+101*(1+0.1*dws))*(1+0.5*IF(Talents!$O$18="Yes",1,0)))))))*(instactualhit+(1+((leth*0.06+2)-1)*(cfact-1))*instactualcrit)*fwfactor*AB418*instsec*(AF418/$AN$45))</f>
        <v>0</v>
      </c>
      <c r="AH418" s="25">
        <f t="shared" si="245"/>
        <v>0</v>
      </c>
      <c r="AI418" s="25">
        <f t="shared" si="246"/>
        <v>0</v>
      </c>
      <c r="AJ418" s="25">
        <f t="shared" si="247"/>
        <v>0</v>
      </c>
    </row>
    <row r="419" spans="1:36">
      <c r="A419">
        <f t="shared" si="228"/>
        <v>-1</v>
      </c>
      <c r="B419">
        <f t="shared" si="236"/>
        <v>6</v>
      </c>
      <c r="C419">
        <f t="shared" si="214"/>
        <v>300</v>
      </c>
      <c r="D419">
        <f t="shared" si="229"/>
        <v>0</v>
      </c>
      <c r="E419">
        <f t="shared" si="248"/>
        <v>5</v>
      </c>
      <c r="F419">
        <f t="shared" si="215"/>
        <v>360</v>
      </c>
      <c r="G419">
        <f t="shared" si="230"/>
        <v>0</v>
      </c>
      <c r="H419">
        <f t="shared" si="237"/>
        <v>4</v>
      </c>
      <c r="I419">
        <f t="shared" si="216"/>
        <v>360</v>
      </c>
      <c r="J419">
        <f t="shared" si="231"/>
        <v>0</v>
      </c>
      <c r="K419">
        <f t="shared" si="238"/>
        <v>3</v>
      </c>
      <c r="L419">
        <f t="shared" si="217"/>
        <v>360</v>
      </c>
      <c r="M419">
        <f t="shared" si="232"/>
        <v>0</v>
      </c>
      <c r="N419">
        <f t="shared" si="239"/>
        <v>2</v>
      </c>
      <c r="O419">
        <f t="shared" si="218"/>
        <v>300</v>
      </c>
      <c r="P419">
        <f t="shared" si="240"/>
        <v>0</v>
      </c>
      <c r="Q419">
        <f t="shared" si="241"/>
        <v>2</v>
      </c>
      <c r="R419">
        <f t="shared" si="219"/>
        <v>300</v>
      </c>
      <c r="S419">
        <f t="shared" si="242"/>
        <v>0</v>
      </c>
      <c r="T419">
        <f t="shared" si="243"/>
        <v>-1</v>
      </c>
      <c r="U419">
        <f t="shared" si="233"/>
        <v>1</v>
      </c>
      <c r="V419">
        <f t="shared" si="234"/>
        <v>1</v>
      </c>
      <c r="W419">
        <f t="shared" si="220"/>
        <v>0</v>
      </c>
      <c r="X419">
        <f t="shared" si="244"/>
        <v>0</v>
      </c>
      <c r="Y419">
        <f t="shared" si="221"/>
        <v>0</v>
      </c>
      <c r="Z419">
        <f t="shared" si="222"/>
        <v>0</v>
      </c>
      <c r="AA419">
        <f t="shared" si="223"/>
        <v>0</v>
      </c>
      <c r="AB419" s="29">
        <f t="shared" si="224"/>
        <v>0</v>
      </c>
      <c r="AC419" s="25">
        <f t="shared" si="225"/>
        <v>0</v>
      </c>
      <c r="AD419" s="29">
        <f t="shared" si="226"/>
        <v>0</v>
      </c>
      <c r="AE419" s="25">
        <f t="shared" si="235"/>
        <v>0</v>
      </c>
      <c r="AF419" s="25">
        <f t="shared" si="227"/>
        <v>0</v>
      </c>
      <c r="AG419" s="25">
        <f>IF($A419&lt;0,0,IF(instatk="bs",(1.5+talSCallInstBon)*(MHavg+(ap+Z419-$Z$1)/APtoDPS*MHnorm+170)*(1+sa*0.1+0.04*opp+0.02*agg+Slayer4value-1),IF(instatk="hemo",Slayer4value*(MHavg+(ap+Z419-$Z$1)/APtoDPS*MHnorm)*(1.1+talSCallInstBon)+420*(1+raidcrit)*debuffon,IF(instatk="ss",(MHavg+(ap+Z419-$Z$1)/APtoDPS*MHnorm+98)*(1+sa*0.1+0.02*agg+Slayer4value-1),IF(instatk="v",(ohavg+(ap+Z419-$Z$1)/APtoDPS*OHnorm)*(1+sa*0.1)*(0.5+0.05*dws)+avipdam,Slayer4value*((1+0.04*opp)*(MHavg+101+(ap+Z419-$Z$1)/APtoDPS*MHnorm+(0.5+0.05*dws)*(ohavg+(ap+Z419-$Z$1)/APtoDPS*OHnorm)+101*(1+0.1*dws))*(1+0.5*IF(Talents!$O$18="Yes",1,0)))))))*(instactualhit+(1+((leth*0.06+2)-1)*(cfact-1))*instactualcrit)*fwfactor*AB419*instsec*(AF419/$AN$45))</f>
        <v>0</v>
      </c>
      <c r="AH419" s="25">
        <f t="shared" si="245"/>
        <v>0</v>
      </c>
      <c r="AI419" s="25">
        <f t="shared" si="246"/>
        <v>0</v>
      </c>
      <c r="AJ419" s="25">
        <f t="shared" si="247"/>
        <v>0</v>
      </c>
    </row>
    <row r="420" spans="1:36">
      <c r="A420">
        <f t="shared" si="228"/>
        <v>-1</v>
      </c>
      <c r="B420">
        <f t="shared" si="236"/>
        <v>6</v>
      </c>
      <c r="C420">
        <f t="shared" si="214"/>
        <v>300</v>
      </c>
      <c r="D420">
        <f t="shared" si="229"/>
        <v>0</v>
      </c>
      <c r="E420">
        <f t="shared" si="248"/>
        <v>5</v>
      </c>
      <c r="F420">
        <f t="shared" si="215"/>
        <v>360</v>
      </c>
      <c r="G420">
        <f t="shared" si="230"/>
        <v>0</v>
      </c>
      <c r="H420">
        <f t="shared" si="237"/>
        <v>4</v>
      </c>
      <c r="I420">
        <f t="shared" si="216"/>
        <v>360</v>
      </c>
      <c r="J420">
        <f t="shared" si="231"/>
        <v>0</v>
      </c>
      <c r="K420">
        <f t="shared" si="238"/>
        <v>3</v>
      </c>
      <c r="L420">
        <f t="shared" si="217"/>
        <v>360</v>
      </c>
      <c r="M420">
        <f t="shared" si="232"/>
        <v>0</v>
      </c>
      <c r="N420">
        <f t="shared" si="239"/>
        <v>2</v>
      </c>
      <c r="O420">
        <f t="shared" si="218"/>
        <v>300</v>
      </c>
      <c r="P420">
        <f t="shared" si="240"/>
        <v>0</v>
      </c>
      <c r="Q420">
        <f t="shared" si="241"/>
        <v>2</v>
      </c>
      <c r="R420">
        <f t="shared" si="219"/>
        <v>300</v>
      </c>
      <c r="S420">
        <f t="shared" si="242"/>
        <v>0</v>
      </c>
      <c r="T420">
        <f t="shared" si="243"/>
        <v>-1</v>
      </c>
      <c r="U420">
        <f t="shared" si="233"/>
        <v>1</v>
      </c>
      <c r="V420">
        <f t="shared" si="234"/>
        <v>1</v>
      </c>
      <c r="W420">
        <f t="shared" si="220"/>
        <v>0</v>
      </c>
      <c r="X420">
        <f t="shared" si="244"/>
        <v>0</v>
      </c>
      <c r="Y420">
        <f t="shared" si="221"/>
        <v>0</v>
      </c>
      <c r="Z420">
        <f t="shared" si="222"/>
        <v>0</v>
      </c>
      <c r="AA420">
        <f t="shared" si="223"/>
        <v>0</v>
      </c>
      <c r="AB420" s="29">
        <f t="shared" si="224"/>
        <v>0</v>
      </c>
      <c r="AC420" s="25">
        <f t="shared" si="225"/>
        <v>0</v>
      </c>
      <c r="AD420" s="29">
        <f t="shared" si="226"/>
        <v>0</v>
      </c>
      <c r="AE420" s="25">
        <f t="shared" si="235"/>
        <v>0</v>
      </c>
      <c r="AF420" s="25">
        <f t="shared" si="227"/>
        <v>0</v>
      </c>
      <c r="AG420" s="25">
        <f>IF($A420&lt;0,0,IF(instatk="bs",(1.5+talSCallInstBon)*(MHavg+(ap+Z420-$Z$1)/APtoDPS*MHnorm+170)*(1+sa*0.1+0.04*opp+0.02*agg+Slayer4value-1),IF(instatk="hemo",Slayer4value*(MHavg+(ap+Z420-$Z$1)/APtoDPS*MHnorm)*(1.1+talSCallInstBon)+420*(1+raidcrit)*debuffon,IF(instatk="ss",(MHavg+(ap+Z420-$Z$1)/APtoDPS*MHnorm+98)*(1+sa*0.1+0.02*agg+Slayer4value-1),IF(instatk="v",(ohavg+(ap+Z420-$Z$1)/APtoDPS*OHnorm)*(1+sa*0.1)*(0.5+0.05*dws)+avipdam,Slayer4value*((1+0.04*opp)*(MHavg+101+(ap+Z420-$Z$1)/APtoDPS*MHnorm+(0.5+0.05*dws)*(ohavg+(ap+Z420-$Z$1)/APtoDPS*OHnorm)+101*(1+0.1*dws))*(1+0.5*IF(Talents!$O$18="Yes",1,0)))))))*(instactualhit+(1+((leth*0.06+2)-1)*(cfact-1))*instactualcrit)*fwfactor*AB420*instsec*(AF420/$AN$45))</f>
        <v>0</v>
      </c>
      <c r="AH420" s="25">
        <f t="shared" si="245"/>
        <v>0</v>
      </c>
      <c r="AI420" s="25">
        <f t="shared" si="246"/>
        <v>0</v>
      </c>
      <c r="AJ420" s="25">
        <f t="shared" si="247"/>
        <v>0</v>
      </c>
    </row>
    <row r="421" spans="1:36">
      <c r="A421">
        <f t="shared" si="228"/>
        <v>-1</v>
      </c>
      <c r="B421">
        <f t="shared" si="236"/>
        <v>6</v>
      </c>
      <c r="C421">
        <f t="shared" si="214"/>
        <v>300</v>
      </c>
      <c r="D421">
        <f t="shared" si="229"/>
        <v>0</v>
      </c>
      <c r="E421">
        <f t="shared" si="248"/>
        <v>5</v>
      </c>
      <c r="F421">
        <f t="shared" si="215"/>
        <v>360</v>
      </c>
      <c r="G421">
        <f t="shared" si="230"/>
        <v>0</v>
      </c>
      <c r="H421">
        <f t="shared" si="237"/>
        <v>4</v>
      </c>
      <c r="I421">
        <f t="shared" si="216"/>
        <v>360</v>
      </c>
      <c r="J421">
        <f t="shared" si="231"/>
        <v>0</v>
      </c>
      <c r="K421">
        <f t="shared" si="238"/>
        <v>3</v>
      </c>
      <c r="L421">
        <f t="shared" si="217"/>
        <v>360</v>
      </c>
      <c r="M421">
        <f t="shared" si="232"/>
        <v>0</v>
      </c>
      <c r="N421">
        <f t="shared" si="239"/>
        <v>2</v>
      </c>
      <c r="O421">
        <f t="shared" si="218"/>
        <v>300</v>
      </c>
      <c r="P421">
        <f t="shared" si="240"/>
        <v>0</v>
      </c>
      <c r="Q421">
        <f t="shared" si="241"/>
        <v>2</v>
      </c>
      <c r="R421">
        <f t="shared" si="219"/>
        <v>300</v>
      </c>
      <c r="S421">
        <f t="shared" si="242"/>
        <v>0</v>
      </c>
      <c r="T421">
        <f t="shared" si="243"/>
        <v>-1</v>
      </c>
      <c r="U421">
        <f t="shared" si="233"/>
        <v>1</v>
      </c>
      <c r="V421">
        <f t="shared" si="234"/>
        <v>1</v>
      </c>
      <c r="W421">
        <f t="shared" si="220"/>
        <v>0</v>
      </c>
      <c r="X421">
        <f t="shared" si="244"/>
        <v>0</v>
      </c>
      <c r="Y421">
        <f t="shared" si="221"/>
        <v>0</v>
      </c>
      <c r="Z421">
        <f t="shared" si="222"/>
        <v>0</v>
      </c>
      <c r="AA421">
        <f t="shared" si="223"/>
        <v>0</v>
      </c>
      <c r="AB421" s="29">
        <f t="shared" si="224"/>
        <v>0</v>
      </c>
      <c r="AC421" s="25">
        <f t="shared" si="225"/>
        <v>0</v>
      </c>
      <c r="AD421" s="29">
        <f t="shared" si="226"/>
        <v>0</v>
      </c>
      <c r="AE421" s="25">
        <f t="shared" si="235"/>
        <v>0</v>
      </c>
      <c r="AF421" s="25">
        <f t="shared" si="227"/>
        <v>0</v>
      </c>
      <c r="AG421" s="25">
        <f>IF($A421&lt;0,0,IF(instatk="bs",(1.5+talSCallInstBon)*(MHavg+(ap+Z421-$Z$1)/APtoDPS*MHnorm+170)*(1+sa*0.1+0.04*opp+0.02*agg+Slayer4value-1),IF(instatk="hemo",Slayer4value*(MHavg+(ap+Z421-$Z$1)/APtoDPS*MHnorm)*(1.1+talSCallInstBon)+420*(1+raidcrit)*debuffon,IF(instatk="ss",(MHavg+(ap+Z421-$Z$1)/APtoDPS*MHnorm+98)*(1+sa*0.1+0.02*agg+Slayer4value-1),IF(instatk="v",(ohavg+(ap+Z421-$Z$1)/APtoDPS*OHnorm)*(1+sa*0.1)*(0.5+0.05*dws)+avipdam,Slayer4value*((1+0.04*opp)*(MHavg+101+(ap+Z421-$Z$1)/APtoDPS*MHnorm+(0.5+0.05*dws)*(ohavg+(ap+Z421-$Z$1)/APtoDPS*OHnorm)+101*(1+0.1*dws))*(1+0.5*IF(Talents!$O$18="Yes",1,0)))))))*(instactualhit+(1+((leth*0.06+2)-1)*(cfact-1))*instactualcrit)*fwfactor*AB421*instsec*(AF421/$AN$45))</f>
        <v>0</v>
      </c>
      <c r="AH421" s="25">
        <f t="shared" si="245"/>
        <v>0</v>
      </c>
      <c r="AI421" s="25">
        <f t="shared" si="246"/>
        <v>0</v>
      </c>
      <c r="AJ421" s="25">
        <f t="shared" si="247"/>
        <v>0</v>
      </c>
    </row>
    <row r="422" spans="1:36">
      <c r="A422">
        <f t="shared" si="228"/>
        <v>-1</v>
      </c>
      <c r="B422">
        <f t="shared" si="236"/>
        <v>6</v>
      </c>
      <c r="C422">
        <f t="shared" si="214"/>
        <v>300</v>
      </c>
      <c r="D422">
        <f t="shared" si="229"/>
        <v>0</v>
      </c>
      <c r="E422">
        <f t="shared" si="248"/>
        <v>5</v>
      </c>
      <c r="F422">
        <f t="shared" si="215"/>
        <v>360</v>
      </c>
      <c r="G422">
        <f t="shared" si="230"/>
        <v>0</v>
      </c>
      <c r="H422">
        <f t="shared" si="237"/>
        <v>4</v>
      </c>
      <c r="I422">
        <f t="shared" si="216"/>
        <v>360</v>
      </c>
      <c r="J422">
        <f t="shared" si="231"/>
        <v>0</v>
      </c>
      <c r="K422">
        <f t="shared" si="238"/>
        <v>3</v>
      </c>
      <c r="L422">
        <f t="shared" si="217"/>
        <v>360</v>
      </c>
      <c r="M422">
        <f t="shared" si="232"/>
        <v>0</v>
      </c>
      <c r="N422">
        <f t="shared" si="239"/>
        <v>2</v>
      </c>
      <c r="O422">
        <f t="shared" si="218"/>
        <v>300</v>
      </c>
      <c r="P422">
        <f t="shared" si="240"/>
        <v>0</v>
      </c>
      <c r="Q422">
        <f t="shared" si="241"/>
        <v>2</v>
      </c>
      <c r="R422">
        <f t="shared" si="219"/>
        <v>300</v>
      </c>
      <c r="S422">
        <f t="shared" si="242"/>
        <v>0</v>
      </c>
      <c r="T422">
        <f t="shared" si="243"/>
        <v>-1</v>
      </c>
      <c r="U422">
        <f t="shared" si="233"/>
        <v>1</v>
      </c>
      <c r="V422">
        <f t="shared" si="234"/>
        <v>1</v>
      </c>
      <c r="W422">
        <f t="shared" si="220"/>
        <v>0</v>
      </c>
      <c r="X422">
        <f t="shared" si="244"/>
        <v>0</v>
      </c>
      <c r="Y422">
        <f t="shared" si="221"/>
        <v>0</v>
      </c>
      <c r="Z422">
        <f t="shared" si="222"/>
        <v>0</v>
      </c>
      <c r="AA422">
        <f t="shared" si="223"/>
        <v>0</v>
      </c>
      <c r="AB422" s="29">
        <f t="shared" si="224"/>
        <v>0</v>
      </c>
      <c r="AC422" s="25">
        <f t="shared" si="225"/>
        <v>0</v>
      </c>
      <c r="AD422" s="29">
        <f t="shared" si="226"/>
        <v>0</v>
      </c>
      <c r="AE422" s="25">
        <f t="shared" si="235"/>
        <v>0</v>
      </c>
      <c r="AF422" s="25">
        <f t="shared" si="227"/>
        <v>0</v>
      </c>
      <c r="AG422" s="25">
        <f>IF($A422&lt;0,0,IF(instatk="bs",(1.5+talSCallInstBon)*(MHavg+(ap+Z422-$Z$1)/APtoDPS*MHnorm+170)*(1+sa*0.1+0.04*opp+0.02*agg+Slayer4value-1),IF(instatk="hemo",Slayer4value*(MHavg+(ap+Z422-$Z$1)/APtoDPS*MHnorm)*(1.1+talSCallInstBon)+420*(1+raidcrit)*debuffon,IF(instatk="ss",(MHavg+(ap+Z422-$Z$1)/APtoDPS*MHnorm+98)*(1+sa*0.1+0.02*agg+Slayer4value-1),IF(instatk="v",(ohavg+(ap+Z422-$Z$1)/APtoDPS*OHnorm)*(1+sa*0.1)*(0.5+0.05*dws)+avipdam,Slayer4value*((1+0.04*opp)*(MHavg+101+(ap+Z422-$Z$1)/APtoDPS*MHnorm+(0.5+0.05*dws)*(ohavg+(ap+Z422-$Z$1)/APtoDPS*OHnorm)+101*(1+0.1*dws))*(1+0.5*IF(Talents!$O$18="Yes",1,0)))))))*(instactualhit+(1+((leth*0.06+2)-1)*(cfact-1))*instactualcrit)*fwfactor*AB422*instsec*(AF422/$AN$45))</f>
        <v>0</v>
      </c>
      <c r="AH422" s="25">
        <f t="shared" si="245"/>
        <v>0</v>
      </c>
      <c r="AI422" s="25">
        <f t="shared" si="246"/>
        <v>0</v>
      </c>
      <c r="AJ422" s="25">
        <f t="shared" si="247"/>
        <v>0</v>
      </c>
    </row>
    <row r="423" spans="1:36">
      <c r="A423">
        <f t="shared" si="228"/>
        <v>-1</v>
      </c>
      <c r="B423">
        <f t="shared" si="236"/>
        <v>6</v>
      </c>
      <c r="C423">
        <f t="shared" si="214"/>
        <v>300</v>
      </c>
      <c r="D423">
        <f t="shared" si="229"/>
        <v>0</v>
      </c>
      <c r="E423">
        <f t="shared" si="248"/>
        <v>5</v>
      </c>
      <c r="F423">
        <f t="shared" si="215"/>
        <v>360</v>
      </c>
      <c r="G423">
        <f t="shared" si="230"/>
        <v>0</v>
      </c>
      <c r="H423">
        <f t="shared" si="237"/>
        <v>4</v>
      </c>
      <c r="I423">
        <f t="shared" si="216"/>
        <v>360</v>
      </c>
      <c r="J423">
        <f t="shared" si="231"/>
        <v>0</v>
      </c>
      <c r="K423">
        <f t="shared" si="238"/>
        <v>3</v>
      </c>
      <c r="L423">
        <f t="shared" si="217"/>
        <v>360</v>
      </c>
      <c r="M423">
        <f t="shared" si="232"/>
        <v>0</v>
      </c>
      <c r="N423">
        <f t="shared" si="239"/>
        <v>2</v>
      </c>
      <c r="O423">
        <f t="shared" si="218"/>
        <v>300</v>
      </c>
      <c r="P423">
        <f t="shared" si="240"/>
        <v>0</v>
      </c>
      <c r="Q423">
        <f t="shared" si="241"/>
        <v>2</v>
      </c>
      <c r="R423">
        <f t="shared" si="219"/>
        <v>300</v>
      </c>
      <c r="S423">
        <f t="shared" si="242"/>
        <v>0</v>
      </c>
      <c r="T423">
        <f t="shared" si="243"/>
        <v>-1</v>
      </c>
      <c r="U423">
        <f t="shared" si="233"/>
        <v>1</v>
      </c>
      <c r="V423">
        <f t="shared" si="234"/>
        <v>1</v>
      </c>
      <c r="W423">
        <f t="shared" si="220"/>
        <v>0</v>
      </c>
      <c r="X423">
        <f t="shared" si="244"/>
        <v>0</v>
      </c>
      <c r="Y423">
        <f t="shared" si="221"/>
        <v>0</v>
      </c>
      <c r="Z423">
        <f t="shared" si="222"/>
        <v>0</v>
      </c>
      <c r="AA423">
        <f t="shared" si="223"/>
        <v>0</v>
      </c>
      <c r="AB423" s="29">
        <f t="shared" si="224"/>
        <v>0</v>
      </c>
      <c r="AC423" s="25">
        <f t="shared" si="225"/>
        <v>0</v>
      </c>
      <c r="AD423" s="29">
        <f t="shared" si="226"/>
        <v>0</v>
      </c>
      <c r="AE423" s="25">
        <f t="shared" si="235"/>
        <v>0</v>
      </c>
      <c r="AF423" s="25">
        <f t="shared" si="227"/>
        <v>0</v>
      </c>
      <c r="AG423" s="25">
        <f>IF($A423&lt;0,0,IF(instatk="bs",(1.5+talSCallInstBon)*(MHavg+(ap+Z423-$Z$1)/APtoDPS*MHnorm+170)*(1+sa*0.1+0.04*opp+0.02*agg+Slayer4value-1),IF(instatk="hemo",Slayer4value*(MHavg+(ap+Z423-$Z$1)/APtoDPS*MHnorm)*(1.1+talSCallInstBon)+420*(1+raidcrit)*debuffon,IF(instatk="ss",(MHavg+(ap+Z423-$Z$1)/APtoDPS*MHnorm+98)*(1+sa*0.1+0.02*agg+Slayer4value-1),IF(instatk="v",(ohavg+(ap+Z423-$Z$1)/APtoDPS*OHnorm)*(1+sa*0.1)*(0.5+0.05*dws)+avipdam,Slayer4value*((1+0.04*opp)*(MHavg+101+(ap+Z423-$Z$1)/APtoDPS*MHnorm+(0.5+0.05*dws)*(ohavg+(ap+Z423-$Z$1)/APtoDPS*OHnorm)+101*(1+0.1*dws))*(1+0.5*IF(Talents!$O$18="Yes",1,0)))))))*(instactualhit+(1+((leth*0.06+2)-1)*(cfact-1))*instactualcrit)*fwfactor*AB423*instsec*(AF423/$AN$45))</f>
        <v>0</v>
      </c>
      <c r="AH423" s="25">
        <f t="shared" si="245"/>
        <v>0</v>
      </c>
      <c r="AI423" s="25">
        <f t="shared" si="246"/>
        <v>0</v>
      </c>
      <c r="AJ423" s="25">
        <f t="shared" si="247"/>
        <v>0</v>
      </c>
    </row>
    <row r="424" spans="1:36">
      <c r="A424">
        <f t="shared" si="228"/>
        <v>-1</v>
      </c>
      <c r="B424">
        <f t="shared" si="236"/>
        <v>6</v>
      </c>
      <c r="C424">
        <f t="shared" si="214"/>
        <v>300</v>
      </c>
      <c r="D424">
        <f t="shared" si="229"/>
        <v>0</v>
      </c>
      <c r="E424">
        <f t="shared" si="248"/>
        <v>5</v>
      </c>
      <c r="F424">
        <f t="shared" si="215"/>
        <v>360</v>
      </c>
      <c r="G424">
        <f t="shared" si="230"/>
        <v>0</v>
      </c>
      <c r="H424">
        <f t="shared" si="237"/>
        <v>4</v>
      </c>
      <c r="I424">
        <f t="shared" si="216"/>
        <v>360</v>
      </c>
      <c r="J424">
        <f t="shared" si="231"/>
        <v>0</v>
      </c>
      <c r="K424">
        <f t="shared" si="238"/>
        <v>3</v>
      </c>
      <c r="L424">
        <f t="shared" si="217"/>
        <v>360</v>
      </c>
      <c r="M424">
        <f t="shared" si="232"/>
        <v>0</v>
      </c>
      <c r="N424">
        <f t="shared" si="239"/>
        <v>2</v>
      </c>
      <c r="O424">
        <f t="shared" si="218"/>
        <v>300</v>
      </c>
      <c r="P424">
        <f t="shared" si="240"/>
        <v>0</v>
      </c>
      <c r="Q424">
        <f t="shared" si="241"/>
        <v>2</v>
      </c>
      <c r="R424">
        <f t="shared" si="219"/>
        <v>300</v>
      </c>
      <c r="S424">
        <f t="shared" si="242"/>
        <v>0</v>
      </c>
      <c r="T424">
        <f t="shared" si="243"/>
        <v>-1</v>
      </c>
      <c r="U424">
        <f t="shared" si="233"/>
        <v>1</v>
      </c>
      <c r="V424">
        <f t="shared" si="234"/>
        <v>1</v>
      </c>
      <c r="W424">
        <f t="shared" si="220"/>
        <v>0</v>
      </c>
      <c r="X424">
        <f t="shared" si="244"/>
        <v>0</v>
      </c>
      <c r="Y424">
        <f t="shared" si="221"/>
        <v>0</v>
      </c>
      <c r="Z424">
        <f t="shared" si="222"/>
        <v>0</v>
      </c>
      <c r="AA424">
        <f t="shared" si="223"/>
        <v>0</v>
      </c>
      <c r="AB424" s="29">
        <f t="shared" si="224"/>
        <v>0</v>
      </c>
      <c r="AC424" s="25">
        <f t="shared" si="225"/>
        <v>0</v>
      </c>
      <c r="AD424" s="29">
        <f t="shared" si="226"/>
        <v>0</v>
      </c>
      <c r="AE424" s="25">
        <f t="shared" si="235"/>
        <v>0</v>
      </c>
      <c r="AF424" s="25">
        <f t="shared" si="227"/>
        <v>0</v>
      </c>
      <c r="AG424" s="25">
        <f>IF($A424&lt;0,0,IF(instatk="bs",(1.5+talSCallInstBon)*(MHavg+(ap+Z424-$Z$1)/APtoDPS*MHnorm+170)*(1+sa*0.1+0.04*opp+0.02*agg+Slayer4value-1),IF(instatk="hemo",Slayer4value*(MHavg+(ap+Z424-$Z$1)/APtoDPS*MHnorm)*(1.1+talSCallInstBon)+420*(1+raidcrit)*debuffon,IF(instatk="ss",(MHavg+(ap+Z424-$Z$1)/APtoDPS*MHnorm+98)*(1+sa*0.1+0.02*agg+Slayer4value-1),IF(instatk="v",(ohavg+(ap+Z424-$Z$1)/APtoDPS*OHnorm)*(1+sa*0.1)*(0.5+0.05*dws)+avipdam,Slayer4value*((1+0.04*opp)*(MHavg+101+(ap+Z424-$Z$1)/APtoDPS*MHnorm+(0.5+0.05*dws)*(ohavg+(ap+Z424-$Z$1)/APtoDPS*OHnorm)+101*(1+0.1*dws))*(1+0.5*IF(Talents!$O$18="Yes",1,0)))))))*(instactualhit+(1+((leth*0.06+2)-1)*(cfact-1))*instactualcrit)*fwfactor*AB424*instsec*(AF424/$AN$45))</f>
        <v>0</v>
      </c>
      <c r="AH424" s="25">
        <f t="shared" si="245"/>
        <v>0</v>
      </c>
      <c r="AI424" s="25">
        <f t="shared" si="246"/>
        <v>0</v>
      </c>
      <c r="AJ424" s="25">
        <f t="shared" si="247"/>
        <v>0</v>
      </c>
    </row>
    <row r="425" spans="1:36">
      <c r="A425">
        <f t="shared" si="228"/>
        <v>-1</v>
      </c>
      <c r="B425">
        <f t="shared" si="236"/>
        <v>6</v>
      </c>
      <c r="C425">
        <f t="shared" si="214"/>
        <v>300</v>
      </c>
      <c r="D425">
        <f t="shared" si="229"/>
        <v>0</v>
      </c>
      <c r="E425">
        <f t="shared" si="248"/>
        <v>5</v>
      </c>
      <c r="F425">
        <f t="shared" si="215"/>
        <v>360</v>
      </c>
      <c r="G425">
        <f t="shared" si="230"/>
        <v>0</v>
      </c>
      <c r="H425">
        <f t="shared" si="237"/>
        <v>4</v>
      </c>
      <c r="I425">
        <f t="shared" si="216"/>
        <v>360</v>
      </c>
      <c r="J425">
        <f t="shared" si="231"/>
        <v>0</v>
      </c>
      <c r="K425">
        <f t="shared" si="238"/>
        <v>3</v>
      </c>
      <c r="L425">
        <f t="shared" si="217"/>
        <v>360</v>
      </c>
      <c r="M425">
        <f t="shared" si="232"/>
        <v>0</v>
      </c>
      <c r="N425">
        <f t="shared" si="239"/>
        <v>2</v>
      </c>
      <c r="O425">
        <f t="shared" si="218"/>
        <v>300</v>
      </c>
      <c r="P425">
        <f t="shared" si="240"/>
        <v>0</v>
      </c>
      <c r="Q425">
        <f t="shared" si="241"/>
        <v>2</v>
      </c>
      <c r="R425">
        <f t="shared" si="219"/>
        <v>300</v>
      </c>
      <c r="S425">
        <f t="shared" si="242"/>
        <v>0</v>
      </c>
      <c r="T425">
        <f t="shared" si="243"/>
        <v>-1</v>
      </c>
      <c r="U425">
        <f t="shared" si="233"/>
        <v>1</v>
      </c>
      <c r="V425">
        <f t="shared" si="234"/>
        <v>1</v>
      </c>
      <c r="W425">
        <f t="shared" si="220"/>
        <v>0</v>
      </c>
      <c r="X425">
        <f t="shared" si="244"/>
        <v>0</v>
      </c>
      <c r="Y425">
        <f t="shared" si="221"/>
        <v>0</v>
      </c>
      <c r="Z425">
        <f t="shared" si="222"/>
        <v>0</v>
      </c>
      <c r="AA425">
        <f t="shared" si="223"/>
        <v>0</v>
      </c>
      <c r="AB425" s="29">
        <f t="shared" si="224"/>
        <v>0</v>
      </c>
      <c r="AC425" s="25">
        <f t="shared" si="225"/>
        <v>0</v>
      </c>
      <c r="AD425" s="29">
        <f t="shared" si="226"/>
        <v>0</v>
      </c>
      <c r="AE425" s="25">
        <f t="shared" si="235"/>
        <v>0</v>
      </c>
      <c r="AF425" s="25">
        <f t="shared" si="227"/>
        <v>0</v>
      </c>
      <c r="AG425" s="25">
        <f>IF($A425&lt;0,0,IF(instatk="bs",(1.5+talSCallInstBon)*(MHavg+(ap+Z425-$Z$1)/APtoDPS*MHnorm+170)*(1+sa*0.1+0.04*opp+0.02*agg+Slayer4value-1),IF(instatk="hemo",Slayer4value*(MHavg+(ap+Z425-$Z$1)/APtoDPS*MHnorm)*(1.1+talSCallInstBon)+420*(1+raidcrit)*debuffon,IF(instatk="ss",(MHavg+(ap+Z425-$Z$1)/APtoDPS*MHnorm+98)*(1+sa*0.1+0.02*agg+Slayer4value-1),IF(instatk="v",(ohavg+(ap+Z425-$Z$1)/APtoDPS*OHnorm)*(1+sa*0.1)*(0.5+0.05*dws)+avipdam,Slayer4value*((1+0.04*opp)*(MHavg+101+(ap+Z425-$Z$1)/APtoDPS*MHnorm+(0.5+0.05*dws)*(ohavg+(ap+Z425-$Z$1)/APtoDPS*OHnorm)+101*(1+0.1*dws))*(1+0.5*IF(Talents!$O$18="Yes",1,0)))))))*(instactualhit+(1+((leth*0.06+2)-1)*(cfact-1))*instactualcrit)*fwfactor*AB425*instsec*(AF425/$AN$45))</f>
        <v>0</v>
      </c>
      <c r="AH425" s="25">
        <f t="shared" si="245"/>
        <v>0</v>
      </c>
      <c r="AI425" s="25">
        <f t="shared" si="246"/>
        <v>0</v>
      </c>
      <c r="AJ425" s="25">
        <f t="shared" si="247"/>
        <v>0</v>
      </c>
    </row>
    <row r="426" spans="1:36">
      <c r="A426">
        <f t="shared" si="228"/>
        <v>-1</v>
      </c>
      <c r="B426">
        <f t="shared" si="236"/>
        <v>6</v>
      </c>
      <c r="C426">
        <f t="shared" si="214"/>
        <v>300</v>
      </c>
      <c r="D426">
        <f t="shared" si="229"/>
        <v>0</v>
      </c>
      <c r="E426">
        <f t="shared" si="248"/>
        <v>5</v>
      </c>
      <c r="F426">
        <f t="shared" si="215"/>
        <v>360</v>
      </c>
      <c r="G426">
        <f t="shared" si="230"/>
        <v>0</v>
      </c>
      <c r="H426">
        <f t="shared" si="237"/>
        <v>4</v>
      </c>
      <c r="I426">
        <f t="shared" si="216"/>
        <v>360</v>
      </c>
      <c r="J426">
        <f t="shared" si="231"/>
        <v>0</v>
      </c>
      <c r="K426">
        <f t="shared" si="238"/>
        <v>3</v>
      </c>
      <c r="L426">
        <f t="shared" si="217"/>
        <v>360</v>
      </c>
      <c r="M426">
        <f t="shared" si="232"/>
        <v>0</v>
      </c>
      <c r="N426">
        <f t="shared" si="239"/>
        <v>2</v>
      </c>
      <c r="O426">
        <f t="shared" si="218"/>
        <v>300</v>
      </c>
      <c r="P426">
        <f t="shared" si="240"/>
        <v>0</v>
      </c>
      <c r="Q426">
        <f t="shared" si="241"/>
        <v>2</v>
      </c>
      <c r="R426">
        <f t="shared" si="219"/>
        <v>300</v>
      </c>
      <c r="S426">
        <f t="shared" si="242"/>
        <v>0</v>
      </c>
      <c r="T426">
        <f t="shared" si="243"/>
        <v>-1</v>
      </c>
      <c r="U426">
        <f t="shared" si="233"/>
        <v>1</v>
      </c>
      <c r="V426">
        <f t="shared" si="234"/>
        <v>1</v>
      </c>
      <c r="W426">
        <f t="shared" si="220"/>
        <v>0</v>
      </c>
      <c r="X426">
        <f t="shared" si="244"/>
        <v>0</v>
      </c>
      <c r="Y426">
        <f t="shared" si="221"/>
        <v>0</v>
      </c>
      <c r="Z426">
        <f t="shared" si="222"/>
        <v>0</v>
      </c>
      <c r="AA426">
        <f t="shared" si="223"/>
        <v>0</v>
      </c>
      <c r="AB426" s="29">
        <f t="shared" si="224"/>
        <v>0</v>
      </c>
      <c r="AC426" s="25">
        <f t="shared" si="225"/>
        <v>0</v>
      </c>
      <c r="AD426" s="29">
        <f t="shared" si="226"/>
        <v>0</v>
      </c>
      <c r="AE426" s="25">
        <f t="shared" si="235"/>
        <v>0</v>
      </c>
      <c r="AF426" s="25">
        <f t="shared" si="227"/>
        <v>0</v>
      </c>
      <c r="AG426" s="25">
        <f>IF($A426&lt;0,0,IF(instatk="bs",(1.5+talSCallInstBon)*(MHavg+(ap+Z426-$Z$1)/APtoDPS*MHnorm+170)*(1+sa*0.1+0.04*opp+0.02*agg+Slayer4value-1),IF(instatk="hemo",Slayer4value*(MHavg+(ap+Z426-$Z$1)/APtoDPS*MHnorm)*(1.1+talSCallInstBon)+420*(1+raidcrit)*debuffon,IF(instatk="ss",(MHavg+(ap+Z426-$Z$1)/APtoDPS*MHnorm+98)*(1+sa*0.1+0.02*agg+Slayer4value-1),IF(instatk="v",(ohavg+(ap+Z426-$Z$1)/APtoDPS*OHnorm)*(1+sa*0.1)*(0.5+0.05*dws)+avipdam,Slayer4value*((1+0.04*opp)*(MHavg+101+(ap+Z426-$Z$1)/APtoDPS*MHnorm+(0.5+0.05*dws)*(ohavg+(ap+Z426-$Z$1)/APtoDPS*OHnorm)+101*(1+0.1*dws))*(1+0.5*IF(Talents!$O$18="Yes",1,0)))))))*(instactualhit+(1+((leth*0.06+2)-1)*(cfact-1))*instactualcrit)*fwfactor*AB426*instsec*(AF426/$AN$45))</f>
        <v>0</v>
      </c>
      <c r="AH426" s="25">
        <f t="shared" si="245"/>
        <v>0</v>
      </c>
      <c r="AI426" s="25">
        <f t="shared" si="246"/>
        <v>0</v>
      </c>
      <c r="AJ426" s="25">
        <f t="shared" si="247"/>
        <v>0</v>
      </c>
    </row>
    <row r="427" spans="1:36">
      <c r="A427">
        <f t="shared" si="228"/>
        <v>-1</v>
      </c>
      <c r="B427">
        <f t="shared" si="236"/>
        <v>6</v>
      </c>
      <c r="C427">
        <f t="shared" si="214"/>
        <v>300</v>
      </c>
      <c r="D427">
        <f t="shared" si="229"/>
        <v>0</v>
      </c>
      <c r="E427">
        <f t="shared" si="248"/>
        <v>5</v>
      </c>
      <c r="F427">
        <f t="shared" si="215"/>
        <v>360</v>
      </c>
      <c r="G427">
        <f t="shared" si="230"/>
        <v>0</v>
      </c>
      <c r="H427">
        <f t="shared" si="237"/>
        <v>4</v>
      </c>
      <c r="I427">
        <f t="shared" si="216"/>
        <v>360</v>
      </c>
      <c r="J427">
        <f t="shared" si="231"/>
        <v>0</v>
      </c>
      <c r="K427">
        <f t="shared" si="238"/>
        <v>3</v>
      </c>
      <c r="L427">
        <f t="shared" si="217"/>
        <v>360</v>
      </c>
      <c r="M427">
        <f t="shared" si="232"/>
        <v>0</v>
      </c>
      <c r="N427">
        <f t="shared" si="239"/>
        <v>2</v>
      </c>
      <c r="O427">
        <f t="shared" si="218"/>
        <v>300</v>
      </c>
      <c r="P427">
        <f t="shared" si="240"/>
        <v>0</v>
      </c>
      <c r="Q427">
        <f t="shared" si="241"/>
        <v>2</v>
      </c>
      <c r="R427">
        <f t="shared" si="219"/>
        <v>300</v>
      </c>
      <c r="S427">
        <f t="shared" si="242"/>
        <v>0</v>
      </c>
      <c r="T427">
        <f t="shared" si="243"/>
        <v>-1</v>
      </c>
      <c r="U427">
        <f t="shared" si="233"/>
        <v>1</v>
      </c>
      <c r="V427">
        <f t="shared" si="234"/>
        <v>1</v>
      </c>
      <c r="W427">
        <f t="shared" si="220"/>
        <v>0</v>
      </c>
      <c r="X427">
        <f t="shared" si="244"/>
        <v>0</v>
      </c>
      <c r="Y427">
        <f t="shared" si="221"/>
        <v>0</v>
      </c>
      <c r="Z427">
        <f t="shared" si="222"/>
        <v>0</v>
      </c>
      <c r="AA427">
        <f t="shared" si="223"/>
        <v>0</v>
      </c>
      <c r="AB427" s="29">
        <f t="shared" si="224"/>
        <v>0</v>
      </c>
      <c r="AC427" s="25">
        <f t="shared" si="225"/>
        <v>0</v>
      </c>
      <c r="AD427" s="29">
        <f t="shared" si="226"/>
        <v>0</v>
      </c>
      <c r="AE427" s="25">
        <f t="shared" si="235"/>
        <v>0</v>
      </c>
      <c r="AF427" s="25">
        <f t="shared" si="227"/>
        <v>0</v>
      </c>
      <c r="AG427" s="25">
        <f>IF($A427&lt;0,0,IF(instatk="bs",(1.5+talSCallInstBon)*(MHavg+(ap+Z427-$Z$1)/APtoDPS*MHnorm+170)*(1+sa*0.1+0.04*opp+0.02*agg+Slayer4value-1),IF(instatk="hemo",Slayer4value*(MHavg+(ap+Z427-$Z$1)/APtoDPS*MHnorm)*(1.1+talSCallInstBon)+420*(1+raidcrit)*debuffon,IF(instatk="ss",(MHavg+(ap+Z427-$Z$1)/APtoDPS*MHnorm+98)*(1+sa*0.1+0.02*agg+Slayer4value-1),IF(instatk="v",(ohavg+(ap+Z427-$Z$1)/APtoDPS*OHnorm)*(1+sa*0.1)*(0.5+0.05*dws)+avipdam,Slayer4value*((1+0.04*opp)*(MHavg+101+(ap+Z427-$Z$1)/APtoDPS*MHnorm+(0.5+0.05*dws)*(ohavg+(ap+Z427-$Z$1)/APtoDPS*OHnorm)+101*(1+0.1*dws))*(1+0.5*IF(Talents!$O$18="Yes",1,0)))))))*(instactualhit+(1+((leth*0.06+2)-1)*(cfact-1))*instactualcrit)*fwfactor*AB427*instsec*(AF427/$AN$45))</f>
        <v>0</v>
      </c>
      <c r="AH427" s="25">
        <f t="shared" si="245"/>
        <v>0</v>
      </c>
      <c r="AI427" s="25">
        <f t="shared" si="246"/>
        <v>0</v>
      </c>
      <c r="AJ427" s="25">
        <f t="shared" si="247"/>
        <v>0</v>
      </c>
    </row>
    <row r="428" spans="1:36">
      <c r="A428">
        <f t="shared" si="228"/>
        <v>-1</v>
      </c>
      <c r="B428">
        <f t="shared" si="236"/>
        <v>6</v>
      </c>
      <c r="C428">
        <f t="shared" si="214"/>
        <v>300</v>
      </c>
      <c r="D428">
        <f t="shared" si="229"/>
        <v>0</v>
      </c>
      <c r="E428">
        <f t="shared" si="248"/>
        <v>5</v>
      </c>
      <c r="F428">
        <f t="shared" si="215"/>
        <v>360</v>
      </c>
      <c r="G428">
        <f t="shared" si="230"/>
        <v>0</v>
      </c>
      <c r="H428">
        <f t="shared" si="237"/>
        <v>4</v>
      </c>
      <c r="I428">
        <f t="shared" si="216"/>
        <v>360</v>
      </c>
      <c r="J428">
        <f t="shared" si="231"/>
        <v>0</v>
      </c>
      <c r="K428">
        <f t="shared" si="238"/>
        <v>3</v>
      </c>
      <c r="L428">
        <f t="shared" si="217"/>
        <v>360</v>
      </c>
      <c r="M428">
        <f t="shared" si="232"/>
        <v>0</v>
      </c>
      <c r="N428">
        <f t="shared" si="239"/>
        <v>2</v>
      </c>
      <c r="O428">
        <f t="shared" si="218"/>
        <v>300</v>
      </c>
      <c r="P428">
        <f t="shared" si="240"/>
        <v>0</v>
      </c>
      <c r="Q428">
        <f t="shared" si="241"/>
        <v>2</v>
      </c>
      <c r="R428">
        <f t="shared" si="219"/>
        <v>300</v>
      </c>
      <c r="S428">
        <f t="shared" si="242"/>
        <v>0</v>
      </c>
      <c r="T428">
        <f t="shared" si="243"/>
        <v>-1</v>
      </c>
      <c r="U428">
        <f t="shared" si="233"/>
        <v>1</v>
      </c>
      <c r="V428">
        <f t="shared" si="234"/>
        <v>1</v>
      </c>
      <c r="W428">
        <f t="shared" si="220"/>
        <v>0</v>
      </c>
      <c r="X428">
        <f t="shared" si="244"/>
        <v>0</v>
      </c>
      <c r="Y428">
        <f t="shared" si="221"/>
        <v>0</v>
      </c>
      <c r="Z428">
        <f t="shared" si="222"/>
        <v>0</v>
      </c>
      <c r="AA428">
        <f t="shared" si="223"/>
        <v>0</v>
      </c>
      <c r="AB428" s="29">
        <f t="shared" si="224"/>
        <v>0</v>
      </c>
      <c r="AC428" s="25">
        <f t="shared" si="225"/>
        <v>0</v>
      </c>
      <c r="AD428" s="29">
        <f t="shared" si="226"/>
        <v>0</v>
      </c>
      <c r="AE428" s="25">
        <f t="shared" si="235"/>
        <v>0</v>
      </c>
      <c r="AF428" s="25">
        <f t="shared" si="227"/>
        <v>0</v>
      </c>
      <c r="AG428" s="25">
        <f>IF($A428&lt;0,0,IF(instatk="bs",(1.5+talSCallInstBon)*(MHavg+(ap+Z428-$Z$1)/APtoDPS*MHnorm+170)*(1+sa*0.1+0.04*opp+0.02*agg+Slayer4value-1),IF(instatk="hemo",Slayer4value*(MHavg+(ap+Z428-$Z$1)/APtoDPS*MHnorm)*(1.1+talSCallInstBon)+420*(1+raidcrit)*debuffon,IF(instatk="ss",(MHavg+(ap+Z428-$Z$1)/APtoDPS*MHnorm+98)*(1+sa*0.1+0.02*agg+Slayer4value-1),IF(instatk="v",(ohavg+(ap+Z428-$Z$1)/APtoDPS*OHnorm)*(1+sa*0.1)*(0.5+0.05*dws)+avipdam,Slayer4value*((1+0.04*opp)*(MHavg+101+(ap+Z428-$Z$1)/APtoDPS*MHnorm+(0.5+0.05*dws)*(ohavg+(ap+Z428-$Z$1)/APtoDPS*OHnorm)+101*(1+0.1*dws))*(1+0.5*IF(Talents!$O$18="Yes",1,0)))))))*(instactualhit+(1+((leth*0.06+2)-1)*(cfact-1))*instactualcrit)*fwfactor*AB428*instsec*(AF428/$AN$45))</f>
        <v>0</v>
      </c>
      <c r="AH428" s="25">
        <f t="shared" si="245"/>
        <v>0</v>
      </c>
      <c r="AI428" s="25">
        <f t="shared" si="246"/>
        <v>0</v>
      </c>
      <c r="AJ428" s="25">
        <f t="shared" si="247"/>
        <v>0</v>
      </c>
    </row>
    <row r="429" spans="1:36">
      <c r="A429">
        <f t="shared" si="228"/>
        <v>-1</v>
      </c>
      <c r="B429">
        <f t="shared" si="236"/>
        <v>6</v>
      </c>
      <c r="C429">
        <f t="shared" si="214"/>
        <v>300</v>
      </c>
      <c r="D429">
        <f t="shared" si="229"/>
        <v>0</v>
      </c>
      <c r="E429">
        <f t="shared" si="248"/>
        <v>5</v>
      </c>
      <c r="F429">
        <f t="shared" si="215"/>
        <v>360</v>
      </c>
      <c r="G429">
        <f t="shared" si="230"/>
        <v>0</v>
      </c>
      <c r="H429">
        <f t="shared" si="237"/>
        <v>4</v>
      </c>
      <c r="I429">
        <f t="shared" si="216"/>
        <v>360</v>
      </c>
      <c r="J429">
        <f t="shared" si="231"/>
        <v>0</v>
      </c>
      <c r="K429">
        <f t="shared" si="238"/>
        <v>3</v>
      </c>
      <c r="L429">
        <f t="shared" si="217"/>
        <v>360</v>
      </c>
      <c r="M429">
        <f t="shared" si="232"/>
        <v>0</v>
      </c>
      <c r="N429">
        <f t="shared" si="239"/>
        <v>2</v>
      </c>
      <c r="O429">
        <f t="shared" si="218"/>
        <v>300</v>
      </c>
      <c r="P429">
        <f t="shared" si="240"/>
        <v>0</v>
      </c>
      <c r="Q429">
        <f t="shared" si="241"/>
        <v>2</v>
      </c>
      <c r="R429">
        <f t="shared" si="219"/>
        <v>300</v>
      </c>
      <c r="S429">
        <f t="shared" si="242"/>
        <v>0</v>
      </c>
      <c r="T429">
        <f t="shared" si="243"/>
        <v>-1</v>
      </c>
      <c r="U429">
        <f t="shared" si="233"/>
        <v>1</v>
      </c>
      <c r="V429">
        <f t="shared" si="234"/>
        <v>1</v>
      </c>
      <c r="W429">
        <f t="shared" si="220"/>
        <v>0</v>
      </c>
      <c r="X429">
        <f t="shared" si="244"/>
        <v>0</v>
      </c>
      <c r="Y429">
        <f t="shared" si="221"/>
        <v>0</v>
      </c>
      <c r="Z429">
        <f t="shared" si="222"/>
        <v>0</v>
      </c>
      <c r="AA429">
        <f t="shared" si="223"/>
        <v>0</v>
      </c>
      <c r="AB429" s="29">
        <f t="shared" si="224"/>
        <v>0</v>
      </c>
      <c r="AC429" s="25">
        <f t="shared" si="225"/>
        <v>0</v>
      </c>
      <c r="AD429" s="29">
        <f t="shared" si="226"/>
        <v>0</v>
      </c>
      <c r="AE429" s="25">
        <f t="shared" si="235"/>
        <v>0</v>
      </c>
      <c r="AF429" s="25">
        <f t="shared" si="227"/>
        <v>0</v>
      </c>
      <c r="AG429" s="25">
        <f>IF($A429&lt;0,0,IF(instatk="bs",(1.5+talSCallInstBon)*(MHavg+(ap+Z429-$Z$1)/APtoDPS*MHnorm+170)*(1+sa*0.1+0.04*opp+0.02*agg+Slayer4value-1),IF(instatk="hemo",Slayer4value*(MHavg+(ap+Z429-$Z$1)/APtoDPS*MHnorm)*(1.1+talSCallInstBon)+420*(1+raidcrit)*debuffon,IF(instatk="ss",(MHavg+(ap+Z429-$Z$1)/APtoDPS*MHnorm+98)*(1+sa*0.1+0.02*agg+Slayer4value-1),IF(instatk="v",(ohavg+(ap+Z429-$Z$1)/APtoDPS*OHnorm)*(1+sa*0.1)*(0.5+0.05*dws)+avipdam,Slayer4value*((1+0.04*opp)*(MHavg+101+(ap+Z429-$Z$1)/APtoDPS*MHnorm+(0.5+0.05*dws)*(ohavg+(ap+Z429-$Z$1)/APtoDPS*OHnorm)+101*(1+0.1*dws))*(1+0.5*IF(Talents!$O$18="Yes",1,0)))))))*(instactualhit+(1+((leth*0.06+2)-1)*(cfact-1))*instactualcrit)*fwfactor*AB429*instsec*(AF429/$AN$45))</f>
        <v>0</v>
      </c>
      <c r="AH429" s="25">
        <f t="shared" si="245"/>
        <v>0</v>
      </c>
      <c r="AI429" s="25">
        <f t="shared" si="246"/>
        <v>0</v>
      </c>
      <c r="AJ429" s="25">
        <f t="shared" si="247"/>
        <v>0</v>
      </c>
    </row>
    <row r="430" spans="1:36">
      <c r="A430">
        <f t="shared" si="228"/>
        <v>-1</v>
      </c>
      <c r="B430">
        <f t="shared" si="236"/>
        <v>6</v>
      </c>
      <c r="C430">
        <f t="shared" si="214"/>
        <v>300</v>
      </c>
      <c r="D430">
        <f t="shared" si="229"/>
        <v>0</v>
      </c>
      <c r="E430">
        <f t="shared" si="248"/>
        <v>5</v>
      </c>
      <c r="F430">
        <f t="shared" si="215"/>
        <v>360</v>
      </c>
      <c r="G430">
        <f t="shared" si="230"/>
        <v>0</v>
      </c>
      <c r="H430">
        <f t="shared" si="237"/>
        <v>4</v>
      </c>
      <c r="I430">
        <f t="shared" si="216"/>
        <v>360</v>
      </c>
      <c r="J430">
        <f t="shared" si="231"/>
        <v>0</v>
      </c>
      <c r="K430">
        <f t="shared" si="238"/>
        <v>3</v>
      </c>
      <c r="L430">
        <f t="shared" si="217"/>
        <v>360</v>
      </c>
      <c r="M430">
        <f t="shared" si="232"/>
        <v>0</v>
      </c>
      <c r="N430">
        <f t="shared" si="239"/>
        <v>2</v>
      </c>
      <c r="O430">
        <f t="shared" si="218"/>
        <v>300</v>
      </c>
      <c r="P430">
        <f t="shared" si="240"/>
        <v>0</v>
      </c>
      <c r="Q430">
        <f t="shared" si="241"/>
        <v>2</v>
      </c>
      <c r="R430">
        <f t="shared" si="219"/>
        <v>300</v>
      </c>
      <c r="S430">
        <f t="shared" si="242"/>
        <v>0</v>
      </c>
      <c r="T430">
        <f t="shared" si="243"/>
        <v>-1</v>
      </c>
      <c r="U430">
        <f t="shared" si="233"/>
        <v>1</v>
      </c>
      <c r="V430">
        <f t="shared" si="234"/>
        <v>1</v>
      </c>
      <c r="W430">
        <f t="shared" si="220"/>
        <v>0</v>
      </c>
      <c r="X430">
        <f t="shared" si="244"/>
        <v>0</v>
      </c>
      <c r="Y430">
        <f t="shared" si="221"/>
        <v>0</v>
      </c>
      <c r="Z430">
        <f t="shared" si="222"/>
        <v>0</v>
      </c>
      <c r="AA430">
        <f t="shared" si="223"/>
        <v>0</v>
      </c>
      <c r="AB430" s="29">
        <f t="shared" si="224"/>
        <v>0</v>
      </c>
      <c r="AC430" s="25">
        <f t="shared" si="225"/>
        <v>0</v>
      </c>
      <c r="AD430" s="29">
        <f t="shared" si="226"/>
        <v>0</v>
      </c>
      <c r="AE430" s="25">
        <f t="shared" si="235"/>
        <v>0</v>
      </c>
      <c r="AF430" s="25">
        <f t="shared" si="227"/>
        <v>0</v>
      </c>
      <c r="AG430" s="25">
        <f>IF($A430&lt;0,0,IF(instatk="bs",(1.5+talSCallInstBon)*(MHavg+(ap+Z430-$Z$1)/APtoDPS*MHnorm+170)*(1+sa*0.1+0.04*opp+0.02*agg+Slayer4value-1),IF(instatk="hemo",Slayer4value*(MHavg+(ap+Z430-$Z$1)/APtoDPS*MHnorm)*(1.1+talSCallInstBon)+420*(1+raidcrit)*debuffon,IF(instatk="ss",(MHavg+(ap+Z430-$Z$1)/APtoDPS*MHnorm+98)*(1+sa*0.1+0.02*agg+Slayer4value-1),IF(instatk="v",(ohavg+(ap+Z430-$Z$1)/APtoDPS*OHnorm)*(1+sa*0.1)*(0.5+0.05*dws)+avipdam,Slayer4value*((1+0.04*opp)*(MHavg+101+(ap+Z430-$Z$1)/APtoDPS*MHnorm+(0.5+0.05*dws)*(ohavg+(ap+Z430-$Z$1)/APtoDPS*OHnorm)+101*(1+0.1*dws))*(1+0.5*IF(Talents!$O$18="Yes",1,0)))))))*(instactualhit+(1+((leth*0.06+2)-1)*(cfact-1))*instactualcrit)*fwfactor*AB430*instsec*(AF430/$AN$45))</f>
        <v>0</v>
      </c>
      <c r="AH430" s="25">
        <f t="shared" si="245"/>
        <v>0</v>
      </c>
      <c r="AI430" s="25">
        <f t="shared" si="246"/>
        <v>0</v>
      </c>
      <c r="AJ430" s="25">
        <f t="shared" si="247"/>
        <v>0</v>
      </c>
    </row>
    <row r="431" spans="1:36">
      <c r="A431">
        <f t="shared" si="228"/>
        <v>-1</v>
      </c>
      <c r="B431">
        <f t="shared" si="236"/>
        <v>6</v>
      </c>
      <c r="C431">
        <f t="shared" si="214"/>
        <v>300</v>
      </c>
      <c r="D431">
        <f t="shared" si="229"/>
        <v>0</v>
      </c>
      <c r="E431">
        <f t="shared" si="248"/>
        <v>5</v>
      </c>
      <c r="F431">
        <f t="shared" si="215"/>
        <v>360</v>
      </c>
      <c r="G431">
        <f t="shared" si="230"/>
        <v>0</v>
      </c>
      <c r="H431">
        <f t="shared" si="237"/>
        <v>4</v>
      </c>
      <c r="I431">
        <f t="shared" si="216"/>
        <v>360</v>
      </c>
      <c r="J431">
        <f t="shared" si="231"/>
        <v>0</v>
      </c>
      <c r="K431">
        <f t="shared" si="238"/>
        <v>3</v>
      </c>
      <c r="L431">
        <f t="shared" si="217"/>
        <v>360</v>
      </c>
      <c r="M431">
        <f t="shared" si="232"/>
        <v>0</v>
      </c>
      <c r="N431">
        <f t="shared" si="239"/>
        <v>2</v>
      </c>
      <c r="O431">
        <f t="shared" si="218"/>
        <v>300</v>
      </c>
      <c r="P431">
        <f t="shared" si="240"/>
        <v>0</v>
      </c>
      <c r="Q431">
        <f t="shared" si="241"/>
        <v>2</v>
      </c>
      <c r="R431">
        <f t="shared" si="219"/>
        <v>300</v>
      </c>
      <c r="S431">
        <f t="shared" si="242"/>
        <v>0</v>
      </c>
      <c r="T431">
        <f t="shared" si="243"/>
        <v>-1</v>
      </c>
      <c r="U431">
        <f t="shared" si="233"/>
        <v>1</v>
      </c>
      <c r="V431">
        <f t="shared" si="234"/>
        <v>1</v>
      </c>
      <c r="W431">
        <f t="shared" si="220"/>
        <v>0</v>
      </c>
      <c r="X431">
        <f t="shared" si="244"/>
        <v>0</v>
      </c>
      <c r="Y431">
        <f t="shared" si="221"/>
        <v>0</v>
      </c>
      <c r="Z431">
        <f t="shared" si="222"/>
        <v>0</v>
      </c>
      <c r="AA431">
        <f t="shared" si="223"/>
        <v>0</v>
      </c>
      <c r="AB431" s="29">
        <f t="shared" si="224"/>
        <v>0</v>
      </c>
      <c r="AC431" s="25">
        <f t="shared" si="225"/>
        <v>0</v>
      </c>
      <c r="AD431" s="29">
        <f t="shared" si="226"/>
        <v>0</v>
      </c>
      <c r="AE431" s="25">
        <f t="shared" si="235"/>
        <v>0</v>
      </c>
      <c r="AF431" s="25">
        <f t="shared" si="227"/>
        <v>0</v>
      </c>
      <c r="AG431" s="25">
        <f>IF($A431&lt;0,0,IF(instatk="bs",(1.5+talSCallInstBon)*(MHavg+(ap+Z431-$Z$1)/APtoDPS*MHnorm+170)*(1+sa*0.1+0.04*opp+0.02*agg+Slayer4value-1),IF(instatk="hemo",Slayer4value*(MHavg+(ap+Z431-$Z$1)/APtoDPS*MHnorm)*(1.1+talSCallInstBon)+420*(1+raidcrit)*debuffon,IF(instatk="ss",(MHavg+(ap+Z431-$Z$1)/APtoDPS*MHnorm+98)*(1+sa*0.1+0.02*agg+Slayer4value-1),IF(instatk="v",(ohavg+(ap+Z431-$Z$1)/APtoDPS*OHnorm)*(1+sa*0.1)*(0.5+0.05*dws)+avipdam,Slayer4value*((1+0.04*opp)*(MHavg+101+(ap+Z431-$Z$1)/APtoDPS*MHnorm+(0.5+0.05*dws)*(ohavg+(ap+Z431-$Z$1)/APtoDPS*OHnorm)+101*(1+0.1*dws))*(1+0.5*IF(Talents!$O$18="Yes",1,0)))))))*(instactualhit+(1+((leth*0.06+2)-1)*(cfact-1))*instactualcrit)*fwfactor*AB431*instsec*(AF431/$AN$45))</f>
        <v>0</v>
      </c>
      <c r="AH431" s="25">
        <f t="shared" si="245"/>
        <v>0</v>
      </c>
      <c r="AI431" s="25">
        <f t="shared" si="246"/>
        <v>0</v>
      </c>
      <c r="AJ431" s="25">
        <f t="shared" si="247"/>
        <v>0</v>
      </c>
    </row>
    <row r="432" spans="1:36">
      <c r="A432">
        <f t="shared" si="228"/>
        <v>-1</v>
      </c>
      <c r="B432">
        <f t="shared" si="236"/>
        <v>6</v>
      </c>
      <c r="C432">
        <f t="shared" si="214"/>
        <v>300</v>
      </c>
      <c r="D432">
        <f t="shared" si="229"/>
        <v>0</v>
      </c>
      <c r="E432">
        <f t="shared" si="248"/>
        <v>5</v>
      </c>
      <c r="F432">
        <f t="shared" si="215"/>
        <v>360</v>
      </c>
      <c r="G432">
        <f t="shared" si="230"/>
        <v>0</v>
      </c>
      <c r="H432">
        <f t="shared" si="237"/>
        <v>4</v>
      </c>
      <c r="I432">
        <f t="shared" si="216"/>
        <v>360</v>
      </c>
      <c r="J432">
        <f t="shared" si="231"/>
        <v>0</v>
      </c>
      <c r="K432">
        <f t="shared" si="238"/>
        <v>3</v>
      </c>
      <c r="L432">
        <f t="shared" si="217"/>
        <v>360</v>
      </c>
      <c r="M432">
        <f t="shared" si="232"/>
        <v>0</v>
      </c>
      <c r="N432">
        <f t="shared" si="239"/>
        <v>2</v>
      </c>
      <c r="O432">
        <f t="shared" si="218"/>
        <v>300</v>
      </c>
      <c r="P432">
        <f t="shared" si="240"/>
        <v>0</v>
      </c>
      <c r="Q432">
        <f t="shared" si="241"/>
        <v>2</v>
      </c>
      <c r="R432">
        <f t="shared" si="219"/>
        <v>300</v>
      </c>
      <c r="S432">
        <f t="shared" si="242"/>
        <v>0</v>
      </c>
      <c r="T432">
        <f t="shared" si="243"/>
        <v>-1</v>
      </c>
      <c r="U432">
        <f t="shared" si="233"/>
        <v>1</v>
      </c>
      <c r="V432">
        <f t="shared" si="234"/>
        <v>1</v>
      </c>
      <c r="W432">
        <f t="shared" si="220"/>
        <v>0</v>
      </c>
      <c r="X432">
        <f t="shared" si="244"/>
        <v>0</v>
      </c>
      <c r="Y432">
        <f t="shared" si="221"/>
        <v>0</v>
      </c>
      <c r="Z432">
        <f t="shared" si="222"/>
        <v>0</v>
      </c>
      <c r="AA432">
        <f t="shared" si="223"/>
        <v>0</v>
      </c>
      <c r="AB432" s="29">
        <f t="shared" si="224"/>
        <v>0</v>
      </c>
      <c r="AC432" s="25">
        <f t="shared" si="225"/>
        <v>0</v>
      </c>
      <c r="AD432" s="29">
        <f t="shared" si="226"/>
        <v>0</v>
      </c>
      <c r="AE432" s="25">
        <f t="shared" si="235"/>
        <v>0</v>
      </c>
      <c r="AF432" s="25">
        <f t="shared" si="227"/>
        <v>0</v>
      </c>
      <c r="AG432" s="25">
        <f>IF($A432&lt;0,0,IF(instatk="bs",(1.5+talSCallInstBon)*(MHavg+(ap+Z432-$Z$1)/APtoDPS*MHnorm+170)*(1+sa*0.1+0.04*opp+0.02*agg+Slayer4value-1),IF(instatk="hemo",Slayer4value*(MHavg+(ap+Z432-$Z$1)/APtoDPS*MHnorm)*(1.1+talSCallInstBon)+420*(1+raidcrit)*debuffon,IF(instatk="ss",(MHavg+(ap+Z432-$Z$1)/APtoDPS*MHnorm+98)*(1+sa*0.1+0.02*agg+Slayer4value-1),IF(instatk="v",(ohavg+(ap+Z432-$Z$1)/APtoDPS*OHnorm)*(1+sa*0.1)*(0.5+0.05*dws)+avipdam,Slayer4value*((1+0.04*opp)*(MHavg+101+(ap+Z432-$Z$1)/APtoDPS*MHnorm+(0.5+0.05*dws)*(ohavg+(ap+Z432-$Z$1)/APtoDPS*OHnorm)+101*(1+0.1*dws))*(1+0.5*IF(Talents!$O$18="Yes",1,0)))))))*(instactualhit+(1+((leth*0.06+2)-1)*(cfact-1))*instactualcrit)*fwfactor*AB432*instsec*(AF432/$AN$45))</f>
        <v>0</v>
      </c>
      <c r="AH432" s="25">
        <f t="shared" si="245"/>
        <v>0</v>
      </c>
      <c r="AI432" s="25">
        <f t="shared" si="246"/>
        <v>0</v>
      </c>
      <c r="AJ432" s="25">
        <f t="shared" si="247"/>
        <v>0</v>
      </c>
    </row>
    <row r="433" spans="1:36">
      <c r="A433">
        <f t="shared" si="228"/>
        <v>-1</v>
      </c>
      <c r="B433">
        <f t="shared" si="236"/>
        <v>6</v>
      </c>
      <c r="C433">
        <f t="shared" si="214"/>
        <v>300</v>
      </c>
      <c r="D433">
        <f t="shared" si="229"/>
        <v>0</v>
      </c>
      <c r="E433">
        <f t="shared" si="248"/>
        <v>5</v>
      </c>
      <c r="F433">
        <f t="shared" si="215"/>
        <v>360</v>
      </c>
      <c r="G433">
        <f t="shared" si="230"/>
        <v>0</v>
      </c>
      <c r="H433">
        <f t="shared" si="237"/>
        <v>4</v>
      </c>
      <c r="I433">
        <f t="shared" si="216"/>
        <v>360</v>
      </c>
      <c r="J433">
        <f t="shared" si="231"/>
        <v>0</v>
      </c>
      <c r="K433">
        <f t="shared" si="238"/>
        <v>3</v>
      </c>
      <c r="L433">
        <f t="shared" si="217"/>
        <v>360</v>
      </c>
      <c r="M433">
        <f t="shared" si="232"/>
        <v>0</v>
      </c>
      <c r="N433">
        <f t="shared" si="239"/>
        <v>2</v>
      </c>
      <c r="O433">
        <f t="shared" si="218"/>
        <v>300</v>
      </c>
      <c r="P433">
        <f t="shared" si="240"/>
        <v>0</v>
      </c>
      <c r="Q433">
        <f t="shared" si="241"/>
        <v>2</v>
      </c>
      <c r="R433">
        <f t="shared" si="219"/>
        <v>300</v>
      </c>
      <c r="S433">
        <f t="shared" si="242"/>
        <v>0</v>
      </c>
      <c r="T433">
        <f t="shared" si="243"/>
        <v>-1</v>
      </c>
      <c r="U433">
        <f t="shared" si="233"/>
        <v>1</v>
      </c>
      <c r="V433">
        <f t="shared" si="234"/>
        <v>1</v>
      </c>
      <c r="W433">
        <f t="shared" si="220"/>
        <v>0</v>
      </c>
      <c r="X433">
        <f t="shared" si="244"/>
        <v>0</v>
      </c>
      <c r="Y433">
        <f t="shared" si="221"/>
        <v>0</v>
      </c>
      <c r="Z433">
        <f t="shared" si="222"/>
        <v>0</v>
      </c>
      <c r="AA433">
        <f t="shared" si="223"/>
        <v>0</v>
      </c>
      <c r="AB433" s="29">
        <f t="shared" si="224"/>
        <v>0</v>
      </c>
      <c r="AC433" s="25">
        <f t="shared" si="225"/>
        <v>0</v>
      </c>
      <c r="AD433" s="29">
        <f t="shared" si="226"/>
        <v>0</v>
      </c>
      <c r="AE433" s="25">
        <f t="shared" si="235"/>
        <v>0</v>
      </c>
      <c r="AF433" s="25">
        <f t="shared" si="227"/>
        <v>0</v>
      </c>
      <c r="AG433" s="25">
        <f>IF($A433&lt;0,0,IF(instatk="bs",(1.5+talSCallInstBon)*(MHavg+(ap+Z433-$Z$1)/APtoDPS*MHnorm+170)*(1+sa*0.1+0.04*opp+0.02*agg+Slayer4value-1),IF(instatk="hemo",Slayer4value*(MHavg+(ap+Z433-$Z$1)/APtoDPS*MHnorm)*(1.1+talSCallInstBon)+420*(1+raidcrit)*debuffon,IF(instatk="ss",(MHavg+(ap+Z433-$Z$1)/APtoDPS*MHnorm+98)*(1+sa*0.1+0.02*agg+Slayer4value-1),IF(instatk="v",(ohavg+(ap+Z433-$Z$1)/APtoDPS*OHnorm)*(1+sa*0.1)*(0.5+0.05*dws)+avipdam,Slayer4value*((1+0.04*opp)*(MHavg+101+(ap+Z433-$Z$1)/APtoDPS*MHnorm+(0.5+0.05*dws)*(ohavg+(ap+Z433-$Z$1)/APtoDPS*OHnorm)+101*(1+0.1*dws))*(1+0.5*IF(Talents!$O$18="Yes",1,0)))))))*(instactualhit+(1+((leth*0.06+2)-1)*(cfact-1))*instactualcrit)*fwfactor*AB433*instsec*(AF433/$AN$45))</f>
        <v>0</v>
      </c>
      <c r="AH433" s="25">
        <f t="shared" si="245"/>
        <v>0</v>
      </c>
      <c r="AI433" s="25">
        <f t="shared" si="246"/>
        <v>0</v>
      </c>
      <c r="AJ433" s="25">
        <f t="shared" si="247"/>
        <v>0</v>
      </c>
    </row>
    <row r="434" spans="1:36">
      <c r="A434">
        <f t="shared" si="228"/>
        <v>-1</v>
      </c>
      <c r="B434">
        <f t="shared" si="236"/>
        <v>6</v>
      </c>
      <c r="C434">
        <f t="shared" si="214"/>
        <v>300</v>
      </c>
      <c r="D434">
        <f t="shared" si="229"/>
        <v>0</v>
      </c>
      <c r="E434">
        <f t="shared" si="248"/>
        <v>5</v>
      </c>
      <c r="F434">
        <f t="shared" si="215"/>
        <v>360</v>
      </c>
      <c r="G434">
        <f t="shared" si="230"/>
        <v>0</v>
      </c>
      <c r="H434">
        <f t="shared" si="237"/>
        <v>4</v>
      </c>
      <c r="I434">
        <f t="shared" si="216"/>
        <v>360</v>
      </c>
      <c r="J434">
        <f t="shared" si="231"/>
        <v>0</v>
      </c>
      <c r="K434">
        <f t="shared" si="238"/>
        <v>3</v>
      </c>
      <c r="L434">
        <f t="shared" si="217"/>
        <v>360</v>
      </c>
      <c r="M434">
        <f t="shared" si="232"/>
        <v>0</v>
      </c>
      <c r="N434">
        <f t="shared" si="239"/>
        <v>2</v>
      </c>
      <c r="O434">
        <f t="shared" si="218"/>
        <v>300</v>
      </c>
      <c r="P434">
        <f t="shared" si="240"/>
        <v>0</v>
      </c>
      <c r="Q434">
        <f t="shared" si="241"/>
        <v>2</v>
      </c>
      <c r="R434">
        <f t="shared" si="219"/>
        <v>300</v>
      </c>
      <c r="S434">
        <f t="shared" si="242"/>
        <v>0</v>
      </c>
      <c r="T434">
        <f t="shared" si="243"/>
        <v>-1</v>
      </c>
      <c r="U434">
        <f t="shared" si="233"/>
        <v>1</v>
      </c>
      <c r="V434">
        <f t="shared" si="234"/>
        <v>1</v>
      </c>
      <c r="W434">
        <f t="shared" si="220"/>
        <v>0</v>
      </c>
      <c r="X434">
        <f t="shared" si="244"/>
        <v>0</v>
      </c>
      <c r="Y434">
        <f t="shared" si="221"/>
        <v>0</v>
      </c>
      <c r="Z434">
        <f t="shared" si="222"/>
        <v>0</v>
      </c>
      <c r="AA434">
        <f t="shared" si="223"/>
        <v>0</v>
      </c>
      <c r="AB434" s="29">
        <f t="shared" si="224"/>
        <v>0</v>
      </c>
      <c r="AC434" s="25">
        <f t="shared" si="225"/>
        <v>0</v>
      </c>
      <c r="AD434" s="29">
        <f t="shared" si="226"/>
        <v>0</v>
      </c>
      <c r="AE434" s="25">
        <f t="shared" si="235"/>
        <v>0</v>
      </c>
      <c r="AF434" s="25">
        <f t="shared" si="227"/>
        <v>0</v>
      </c>
      <c r="AG434" s="25">
        <f>IF($A434&lt;0,0,IF(instatk="bs",(1.5+talSCallInstBon)*(MHavg+(ap+Z434-$Z$1)/APtoDPS*MHnorm+170)*(1+sa*0.1+0.04*opp+0.02*agg+Slayer4value-1),IF(instatk="hemo",Slayer4value*(MHavg+(ap+Z434-$Z$1)/APtoDPS*MHnorm)*(1.1+talSCallInstBon)+420*(1+raidcrit)*debuffon,IF(instatk="ss",(MHavg+(ap+Z434-$Z$1)/APtoDPS*MHnorm+98)*(1+sa*0.1+0.02*agg+Slayer4value-1),IF(instatk="v",(ohavg+(ap+Z434-$Z$1)/APtoDPS*OHnorm)*(1+sa*0.1)*(0.5+0.05*dws)+avipdam,Slayer4value*((1+0.04*opp)*(MHavg+101+(ap+Z434-$Z$1)/APtoDPS*MHnorm+(0.5+0.05*dws)*(ohavg+(ap+Z434-$Z$1)/APtoDPS*OHnorm)+101*(1+0.1*dws))*(1+0.5*IF(Talents!$O$18="Yes",1,0)))))))*(instactualhit+(1+((leth*0.06+2)-1)*(cfact-1))*instactualcrit)*fwfactor*AB434*instsec*(AF434/$AN$45))</f>
        <v>0</v>
      </c>
      <c r="AH434" s="25">
        <f t="shared" si="245"/>
        <v>0</v>
      </c>
      <c r="AI434" s="25">
        <f t="shared" si="246"/>
        <v>0</v>
      </c>
      <c r="AJ434" s="25">
        <f t="shared" si="247"/>
        <v>0</v>
      </c>
    </row>
    <row r="435" spans="1:36">
      <c r="A435">
        <f t="shared" si="228"/>
        <v>-1</v>
      </c>
      <c r="B435">
        <f t="shared" si="236"/>
        <v>6</v>
      </c>
      <c r="C435">
        <f t="shared" si="214"/>
        <v>300</v>
      </c>
      <c r="D435">
        <f t="shared" si="229"/>
        <v>0</v>
      </c>
      <c r="E435">
        <f t="shared" si="248"/>
        <v>5</v>
      </c>
      <c r="F435">
        <f t="shared" si="215"/>
        <v>360</v>
      </c>
      <c r="G435">
        <f t="shared" si="230"/>
        <v>0</v>
      </c>
      <c r="H435">
        <f t="shared" si="237"/>
        <v>4</v>
      </c>
      <c r="I435">
        <f t="shared" si="216"/>
        <v>360</v>
      </c>
      <c r="J435">
        <f t="shared" si="231"/>
        <v>0</v>
      </c>
      <c r="K435">
        <f t="shared" si="238"/>
        <v>3</v>
      </c>
      <c r="L435">
        <f t="shared" si="217"/>
        <v>360</v>
      </c>
      <c r="M435">
        <f t="shared" si="232"/>
        <v>0</v>
      </c>
      <c r="N435">
        <f t="shared" si="239"/>
        <v>2</v>
      </c>
      <c r="O435">
        <f t="shared" si="218"/>
        <v>300</v>
      </c>
      <c r="P435">
        <f t="shared" si="240"/>
        <v>0</v>
      </c>
      <c r="Q435">
        <f t="shared" si="241"/>
        <v>2</v>
      </c>
      <c r="R435">
        <f t="shared" si="219"/>
        <v>300</v>
      </c>
      <c r="S435">
        <f t="shared" si="242"/>
        <v>0</v>
      </c>
      <c r="T435">
        <f t="shared" si="243"/>
        <v>-1</v>
      </c>
      <c r="U435">
        <f t="shared" si="233"/>
        <v>1</v>
      </c>
      <c r="V435">
        <f t="shared" si="234"/>
        <v>1</v>
      </c>
      <c r="W435">
        <f t="shared" si="220"/>
        <v>0</v>
      </c>
      <c r="X435">
        <f t="shared" si="244"/>
        <v>0</v>
      </c>
      <c r="Y435">
        <f t="shared" si="221"/>
        <v>0</v>
      </c>
      <c r="Z435">
        <f t="shared" si="222"/>
        <v>0</v>
      </c>
      <c r="AA435">
        <f t="shared" si="223"/>
        <v>0</v>
      </c>
      <c r="AB435" s="29">
        <f t="shared" si="224"/>
        <v>0</v>
      </c>
      <c r="AC435" s="25">
        <f t="shared" si="225"/>
        <v>0</v>
      </c>
      <c r="AD435" s="29">
        <f t="shared" si="226"/>
        <v>0</v>
      </c>
      <c r="AE435" s="25">
        <f t="shared" si="235"/>
        <v>0</v>
      </c>
      <c r="AF435" s="25">
        <f t="shared" si="227"/>
        <v>0</v>
      </c>
      <c r="AG435" s="25">
        <f>IF($A435&lt;0,0,IF(instatk="bs",(1.5+talSCallInstBon)*(MHavg+(ap+Z435-$Z$1)/APtoDPS*MHnorm+170)*(1+sa*0.1+0.04*opp+0.02*agg+Slayer4value-1),IF(instatk="hemo",Slayer4value*(MHavg+(ap+Z435-$Z$1)/APtoDPS*MHnorm)*(1.1+talSCallInstBon)+420*(1+raidcrit)*debuffon,IF(instatk="ss",(MHavg+(ap+Z435-$Z$1)/APtoDPS*MHnorm+98)*(1+sa*0.1+0.02*agg+Slayer4value-1),IF(instatk="v",(ohavg+(ap+Z435-$Z$1)/APtoDPS*OHnorm)*(1+sa*0.1)*(0.5+0.05*dws)+avipdam,Slayer4value*((1+0.04*opp)*(MHavg+101+(ap+Z435-$Z$1)/APtoDPS*MHnorm+(0.5+0.05*dws)*(ohavg+(ap+Z435-$Z$1)/APtoDPS*OHnorm)+101*(1+0.1*dws))*(1+0.5*IF(Talents!$O$18="Yes",1,0)))))))*(instactualhit+(1+((leth*0.06+2)-1)*(cfact-1))*instactualcrit)*fwfactor*AB435*instsec*(AF435/$AN$45))</f>
        <v>0</v>
      </c>
      <c r="AH435" s="25">
        <f t="shared" si="245"/>
        <v>0</v>
      </c>
      <c r="AI435" s="25">
        <f t="shared" si="246"/>
        <v>0</v>
      </c>
      <c r="AJ435" s="25">
        <f t="shared" si="247"/>
        <v>0</v>
      </c>
    </row>
    <row r="436" spans="1:36">
      <c r="A436">
        <f t="shared" si="228"/>
        <v>-1</v>
      </c>
      <c r="B436">
        <f t="shared" si="236"/>
        <v>6</v>
      </c>
      <c r="C436">
        <f t="shared" si="214"/>
        <v>300</v>
      </c>
      <c r="D436">
        <f t="shared" si="229"/>
        <v>0</v>
      </c>
      <c r="E436">
        <f t="shared" si="248"/>
        <v>5</v>
      </c>
      <c r="F436">
        <f t="shared" si="215"/>
        <v>360</v>
      </c>
      <c r="G436">
        <f t="shared" si="230"/>
        <v>0</v>
      </c>
      <c r="H436">
        <f t="shared" si="237"/>
        <v>4</v>
      </c>
      <c r="I436">
        <f t="shared" si="216"/>
        <v>360</v>
      </c>
      <c r="J436">
        <f t="shared" si="231"/>
        <v>0</v>
      </c>
      <c r="K436">
        <f t="shared" si="238"/>
        <v>3</v>
      </c>
      <c r="L436">
        <f t="shared" si="217"/>
        <v>360</v>
      </c>
      <c r="M436">
        <f t="shared" si="232"/>
        <v>0</v>
      </c>
      <c r="N436">
        <f t="shared" si="239"/>
        <v>2</v>
      </c>
      <c r="O436">
        <f t="shared" si="218"/>
        <v>300</v>
      </c>
      <c r="P436">
        <f t="shared" si="240"/>
        <v>0</v>
      </c>
      <c r="Q436">
        <f t="shared" si="241"/>
        <v>2</v>
      </c>
      <c r="R436">
        <f t="shared" si="219"/>
        <v>300</v>
      </c>
      <c r="S436">
        <f t="shared" si="242"/>
        <v>0</v>
      </c>
      <c r="T436">
        <f t="shared" si="243"/>
        <v>-1</v>
      </c>
      <c r="U436">
        <f t="shared" si="233"/>
        <v>1</v>
      </c>
      <c r="V436">
        <f t="shared" si="234"/>
        <v>1</v>
      </c>
      <c r="W436">
        <f t="shared" si="220"/>
        <v>0</v>
      </c>
      <c r="X436">
        <f t="shared" si="244"/>
        <v>0</v>
      </c>
      <c r="Y436">
        <f t="shared" si="221"/>
        <v>0</v>
      </c>
      <c r="Z436">
        <f t="shared" si="222"/>
        <v>0</v>
      </c>
      <c r="AA436">
        <f t="shared" si="223"/>
        <v>0</v>
      </c>
      <c r="AB436" s="29">
        <f t="shared" si="224"/>
        <v>0</v>
      </c>
      <c r="AC436" s="25">
        <f t="shared" si="225"/>
        <v>0</v>
      </c>
      <c r="AD436" s="29">
        <f t="shared" si="226"/>
        <v>0</v>
      </c>
      <c r="AE436" s="25">
        <f t="shared" si="235"/>
        <v>0</v>
      </c>
      <c r="AF436" s="25">
        <f t="shared" si="227"/>
        <v>0</v>
      </c>
      <c r="AG436" s="25">
        <f>IF($A436&lt;0,0,IF(instatk="bs",(1.5+talSCallInstBon)*(MHavg+(ap+Z436-$Z$1)/APtoDPS*MHnorm+170)*(1+sa*0.1+0.04*opp+0.02*agg+Slayer4value-1),IF(instatk="hemo",Slayer4value*(MHavg+(ap+Z436-$Z$1)/APtoDPS*MHnorm)*(1.1+talSCallInstBon)+420*(1+raidcrit)*debuffon,IF(instatk="ss",(MHavg+(ap+Z436-$Z$1)/APtoDPS*MHnorm+98)*(1+sa*0.1+0.02*agg+Slayer4value-1),IF(instatk="v",(ohavg+(ap+Z436-$Z$1)/APtoDPS*OHnorm)*(1+sa*0.1)*(0.5+0.05*dws)+avipdam,Slayer4value*((1+0.04*opp)*(MHavg+101+(ap+Z436-$Z$1)/APtoDPS*MHnorm+(0.5+0.05*dws)*(ohavg+(ap+Z436-$Z$1)/APtoDPS*OHnorm)+101*(1+0.1*dws))*(1+0.5*IF(Talents!$O$18="Yes",1,0)))))))*(instactualhit+(1+((leth*0.06+2)-1)*(cfact-1))*instactualcrit)*fwfactor*AB436*instsec*(AF436/$AN$45))</f>
        <v>0</v>
      </c>
      <c r="AH436" s="25">
        <f t="shared" si="245"/>
        <v>0</v>
      </c>
      <c r="AI436" s="25">
        <f t="shared" si="246"/>
        <v>0</v>
      </c>
      <c r="AJ436" s="25">
        <f t="shared" si="247"/>
        <v>0</v>
      </c>
    </row>
    <row r="437" spans="1:36">
      <c r="A437">
        <f t="shared" si="228"/>
        <v>-1</v>
      </c>
      <c r="B437">
        <f t="shared" si="236"/>
        <v>6</v>
      </c>
      <c r="C437">
        <f t="shared" si="214"/>
        <v>300</v>
      </c>
      <c r="D437">
        <f t="shared" si="229"/>
        <v>0</v>
      </c>
      <c r="E437">
        <f t="shared" si="248"/>
        <v>5</v>
      </c>
      <c r="F437">
        <f t="shared" si="215"/>
        <v>360</v>
      </c>
      <c r="G437">
        <f t="shared" si="230"/>
        <v>0</v>
      </c>
      <c r="H437">
        <f t="shared" si="237"/>
        <v>4</v>
      </c>
      <c r="I437">
        <f t="shared" si="216"/>
        <v>360</v>
      </c>
      <c r="J437">
        <f t="shared" si="231"/>
        <v>0</v>
      </c>
      <c r="K437">
        <f t="shared" si="238"/>
        <v>3</v>
      </c>
      <c r="L437">
        <f t="shared" si="217"/>
        <v>360</v>
      </c>
      <c r="M437">
        <f t="shared" si="232"/>
        <v>0</v>
      </c>
      <c r="N437">
        <f t="shared" si="239"/>
        <v>2</v>
      </c>
      <c r="O437">
        <f t="shared" si="218"/>
        <v>300</v>
      </c>
      <c r="P437">
        <f t="shared" si="240"/>
        <v>0</v>
      </c>
      <c r="Q437">
        <f t="shared" si="241"/>
        <v>2</v>
      </c>
      <c r="R437">
        <f t="shared" si="219"/>
        <v>300</v>
      </c>
      <c r="S437">
        <f t="shared" si="242"/>
        <v>0</v>
      </c>
      <c r="T437">
        <f t="shared" si="243"/>
        <v>-1</v>
      </c>
      <c r="U437">
        <f t="shared" si="233"/>
        <v>1</v>
      </c>
      <c r="V437">
        <f t="shared" si="234"/>
        <v>1</v>
      </c>
      <c r="W437">
        <f t="shared" si="220"/>
        <v>0</v>
      </c>
      <c r="X437">
        <f t="shared" si="244"/>
        <v>0</v>
      </c>
      <c r="Y437">
        <f t="shared" si="221"/>
        <v>0</v>
      </c>
      <c r="Z437">
        <f t="shared" si="222"/>
        <v>0</v>
      </c>
      <c r="AA437">
        <f t="shared" si="223"/>
        <v>0</v>
      </c>
      <c r="AB437" s="29">
        <f t="shared" si="224"/>
        <v>0</v>
      </c>
      <c r="AC437" s="25">
        <f t="shared" si="225"/>
        <v>0</v>
      </c>
      <c r="AD437" s="29">
        <f t="shared" si="226"/>
        <v>0</v>
      </c>
      <c r="AE437" s="25">
        <f t="shared" si="235"/>
        <v>0</v>
      </c>
      <c r="AF437" s="25">
        <f t="shared" si="227"/>
        <v>0</v>
      </c>
      <c r="AG437" s="25">
        <f>IF($A437&lt;0,0,IF(instatk="bs",(1.5+talSCallInstBon)*(MHavg+(ap+Z437-$Z$1)/APtoDPS*MHnorm+170)*(1+sa*0.1+0.04*opp+0.02*agg+Slayer4value-1),IF(instatk="hemo",Slayer4value*(MHavg+(ap+Z437-$Z$1)/APtoDPS*MHnorm)*(1.1+talSCallInstBon)+420*(1+raidcrit)*debuffon,IF(instatk="ss",(MHavg+(ap+Z437-$Z$1)/APtoDPS*MHnorm+98)*(1+sa*0.1+0.02*agg+Slayer4value-1),IF(instatk="v",(ohavg+(ap+Z437-$Z$1)/APtoDPS*OHnorm)*(1+sa*0.1)*(0.5+0.05*dws)+avipdam,Slayer4value*((1+0.04*opp)*(MHavg+101+(ap+Z437-$Z$1)/APtoDPS*MHnorm+(0.5+0.05*dws)*(ohavg+(ap+Z437-$Z$1)/APtoDPS*OHnorm)+101*(1+0.1*dws))*(1+0.5*IF(Talents!$O$18="Yes",1,0)))))))*(instactualhit+(1+((leth*0.06+2)-1)*(cfact-1))*instactualcrit)*fwfactor*AB437*instsec*(AF437/$AN$45))</f>
        <v>0</v>
      </c>
      <c r="AH437" s="25">
        <f t="shared" si="245"/>
        <v>0</v>
      </c>
      <c r="AI437" s="25">
        <f t="shared" si="246"/>
        <v>0</v>
      </c>
      <c r="AJ437" s="25">
        <f t="shared" si="247"/>
        <v>0</v>
      </c>
    </row>
    <row r="438" spans="1:36">
      <c r="A438">
        <f t="shared" si="228"/>
        <v>-1</v>
      </c>
      <c r="B438">
        <f t="shared" si="236"/>
        <v>6</v>
      </c>
      <c r="C438">
        <f t="shared" si="214"/>
        <v>300</v>
      </c>
      <c r="D438">
        <f t="shared" si="229"/>
        <v>0</v>
      </c>
      <c r="E438">
        <f t="shared" si="248"/>
        <v>5</v>
      </c>
      <c r="F438">
        <f t="shared" si="215"/>
        <v>360</v>
      </c>
      <c r="G438">
        <f t="shared" si="230"/>
        <v>0</v>
      </c>
      <c r="H438">
        <f t="shared" si="237"/>
        <v>4</v>
      </c>
      <c r="I438">
        <f t="shared" si="216"/>
        <v>360</v>
      </c>
      <c r="J438">
        <f t="shared" si="231"/>
        <v>0</v>
      </c>
      <c r="K438">
        <f t="shared" si="238"/>
        <v>3</v>
      </c>
      <c r="L438">
        <f t="shared" si="217"/>
        <v>360</v>
      </c>
      <c r="M438">
        <f t="shared" si="232"/>
        <v>0</v>
      </c>
      <c r="N438">
        <f t="shared" si="239"/>
        <v>2</v>
      </c>
      <c r="O438">
        <f t="shared" si="218"/>
        <v>300</v>
      </c>
      <c r="P438">
        <f t="shared" si="240"/>
        <v>0</v>
      </c>
      <c r="Q438">
        <f t="shared" si="241"/>
        <v>2</v>
      </c>
      <c r="R438">
        <f t="shared" si="219"/>
        <v>300</v>
      </c>
      <c r="S438">
        <f t="shared" si="242"/>
        <v>0</v>
      </c>
      <c r="T438">
        <f t="shared" si="243"/>
        <v>-1</v>
      </c>
      <c r="U438">
        <f t="shared" si="233"/>
        <v>1</v>
      </c>
      <c r="V438">
        <f t="shared" si="234"/>
        <v>1</v>
      </c>
      <c r="W438">
        <f t="shared" si="220"/>
        <v>0</v>
      </c>
      <c r="X438">
        <f t="shared" si="244"/>
        <v>0</v>
      </c>
      <c r="Y438">
        <f t="shared" si="221"/>
        <v>0</v>
      </c>
      <c r="Z438">
        <f t="shared" si="222"/>
        <v>0</v>
      </c>
      <c r="AA438">
        <f t="shared" si="223"/>
        <v>0</v>
      </c>
      <c r="AB438" s="29">
        <f t="shared" si="224"/>
        <v>0</v>
      </c>
      <c r="AC438" s="25">
        <f t="shared" si="225"/>
        <v>0</v>
      </c>
      <c r="AD438" s="29">
        <f t="shared" si="226"/>
        <v>0</v>
      </c>
      <c r="AE438" s="25">
        <f t="shared" si="235"/>
        <v>0</v>
      </c>
      <c r="AF438" s="25">
        <f t="shared" si="227"/>
        <v>0</v>
      </c>
      <c r="AG438" s="25">
        <f>IF($A438&lt;0,0,IF(instatk="bs",(1.5+talSCallInstBon)*(MHavg+(ap+Z438-$Z$1)/APtoDPS*MHnorm+170)*(1+sa*0.1+0.04*opp+0.02*agg+Slayer4value-1),IF(instatk="hemo",Slayer4value*(MHavg+(ap+Z438-$Z$1)/APtoDPS*MHnorm)*(1.1+talSCallInstBon)+420*(1+raidcrit)*debuffon,IF(instatk="ss",(MHavg+(ap+Z438-$Z$1)/APtoDPS*MHnorm+98)*(1+sa*0.1+0.02*agg+Slayer4value-1),IF(instatk="v",(ohavg+(ap+Z438-$Z$1)/APtoDPS*OHnorm)*(1+sa*0.1)*(0.5+0.05*dws)+avipdam,Slayer4value*((1+0.04*opp)*(MHavg+101+(ap+Z438-$Z$1)/APtoDPS*MHnorm+(0.5+0.05*dws)*(ohavg+(ap+Z438-$Z$1)/APtoDPS*OHnorm)+101*(1+0.1*dws))*(1+0.5*IF(Talents!$O$18="Yes",1,0)))))))*(instactualhit+(1+((leth*0.06+2)-1)*(cfact-1))*instactualcrit)*fwfactor*AB438*instsec*(AF438/$AN$45))</f>
        <v>0</v>
      </c>
      <c r="AH438" s="25">
        <f t="shared" si="245"/>
        <v>0</v>
      </c>
      <c r="AI438" s="25">
        <f t="shared" si="246"/>
        <v>0</v>
      </c>
      <c r="AJ438" s="25">
        <f t="shared" si="247"/>
        <v>0</v>
      </c>
    </row>
    <row r="439" spans="1:36">
      <c r="A439">
        <f t="shared" si="228"/>
        <v>-1</v>
      </c>
      <c r="B439">
        <f t="shared" si="236"/>
        <v>6</v>
      </c>
      <c r="C439">
        <f t="shared" si="214"/>
        <v>300</v>
      </c>
      <c r="D439">
        <f t="shared" si="229"/>
        <v>0</v>
      </c>
      <c r="E439">
        <f t="shared" si="248"/>
        <v>5</v>
      </c>
      <c r="F439">
        <f t="shared" si="215"/>
        <v>360</v>
      </c>
      <c r="G439">
        <f t="shared" si="230"/>
        <v>0</v>
      </c>
      <c r="H439">
        <f t="shared" si="237"/>
        <v>4</v>
      </c>
      <c r="I439">
        <f t="shared" si="216"/>
        <v>360</v>
      </c>
      <c r="J439">
        <f t="shared" si="231"/>
        <v>0</v>
      </c>
      <c r="K439">
        <f t="shared" si="238"/>
        <v>3</v>
      </c>
      <c r="L439">
        <f t="shared" si="217"/>
        <v>360</v>
      </c>
      <c r="M439">
        <f t="shared" si="232"/>
        <v>0</v>
      </c>
      <c r="N439">
        <f t="shared" si="239"/>
        <v>2</v>
      </c>
      <c r="O439">
        <f t="shared" si="218"/>
        <v>300</v>
      </c>
      <c r="P439">
        <f t="shared" si="240"/>
        <v>0</v>
      </c>
      <c r="Q439">
        <f t="shared" si="241"/>
        <v>2</v>
      </c>
      <c r="R439">
        <f t="shared" si="219"/>
        <v>300</v>
      </c>
      <c r="S439">
        <f t="shared" si="242"/>
        <v>0</v>
      </c>
      <c r="T439">
        <f t="shared" si="243"/>
        <v>-1</v>
      </c>
      <c r="U439">
        <f t="shared" si="233"/>
        <v>1</v>
      </c>
      <c r="V439">
        <f t="shared" si="234"/>
        <v>1</v>
      </c>
      <c r="W439">
        <f t="shared" si="220"/>
        <v>0</v>
      </c>
      <c r="X439">
        <f t="shared" si="244"/>
        <v>0</v>
      </c>
      <c r="Y439">
        <f t="shared" si="221"/>
        <v>0</v>
      </c>
      <c r="Z439">
        <f t="shared" si="222"/>
        <v>0</v>
      </c>
      <c r="AA439">
        <f t="shared" si="223"/>
        <v>0</v>
      </c>
      <c r="AB439" s="29">
        <f t="shared" si="224"/>
        <v>0</v>
      </c>
      <c r="AC439" s="25">
        <f t="shared" si="225"/>
        <v>0</v>
      </c>
      <c r="AD439" s="29">
        <f t="shared" si="226"/>
        <v>0</v>
      </c>
      <c r="AE439" s="25">
        <f t="shared" si="235"/>
        <v>0</v>
      </c>
      <c r="AF439" s="25">
        <f t="shared" si="227"/>
        <v>0</v>
      </c>
      <c r="AG439" s="25">
        <f>IF($A439&lt;0,0,IF(instatk="bs",(1.5+talSCallInstBon)*(MHavg+(ap+Z439-$Z$1)/APtoDPS*MHnorm+170)*(1+sa*0.1+0.04*opp+0.02*agg+Slayer4value-1),IF(instatk="hemo",Slayer4value*(MHavg+(ap+Z439-$Z$1)/APtoDPS*MHnorm)*(1.1+talSCallInstBon)+420*(1+raidcrit)*debuffon,IF(instatk="ss",(MHavg+(ap+Z439-$Z$1)/APtoDPS*MHnorm+98)*(1+sa*0.1+0.02*agg+Slayer4value-1),IF(instatk="v",(ohavg+(ap+Z439-$Z$1)/APtoDPS*OHnorm)*(1+sa*0.1)*(0.5+0.05*dws)+avipdam,Slayer4value*((1+0.04*opp)*(MHavg+101+(ap+Z439-$Z$1)/APtoDPS*MHnorm+(0.5+0.05*dws)*(ohavg+(ap+Z439-$Z$1)/APtoDPS*OHnorm)+101*(1+0.1*dws))*(1+0.5*IF(Talents!$O$18="Yes",1,0)))))))*(instactualhit+(1+((leth*0.06+2)-1)*(cfact-1))*instactualcrit)*fwfactor*AB439*instsec*(AF439/$AN$45))</f>
        <v>0</v>
      </c>
      <c r="AH439" s="25">
        <f t="shared" si="245"/>
        <v>0</v>
      </c>
      <c r="AI439" s="25">
        <f t="shared" si="246"/>
        <v>0</v>
      </c>
      <c r="AJ439" s="25">
        <f t="shared" si="247"/>
        <v>0</v>
      </c>
    </row>
    <row r="440" spans="1:36">
      <c r="A440">
        <f t="shared" si="228"/>
        <v>-1</v>
      </c>
      <c r="B440">
        <f t="shared" si="236"/>
        <v>6</v>
      </c>
      <c r="C440">
        <f t="shared" si="214"/>
        <v>300</v>
      </c>
      <c r="D440">
        <f t="shared" si="229"/>
        <v>0</v>
      </c>
      <c r="E440">
        <f t="shared" si="248"/>
        <v>5</v>
      </c>
      <c r="F440">
        <f t="shared" si="215"/>
        <v>360</v>
      </c>
      <c r="G440">
        <f t="shared" si="230"/>
        <v>0</v>
      </c>
      <c r="H440">
        <f t="shared" si="237"/>
        <v>4</v>
      </c>
      <c r="I440">
        <f t="shared" si="216"/>
        <v>360</v>
      </c>
      <c r="J440">
        <f t="shared" si="231"/>
        <v>0</v>
      </c>
      <c r="K440">
        <f t="shared" si="238"/>
        <v>3</v>
      </c>
      <c r="L440">
        <f t="shared" si="217"/>
        <v>360</v>
      </c>
      <c r="M440">
        <f t="shared" si="232"/>
        <v>0</v>
      </c>
      <c r="N440">
        <f t="shared" si="239"/>
        <v>2</v>
      </c>
      <c r="O440">
        <f t="shared" si="218"/>
        <v>300</v>
      </c>
      <c r="P440">
        <f t="shared" si="240"/>
        <v>0</v>
      </c>
      <c r="Q440">
        <f t="shared" si="241"/>
        <v>2</v>
      </c>
      <c r="R440">
        <f t="shared" si="219"/>
        <v>300</v>
      </c>
      <c r="S440">
        <f t="shared" si="242"/>
        <v>0</v>
      </c>
      <c r="T440">
        <f t="shared" si="243"/>
        <v>-1</v>
      </c>
      <c r="U440">
        <f t="shared" si="233"/>
        <v>1</v>
      </c>
      <c r="V440">
        <f t="shared" si="234"/>
        <v>1</v>
      </c>
      <c r="W440">
        <f t="shared" si="220"/>
        <v>0</v>
      </c>
      <c r="X440">
        <f t="shared" si="244"/>
        <v>0</v>
      </c>
      <c r="Y440">
        <f t="shared" si="221"/>
        <v>0</v>
      </c>
      <c r="Z440">
        <f t="shared" si="222"/>
        <v>0</v>
      </c>
      <c r="AA440">
        <f t="shared" si="223"/>
        <v>0</v>
      </c>
      <c r="AB440" s="29">
        <f t="shared" si="224"/>
        <v>0</v>
      </c>
      <c r="AC440" s="25">
        <f t="shared" si="225"/>
        <v>0</v>
      </c>
      <c r="AD440" s="29">
        <f t="shared" si="226"/>
        <v>0</v>
      </c>
      <c r="AE440" s="25">
        <f t="shared" si="235"/>
        <v>0</v>
      </c>
      <c r="AF440" s="25">
        <f t="shared" si="227"/>
        <v>0</v>
      </c>
      <c r="AG440" s="25">
        <f>IF($A440&lt;0,0,IF(instatk="bs",(1.5+talSCallInstBon)*(MHavg+(ap+Z440-$Z$1)/APtoDPS*MHnorm+170)*(1+sa*0.1+0.04*opp+0.02*agg+Slayer4value-1),IF(instatk="hemo",Slayer4value*(MHavg+(ap+Z440-$Z$1)/APtoDPS*MHnorm)*(1.1+talSCallInstBon)+420*(1+raidcrit)*debuffon,IF(instatk="ss",(MHavg+(ap+Z440-$Z$1)/APtoDPS*MHnorm+98)*(1+sa*0.1+0.02*agg+Slayer4value-1),IF(instatk="v",(ohavg+(ap+Z440-$Z$1)/APtoDPS*OHnorm)*(1+sa*0.1)*(0.5+0.05*dws)+avipdam,Slayer4value*((1+0.04*opp)*(MHavg+101+(ap+Z440-$Z$1)/APtoDPS*MHnorm+(0.5+0.05*dws)*(ohavg+(ap+Z440-$Z$1)/APtoDPS*OHnorm)+101*(1+0.1*dws))*(1+0.5*IF(Talents!$O$18="Yes",1,0)))))))*(instactualhit+(1+((leth*0.06+2)-1)*(cfact-1))*instactualcrit)*fwfactor*AB440*instsec*(AF440/$AN$45))</f>
        <v>0</v>
      </c>
      <c r="AH440" s="25">
        <f t="shared" si="245"/>
        <v>0</v>
      </c>
      <c r="AI440" s="25">
        <f t="shared" si="246"/>
        <v>0</v>
      </c>
      <c r="AJ440" s="25">
        <f t="shared" si="247"/>
        <v>0</v>
      </c>
    </row>
    <row r="441" spans="1:36">
      <c r="A441">
        <f t="shared" si="228"/>
        <v>-1</v>
      </c>
      <c r="B441">
        <f t="shared" si="236"/>
        <v>6</v>
      </c>
      <c r="C441">
        <f t="shared" si="214"/>
        <v>300</v>
      </c>
      <c r="D441">
        <f t="shared" si="229"/>
        <v>0</v>
      </c>
      <c r="E441">
        <f t="shared" si="248"/>
        <v>5</v>
      </c>
      <c r="F441">
        <f t="shared" si="215"/>
        <v>360</v>
      </c>
      <c r="G441">
        <f t="shared" si="230"/>
        <v>0</v>
      </c>
      <c r="H441">
        <f t="shared" si="237"/>
        <v>4</v>
      </c>
      <c r="I441">
        <f t="shared" si="216"/>
        <v>360</v>
      </c>
      <c r="J441">
        <f t="shared" si="231"/>
        <v>0</v>
      </c>
      <c r="K441">
        <f t="shared" si="238"/>
        <v>3</v>
      </c>
      <c r="L441">
        <f t="shared" si="217"/>
        <v>360</v>
      </c>
      <c r="M441">
        <f t="shared" si="232"/>
        <v>0</v>
      </c>
      <c r="N441">
        <f t="shared" si="239"/>
        <v>2</v>
      </c>
      <c r="O441">
        <f t="shared" si="218"/>
        <v>300</v>
      </c>
      <c r="P441">
        <f t="shared" si="240"/>
        <v>0</v>
      </c>
      <c r="Q441">
        <f t="shared" si="241"/>
        <v>2</v>
      </c>
      <c r="R441">
        <f t="shared" si="219"/>
        <v>300</v>
      </c>
      <c r="S441">
        <f t="shared" si="242"/>
        <v>0</v>
      </c>
      <c r="T441">
        <f t="shared" si="243"/>
        <v>-1</v>
      </c>
      <c r="U441">
        <f t="shared" si="233"/>
        <v>1</v>
      </c>
      <c r="V441">
        <f t="shared" si="234"/>
        <v>1</v>
      </c>
      <c r="W441">
        <f t="shared" si="220"/>
        <v>0</v>
      </c>
      <c r="X441">
        <f t="shared" si="244"/>
        <v>0</v>
      </c>
      <c r="Y441">
        <f t="shared" si="221"/>
        <v>0</v>
      </c>
      <c r="Z441">
        <f t="shared" si="222"/>
        <v>0</v>
      </c>
      <c r="AA441">
        <f t="shared" si="223"/>
        <v>0</v>
      </c>
      <c r="AB441" s="29">
        <f t="shared" si="224"/>
        <v>0</v>
      </c>
      <c r="AC441" s="25">
        <f t="shared" si="225"/>
        <v>0</v>
      </c>
      <c r="AD441" s="29">
        <f t="shared" si="226"/>
        <v>0</v>
      </c>
      <c r="AE441" s="25">
        <f t="shared" si="235"/>
        <v>0</v>
      </c>
      <c r="AF441" s="25">
        <f t="shared" si="227"/>
        <v>0</v>
      </c>
      <c r="AG441" s="25">
        <f>IF($A441&lt;0,0,IF(instatk="bs",(1.5+talSCallInstBon)*(MHavg+(ap+Z441-$Z$1)/APtoDPS*MHnorm+170)*(1+sa*0.1+0.04*opp+0.02*agg+Slayer4value-1),IF(instatk="hemo",Slayer4value*(MHavg+(ap+Z441-$Z$1)/APtoDPS*MHnorm)*(1.1+talSCallInstBon)+420*(1+raidcrit)*debuffon,IF(instatk="ss",(MHavg+(ap+Z441-$Z$1)/APtoDPS*MHnorm+98)*(1+sa*0.1+0.02*agg+Slayer4value-1),IF(instatk="v",(ohavg+(ap+Z441-$Z$1)/APtoDPS*OHnorm)*(1+sa*0.1)*(0.5+0.05*dws)+avipdam,Slayer4value*((1+0.04*opp)*(MHavg+101+(ap+Z441-$Z$1)/APtoDPS*MHnorm+(0.5+0.05*dws)*(ohavg+(ap+Z441-$Z$1)/APtoDPS*OHnorm)+101*(1+0.1*dws))*(1+0.5*IF(Talents!$O$18="Yes",1,0)))))))*(instactualhit+(1+((leth*0.06+2)-1)*(cfact-1))*instactualcrit)*fwfactor*AB441*instsec*(AF441/$AN$45))</f>
        <v>0</v>
      </c>
      <c r="AH441" s="25">
        <f t="shared" si="245"/>
        <v>0</v>
      </c>
      <c r="AI441" s="25">
        <f t="shared" si="246"/>
        <v>0</v>
      </c>
      <c r="AJ441" s="25">
        <f t="shared" si="247"/>
        <v>0</v>
      </c>
    </row>
    <row r="442" spans="1:36">
      <c r="A442">
        <f t="shared" si="228"/>
        <v>-1</v>
      </c>
      <c r="B442">
        <f t="shared" si="236"/>
        <v>6</v>
      </c>
      <c r="C442">
        <f t="shared" si="214"/>
        <v>300</v>
      </c>
      <c r="D442">
        <f t="shared" si="229"/>
        <v>0</v>
      </c>
      <c r="E442">
        <f t="shared" si="248"/>
        <v>5</v>
      </c>
      <c r="F442">
        <f t="shared" si="215"/>
        <v>360</v>
      </c>
      <c r="G442">
        <f t="shared" si="230"/>
        <v>0</v>
      </c>
      <c r="H442">
        <f t="shared" si="237"/>
        <v>4</v>
      </c>
      <c r="I442">
        <f t="shared" si="216"/>
        <v>360</v>
      </c>
      <c r="J442">
        <f t="shared" si="231"/>
        <v>0</v>
      </c>
      <c r="K442">
        <f t="shared" si="238"/>
        <v>3</v>
      </c>
      <c r="L442">
        <f t="shared" si="217"/>
        <v>360</v>
      </c>
      <c r="M442">
        <f t="shared" si="232"/>
        <v>0</v>
      </c>
      <c r="N442">
        <f t="shared" si="239"/>
        <v>2</v>
      </c>
      <c r="O442">
        <f t="shared" si="218"/>
        <v>300</v>
      </c>
      <c r="P442">
        <f t="shared" si="240"/>
        <v>0</v>
      </c>
      <c r="Q442">
        <f t="shared" si="241"/>
        <v>2</v>
      </c>
      <c r="R442">
        <f t="shared" si="219"/>
        <v>300</v>
      </c>
      <c r="S442">
        <f t="shared" si="242"/>
        <v>0</v>
      </c>
      <c r="T442">
        <f t="shared" si="243"/>
        <v>-1</v>
      </c>
      <c r="U442">
        <f t="shared" si="233"/>
        <v>1</v>
      </c>
      <c r="V442">
        <f t="shared" si="234"/>
        <v>1</v>
      </c>
      <c r="W442">
        <f t="shared" si="220"/>
        <v>0</v>
      </c>
      <c r="X442">
        <f t="shared" si="244"/>
        <v>0</v>
      </c>
      <c r="Y442">
        <f t="shared" si="221"/>
        <v>0</v>
      </c>
      <c r="Z442">
        <f t="shared" si="222"/>
        <v>0</v>
      </c>
      <c r="AA442">
        <f t="shared" si="223"/>
        <v>0</v>
      </c>
      <c r="AB442" s="29">
        <f t="shared" si="224"/>
        <v>0</v>
      </c>
      <c r="AC442" s="25">
        <f t="shared" si="225"/>
        <v>0</v>
      </c>
      <c r="AD442" s="29">
        <f t="shared" si="226"/>
        <v>0</v>
      </c>
      <c r="AE442" s="25">
        <f t="shared" si="235"/>
        <v>0</v>
      </c>
      <c r="AF442" s="25">
        <f t="shared" si="227"/>
        <v>0</v>
      </c>
      <c r="AG442" s="25">
        <f>IF($A442&lt;0,0,IF(instatk="bs",(1.5+talSCallInstBon)*(MHavg+(ap+Z442-$Z$1)/APtoDPS*MHnorm+170)*(1+sa*0.1+0.04*opp+0.02*agg+Slayer4value-1),IF(instatk="hemo",Slayer4value*(MHavg+(ap+Z442-$Z$1)/APtoDPS*MHnorm)*(1.1+talSCallInstBon)+420*(1+raidcrit)*debuffon,IF(instatk="ss",(MHavg+(ap+Z442-$Z$1)/APtoDPS*MHnorm+98)*(1+sa*0.1+0.02*agg+Slayer4value-1),IF(instatk="v",(ohavg+(ap+Z442-$Z$1)/APtoDPS*OHnorm)*(1+sa*0.1)*(0.5+0.05*dws)+avipdam,Slayer4value*((1+0.04*opp)*(MHavg+101+(ap+Z442-$Z$1)/APtoDPS*MHnorm+(0.5+0.05*dws)*(ohavg+(ap+Z442-$Z$1)/APtoDPS*OHnorm)+101*(1+0.1*dws))*(1+0.5*IF(Talents!$O$18="Yes",1,0)))))))*(instactualhit+(1+((leth*0.06+2)-1)*(cfact-1))*instactualcrit)*fwfactor*AB442*instsec*(AF442/$AN$45))</f>
        <v>0</v>
      </c>
      <c r="AH442" s="25">
        <f t="shared" si="245"/>
        <v>0</v>
      </c>
      <c r="AI442" s="25">
        <f t="shared" si="246"/>
        <v>0</v>
      </c>
      <c r="AJ442" s="25">
        <f t="shared" si="247"/>
        <v>0</v>
      </c>
    </row>
    <row r="443" spans="1:36">
      <c r="A443">
        <f t="shared" si="228"/>
        <v>-1</v>
      </c>
      <c r="B443">
        <f t="shared" si="236"/>
        <v>6</v>
      </c>
      <c r="C443">
        <f t="shared" si="214"/>
        <v>300</v>
      </c>
      <c r="D443">
        <f t="shared" si="229"/>
        <v>0</v>
      </c>
      <c r="E443">
        <f t="shared" si="248"/>
        <v>5</v>
      </c>
      <c r="F443">
        <f t="shared" si="215"/>
        <v>360</v>
      </c>
      <c r="G443">
        <f t="shared" si="230"/>
        <v>0</v>
      </c>
      <c r="H443">
        <f t="shared" si="237"/>
        <v>4</v>
      </c>
      <c r="I443">
        <f t="shared" si="216"/>
        <v>360</v>
      </c>
      <c r="J443">
        <f t="shared" si="231"/>
        <v>0</v>
      </c>
      <c r="K443">
        <f t="shared" si="238"/>
        <v>3</v>
      </c>
      <c r="L443">
        <f t="shared" si="217"/>
        <v>360</v>
      </c>
      <c r="M443">
        <f t="shared" si="232"/>
        <v>0</v>
      </c>
      <c r="N443">
        <f t="shared" si="239"/>
        <v>2</v>
      </c>
      <c r="O443">
        <f t="shared" si="218"/>
        <v>300</v>
      </c>
      <c r="P443">
        <f t="shared" si="240"/>
        <v>0</v>
      </c>
      <c r="Q443">
        <f t="shared" si="241"/>
        <v>2</v>
      </c>
      <c r="R443">
        <f t="shared" si="219"/>
        <v>300</v>
      </c>
      <c r="S443">
        <f t="shared" si="242"/>
        <v>0</v>
      </c>
      <c r="T443">
        <f t="shared" si="243"/>
        <v>-1</v>
      </c>
      <c r="U443">
        <f t="shared" si="233"/>
        <v>1</v>
      </c>
      <c r="V443">
        <f t="shared" si="234"/>
        <v>1</v>
      </c>
      <c r="W443">
        <f t="shared" si="220"/>
        <v>0</v>
      </c>
      <c r="X443">
        <f t="shared" si="244"/>
        <v>0</v>
      </c>
      <c r="Y443">
        <f t="shared" si="221"/>
        <v>0</v>
      </c>
      <c r="Z443">
        <f t="shared" si="222"/>
        <v>0</v>
      </c>
      <c r="AA443">
        <f t="shared" si="223"/>
        <v>0</v>
      </c>
      <c r="AB443" s="29">
        <f t="shared" si="224"/>
        <v>0</v>
      </c>
      <c r="AC443" s="25">
        <f t="shared" si="225"/>
        <v>0</v>
      </c>
      <c r="AD443" s="29">
        <f t="shared" si="226"/>
        <v>0</v>
      </c>
      <c r="AE443" s="25">
        <f t="shared" si="235"/>
        <v>0</v>
      </c>
      <c r="AF443" s="25">
        <f t="shared" si="227"/>
        <v>0</v>
      </c>
      <c r="AG443" s="25">
        <f>IF($A443&lt;0,0,IF(instatk="bs",(1.5+talSCallInstBon)*(MHavg+(ap+Z443-$Z$1)/APtoDPS*MHnorm+170)*(1+sa*0.1+0.04*opp+0.02*agg+Slayer4value-1),IF(instatk="hemo",Slayer4value*(MHavg+(ap+Z443-$Z$1)/APtoDPS*MHnorm)*(1.1+talSCallInstBon)+420*(1+raidcrit)*debuffon,IF(instatk="ss",(MHavg+(ap+Z443-$Z$1)/APtoDPS*MHnorm+98)*(1+sa*0.1+0.02*agg+Slayer4value-1),IF(instatk="v",(ohavg+(ap+Z443-$Z$1)/APtoDPS*OHnorm)*(1+sa*0.1)*(0.5+0.05*dws)+avipdam,Slayer4value*((1+0.04*opp)*(MHavg+101+(ap+Z443-$Z$1)/APtoDPS*MHnorm+(0.5+0.05*dws)*(ohavg+(ap+Z443-$Z$1)/APtoDPS*OHnorm)+101*(1+0.1*dws))*(1+0.5*IF(Talents!$O$18="Yes",1,0)))))))*(instactualhit+(1+((leth*0.06+2)-1)*(cfact-1))*instactualcrit)*fwfactor*AB443*instsec*(AF443/$AN$45))</f>
        <v>0</v>
      </c>
      <c r="AH443" s="25">
        <f t="shared" si="245"/>
        <v>0</v>
      </c>
      <c r="AI443" s="25">
        <f t="shared" si="246"/>
        <v>0</v>
      </c>
      <c r="AJ443" s="25">
        <f t="shared" si="247"/>
        <v>0</v>
      </c>
    </row>
    <row r="444" spans="1:36">
      <c r="A444">
        <f t="shared" si="228"/>
        <v>-1</v>
      </c>
      <c r="B444">
        <f t="shared" si="236"/>
        <v>6</v>
      </c>
      <c r="C444">
        <f t="shared" si="214"/>
        <v>300</v>
      </c>
      <c r="D444">
        <f t="shared" si="229"/>
        <v>0</v>
      </c>
      <c r="E444">
        <f t="shared" si="248"/>
        <v>5</v>
      </c>
      <c r="F444">
        <f t="shared" si="215"/>
        <v>360</v>
      </c>
      <c r="G444">
        <f t="shared" si="230"/>
        <v>0</v>
      </c>
      <c r="H444">
        <f t="shared" si="237"/>
        <v>4</v>
      </c>
      <c r="I444">
        <f t="shared" si="216"/>
        <v>360</v>
      </c>
      <c r="J444">
        <f t="shared" si="231"/>
        <v>0</v>
      </c>
      <c r="K444">
        <f t="shared" si="238"/>
        <v>3</v>
      </c>
      <c r="L444">
        <f t="shared" si="217"/>
        <v>360</v>
      </c>
      <c r="M444">
        <f t="shared" si="232"/>
        <v>0</v>
      </c>
      <c r="N444">
        <f t="shared" si="239"/>
        <v>2</v>
      </c>
      <c r="O444">
        <f t="shared" si="218"/>
        <v>300</v>
      </c>
      <c r="P444">
        <f t="shared" si="240"/>
        <v>0</v>
      </c>
      <c r="Q444">
        <f t="shared" si="241"/>
        <v>2</v>
      </c>
      <c r="R444">
        <f t="shared" si="219"/>
        <v>300</v>
      </c>
      <c r="S444">
        <f t="shared" si="242"/>
        <v>0</v>
      </c>
      <c r="T444">
        <f t="shared" si="243"/>
        <v>-1</v>
      </c>
      <c r="U444">
        <f t="shared" si="233"/>
        <v>1</v>
      </c>
      <c r="V444">
        <f t="shared" si="234"/>
        <v>1</v>
      </c>
      <c r="W444">
        <f t="shared" si="220"/>
        <v>0</v>
      </c>
      <c r="X444">
        <f t="shared" si="244"/>
        <v>0</v>
      </c>
      <c r="Y444">
        <f t="shared" si="221"/>
        <v>0</v>
      </c>
      <c r="Z444">
        <f t="shared" si="222"/>
        <v>0</v>
      </c>
      <c r="AA444">
        <f t="shared" si="223"/>
        <v>0</v>
      </c>
      <c r="AB444" s="29">
        <f t="shared" si="224"/>
        <v>0</v>
      </c>
      <c r="AC444" s="25">
        <f t="shared" si="225"/>
        <v>0</v>
      </c>
      <c r="AD444" s="29">
        <f t="shared" si="226"/>
        <v>0</v>
      </c>
      <c r="AE444" s="25">
        <f t="shared" si="235"/>
        <v>0</v>
      </c>
      <c r="AF444" s="25">
        <f t="shared" si="227"/>
        <v>0</v>
      </c>
      <c r="AG444" s="25">
        <f>IF($A444&lt;0,0,IF(instatk="bs",(1.5+talSCallInstBon)*(MHavg+(ap+Z444-$Z$1)/APtoDPS*MHnorm+170)*(1+sa*0.1+0.04*opp+0.02*agg+Slayer4value-1),IF(instatk="hemo",Slayer4value*(MHavg+(ap+Z444-$Z$1)/APtoDPS*MHnorm)*(1.1+talSCallInstBon)+420*(1+raidcrit)*debuffon,IF(instatk="ss",(MHavg+(ap+Z444-$Z$1)/APtoDPS*MHnorm+98)*(1+sa*0.1+0.02*agg+Slayer4value-1),IF(instatk="v",(ohavg+(ap+Z444-$Z$1)/APtoDPS*OHnorm)*(1+sa*0.1)*(0.5+0.05*dws)+avipdam,Slayer4value*((1+0.04*opp)*(MHavg+101+(ap+Z444-$Z$1)/APtoDPS*MHnorm+(0.5+0.05*dws)*(ohavg+(ap+Z444-$Z$1)/APtoDPS*OHnorm)+101*(1+0.1*dws))*(1+0.5*IF(Talents!$O$18="Yes",1,0)))))))*(instactualhit+(1+((leth*0.06+2)-1)*(cfact-1))*instactualcrit)*fwfactor*AB444*instsec*(AF444/$AN$45))</f>
        <v>0</v>
      </c>
      <c r="AH444" s="25">
        <f t="shared" si="245"/>
        <v>0</v>
      </c>
      <c r="AI444" s="25">
        <f t="shared" si="246"/>
        <v>0</v>
      </c>
      <c r="AJ444" s="25">
        <f t="shared" si="247"/>
        <v>0</v>
      </c>
    </row>
    <row r="445" spans="1:36">
      <c r="A445">
        <f t="shared" si="228"/>
        <v>-1</v>
      </c>
      <c r="B445">
        <f t="shared" si="236"/>
        <v>6</v>
      </c>
      <c r="C445">
        <f t="shared" si="214"/>
        <v>300</v>
      </c>
      <c r="D445">
        <f t="shared" si="229"/>
        <v>0</v>
      </c>
      <c r="E445">
        <f t="shared" si="248"/>
        <v>5</v>
      </c>
      <c r="F445">
        <f t="shared" si="215"/>
        <v>360</v>
      </c>
      <c r="G445">
        <f t="shared" si="230"/>
        <v>0</v>
      </c>
      <c r="H445">
        <f t="shared" si="237"/>
        <v>4</v>
      </c>
      <c r="I445">
        <f t="shared" si="216"/>
        <v>360</v>
      </c>
      <c r="J445">
        <f t="shared" si="231"/>
        <v>0</v>
      </c>
      <c r="K445">
        <f t="shared" si="238"/>
        <v>3</v>
      </c>
      <c r="L445">
        <f t="shared" si="217"/>
        <v>360</v>
      </c>
      <c r="M445">
        <f t="shared" si="232"/>
        <v>0</v>
      </c>
      <c r="N445">
        <f t="shared" si="239"/>
        <v>2</v>
      </c>
      <c r="O445">
        <f t="shared" si="218"/>
        <v>300</v>
      </c>
      <c r="P445">
        <f t="shared" si="240"/>
        <v>0</v>
      </c>
      <c r="Q445">
        <f t="shared" si="241"/>
        <v>2</v>
      </c>
      <c r="R445">
        <f t="shared" si="219"/>
        <v>300</v>
      </c>
      <c r="S445">
        <f t="shared" si="242"/>
        <v>0</v>
      </c>
      <c r="T445">
        <f t="shared" si="243"/>
        <v>-1</v>
      </c>
      <c r="U445">
        <f t="shared" si="233"/>
        <v>1</v>
      </c>
      <c r="V445">
        <f t="shared" si="234"/>
        <v>1</v>
      </c>
      <c r="W445">
        <f t="shared" si="220"/>
        <v>0</v>
      </c>
      <c r="X445">
        <f t="shared" si="244"/>
        <v>0</v>
      </c>
      <c r="Y445">
        <f t="shared" si="221"/>
        <v>0</v>
      </c>
      <c r="Z445">
        <f t="shared" si="222"/>
        <v>0</v>
      </c>
      <c r="AA445">
        <f t="shared" si="223"/>
        <v>0</v>
      </c>
      <c r="AB445" s="29">
        <f t="shared" si="224"/>
        <v>0</v>
      </c>
      <c r="AC445" s="25">
        <f t="shared" si="225"/>
        <v>0</v>
      </c>
      <c r="AD445" s="29">
        <f t="shared" si="226"/>
        <v>0</v>
      </c>
      <c r="AE445" s="25">
        <f t="shared" si="235"/>
        <v>0</v>
      </c>
      <c r="AF445" s="25">
        <f t="shared" si="227"/>
        <v>0</v>
      </c>
      <c r="AG445" s="25">
        <f>IF($A445&lt;0,0,IF(instatk="bs",(1.5+talSCallInstBon)*(MHavg+(ap+Z445-$Z$1)/APtoDPS*MHnorm+170)*(1+sa*0.1+0.04*opp+0.02*agg+Slayer4value-1),IF(instatk="hemo",Slayer4value*(MHavg+(ap+Z445-$Z$1)/APtoDPS*MHnorm)*(1.1+talSCallInstBon)+420*(1+raidcrit)*debuffon,IF(instatk="ss",(MHavg+(ap+Z445-$Z$1)/APtoDPS*MHnorm+98)*(1+sa*0.1+0.02*agg+Slayer4value-1),IF(instatk="v",(ohavg+(ap+Z445-$Z$1)/APtoDPS*OHnorm)*(1+sa*0.1)*(0.5+0.05*dws)+avipdam,Slayer4value*((1+0.04*opp)*(MHavg+101+(ap+Z445-$Z$1)/APtoDPS*MHnorm+(0.5+0.05*dws)*(ohavg+(ap+Z445-$Z$1)/APtoDPS*OHnorm)+101*(1+0.1*dws))*(1+0.5*IF(Talents!$O$18="Yes",1,0)))))))*(instactualhit+(1+((leth*0.06+2)-1)*(cfact-1))*instactualcrit)*fwfactor*AB445*instsec*(AF445/$AN$45))</f>
        <v>0</v>
      </c>
      <c r="AH445" s="25">
        <f t="shared" si="245"/>
        <v>0</v>
      </c>
      <c r="AI445" s="25">
        <f t="shared" si="246"/>
        <v>0</v>
      </c>
      <c r="AJ445" s="25">
        <f t="shared" si="247"/>
        <v>0</v>
      </c>
    </row>
    <row r="446" spans="1:36">
      <c r="A446">
        <f t="shared" si="228"/>
        <v>-1</v>
      </c>
      <c r="B446">
        <f t="shared" si="236"/>
        <v>6</v>
      </c>
      <c r="C446">
        <f t="shared" si="214"/>
        <v>300</v>
      </c>
      <c r="D446">
        <f t="shared" si="229"/>
        <v>0</v>
      </c>
      <c r="E446">
        <f t="shared" si="248"/>
        <v>5</v>
      </c>
      <c r="F446">
        <f t="shared" si="215"/>
        <v>360</v>
      </c>
      <c r="G446">
        <f t="shared" si="230"/>
        <v>0</v>
      </c>
      <c r="H446">
        <f t="shared" si="237"/>
        <v>4</v>
      </c>
      <c r="I446">
        <f t="shared" si="216"/>
        <v>360</v>
      </c>
      <c r="J446">
        <f t="shared" si="231"/>
        <v>0</v>
      </c>
      <c r="K446">
        <f t="shared" si="238"/>
        <v>3</v>
      </c>
      <c r="L446">
        <f t="shared" si="217"/>
        <v>360</v>
      </c>
      <c r="M446">
        <f t="shared" si="232"/>
        <v>0</v>
      </c>
      <c r="N446">
        <f t="shared" si="239"/>
        <v>2</v>
      </c>
      <c r="O446">
        <f t="shared" si="218"/>
        <v>300</v>
      </c>
      <c r="P446">
        <f t="shared" si="240"/>
        <v>0</v>
      </c>
      <c r="Q446">
        <f t="shared" si="241"/>
        <v>2</v>
      </c>
      <c r="R446">
        <f t="shared" si="219"/>
        <v>300</v>
      </c>
      <c r="S446">
        <f t="shared" si="242"/>
        <v>0</v>
      </c>
      <c r="T446">
        <f t="shared" si="243"/>
        <v>-1</v>
      </c>
      <c r="U446">
        <f t="shared" si="233"/>
        <v>1</v>
      </c>
      <c r="V446">
        <f t="shared" si="234"/>
        <v>1</v>
      </c>
      <c r="W446">
        <f t="shared" si="220"/>
        <v>0</v>
      </c>
      <c r="X446">
        <f t="shared" si="244"/>
        <v>0</v>
      </c>
      <c r="Y446">
        <f t="shared" si="221"/>
        <v>0</v>
      </c>
      <c r="Z446">
        <f t="shared" si="222"/>
        <v>0</v>
      </c>
      <c r="AA446">
        <f t="shared" si="223"/>
        <v>0</v>
      </c>
      <c r="AB446" s="29">
        <f t="shared" si="224"/>
        <v>0</v>
      </c>
      <c r="AC446" s="25">
        <f t="shared" si="225"/>
        <v>0</v>
      </c>
      <c r="AD446" s="29">
        <f t="shared" si="226"/>
        <v>0</v>
      </c>
      <c r="AE446" s="25">
        <f t="shared" si="235"/>
        <v>0</v>
      </c>
      <c r="AF446" s="25">
        <f t="shared" si="227"/>
        <v>0</v>
      </c>
      <c r="AG446" s="25">
        <f>IF($A446&lt;0,0,IF(instatk="bs",(1.5+talSCallInstBon)*(MHavg+(ap+Z446-$Z$1)/APtoDPS*MHnorm+170)*(1+sa*0.1+0.04*opp+0.02*agg+Slayer4value-1),IF(instatk="hemo",Slayer4value*(MHavg+(ap+Z446-$Z$1)/APtoDPS*MHnorm)*(1.1+talSCallInstBon)+420*(1+raidcrit)*debuffon,IF(instatk="ss",(MHavg+(ap+Z446-$Z$1)/APtoDPS*MHnorm+98)*(1+sa*0.1+0.02*agg+Slayer4value-1),IF(instatk="v",(ohavg+(ap+Z446-$Z$1)/APtoDPS*OHnorm)*(1+sa*0.1)*(0.5+0.05*dws)+avipdam,Slayer4value*((1+0.04*opp)*(MHavg+101+(ap+Z446-$Z$1)/APtoDPS*MHnorm+(0.5+0.05*dws)*(ohavg+(ap+Z446-$Z$1)/APtoDPS*OHnorm)+101*(1+0.1*dws))*(1+0.5*IF(Talents!$O$18="Yes",1,0)))))))*(instactualhit+(1+((leth*0.06+2)-1)*(cfact-1))*instactualcrit)*fwfactor*AB446*instsec*(AF446/$AN$45))</f>
        <v>0</v>
      </c>
      <c r="AH446" s="25">
        <f t="shared" si="245"/>
        <v>0</v>
      </c>
      <c r="AI446" s="25">
        <f t="shared" si="246"/>
        <v>0</v>
      </c>
      <c r="AJ446" s="25">
        <f t="shared" si="247"/>
        <v>0</v>
      </c>
    </row>
    <row r="447" spans="1:36">
      <c r="A447">
        <f t="shared" si="228"/>
        <v>-1</v>
      </c>
      <c r="B447">
        <f t="shared" si="236"/>
        <v>6</v>
      </c>
      <c r="C447">
        <f t="shared" si="214"/>
        <v>300</v>
      </c>
      <c r="D447">
        <f t="shared" si="229"/>
        <v>0</v>
      </c>
      <c r="E447">
        <f t="shared" si="248"/>
        <v>5</v>
      </c>
      <c r="F447">
        <f t="shared" si="215"/>
        <v>360</v>
      </c>
      <c r="G447">
        <f t="shared" si="230"/>
        <v>0</v>
      </c>
      <c r="H447">
        <f t="shared" si="237"/>
        <v>4</v>
      </c>
      <c r="I447">
        <f t="shared" si="216"/>
        <v>360</v>
      </c>
      <c r="J447">
        <f t="shared" si="231"/>
        <v>0</v>
      </c>
      <c r="K447">
        <f t="shared" si="238"/>
        <v>3</v>
      </c>
      <c r="L447">
        <f t="shared" si="217"/>
        <v>360</v>
      </c>
      <c r="M447">
        <f t="shared" si="232"/>
        <v>0</v>
      </c>
      <c r="N447">
        <f t="shared" si="239"/>
        <v>2</v>
      </c>
      <c r="O447">
        <f t="shared" si="218"/>
        <v>300</v>
      </c>
      <c r="P447">
        <f t="shared" si="240"/>
        <v>0</v>
      </c>
      <c r="Q447">
        <f t="shared" si="241"/>
        <v>2</v>
      </c>
      <c r="R447">
        <f t="shared" si="219"/>
        <v>300</v>
      </c>
      <c r="S447">
        <f t="shared" si="242"/>
        <v>0</v>
      </c>
      <c r="T447">
        <f t="shared" si="243"/>
        <v>-1</v>
      </c>
      <c r="U447">
        <f t="shared" si="233"/>
        <v>1</v>
      </c>
      <c r="V447">
        <f t="shared" si="234"/>
        <v>1</v>
      </c>
      <c r="W447">
        <f t="shared" si="220"/>
        <v>0</v>
      </c>
      <c r="X447">
        <f t="shared" si="244"/>
        <v>0</v>
      </c>
      <c r="Y447">
        <f t="shared" si="221"/>
        <v>0</v>
      </c>
      <c r="Z447">
        <f t="shared" si="222"/>
        <v>0</v>
      </c>
      <c r="AA447">
        <f t="shared" si="223"/>
        <v>0</v>
      </c>
      <c r="AB447" s="29">
        <f t="shared" si="224"/>
        <v>0</v>
      </c>
      <c r="AC447" s="25">
        <f t="shared" si="225"/>
        <v>0</v>
      </c>
      <c r="AD447" s="29">
        <f t="shared" si="226"/>
        <v>0</v>
      </c>
      <c r="AE447" s="25">
        <f t="shared" si="235"/>
        <v>0</v>
      </c>
      <c r="AF447" s="25">
        <f t="shared" si="227"/>
        <v>0</v>
      </c>
      <c r="AG447" s="25">
        <f>IF($A447&lt;0,0,IF(instatk="bs",(1.5+talSCallInstBon)*(MHavg+(ap+Z447-$Z$1)/APtoDPS*MHnorm+170)*(1+sa*0.1+0.04*opp+0.02*agg+Slayer4value-1),IF(instatk="hemo",Slayer4value*(MHavg+(ap+Z447-$Z$1)/APtoDPS*MHnorm)*(1.1+talSCallInstBon)+420*(1+raidcrit)*debuffon,IF(instatk="ss",(MHavg+(ap+Z447-$Z$1)/APtoDPS*MHnorm+98)*(1+sa*0.1+0.02*agg+Slayer4value-1),IF(instatk="v",(ohavg+(ap+Z447-$Z$1)/APtoDPS*OHnorm)*(1+sa*0.1)*(0.5+0.05*dws)+avipdam,Slayer4value*((1+0.04*opp)*(MHavg+101+(ap+Z447-$Z$1)/APtoDPS*MHnorm+(0.5+0.05*dws)*(ohavg+(ap+Z447-$Z$1)/APtoDPS*OHnorm)+101*(1+0.1*dws))*(1+0.5*IF(Talents!$O$18="Yes",1,0)))))))*(instactualhit+(1+((leth*0.06+2)-1)*(cfact-1))*instactualcrit)*fwfactor*AB447*instsec*(AF447/$AN$45))</f>
        <v>0</v>
      </c>
      <c r="AH447" s="25">
        <f t="shared" si="245"/>
        <v>0</v>
      </c>
      <c r="AI447" s="25">
        <f t="shared" si="246"/>
        <v>0</v>
      </c>
      <c r="AJ447" s="25">
        <f t="shared" si="247"/>
        <v>0</v>
      </c>
    </row>
    <row r="448" spans="1:36">
      <c r="A448">
        <f t="shared" si="228"/>
        <v>-1</v>
      </c>
      <c r="B448">
        <f t="shared" si="236"/>
        <v>6</v>
      </c>
      <c r="C448">
        <f t="shared" si="214"/>
        <v>300</v>
      </c>
      <c r="D448">
        <f t="shared" si="229"/>
        <v>0</v>
      </c>
      <c r="E448">
        <f t="shared" si="248"/>
        <v>5</v>
      </c>
      <c r="F448">
        <f t="shared" si="215"/>
        <v>360</v>
      </c>
      <c r="G448">
        <f t="shared" si="230"/>
        <v>0</v>
      </c>
      <c r="H448">
        <f t="shared" si="237"/>
        <v>4</v>
      </c>
      <c r="I448">
        <f t="shared" si="216"/>
        <v>360</v>
      </c>
      <c r="J448">
        <f t="shared" si="231"/>
        <v>0</v>
      </c>
      <c r="K448">
        <f t="shared" si="238"/>
        <v>3</v>
      </c>
      <c r="L448">
        <f t="shared" si="217"/>
        <v>360</v>
      </c>
      <c r="M448">
        <f t="shared" si="232"/>
        <v>0</v>
      </c>
      <c r="N448">
        <f t="shared" si="239"/>
        <v>2</v>
      </c>
      <c r="O448">
        <f t="shared" si="218"/>
        <v>300</v>
      </c>
      <c r="P448">
        <f t="shared" si="240"/>
        <v>0</v>
      </c>
      <c r="Q448">
        <f t="shared" si="241"/>
        <v>2</v>
      </c>
      <c r="R448">
        <f t="shared" si="219"/>
        <v>300</v>
      </c>
      <c r="S448">
        <f t="shared" si="242"/>
        <v>0</v>
      </c>
      <c r="T448">
        <f t="shared" si="243"/>
        <v>-1</v>
      </c>
      <c r="U448">
        <f t="shared" si="233"/>
        <v>1</v>
      </c>
      <c r="V448">
        <f t="shared" si="234"/>
        <v>1</v>
      </c>
      <c r="W448">
        <f t="shared" si="220"/>
        <v>0</v>
      </c>
      <c r="X448">
        <f t="shared" si="244"/>
        <v>0</v>
      </c>
      <c r="Y448">
        <f t="shared" si="221"/>
        <v>0</v>
      </c>
      <c r="Z448">
        <f t="shared" si="222"/>
        <v>0</v>
      </c>
      <c r="AA448">
        <f t="shared" si="223"/>
        <v>0</v>
      </c>
      <c r="AB448" s="29">
        <f t="shared" si="224"/>
        <v>0</v>
      </c>
      <c r="AC448" s="25">
        <f t="shared" si="225"/>
        <v>0</v>
      </c>
      <c r="AD448" s="29">
        <f t="shared" si="226"/>
        <v>0</v>
      </c>
      <c r="AE448" s="25">
        <f t="shared" si="235"/>
        <v>0</v>
      </c>
      <c r="AF448" s="25">
        <f t="shared" si="227"/>
        <v>0</v>
      </c>
      <c r="AG448" s="25">
        <f>IF($A448&lt;0,0,IF(instatk="bs",(1.5+talSCallInstBon)*(MHavg+(ap+Z448-$Z$1)/APtoDPS*MHnorm+170)*(1+sa*0.1+0.04*opp+0.02*agg+Slayer4value-1),IF(instatk="hemo",Slayer4value*(MHavg+(ap+Z448-$Z$1)/APtoDPS*MHnorm)*(1.1+talSCallInstBon)+420*(1+raidcrit)*debuffon,IF(instatk="ss",(MHavg+(ap+Z448-$Z$1)/APtoDPS*MHnorm+98)*(1+sa*0.1+0.02*agg+Slayer4value-1),IF(instatk="v",(ohavg+(ap+Z448-$Z$1)/APtoDPS*OHnorm)*(1+sa*0.1)*(0.5+0.05*dws)+avipdam,Slayer4value*((1+0.04*opp)*(MHavg+101+(ap+Z448-$Z$1)/APtoDPS*MHnorm+(0.5+0.05*dws)*(ohavg+(ap+Z448-$Z$1)/APtoDPS*OHnorm)+101*(1+0.1*dws))*(1+0.5*IF(Talents!$O$18="Yes",1,0)))))))*(instactualhit+(1+((leth*0.06+2)-1)*(cfact-1))*instactualcrit)*fwfactor*AB448*instsec*(AF448/$AN$45))</f>
        <v>0</v>
      </c>
      <c r="AH448" s="25">
        <f t="shared" si="245"/>
        <v>0</v>
      </c>
      <c r="AI448" s="25">
        <f t="shared" si="246"/>
        <v>0</v>
      </c>
      <c r="AJ448" s="25">
        <f t="shared" si="247"/>
        <v>0</v>
      </c>
    </row>
    <row r="449" spans="1:36">
      <c r="A449">
        <f t="shared" si="228"/>
        <v>-1</v>
      </c>
      <c r="B449">
        <f t="shared" si="236"/>
        <v>6</v>
      </c>
      <c r="C449">
        <f t="shared" si="214"/>
        <v>300</v>
      </c>
      <c r="D449">
        <f t="shared" si="229"/>
        <v>0</v>
      </c>
      <c r="E449">
        <f t="shared" si="248"/>
        <v>5</v>
      </c>
      <c r="F449">
        <f t="shared" si="215"/>
        <v>360</v>
      </c>
      <c r="G449">
        <f t="shared" si="230"/>
        <v>0</v>
      </c>
      <c r="H449">
        <f t="shared" si="237"/>
        <v>4</v>
      </c>
      <c r="I449">
        <f t="shared" si="216"/>
        <v>360</v>
      </c>
      <c r="J449">
        <f t="shared" si="231"/>
        <v>0</v>
      </c>
      <c r="K449">
        <f t="shared" si="238"/>
        <v>3</v>
      </c>
      <c r="L449">
        <f t="shared" si="217"/>
        <v>360</v>
      </c>
      <c r="M449">
        <f t="shared" si="232"/>
        <v>0</v>
      </c>
      <c r="N449">
        <f t="shared" si="239"/>
        <v>2</v>
      </c>
      <c r="O449">
        <f t="shared" si="218"/>
        <v>300</v>
      </c>
      <c r="P449">
        <f t="shared" si="240"/>
        <v>0</v>
      </c>
      <c r="Q449">
        <f t="shared" si="241"/>
        <v>2</v>
      </c>
      <c r="R449">
        <f t="shared" si="219"/>
        <v>300</v>
      </c>
      <c r="S449">
        <f t="shared" si="242"/>
        <v>0</v>
      </c>
      <c r="T449">
        <f t="shared" si="243"/>
        <v>-1</v>
      </c>
      <c r="U449">
        <f t="shared" si="233"/>
        <v>1</v>
      </c>
      <c r="V449">
        <f t="shared" si="234"/>
        <v>1</v>
      </c>
      <c r="W449">
        <f t="shared" si="220"/>
        <v>0</v>
      </c>
      <c r="X449">
        <f t="shared" si="244"/>
        <v>0</v>
      </c>
      <c r="Y449">
        <f t="shared" si="221"/>
        <v>0</v>
      </c>
      <c r="Z449">
        <f t="shared" si="222"/>
        <v>0</v>
      </c>
      <c r="AA449">
        <f t="shared" si="223"/>
        <v>0</v>
      </c>
      <c r="AB449" s="29">
        <f t="shared" si="224"/>
        <v>0</v>
      </c>
      <c r="AC449" s="25">
        <f t="shared" si="225"/>
        <v>0</v>
      </c>
      <c r="AD449" s="29">
        <f t="shared" si="226"/>
        <v>0</v>
      </c>
      <c r="AE449" s="25">
        <f t="shared" si="235"/>
        <v>0</v>
      </c>
      <c r="AF449" s="25">
        <f t="shared" si="227"/>
        <v>0</v>
      </c>
      <c r="AG449" s="25">
        <f>IF($A449&lt;0,0,IF(instatk="bs",(1.5+talSCallInstBon)*(MHavg+(ap+Z449-$Z$1)/APtoDPS*MHnorm+170)*(1+sa*0.1+0.04*opp+0.02*agg+Slayer4value-1),IF(instatk="hemo",Slayer4value*(MHavg+(ap+Z449-$Z$1)/APtoDPS*MHnorm)*(1.1+talSCallInstBon)+420*(1+raidcrit)*debuffon,IF(instatk="ss",(MHavg+(ap+Z449-$Z$1)/APtoDPS*MHnorm+98)*(1+sa*0.1+0.02*agg+Slayer4value-1),IF(instatk="v",(ohavg+(ap+Z449-$Z$1)/APtoDPS*OHnorm)*(1+sa*0.1)*(0.5+0.05*dws)+avipdam,Slayer4value*((1+0.04*opp)*(MHavg+101+(ap+Z449-$Z$1)/APtoDPS*MHnorm+(0.5+0.05*dws)*(ohavg+(ap+Z449-$Z$1)/APtoDPS*OHnorm)+101*(1+0.1*dws))*(1+0.5*IF(Talents!$O$18="Yes",1,0)))))))*(instactualhit+(1+((leth*0.06+2)-1)*(cfact-1))*instactualcrit)*fwfactor*AB449*instsec*(AF449/$AN$45))</f>
        <v>0</v>
      </c>
      <c r="AH449" s="25">
        <f t="shared" si="245"/>
        <v>0</v>
      </c>
      <c r="AI449" s="25">
        <f t="shared" si="246"/>
        <v>0</v>
      </c>
      <c r="AJ449" s="25">
        <f t="shared" si="247"/>
        <v>0</v>
      </c>
    </row>
    <row r="450" spans="1:36">
      <c r="A450">
        <f t="shared" si="228"/>
        <v>-1</v>
      </c>
      <c r="B450">
        <f t="shared" si="236"/>
        <v>6</v>
      </c>
      <c r="C450">
        <f t="shared" si="214"/>
        <v>300</v>
      </c>
      <c r="D450">
        <f t="shared" si="229"/>
        <v>0</v>
      </c>
      <c r="E450">
        <f t="shared" si="248"/>
        <v>5</v>
      </c>
      <c r="F450">
        <f t="shared" si="215"/>
        <v>360</v>
      </c>
      <c r="G450">
        <f t="shared" si="230"/>
        <v>0</v>
      </c>
      <c r="H450">
        <f t="shared" si="237"/>
        <v>4</v>
      </c>
      <c r="I450">
        <f t="shared" si="216"/>
        <v>360</v>
      </c>
      <c r="J450">
        <f t="shared" si="231"/>
        <v>0</v>
      </c>
      <c r="K450">
        <f t="shared" si="238"/>
        <v>3</v>
      </c>
      <c r="L450">
        <f t="shared" si="217"/>
        <v>360</v>
      </c>
      <c r="M450">
        <f t="shared" si="232"/>
        <v>0</v>
      </c>
      <c r="N450">
        <f t="shared" si="239"/>
        <v>2</v>
      </c>
      <c r="O450">
        <f t="shared" si="218"/>
        <v>300</v>
      </c>
      <c r="P450">
        <f t="shared" si="240"/>
        <v>0</v>
      </c>
      <c r="Q450">
        <f t="shared" si="241"/>
        <v>2</v>
      </c>
      <c r="R450">
        <f t="shared" si="219"/>
        <v>300</v>
      </c>
      <c r="S450">
        <f t="shared" si="242"/>
        <v>0</v>
      </c>
      <c r="T450">
        <f t="shared" si="243"/>
        <v>-1</v>
      </c>
      <c r="U450">
        <f t="shared" si="233"/>
        <v>1</v>
      </c>
      <c r="V450">
        <f t="shared" si="234"/>
        <v>1</v>
      </c>
      <c r="W450">
        <f t="shared" si="220"/>
        <v>0</v>
      </c>
      <c r="X450">
        <f t="shared" si="244"/>
        <v>0</v>
      </c>
      <c r="Y450">
        <f t="shared" si="221"/>
        <v>0</v>
      </c>
      <c r="Z450">
        <f t="shared" si="222"/>
        <v>0</v>
      </c>
      <c r="AA450">
        <f t="shared" si="223"/>
        <v>0</v>
      </c>
      <c r="AB450" s="29">
        <f t="shared" si="224"/>
        <v>0</v>
      </c>
      <c r="AC450" s="25">
        <f t="shared" si="225"/>
        <v>0</v>
      </c>
      <c r="AD450" s="29">
        <f t="shared" si="226"/>
        <v>0</v>
      </c>
      <c r="AE450" s="25">
        <f t="shared" si="235"/>
        <v>0</v>
      </c>
      <c r="AF450" s="25">
        <f t="shared" si="227"/>
        <v>0</v>
      </c>
      <c r="AG450" s="25">
        <f>IF($A450&lt;0,0,IF(instatk="bs",(1.5+talSCallInstBon)*(MHavg+(ap+Z450-$Z$1)/APtoDPS*MHnorm+170)*(1+sa*0.1+0.04*opp+0.02*agg+Slayer4value-1),IF(instatk="hemo",Slayer4value*(MHavg+(ap+Z450-$Z$1)/APtoDPS*MHnorm)*(1.1+talSCallInstBon)+420*(1+raidcrit)*debuffon,IF(instatk="ss",(MHavg+(ap+Z450-$Z$1)/APtoDPS*MHnorm+98)*(1+sa*0.1+0.02*agg+Slayer4value-1),IF(instatk="v",(ohavg+(ap+Z450-$Z$1)/APtoDPS*OHnorm)*(1+sa*0.1)*(0.5+0.05*dws)+avipdam,Slayer4value*((1+0.04*opp)*(MHavg+101+(ap+Z450-$Z$1)/APtoDPS*MHnorm+(0.5+0.05*dws)*(ohavg+(ap+Z450-$Z$1)/APtoDPS*OHnorm)+101*(1+0.1*dws))*(1+0.5*IF(Talents!$O$18="Yes",1,0)))))))*(instactualhit+(1+((leth*0.06+2)-1)*(cfact-1))*instactualcrit)*fwfactor*AB450*instsec*(AF450/$AN$45))</f>
        <v>0</v>
      </c>
      <c r="AH450" s="25">
        <f t="shared" si="245"/>
        <v>0</v>
      </c>
      <c r="AI450" s="25">
        <f t="shared" si="246"/>
        <v>0</v>
      </c>
      <c r="AJ450" s="25">
        <f t="shared" si="247"/>
        <v>0</v>
      </c>
    </row>
    <row r="451" spans="1:36">
      <c r="A451">
        <f t="shared" si="228"/>
        <v>-1</v>
      </c>
      <c r="B451">
        <f t="shared" si="236"/>
        <v>6</v>
      </c>
      <c r="C451">
        <f t="shared" ref="C451:C514" si="249">IF(AND(cdspec60,cdspec60plus),CHOOSE($B451,cdspec601,cdspec602,cdspec603,cdspec604,cdspec605,cdspec606,cdspec607,cdspec608,cdspec609,cdspec6010),($B451-1)*60+IF(cdspec60,cdspec601,0))</f>
        <v>300</v>
      </c>
      <c r="D451">
        <f t="shared" si="229"/>
        <v>0</v>
      </c>
      <c r="E451">
        <f t="shared" si="248"/>
        <v>5</v>
      </c>
      <c r="F451">
        <f t="shared" ref="F451:F514" si="250">IF(AND(cdspec90,cdspec90plus),CHOOSE(E451,cdspec901,cdspec902,cdspec903,cdspec904,cdspec905,cdspec906),(E451-1)*IF(cdtreat90as120,120,90)+IF(cdspec90,cdspec901,0))</f>
        <v>360</v>
      </c>
      <c r="G451">
        <f t="shared" si="230"/>
        <v>0</v>
      </c>
      <c r="H451">
        <f t="shared" si="237"/>
        <v>4</v>
      </c>
      <c r="I451">
        <f t="shared" ref="I451:I514" si="251">IF(AND(cdspec120,cdspec120plus),CHOOSE(H451,cdspec1201,cdspec1202,cdspec1203,cdspec1204,cdspec1205),(H451-1)*120+IF(cdspec120,cdspec1201,0))</f>
        <v>360</v>
      </c>
      <c r="J451">
        <f t="shared" si="231"/>
        <v>0</v>
      </c>
      <c r="K451">
        <f t="shared" si="238"/>
        <v>3</v>
      </c>
      <c r="L451">
        <f t="shared" ref="L451:L514" si="252">IF(AND(cdspec180,cdspec180plus),CHOOSE(K451,cdspec1801,cdspec1802,cdspec1803,cdspec1804),(K451-1)*IF(cdtreat180as240,240,180)+IF(cdspec180,cdspec1801,0))</f>
        <v>360</v>
      </c>
      <c r="M451">
        <f t="shared" si="232"/>
        <v>0</v>
      </c>
      <c r="N451">
        <f t="shared" si="239"/>
        <v>2</v>
      </c>
      <c r="O451">
        <f t="shared" ref="O451:O514" si="253">IF(cdspecar,CHOOSE(N451,cdar1,cdar2),(N451-1)*300)</f>
        <v>300</v>
      </c>
      <c r="P451">
        <f t="shared" si="240"/>
        <v>0</v>
      </c>
      <c r="Q451">
        <f t="shared" si="241"/>
        <v>2</v>
      </c>
      <c r="R451">
        <f t="shared" ref="R451:R514" si="254">IF(cdspectea,CHOOSE(Q451,cdtea1,cdtea2),(Q451-1)*300)</f>
        <v>300</v>
      </c>
      <c r="S451">
        <f t="shared" si="242"/>
        <v>0</v>
      </c>
      <c r="T451">
        <f t="shared" si="243"/>
        <v>-1</v>
      </c>
      <c r="U451">
        <f t="shared" si="233"/>
        <v>1</v>
      </c>
      <c r="V451">
        <f t="shared" si="234"/>
        <v>1</v>
      </c>
      <c r="W451">
        <f t="shared" ref="W451:W514" si="255">IF(V451=0,-1,IF(cdspeclust,CHOOSE(V451,cdlust1,cdlust2,cdlust3,cdlust4,cdlust5,cdlust6,cdlust7,cdlust8,cdlust9,cdlust10,cdlust11,cdlust12,cdlust13,cdlust14,cdlust15),(V451-1)*120))</f>
        <v>0</v>
      </c>
      <c r="X451">
        <f t="shared" si="244"/>
        <v>0</v>
      </c>
      <c r="Y451">
        <f t="shared" ref="Y451:Y514" si="256">IF($A451&lt;0, 0, IF($J451=0, 0, $AO$16*($J451&lt;=$AT$16)-IF($AW$14, $AO$3*($J451&lt;=$AT$3)))+IF($U451=0, 0, $AO$3))</f>
        <v>0</v>
      </c>
      <c r="Z451">
        <f t="shared" ref="Z451:Z514" si="257">IF($A451&lt;0, 0, IF($D451=0, 0, $AP$6*($D451&lt;=$AT$6)-IF($AW$5, $AP$3*($D451&lt;=$AT$3)))+IF($G451=0, 0, ($AP$9+$AP$10+$AP$11+$AP$12)*($G451&lt;=$AT$9)-IF($AW$8, $AP$3*($G451&lt;=$AT$3)))+IF($J451=0, 0, ($AP$17+$AP$18+$AP$19+$AP$24)*($J451&lt;=$AT$17)+($AP$23+$AP$25+$AP$27)*($J451&lt;=$AT$23)+$AP$30*($J451&lt;=$AT$30)+$AP$21*ROUNDUP($J451/2,0)*($J451&lt;=$AT$21)-IF($AW$14, IF($AP$3=65,$AP$3*ROUNDUP($J451/2,0)*($J451&lt;=$AT$3),$AP$3*($J451&lt;=$AT$3))))+IF($M451=0, 0, $AP$34*($M451&lt;=$AT$34)-IF($AW$32, $AP$3*($M451&lt;=$AT$3)))+IF($U451=0, 0, IF($AP$3=65,$AP$3*ROUNDUP($U451/2,0),$AP$3)))</f>
        <v>0</v>
      </c>
      <c r="AA451">
        <f t="shared" ref="AA451:AA514" si="258">IF($A451&lt;0,0,IF($J451=0,0,$AQ$20*($J451&lt;=$AT$20)-IF($AW$14,$AQ$3*($J451&lt;=$AT$3)))+IF($M451=0,0,$AQ$33*($M451&lt;=$AT$33))+IF($U451=0,0,$AQ$3))</f>
        <v>0</v>
      </c>
      <c r="AB451" s="29">
        <f t="shared" ref="AB451:AB514" si="259">IF($A451&lt;0,0,1-MAX($AN$44-AA451,0)/(MAX($AN$44-AA451,0)+467.5*CharLevel-22167.5))</f>
        <v>0</v>
      </c>
      <c r="AC451" s="25">
        <f t="shared" ref="AC451:AC514" si="260">IF($A451&lt;0,0,$AN$43+IF($J451=0, 0, $AR$15*($J451&lt;=$AT$15)+$AR$22*($J451&lt;=$AT$22)+$AR$28*($J451&lt;=$AT$28)+$AR$29*($J451&lt;=$AT$29)-IF($AW$14, $AR$3*($J451&lt;=$AT$3))))</f>
        <v>0</v>
      </c>
      <c r="AD451" s="29">
        <f t="shared" ref="AD451:AD514" si="261">IF($A451&lt;0,0,(1+$AC451/(hasterate*100))*(1+$AS$26/100*AND($J451&gt;0,$J451&lt;=$AT$26))*(1+$AS$35/100*AND($M451&gt;0,$M451&lt;=$AT$35))*(1+0.3*($X451&gt;0)))</f>
        <v>0</v>
      </c>
      <c r="AE451" s="25">
        <f t="shared" si="235"/>
        <v>0</v>
      </c>
      <c r="AF451" s="25">
        <f t="shared" ref="AF451:AF514" si="262">MIN(instcost,AE451)</f>
        <v>0</v>
      </c>
      <c r="AG451" s="25">
        <f>IF($A451&lt;0,0,IF(instatk="bs",(1.5+talSCallInstBon)*(MHavg+(ap+Z451-$Z$1)/APtoDPS*MHnorm+170)*(1+sa*0.1+0.04*opp+0.02*agg+Slayer4value-1),IF(instatk="hemo",Slayer4value*(MHavg+(ap+Z451-$Z$1)/APtoDPS*MHnorm)*(1.1+talSCallInstBon)+420*(1+raidcrit)*debuffon,IF(instatk="ss",(MHavg+(ap+Z451-$Z$1)/APtoDPS*MHnorm+98)*(1+sa*0.1+0.02*agg+Slayer4value-1),IF(instatk="v",(ohavg+(ap+Z451-$Z$1)/APtoDPS*OHnorm)*(1+sa*0.1)*(0.5+0.05*dws)+avipdam,Slayer4value*((1+0.04*opp)*(MHavg+101+(ap+Z451-$Z$1)/APtoDPS*MHnorm+(0.5+0.05*dws)*(ohavg+(ap+Z451-$Z$1)/APtoDPS*OHnorm)+101*(1+0.1*dws))*(1+0.5*IF(Talents!$O$18="Yes",1,0)))))))*(instactualhit+(1+((leth*0.06+2)-1)*(cfact-1))*instactualcrit)*fwfactor*AB451*instsec*(AF451/$AN$45))</f>
        <v>0</v>
      </c>
      <c r="AH451" s="25">
        <f t="shared" si="245"/>
        <v>0</v>
      </c>
      <c r="AI451" s="25">
        <f t="shared" si="246"/>
        <v>0</v>
      </c>
      <c r="AJ451" s="25">
        <f t="shared" si="247"/>
        <v>0</v>
      </c>
    </row>
    <row r="452" spans="1:36">
      <c r="A452">
        <f t="shared" ref="A452:A515" si="263">IF(A451&lt;0,-1,IF(A451+1&gt;=time,-1,A451+1))</f>
        <v>-1</v>
      </c>
      <c r="B452">
        <f t="shared" si="236"/>
        <v>6</v>
      </c>
      <c r="C452">
        <f t="shared" si="249"/>
        <v>300</v>
      </c>
      <c r="D452">
        <f t="shared" ref="D452:D515" si="264">IF($A452=$C452,1,IF(AND($D451&gt;0,$D451&lt;30),$D451+1,0))</f>
        <v>0</v>
      </c>
      <c r="E452">
        <f t="shared" si="248"/>
        <v>5</v>
      </c>
      <c r="F452">
        <f t="shared" si="250"/>
        <v>360</v>
      </c>
      <c r="G452">
        <f t="shared" ref="G452:G515" si="265">IF($A452=F452,1,IF(AND(G451&gt;0,G451&lt;30),G451+1,0))</f>
        <v>0</v>
      </c>
      <c r="H452">
        <f t="shared" si="237"/>
        <v>4</v>
      </c>
      <c r="I452">
        <f t="shared" si="251"/>
        <v>360</v>
      </c>
      <c r="J452">
        <f t="shared" ref="J452:J515" si="266">IF($A452=I452,1,IF(AND(J451&gt;0,J451&lt;30),J451+1,0))</f>
        <v>0</v>
      </c>
      <c r="K452">
        <f t="shared" si="238"/>
        <v>3</v>
      </c>
      <c r="L452">
        <f t="shared" si="252"/>
        <v>360</v>
      </c>
      <c r="M452">
        <f t="shared" ref="M452:M515" si="267">IF($A452=L452,1,IF(AND(M451&gt;0,M451&lt;30),M451+1,0))</f>
        <v>0</v>
      </c>
      <c r="N452">
        <f t="shared" si="239"/>
        <v>2</v>
      </c>
      <c r="O452">
        <f t="shared" si="253"/>
        <v>300</v>
      </c>
      <c r="P452">
        <f t="shared" si="240"/>
        <v>0</v>
      </c>
      <c r="Q452">
        <f t="shared" si="241"/>
        <v>2</v>
      </c>
      <c r="R452">
        <f t="shared" si="254"/>
        <v>300</v>
      </c>
      <c r="S452">
        <f t="shared" si="242"/>
        <v>0</v>
      </c>
      <c r="T452">
        <f t="shared" si="243"/>
        <v>-1</v>
      </c>
      <c r="U452">
        <f t="shared" ref="U452:U515" si="268">IF($A452=T452,1,IF(AND(U451&gt;0,U451&lt;$AT$3),U451+1,0))</f>
        <v>1</v>
      </c>
      <c r="V452">
        <f t="shared" ref="V452:V515" si="269">MIN(IF(X451=1,V451+1,V451),blustcount)</f>
        <v>1</v>
      </c>
      <c r="W452">
        <f t="shared" si="255"/>
        <v>0</v>
      </c>
      <c r="X452">
        <f t="shared" si="244"/>
        <v>0</v>
      </c>
      <c r="Y452">
        <f t="shared" si="256"/>
        <v>0</v>
      </c>
      <c r="Z452">
        <f t="shared" si="257"/>
        <v>0</v>
      </c>
      <c r="AA452">
        <f t="shared" si="258"/>
        <v>0</v>
      </c>
      <c r="AB452" s="29">
        <f t="shared" si="259"/>
        <v>0</v>
      </c>
      <c r="AC452" s="25">
        <f t="shared" si="260"/>
        <v>0</v>
      </c>
      <c r="AD452" s="29">
        <f t="shared" si="261"/>
        <v>0</v>
      </c>
      <c r="AE452" s="25">
        <f t="shared" ref="AE452:AE515" si="270">IF($A452&lt;0,0,$AN$45+IF($P452&gt;0,$AN$37*$AL$37,0)+$S452*(60-IF(CharLevel&gt;60,(CharLevel-60)*2,0))*$AL$38+IF($J452=1,$AL$26*-25+IF($AL$39, 30, 0),0)+IF($M452=1,$AL$35*-10,0)+IF(AE451&gt;instcost,AE451-instcost,0))</f>
        <v>0</v>
      </c>
      <c r="AF452" s="25">
        <f t="shared" si="262"/>
        <v>0</v>
      </c>
      <c r="AG452" s="25">
        <f>IF($A452&lt;0,0,IF(instatk="bs",(1.5+talSCallInstBon)*(MHavg+(ap+Z452-$Z$1)/APtoDPS*MHnorm+170)*(1+sa*0.1+0.04*opp+0.02*agg+Slayer4value-1),IF(instatk="hemo",Slayer4value*(MHavg+(ap+Z452-$Z$1)/APtoDPS*MHnorm)*(1.1+talSCallInstBon)+420*(1+raidcrit)*debuffon,IF(instatk="ss",(MHavg+(ap+Z452-$Z$1)/APtoDPS*MHnorm+98)*(1+sa*0.1+0.02*agg+Slayer4value-1),IF(instatk="v",(ohavg+(ap+Z452-$Z$1)/APtoDPS*OHnorm)*(1+sa*0.1)*(0.5+0.05*dws)+avipdam,Slayer4value*((1+0.04*opp)*(MHavg+101+(ap+Z452-$Z$1)/APtoDPS*MHnorm+(0.5+0.05*dws)*(ohavg+(ap+Z452-$Z$1)/APtoDPS*OHnorm)+101*(1+0.1*dws))*(1+0.5*IF(Talents!$O$18="Yes",1,0)))))))*(instactualhit+(1+((leth*0.06+2)-1)*(cfact-1))*instactualcrit)*fwfactor*AB452*instsec*(AF452/$AN$45))</f>
        <v>0</v>
      </c>
      <c r="AH452" s="25">
        <f t="shared" si="245"/>
        <v>0</v>
      </c>
      <c r="AI452" s="25">
        <f t="shared" si="246"/>
        <v>0</v>
      </c>
      <c r="AJ452" s="25">
        <f t="shared" si="247"/>
        <v>0</v>
      </c>
    </row>
    <row r="453" spans="1:36">
      <c r="A453">
        <f t="shared" si="263"/>
        <v>-1</v>
      </c>
      <c r="B453">
        <f t="shared" ref="B453:B516" si="271">MIN(IF(D452=1,B452+1,B452),10)</f>
        <v>6</v>
      </c>
      <c r="C453">
        <f t="shared" si="249"/>
        <v>300</v>
      </c>
      <c r="D453">
        <f t="shared" si="264"/>
        <v>0</v>
      </c>
      <c r="E453">
        <f t="shared" si="248"/>
        <v>5</v>
      </c>
      <c r="F453">
        <f t="shared" si="250"/>
        <v>360</v>
      </c>
      <c r="G453">
        <f t="shared" si="265"/>
        <v>0</v>
      </c>
      <c r="H453">
        <f t="shared" ref="H453:H516" si="272">MIN(IF(J452=1,H452+1,H452),5)</f>
        <v>4</v>
      </c>
      <c r="I453">
        <f t="shared" si="251"/>
        <v>360</v>
      </c>
      <c r="J453">
        <f t="shared" si="266"/>
        <v>0</v>
      </c>
      <c r="K453">
        <f t="shared" ref="K453:K516" si="273">MIN(IF(M452=1,K452+1,K452),4)</f>
        <v>3</v>
      </c>
      <c r="L453">
        <f t="shared" si="252"/>
        <v>360</v>
      </c>
      <c r="M453">
        <f t="shared" si="267"/>
        <v>0</v>
      </c>
      <c r="N453">
        <f t="shared" ref="N453:N516" si="274">MIN(IF(P452=1,N452+1,N452),2)</f>
        <v>2</v>
      </c>
      <c r="O453">
        <f t="shared" si="253"/>
        <v>300</v>
      </c>
      <c r="P453">
        <f t="shared" ref="P453:P516" si="275">IF($A453=O453,1,IF(AND(P452&gt;0,P452&lt;15),P452+1,0))</f>
        <v>0</v>
      </c>
      <c r="Q453">
        <f t="shared" ref="Q453:Q516" si="276">MIN(IF(S452=1,Q452+1,Q452),2)</f>
        <v>2</v>
      </c>
      <c r="R453">
        <f t="shared" si="254"/>
        <v>300</v>
      </c>
      <c r="S453">
        <f t="shared" ref="S453:S516" si="277">IF($A453=R453,1,IF(AND(S452&gt;0,S452&lt;1),S452+1,0))</f>
        <v>0</v>
      </c>
      <c r="T453">
        <f t="shared" ref="T453:T516" si="278">IF($AU$3, IF(AND(T452&gt;IF($AV$5,C453,IF($AV$8,F453,IF($AV$14,I453,IF($AV$32,L453))))-$AT$3,T452&lt;IF($AV$5,C453,IF($AV$8,F453,IF($AV$14,I453,IF($AV$32,L453))))+$AU$3), IF($AV$5,C453,IF($AV$8,F453,IF($AV$14,I453,IF($AV$32,L453))))+$AU$3, T452)+IF(T452-A452=0, IF($AW$5,60,IF($AW$8,90,IF($AW$14,120,IF($AW$32,180))))), -1)</f>
        <v>-1</v>
      </c>
      <c r="U453">
        <f t="shared" si="268"/>
        <v>1</v>
      </c>
      <c r="V453">
        <f t="shared" si="269"/>
        <v>1</v>
      </c>
      <c r="W453">
        <f t="shared" si="255"/>
        <v>0</v>
      </c>
      <c r="X453">
        <f t="shared" ref="X453:X516" si="279">IF($A453=W453,1,IF(AND(X452&gt;0,X452&lt;40),X452+1,0))</f>
        <v>0</v>
      </c>
      <c r="Y453">
        <f t="shared" si="256"/>
        <v>0</v>
      </c>
      <c r="Z453">
        <f t="shared" si="257"/>
        <v>0</v>
      </c>
      <c r="AA453">
        <f t="shared" si="258"/>
        <v>0</v>
      </c>
      <c r="AB453" s="29">
        <f t="shared" si="259"/>
        <v>0</v>
      </c>
      <c r="AC453" s="25">
        <f t="shared" si="260"/>
        <v>0</v>
      </c>
      <c r="AD453" s="29">
        <f t="shared" si="261"/>
        <v>0</v>
      </c>
      <c r="AE453" s="25">
        <f t="shared" si="270"/>
        <v>0</v>
      </c>
      <c r="AF453" s="25">
        <f t="shared" si="262"/>
        <v>0</v>
      </c>
      <c r="AG453" s="25">
        <f>IF($A453&lt;0,0,IF(instatk="bs",(1.5+talSCallInstBon)*(MHavg+(ap+Z453-$Z$1)/APtoDPS*MHnorm+170)*(1+sa*0.1+0.04*opp+0.02*agg+Slayer4value-1),IF(instatk="hemo",Slayer4value*(MHavg+(ap+Z453-$Z$1)/APtoDPS*MHnorm)*(1.1+talSCallInstBon)+420*(1+raidcrit)*debuffon,IF(instatk="ss",(MHavg+(ap+Z453-$Z$1)/APtoDPS*MHnorm+98)*(1+sa*0.1+0.02*agg+Slayer4value-1),IF(instatk="v",(ohavg+(ap+Z453-$Z$1)/APtoDPS*OHnorm)*(1+sa*0.1)*(0.5+0.05*dws)+avipdam,Slayer4value*((1+0.04*opp)*(MHavg+101+(ap+Z453-$Z$1)/APtoDPS*MHnorm+(0.5+0.05*dws)*(ohavg+(ap+Z453-$Z$1)/APtoDPS*OHnorm)+101*(1+0.1*dws))*(1+0.5*IF(Talents!$O$18="Yes",1,0)))))))*(instactualhit+(1+((leth*0.06+2)-1)*(cfact-1))*instactualcrit)*fwfactor*AB453*instsec*(AF453/$AN$45))</f>
        <v>0</v>
      </c>
      <c r="AH453" s="25">
        <f t="shared" ref="AH453:AH516" si="280">IF(AH452-$AF453&lt;0,0,AH452-$AF453)</f>
        <v>0</v>
      </c>
      <c r="AI453" s="25">
        <f t="shared" ref="AI453:AI516" si="281">IF(AI452-AF453&lt;0,0,AI452-AF453)</f>
        <v>0</v>
      </c>
      <c r="AJ453" s="25">
        <f t="shared" ref="AJ453:AJ516" si="282">IF(AJ452-$AF453&lt;0,0,AJ452-$AF453)</f>
        <v>0</v>
      </c>
    </row>
    <row r="454" spans="1:36">
      <c r="A454">
        <f t="shared" si="263"/>
        <v>-1</v>
      </c>
      <c r="B454">
        <f t="shared" si="271"/>
        <v>6</v>
      </c>
      <c r="C454">
        <f t="shared" si="249"/>
        <v>300</v>
      </c>
      <c r="D454">
        <f t="shared" si="264"/>
        <v>0</v>
      </c>
      <c r="E454">
        <f t="shared" ref="E454:E517" si="283">MIN(IF(G453=1,E453+1,E453),6)</f>
        <v>5</v>
      </c>
      <c r="F454">
        <f t="shared" si="250"/>
        <v>360</v>
      </c>
      <c r="G454">
        <f t="shared" si="265"/>
        <v>0</v>
      </c>
      <c r="H454">
        <f t="shared" si="272"/>
        <v>4</v>
      </c>
      <c r="I454">
        <f t="shared" si="251"/>
        <v>360</v>
      </c>
      <c r="J454">
        <f t="shared" si="266"/>
        <v>0</v>
      </c>
      <c r="K454">
        <f t="shared" si="273"/>
        <v>3</v>
      </c>
      <c r="L454">
        <f t="shared" si="252"/>
        <v>360</v>
      </c>
      <c r="M454">
        <f t="shared" si="267"/>
        <v>0</v>
      </c>
      <c r="N454">
        <f t="shared" si="274"/>
        <v>2</v>
      </c>
      <c r="O454">
        <f t="shared" si="253"/>
        <v>300</v>
      </c>
      <c r="P454">
        <f t="shared" si="275"/>
        <v>0</v>
      </c>
      <c r="Q454">
        <f t="shared" si="276"/>
        <v>2</v>
      </c>
      <c r="R454">
        <f t="shared" si="254"/>
        <v>300</v>
      </c>
      <c r="S454">
        <f t="shared" si="277"/>
        <v>0</v>
      </c>
      <c r="T454">
        <f t="shared" si="278"/>
        <v>-1</v>
      </c>
      <c r="U454">
        <f t="shared" si="268"/>
        <v>1</v>
      </c>
      <c r="V454">
        <f t="shared" si="269"/>
        <v>1</v>
      </c>
      <c r="W454">
        <f t="shared" si="255"/>
        <v>0</v>
      </c>
      <c r="X454">
        <f t="shared" si="279"/>
        <v>0</v>
      </c>
      <c r="Y454">
        <f t="shared" si="256"/>
        <v>0</v>
      </c>
      <c r="Z454">
        <f t="shared" si="257"/>
        <v>0</v>
      </c>
      <c r="AA454">
        <f t="shared" si="258"/>
        <v>0</v>
      </c>
      <c r="AB454" s="29">
        <f t="shared" si="259"/>
        <v>0</v>
      </c>
      <c r="AC454" s="25">
        <f t="shared" si="260"/>
        <v>0</v>
      </c>
      <c r="AD454" s="29">
        <f t="shared" si="261"/>
        <v>0</v>
      </c>
      <c r="AE454" s="25">
        <f t="shared" si="270"/>
        <v>0</v>
      </c>
      <c r="AF454" s="25">
        <f t="shared" si="262"/>
        <v>0</v>
      </c>
      <c r="AG454" s="25">
        <f>IF($A454&lt;0,0,IF(instatk="bs",(1.5+talSCallInstBon)*(MHavg+(ap+Z454-$Z$1)/APtoDPS*MHnorm+170)*(1+sa*0.1+0.04*opp+0.02*agg+Slayer4value-1),IF(instatk="hemo",Slayer4value*(MHavg+(ap+Z454-$Z$1)/APtoDPS*MHnorm)*(1.1+talSCallInstBon)+420*(1+raidcrit)*debuffon,IF(instatk="ss",(MHavg+(ap+Z454-$Z$1)/APtoDPS*MHnorm+98)*(1+sa*0.1+0.02*agg+Slayer4value-1),IF(instatk="v",(ohavg+(ap+Z454-$Z$1)/APtoDPS*OHnorm)*(1+sa*0.1)*(0.5+0.05*dws)+avipdam,Slayer4value*((1+0.04*opp)*(MHavg+101+(ap+Z454-$Z$1)/APtoDPS*MHnorm+(0.5+0.05*dws)*(ohavg+(ap+Z454-$Z$1)/APtoDPS*OHnorm)+101*(1+0.1*dws))*(1+0.5*IF(Talents!$O$18="Yes",1,0)))))))*(instactualhit+(1+((leth*0.06+2)-1)*(cfact-1))*instactualcrit)*fwfactor*AB454*instsec*(AF454/$AN$45))</f>
        <v>0</v>
      </c>
      <c r="AH454" s="25">
        <f t="shared" si="280"/>
        <v>0</v>
      </c>
      <c r="AI454" s="25">
        <f t="shared" si="281"/>
        <v>0</v>
      </c>
      <c r="AJ454" s="25">
        <f t="shared" si="282"/>
        <v>0</v>
      </c>
    </row>
    <row r="455" spans="1:36">
      <c r="A455">
        <f t="shared" si="263"/>
        <v>-1</v>
      </c>
      <c r="B455">
        <f t="shared" si="271"/>
        <v>6</v>
      </c>
      <c r="C455">
        <f t="shared" si="249"/>
        <v>300</v>
      </c>
      <c r="D455">
        <f t="shared" si="264"/>
        <v>0</v>
      </c>
      <c r="E455">
        <f t="shared" si="283"/>
        <v>5</v>
      </c>
      <c r="F455">
        <f t="shared" si="250"/>
        <v>360</v>
      </c>
      <c r="G455">
        <f t="shared" si="265"/>
        <v>0</v>
      </c>
      <c r="H455">
        <f t="shared" si="272"/>
        <v>4</v>
      </c>
      <c r="I455">
        <f t="shared" si="251"/>
        <v>360</v>
      </c>
      <c r="J455">
        <f t="shared" si="266"/>
        <v>0</v>
      </c>
      <c r="K455">
        <f t="shared" si="273"/>
        <v>3</v>
      </c>
      <c r="L455">
        <f t="shared" si="252"/>
        <v>360</v>
      </c>
      <c r="M455">
        <f t="shared" si="267"/>
        <v>0</v>
      </c>
      <c r="N455">
        <f t="shared" si="274"/>
        <v>2</v>
      </c>
      <c r="O455">
        <f t="shared" si="253"/>
        <v>300</v>
      </c>
      <c r="P455">
        <f t="shared" si="275"/>
        <v>0</v>
      </c>
      <c r="Q455">
        <f t="shared" si="276"/>
        <v>2</v>
      </c>
      <c r="R455">
        <f t="shared" si="254"/>
        <v>300</v>
      </c>
      <c r="S455">
        <f t="shared" si="277"/>
        <v>0</v>
      </c>
      <c r="T455">
        <f t="shared" si="278"/>
        <v>-1</v>
      </c>
      <c r="U455">
        <f t="shared" si="268"/>
        <v>1</v>
      </c>
      <c r="V455">
        <f t="shared" si="269"/>
        <v>1</v>
      </c>
      <c r="W455">
        <f t="shared" si="255"/>
        <v>0</v>
      </c>
      <c r="X455">
        <f t="shared" si="279"/>
        <v>0</v>
      </c>
      <c r="Y455">
        <f t="shared" si="256"/>
        <v>0</v>
      </c>
      <c r="Z455">
        <f t="shared" si="257"/>
        <v>0</v>
      </c>
      <c r="AA455">
        <f t="shared" si="258"/>
        <v>0</v>
      </c>
      <c r="AB455" s="29">
        <f t="shared" si="259"/>
        <v>0</v>
      </c>
      <c r="AC455" s="25">
        <f t="shared" si="260"/>
        <v>0</v>
      </c>
      <c r="AD455" s="29">
        <f t="shared" si="261"/>
        <v>0</v>
      </c>
      <c r="AE455" s="25">
        <f t="shared" si="270"/>
        <v>0</v>
      </c>
      <c r="AF455" s="25">
        <f t="shared" si="262"/>
        <v>0</v>
      </c>
      <c r="AG455" s="25">
        <f>IF($A455&lt;0,0,IF(instatk="bs",(1.5+talSCallInstBon)*(MHavg+(ap+Z455-$Z$1)/APtoDPS*MHnorm+170)*(1+sa*0.1+0.04*opp+0.02*agg+Slayer4value-1),IF(instatk="hemo",Slayer4value*(MHavg+(ap+Z455-$Z$1)/APtoDPS*MHnorm)*(1.1+talSCallInstBon)+420*(1+raidcrit)*debuffon,IF(instatk="ss",(MHavg+(ap+Z455-$Z$1)/APtoDPS*MHnorm+98)*(1+sa*0.1+0.02*agg+Slayer4value-1),IF(instatk="v",(ohavg+(ap+Z455-$Z$1)/APtoDPS*OHnorm)*(1+sa*0.1)*(0.5+0.05*dws)+avipdam,Slayer4value*((1+0.04*opp)*(MHavg+101+(ap+Z455-$Z$1)/APtoDPS*MHnorm+(0.5+0.05*dws)*(ohavg+(ap+Z455-$Z$1)/APtoDPS*OHnorm)+101*(1+0.1*dws))*(1+0.5*IF(Talents!$O$18="Yes",1,0)))))))*(instactualhit+(1+((leth*0.06+2)-1)*(cfact-1))*instactualcrit)*fwfactor*AB455*instsec*(AF455/$AN$45))</f>
        <v>0</v>
      </c>
      <c r="AH455" s="25">
        <f t="shared" si="280"/>
        <v>0</v>
      </c>
      <c r="AI455" s="25">
        <f t="shared" si="281"/>
        <v>0</v>
      </c>
      <c r="AJ455" s="25">
        <f t="shared" si="282"/>
        <v>0</v>
      </c>
    </row>
    <row r="456" spans="1:36">
      <c r="A456">
        <f t="shared" si="263"/>
        <v>-1</v>
      </c>
      <c r="B456">
        <f t="shared" si="271"/>
        <v>6</v>
      </c>
      <c r="C456">
        <f t="shared" si="249"/>
        <v>300</v>
      </c>
      <c r="D456">
        <f t="shared" si="264"/>
        <v>0</v>
      </c>
      <c r="E456">
        <f t="shared" si="283"/>
        <v>5</v>
      </c>
      <c r="F456">
        <f t="shared" si="250"/>
        <v>360</v>
      </c>
      <c r="G456">
        <f t="shared" si="265"/>
        <v>0</v>
      </c>
      <c r="H456">
        <f t="shared" si="272"/>
        <v>4</v>
      </c>
      <c r="I456">
        <f t="shared" si="251"/>
        <v>360</v>
      </c>
      <c r="J456">
        <f t="shared" si="266"/>
        <v>0</v>
      </c>
      <c r="K456">
        <f t="shared" si="273"/>
        <v>3</v>
      </c>
      <c r="L456">
        <f t="shared" si="252"/>
        <v>360</v>
      </c>
      <c r="M456">
        <f t="shared" si="267"/>
        <v>0</v>
      </c>
      <c r="N456">
        <f t="shared" si="274"/>
        <v>2</v>
      </c>
      <c r="O456">
        <f t="shared" si="253"/>
        <v>300</v>
      </c>
      <c r="P456">
        <f t="shared" si="275"/>
        <v>0</v>
      </c>
      <c r="Q456">
        <f t="shared" si="276"/>
        <v>2</v>
      </c>
      <c r="R456">
        <f t="shared" si="254"/>
        <v>300</v>
      </c>
      <c r="S456">
        <f t="shared" si="277"/>
        <v>0</v>
      </c>
      <c r="T456">
        <f t="shared" si="278"/>
        <v>-1</v>
      </c>
      <c r="U456">
        <f t="shared" si="268"/>
        <v>1</v>
      </c>
      <c r="V456">
        <f t="shared" si="269"/>
        <v>1</v>
      </c>
      <c r="W456">
        <f t="shared" si="255"/>
        <v>0</v>
      </c>
      <c r="X456">
        <f t="shared" si="279"/>
        <v>0</v>
      </c>
      <c r="Y456">
        <f t="shared" si="256"/>
        <v>0</v>
      </c>
      <c r="Z456">
        <f t="shared" si="257"/>
        <v>0</v>
      </c>
      <c r="AA456">
        <f t="shared" si="258"/>
        <v>0</v>
      </c>
      <c r="AB456" s="29">
        <f t="shared" si="259"/>
        <v>0</v>
      </c>
      <c r="AC456" s="25">
        <f t="shared" si="260"/>
        <v>0</v>
      </c>
      <c r="AD456" s="29">
        <f t="shared" si="261"/>
        <v>0</v>
      </c>
      <c r="AE456" s="25">
        <f t="shared" si="270"/>
        <v>0</v>
      </c>
      <c r="AF456" s="25">
        <f t="shared" si="262"/>
        <v>0</v>
      </c>
      <c r="AG456" s="25">
        <f>IF($A456&lt;0,0,IF(instatk="bs",(1.5+talSCallInstBon)*(MHavg+(ap+Z456-$Z$1)/APtoDPS*MHnorm+170)*(1+sa*0.1+0.04*opp+0.02*agg+Slayer4value-1),IF(instatk="hemo",Slayer4value*(MHavg+(ap+Z456-$Z$1)/APtoDPS*MHnorm)*(1.1+talSCallInstBon)+420*(1+raidcrit)*debuffon,IF(instatk="ss",(MHavg+(ap+Z456-$Z$1)/APtoDPS*MHnorm+98)*(1+sa*0.1+0.02*agg+Slayer4value-1),IF(instatk="v",(ohavg+(ap+Z456-$Z$1)/APtoDPS*OHnorm)*(1+sa*0.1)*(0.5+0.05*dws)+avipdam,Slayer4value*((1+0.04*opp)*(MHavg+101+(ap+Z456-$Z$1)/APtoDPS*MHnorm+(0.5+0.05*dws)*(ohavg+(ap+Z456-$Z$1)/APtoDPS*OHnorm)+101*(1+0.1*dws))*(1+0.5*IF(Talents!$O$18="Yes",1,0)))))))*(instactualhit+(1+((leth*0.06+2)-1)*(cfact-1))*instactualcrit)*fwfactor*AB456*instsec*(AF456/$AN$45))</f>
        <v>0</v>
      </c>
      <c r="AH456" s="25">
        <f t="shared" si="280"/>
        <v>0</v>
      </c>
      <c r="AI456" s="25">
        <f t="shared" si="281"/>
        <v>0</v>
      </c>
      <c r="AJ456" s="25">
        <f t="shared" si="282"/>
        <v>0</v>
      </c>
    </row>
    <row r="457" spans="1:36">
      <c r="A457">
        <f t="shared" si="263"/>
        <v>-1</v>
      </c>
      <c r="B457">
        <f t="shared" si="271"/>
        <v>6</v>
      </c>
      <c r="C457">
        <f t="shared" si="249"/>
        <v>300</v>
      </c>
      <c r="D457">
        <f t="shared" si="264"/>
        <v>0</v>
      </c>
      <c r="E457">
        <f t="shared" si="283"/>
        <v>5</v>
      </c>
      <c r="F457">
        <f t="shared" si="250"/>
        <v>360</v>
      </c>
      <c r="G457">
        <f t="shared" si="265"/>
        <v>0</v>
      </c>
      <c r="H457">
        <f t="shared" si="272"/>
        <v>4</v>
      </c>
      <c r="I457">
        <f t="shared" si="251"/>
        <v>360</v>
      </c>
      <c r="J457">
        <f t="shared" si="266"/>
        <v>0</v>
      </c>
      <c r="K457">
        <f t="shared" si="273"/>
        <v>3</v>
      </c>
      <c r="L457">
        <f t="shared" si="252"/>
        <v>360</v>
      </c>
      <c r="M457">
        <f t="shared" si="267"/>
        <v>0</v>
      </c>
      <c r="N457">
        <f t="shared" si="274"/>
        <v>2</v>
      </c>
      <c r="O457">
        <f t="shared" si="253"/>
        <v>300</v>
      </c>
      <c r="P457">
        <f t="shared" si="275"/>
        <v>0</v>
      </c>
      <c r="Q457">
        <f t="shared" si="276"/>
        <v>2</v>
      </c>
      <c r="R457">
        <f t="shared" si="254"/>
        <v>300</v>
      </c>
      <c r="S457">
        <f t="shared" si="277"/>
        <v>0</v>
      </c>
      <c r="T457">
        <f t="shared" si="278"/>
        <v>-1</v>
      </c>
      <c r="U457">
        <f t="shared" si="268"/>
        <v>1</v>
      </c>
      <c r="V457">
        <f t="shared" si="269"/>
        <v>1</v>
      </c>
      <c r="W457">
        <f t="shared" si="255"/>
        <v>0</v>
      </c>
      <c r="X457">
        <f t="shared" si="279"/>
        <v>0</v>
      </c>
      <c r="Y457">
        <f t="shared" si="256"/>
        <v>0</v>
      </c>
      <c r="Z457">
        <f t="shared" si="257"/>
        <v>0</v>
      </c>
      <c r="AA457">
        <f t="shared" si="258"/>
        <v>0</v>
      </c>
      <c r="AB457" s="29">
        <f t="shared" si="259"/>
        <v>0</v>
      </c>
      <c r="AC457" s="25">
        <f t="shared" si="260"/>
        <v>0</v>
      </c>
      <c r="AD457" s="29">
        <f t="shared" si="261"/>
        <v>0</v>
      </c>
      <c r="AE457" s="25">
        <f t="shared" si="270"/>
        <v>0</v>
      </c>
      <c r="AF457" s="25">
        <f t="shared" si="262"/>
        <v>0</v>
      </c>
      <c r="AG457" s="25">
        <f>IF($A457&lt;0,0,IF(instatk="bs",(1.5+talSCallInstBon)*(MHavg+(ap+Z457-$Z$1)/APtoDPS*MHnorm+170)*(1+sa*0.1+0.04*opp+0.02*agg+Slayer4value-1),IF(instatk="hemo",Slayer4value*(MHavg+(ap+Z457-$Z$1)/APtoDPS*MHnorm)*(1.1+talSCallInstBon)+420*(1+raidcrit)*debuffon,IF(instatk="ss",(MHavg+(ap+Z457-$Z$1)/APtoDPS*MHnorm+98)*(1+sa*0.1+0.02*agg+Slayer4value-1),IF(instatk="v",(ohavg+(ap+Z457-$Z$1)/APtoDPS*OHnorm)*(1+sa*0.1)*(0.5+0.05*dws)+avipdam,Slayer4value*((1+0.04*opp)*(MHavg+101+(ap+Z457-$Z$1)/APtoDPS*MHnorm+(0.5+0.05*dws)*(ohavg+(ap+Z457-$Z$1)/APtoDPS*OHnorm)+101*(1+0.1*dws))*(1+0.5*IF(Talents!$O$18="Yes",1,0)))))))*(instactualhit+(1+((leth*0.06+2)-1)*(cfact-1))*instactualcrit)*fwfactor*AB457*instsec*(AF457/$AN$45))</f>
        <v>0</v>
      </c>
      <c r="AH457" s="25">
        <f t="shared" si="280"/>
        <v>0</v>
      </c>
      <c r="AI457" s="25">
        <f t="shared" si="281"/>
        <v>0</v>
      </c>
      <c r="AJ457" s="25">
        <f t="shared" si="282"/>
        <v>0</v>
      </c>
    </row>
    <row r="458" spans="1:36">
      <c r="A458">
        <f t="shared" si="263"/>
        <v>-1</v>
      </c>
      <c r="B458">
        <f t="shared" si="271"/>
        <v>6</v>
      </c>
      <c r="C458">
        <f t="shared" si="249"/>
        <v>300</v>
      </c>
      <c r="D458">
        <f t="shared" si="264"/>
        <v>0</v>
      </c>
      <c r="E458">
        <f t="shared" si="283"/>
        <v>5</v>
      </c>
      <c r="F458">
        <f t="shared" si="250"/>
        <v>360</v>
      </c>
      <c r="G458">
        <f t="shared" si="265"/>
        <v>0</v>
      </c>
      <c r="H458">
        <f t="shared" si="272"/>
        <v>4</v>
      </c>
      <c r="I458">
        <f t="shared" si="251"/>
        <v>360</v>
      </c>
      <c r="J458">
        <f t="shared" si="266"/>
        <v>0</v>
      </c>
      <c r="K458">
        <f t="shared" si="273"/>
        <v>3</v>
      </c>
      <c r="L458">
        <f t="shared" si="252"/>
        <v>360</v>
      </c>
      <c r="M458">
        <f t="shared" si="267"/>
        <v>0</v>
      </c>
      <c r="N458">
        <f t="shared" si="274"/>
        <v>2</v>
      </c>
      <c r="O458">
        <f t="shared" si="253"/>
        <v>300</v>
      </c>
      <c r="P458">
        <f t="shared" si="275"/>
        <v>0</v>
      </c>
      <c r="Q458">
        <f t="shared" si="276"/>
        <v>2</v>
      </c>
      <c r="R458">
        <f t="shared" si="254"/>
        <v>300</v>
      </c>
      <c r="S458">
        <f t="shared" si="277"/>
        <v>0</v>
      </c>
      <c r="T458">
        <f t="shared" si="278"/>
        <v>-1</v>
      </c>
      <c r="U458">
        <f t="shared" si="268"/>
        <v>1</v>
      </c>
      <c r="V458">
        <f t="shared" si="269"/>
        <v>1</v>
      </c>
      <c r="W458">
        <f t="shared" si="255"/>
        <v>0</v>
      </c>
      <c r="X458">
        <f t="shared" si="279"/>
        <v>0</v>
      </c>
      <c r="Y458">
        <f t="shared" si="256"/>
        <v>0</v>
      </c>
      <c r="Z458">
        <f t="shared" si="257"/>
        <v>0</v>
      </c>
      <c r="AA458">
        <f t="shared" si="258"/>
        <v>0</v>
      </c>
      <c r="AB458" s="29">
        <f t="shared" si="259"/>
        <v>0</v>
      </c>
      <c r="AC458" s="25">
        <f t="shared" si="260"/>
        <v>0</v>
      </c>
      <c r="AD458" s="29">
        <f t="shared" si="261"/>
        <v>0</v>
      </c>
      <c r="AE458" s="25">
        <f t="shared" si="270"/>
        <v>0</v>
      </c>
      <c r="AF458" s="25">
        <f t="shared" si="262"/>
        <v>0</v>
      </c>
      <c r="AG458" s="25">
        <f>IF($A458&lt;0,0,IF(instatk="bs",(1.5+talSCallInstBon)*(MHavg+(ap+Z458-$Z$1)/APtoDPS*MHnorm+170)*(1+sa*0.1+0.04*opp+0.02*agg+Slayer4value-1),IF(instatk="hemo",Slayer4value*(MHavg+(ap+Z458-$Z$1)/APtoDPS*MHnorm)*(1.1+talSCallInstBon)+420*(1+raidcrit)*debuffon,IF(instatk="ss",(MHavg+(ap+Z458-$Z$1)/APtoDPS*MHnorm+98)*(1+sa*0.1+0.02*agg+Slayer4value-1),IF(instatk="v",(ohavg+(ap+Z458-$Z$1)/APtoDPS*OHnorm)*(1+sa*0.1)*(0.5+0.05*dws)+avipdam,Slayer4value*((1+0.04*opp)*(MHavg+101+(ap+Z458-$Z$1)/APtoDPS*MHnorm+(0.5+0.05*dws)*(ohavg+(ap+Z458-$Z$1)/APtoDPS*OHnorm)+101*(1+0.1*dws))*(1+0.5*IF(Talents!$O$18="Yes",1,0)))))))*(instactualhit+(1+((leth*0.06+2)-1)*(cfact-1))*instactualcrit)*fwfactor*AB458*instsec*(AF458/$AN$45))</f>
        <v>0</v>
      </c>
      <c r="AH458" s="25">
        <f t="shared" si="280"/>
        <v>0</v>
      </c>
      <c r="AI458" s="25">
        <f t="shared" si="281"/>
        <v>0</v>
      </c>
      <c r="AJ458" s="25">
        <f t="shared" si="282"/>
        <v>0</v>
      </c>
    </row>
    <row r="459" spans="1:36">
      <c r="A459">
        <f t="shared" si="263"/>
        <v>-1</v>
      </c>
      <c r="B459">
        <f t="shared" si="271"/>
        <v>6</v>
      </c>
      <c r="C459">
        <f t="shared" si="249"/>
        <v>300</v>
      </c>
      <c r="D459">
        <f t="shared" si="264"/>
        <v>0</v>
      </c>
      <c r="E459">
        <f t="shared" si="283"/>
        <v>5</v>
      </c>
      <c r="F459">
        <f t="shared" si="250"/>
        <v>360</v>
      </c>
      <c r="G459">
        <f t="shared" si="265"/>
        <v>0</v>
      </c>
      <c r="H459">
        <f t="shared" si="272"/>
        <v>4</v>
      </c>
      <c r="I459">
        <f t="shared" si="251"/>
        <v>360</v>
      </c>
      <c r="J459">
        <f t="shared" si="266"/>
        <v>0</v>
      </c>
      <c r="K459">
        <f t="shared" si="273"/>
        <v>3</v>
      </c>
      <c r="L459">
        <f t="shared" si="252"/>
        <v>360</v>
      </c>
      <c r="M459">
        <f t="shared" si="267"/>
        <v>0</v>
      </c>
      <c r="N459">
        <f t="shared" si="274"/>
        <v>2</v>
      </c>
      <c r="O459">
        <f t="shared" si="253"/>
        <v>300</v>
      </c>
      <c r="P459">
        <f t="shared" si="275"/>
        <v>0</v>
      </c>
      <c r="Q459">
        <f t="shared" si="276"/>
        <v>2</v>
      </c>
      <c r="R459">
        <f t="shared" si="254"/>
        <v>300</v>
      </c>
      <c r="S459">
        <f t="shared" si="277"/>
        <v>0</v>
      </c>
      <c r="T459">
        <f t="shared" si="278"/>
        <v>-1</v>
      </c>
      <c r="U459">
        <f t="shared" si="268"/>
        <v>1</v>
      </c>
      <c r="V459">
        <f t="shared" si="269"/>
        <v>1</v>
      </c>
      <c r="W459">
        <f t="shared" si="255"/>
        <v>0</v>
      </c>
      <c r="X459">
        <f t="shared" si="279"/>
        <v>0</v>
      </c>
      <c r="Y459">
        <f t="shared" si="256"/>
        <v>0</v>
      </c>
      <c r="Z459">
        <f t="shared" si="257"/>
        <v>0</v>
      </c>
      <c r="AA459">
        <f t="shared" si="258"/>
        <v>0</v>
      </c>
      <c r="AB459" s="29">
        <f t="shared" si="259"/>
        <v>0</v>
      </c>
      <c r="AC459" s="25">
        <f t="shared" si="260"/>
        <v>0</v>
      </c>
      <c r="AD459" s="29">
        <f t="shared" si="261"/>
        <v>0</v>
      </c>
      <c r="AE459" s="25">
        <f t="shared" si="270"/>
        <v>0</v>
      </c>
      <c r="AF459" s="25">
        <f t="shared" si="262"/>
        <v>0</v>
      </c>
      <c r="AG459" s="25">
        <f>IF($A459&lt;0,0,IF(instatk="bs",(1.5+talSCallInstBon)*(MHavg+(ap+Z459-$Z$1)/APtoDPS*MHnorm+170)*(1+sa*0.1+0.04*opp+0.02*agg+Slayer4value-1),IF(instatk="hemo",Slayer4value*(MHavg+(ap+Z459-$Z$1)/APtoDPS*MHnorm)*(1.1+talSCallInstBon)+420*(1+raidcrit)*debuffon,IF(instatk="ss",(MHavg+(ap+Z459-$Z$1)/APtoDPS*MHnorm+98)*(1+sa*0.1+0.02*agg+Slayer4value-1),IF(instatk="v",(ohavg+(ap+Z459-$Z$1)/APtoDPS*OHnorm)*(1+sa*0.1)*(0.5+0.05*dws)+avipdam,Slayer4value*((1+0.04*opp)*(MHavg+101+(ap+Z459-$Z$1)/APtoDPS*MHnorm+(0.5+0.05*dws)*(ohavg+(ap+Z459-$Z$1)/APtoDPS*OHnorm)+101*(1+0.1*dws))*(1+0.5*IF(Talents!$O$18="Yes",1,0)))))))*(instactualhit+(1+((leth*0.06+2)-1)*(cfact-1))*instactualcrit)*fwfactor*AB459*instsec*(AF459/$AN$45))</f>
        <v>0</v>
      </c>
      <c r="AH459" s="25">
        <f t="shared" si="280"/>
        <v>0</v>
      </c>
      <c r="AI459" s="25">
        <f t="shared" si="281"/>
        <v>0</v>
      </c>
      <c r="AJ459" s="25">
        <f t="shared" si="282"/>
        <v>0</v>
      </c>
    </row>
    <row r="460" spans="1:36">
      <c r="A460">
        <f t="shared" si="263"/>
        <v>-1</v>
      </c>
      <c r="B460">
        <f t="shared" si="271"/>
        <v>6</v>
      </c>
      <c r="C460">
        <f t="shared" si="249"/>
        <v>300</v>
      </c>
      <c r="D460">
        <f t="shared" si="264"/>
        <v>0</v>
      </c>
      <c r="E460">
        <f t="shared" si="283"/>
        <v>5</v>
      </c>
      <c r="F460">
        <f t="shared" si="250"/>
        <v>360</v>
      </c>
      <c r="G460">
        <f t="shared" si="265"/>
        <v>0</v>
      </c>
      <c r="H460">
        <f t="shared" si="272"/>
        <v>4</v>
      </c>
      <c r="I460">
        <f t="shared" si="251"/>
        <v>360</v>
      </c>
      <c r="J460">
        <f t="shared" si="266"/>
        <v>0</v>
      </c>
      <c r="K460">
        <f t="shared" si="273"/>
        <v>3</v>
      </c>
      <c r="L460">
        <f t="shared" si="252"/>
        <v>360</v>
      </c>
      <c r="M460">
        <f t="shared" si="267"/>
        <v>0</v>
      </c>
      <c r="N460">
        <f t="shared" si="274"/>
        <v>2</v>
      </c>
      <c r="O460">
        <f t="shared" si="253"/>
        <v>300</v>
      </c>
      <c r="P460">
        <f t="shared" si="275"/>
        <v>0</v>
      </c>
      <c r="Q460">
        <f t="shared" si="276"/>
        <v>2</v>
      </c>
      <c r="R460">
        <f t="shared" si="254"/>
        <v>300</v>
      </c>
      <c r="S460">
        <f t="shared" si="277"/>
        <v>0</v>
      </c>
      <c r="T460">
        <f t="shared" si="278"/>
        <v>-1</v>
      </c>
      <c r="U460">
        <f t="shared" si="268"/>
        <v>1</v>
      </c>
      <c r="V460">
        <f t="shared" si="269"/>
        <v>1</v>
      </c>
      <c r="W460">
        <f t="shared" si="255"/>
        <v>0</v>
      </c>
      <c r="X460">
        <f t="shared" si="279"/>
        <v>0</v>
      </c>
      <c r="Y460">
        <f t="shared" si="256"/>
        <v>0</v>
      </c>
      <c r="Z460">
        <f t="shared" si="257"/>
        <v>0</v>
      </c>
      <c r="AA460">
        <f t="shared" si="258"/>
        <v>0</v>
      </c>
      <c r="AB460" s="29">
        <f t="shared" si="259"/>
        <v>0</v>
      </c>
      <c r="AC460" s="25">
        <f t="shared" si="260"/>
        <v>0</v>
      </c>
      <c r="AD460" s="29">
        <f t="shared" si="261"/>
        <v>0</v>
      </c>
      <c r="AE460" s="25">
        <f t="shared" si="270"/>
        <v>0</v>
      </c>
      <c r="AF460" s="25">
        <f t="shared" si="262"/>
        <v>0</v>
      </c>
      <c r="AG460" s="25">
        <f>IF($A460&lt;0,0,IF(instatk="bs",(1.5+talSCallInstBon)*(MHavg+(ap+Z460-$Z$1)/APtoDPS*MHnorm+170)*(1+sa*0.1+0.04*opp+0.02*agg+Slayer4value-1),IF(instatk="hemo",Slayer4value*(MHavg+(ap+Z460-$Z$1)/APtoDPS*MHnorm)*(1.1+talSCallInstBon)+420*(1+raidcrit)*debuffon,IF(instatk="ss",(MHavg+(ap+Z460-$Z$1)/APtoDPS*MHnorm+98)*(1+sa*0.1+0.02*agg+Slayer4value-1),IF(instatk="v",(ohavg+(ap+Z460-$Z$1)/APtoDPS*OHnorm)*(1+sa*0.1)*(0.5+0.05*dws)+avipdam,Slayer4value*((1+0.04*opp)*(MHavg+101+(ap+Z460-$Z$1)/APtoDPS*MHnorm+(0.5+0.05*dws)*(ohavg+(ap+Z460-$Z$1)/APtoDPS*OHnorm)+101*(1+0.1*dws))*(1+0.5*IF(Talents!$O$18="Yes",1,0)))))))*(instactualhit+(1+((leth*0.06+2)-1)*(cfact-1))*instactualcrit)*fwfactor*AB460*instsec*(AF460/$AN$45))</f>
        <v>0</v>
      </c>
      <c r="AH460" s="25">
        <f t="shared" si="280"/>
        <v>0</v>
      </c>
      <c r="AI460" s="25">
        <f t="shared" si="281"/>
        <v>0</v>
      </c>
      <c r="AJ460" s="25">
        <f t="shared" si="282"/>
        <v>0</v>
      </c>
    </row>
    <row r="461" spans="1:36">
      <c r="A461">
        <f t="shared" si="263"/>
        <v>-1</v>
      </c>
      <c r="B461">
        <f t="shared" si="271"/>
        <v>6</v>
      </c>
      <c r="C461">
        <f t="shared" si="249"/>
        <v>300</v>
      </c>
      <c r="D461">
        <f t="shared" si="264"/>
        <v>0</v>
      </c>
      <c r="E461">
        <f t="shared" si="283"/>
        <v>5</v>
      </c>
      <c r="F461">
        <f t="shared" si="250"/>
        <v>360</v>
      </c>
      <c r="G461">
        <f t="shared" si="265"/>
        <v>0</v>
      </c>
      <c r="H461">
        <f t="shared" si="272"/>
        <v>4</v>
      </c>
      <c r="I461">
        <f t="shared" si="251"/>
        <v>360</v>
      </c>
      <c r="J461">
        <f t="shared" si="266"/>
        <v>0</v>
      </c>
      <c r="K461">
        <f t="shared" si="273"/>
        <v>3</v>
      </c>
      <c r="L461">
        <f t="shared" si="252"/>
        <v>360</v>
      </c>
      <c r="M461">
        <f t="shared" si="267"/>
        <v>0</v>
      </c>
      <c r="N461">
        <f t="shared" si="274"/>
        <v>2</v>
      </c>
      <c r="O461">
        <f t="shared" si="253"/>
        <v>300</v>
      </c>
      <c r="P461">
        <f t="shared" si="275"/>
        <v>0</v>
      </c>
      <c r="Q461">
        <f t="shared" si="276"/>
        <v>2</v>
      </c>
      <c r="R461">
        <f t="shared" si="254"/>
        <v>300</v>
      </c>
      <c r="S461">
        <f t="shared" si="277"/>
        <v>0</v>
      </c>
      <c r="T461">
        <f t="shared" si="278"/>
        <v>-1</v>
      </c>
      <c r="U461">
        <f t="shared" si="268"/>
        <v>1</v>
      </c>
      <c r="V461">
        <f t="shared" si="269"/>
        <v>1</v>
      </c>
      <c r="W461">
        <f t="shared" si="255"/>
        <v>0</v>
      </c>
      <c r="X461">
        <f t="shared" si="279"/>
        <v>0</v>
      </c>
      <c r="Y461">
        <f t="shared" si="256"/>
        <v>0</v>
      </c>
      <c r="Z461">
        <f t="shared" si="257"/>
        <v>0</v>
      </c>
      <c r="AA461">
        <f t="shared" si="258"/>
        <v>0</v>
      </c>
      <c r="AB461" s="29">
        <f t="shared" si="259"/>
        <v>0</v>
      </c>
      <c r="AC461" s="25">
        <f t="shared" si="260"/>
        <v>0</v>
      </c>
      <c r="AD461" s="29">
        <f t="shared" si="261"/>
        <v>0</v>
      </c>
      <c r="AE461" s="25">
        <f t="shared" si="270"/>
        <v>0</v>
      </c>
      <c r="AF461" s="25">
        <f t="shared" si="262"/>
        <v>0</v>
      </c>
      <c r="AG461" s="25">
        <f>IF($A461&lt;0,0,IF(instatk="bs",(1.5+talSCallInstBon)*(MHavg+(ap+Z461-$Z$1)/APtoDPS*MHnorm+170)*(1+sa*0.1+0.04*opp+0.02*agg+Slayer4value-1),IF(instatk="hemo",Slayer4value*(MHavg+(ap+Z461-$Z$1)/APtoDPS*MHnorm)*(1.1+talSCallInstBon)+420*(1+raidcrit)*debuffon,IF(instatk="ss",(MHavg+(ap+Z461-$Z$1)/APtoDPS*MHnorm+98)*(1+sa*0.1+0.02*agg+Slayer4value-1),IF(instatk="v",(ohavg+(ap+Z461-$Z$1)/APtoDPS*OHnorm)*(1+sa*0.1)*(0.5+0.05*dws)+avipdam,Slayer4value*((1+0.04*opp)*(MHavg+101+(ap+Z461-$Z$1)/APtoDPS*MHnorm+(0.5+0.05*dws)*(ohavg+(ap+Z461-$Z$1)/APtoDPS*OHnorm)+101*(1+0.1*dws))*(1+0.5*IF(Talents!$O$18="Yes",1,0)))))))*(instactualhit+(1+((leth*0.06+2)-1)*(cfact-1))*instactualcrit)*fwfactor*AB461*instsec*(AF461/$AN$45))</f>
        <v>0</v>
      </c>
      <c r="AH461" s="25">
        <f t="shared" si="280"/>
        <v>0</v>
      </c>
      <c r="AI461" s="25">
        <f t="shared" si="281"/>
        <v>0</v>
      </c>
      <c r="AJ461" s="25">
        <f t="shared" si="282"/>
        <v>0</v>
      </c>
    </row>
    <row r="462" spans="1:36">
      <c r="A462">
        <f t="shared" si="263"/>
        <v>-1</v>
      </c>
      <c r="B462">
        <f t="shared" si="271"/>
        <v>6</v>
      </c>
      <c r="C462">
        <f t="shared" si="249"/>
        <v>300</v>
      </c>
      <c r="D462">
        <f t="shared" si="264"/>
        <v>0</v>
      </c>
      <c r="E462">
        <f t="shared" si="283"/>
        <v>5</v>
      </c>
      <c r="F462">
        <f t="shared" si="250"/>
        <v>360</v>
      </c>
      <c r="G462">
        <f t="shared" si="265"/>
        <v>0</v>
      </c>
      <c r="H462">
        <f t="shared" si="272"/>
        <v>4</v>
      </c>
      <c r="I462">
        <f t="shared" si="251"/>
        <v>360</v>
      </c>
      <c r="J462">
        <f t="shared" si="266"/>
        <v>0</v>
      </c>
      <c r="K462">
        <f t="shared" si="273"/>
        <v>3</v>
      </c>
      <c r="L462">
        <f t="shared" si="252"/>
        <v>360</v>
      </c>
      <c r="M462">
        <f t="shared" si="267"/>
        <v>0</v>
      </c>
      <c r="N462">
        <f t="shared" si="274"/>
        <v>2</v>
      </c>
      <c r="O462">
        <f t="shared" si="253"/>
        <v>300</v>
      </c>
      <c r="P462">
        <f t="shared" si="275"/>
        <v>0</v>
      </c>
      <c r="Q462">
        <f t="shared" si="276"/>
        <v>2</v>
      </c>
      <c r="R462">
        <f t="shared" si="254"/>
        <v>300</v>
      </c>
      <c r="S462">
        <f t="shared" si="277"/>
        <v>0</v>
      </c>
      <c r="T462">
        <f t="shared" si="278"/>
        <v>-1</v>
      </c>
      <c r="U462">
        <f t="shared" si="268"/>
        <v>1</v>
      </c>
      <c r="V462">
        <f t="shared" si="269"/>
        <v>1</v>
      </c>
      <c r="W462">
        <f t="shared" si="255"/>
        <v>0</v>
      </c>
      <c r="X462">
        <f t="shared" si="279"/>
        <v>0</v>
      </c>
      <c r="Y462">
        <f t="shared" si="256"/>
        <v>0</v>
      </c>
      <c r="Z462">
        <f t="shared" si="257"/>
        <v>0</v>
      </c>
      <c r="AA462">
        <f t="shared" si="258"/>
        <v>0</v>
      </c>
      <c r="AB462" s="29">
        <f t="shared" si="259"/>
        <v>0</v>
      </c>
      <c r="AC462" s="25">
        <f t="shared" si="260"/>
        <v>0</v>
      </c>
      <c r="AD462" s="29">
        <f t="shared" si="261"/>
        <v>0</v>
      </c>
      <c r="AE462" s="25">
        <f t="shared" si="270"/>
        <v>0</v>
      </c>
      <c r="AF462" s="25">
        <f t="shared" si="262"/>
        <v>0</v>
      </c>
      <c r="AG462" s="25">
        <f>IF($A462&lt;0,0,IF(instatk="bs",(1.5+talSCallInstBon)*(MHavg+(ap+Z462-$Z$1)/APtoDPS*MHnorm+170)*(1+sa*0.1+0.04*opp+0.02*agg+Slayer4value-1),IF(instatk="hemo",Slayer4value*(MHavg+(ap+Z462-$Z$1)/APtoDPS*MHnorm)*(1.1+talSCallInstBon)+420*(1+raidcrit)*debuffon,IF(instatk="ss",(MHavg+(ap+Z462-$Z$1)/APtoDPS*MHnorm+98)*(1+sa*0.1+0.02*agg+Slayer4value-1),IF(instatk="v",(ohavg+(ap+Z462-$Z$1)/APtoDPS*OHnorm)*(1+sa*0.1)*(0.5+0.05*dws)+avipdam,Slayer4value*((1+0.04*opp)*(MHavg+101+(ap+Z462-$Z$1)/APtoDPS*MHnorm+(0.5+0.05*dws)*(ohavg+(ap+Z462-$Z$1)/APtoDPS*OHnorm)+101*(1+0.1*dws))*(1+0.5*IF(Talents!$O$18="Yes",1,0)))))))*(instactualhit+(1+((leth*0.06+2)-1)*(cfact-1))*instactualcrit)*fwfactor*AB462*instsec*(AF462/$AN$45))</f>
        <v>0</v>
      </c>
      <c r="AH462" s="25">
        <f t="shared" si="280"/>
        <v>0</v>
      </c>
      <c r="AI462" s="25">
        <f t="shared" si="281"/>
        <v>0</v>
      </c>
      <c r="AJ462" s="25">
        <f t="shared" si="282"/>
        <v>0</v>
      </c>
    </row>
    <row r="463" spans="1:36">
      <c r="A463">
        <f t="shared" si="263"/>
        <v>-1</v>
      </c>
      <c r="B463">
        <f t="shared" si="271"/>
        <v>6</v>
      </c>
      <c r="C463">
        <f t="shared" si="249"/>
        <v>300</v>
      </c>
      <c r="D463">
        <f t="shared" si="264"/>
        <v>0</v>
      </c>
      <c r="E463">
        <f t="shared" si="283"/>
        <v>5</v>
      </c>
      <c r="F463">
        <f t="shared" si="250"/>
        <v>360</v>
      </c>
      <c r="G463">
        <f t="shared" si="265"/>
        <v>0</v>
      </c>
      <c r="H463">
        <f t="shared" si="272"/>
        <v>4</v>
      </c>
      <c r="I463">
        <f t="shared" si="251"/>
        <v>360</v>
      </c>
      <c r="J463">
        <f t="shared" si="266"/>
        <v>0</v>
      </c>
      <c r="K463">
        <f t="shared" si="273"/>
        <v>3</v>
      </c>
      <c r="L463">
        <f t="shared" si="252"/>
        <v>360</v>
      </c>
      <c r="M463">
        <f t="shared" si="267"/>
        <v>0</v>
      </c>
      <c r="N463">
        <f t="shared" si="274"/>
        <v>2</v>
      </c>
      <c r="O463">
        <f t="shared" si="253"/>
        <v>300</v>
      </c>
      <c r="P463">
        <f t="shared" si="275"/>
        <v>0</v>
      </c>
      <c r="Q463">
        <f t="shared" si="276"/>
        <v>2</v>
      </c>
      <c r="R463">
        <f t="shared" si="254"/>
        <v>300</v>
      </c>
      <c r="S463">
        <f t="shared" si="277"/>
        <v>0</v>
      </c>
      <c r="T463">
        <f t="shared" si="278"/>
        <v>-1</v>
      </c>
      <c r="U463">
        <f t="shared" si="268"/>
        <v>1</v>
      </c>
      <c r="V463">
        <f t="shared" si="269"/>
        <v>1</v>
      </c>
      <c r="W463">
        <f t="shared" si="255"/>
        <v>0</v>
      </c>
      <c r="X463">
        <f t="shared" si="279"/>
        <v>0</v>
      </c>
      <c r="Y463">
        <f t="shared" si="256"/>
        <v>0</v>
      </c>
      <c r="Z463">
        <f t="shared" si="257"/>
        <v>0</v>
      </c>
      <c r="AA463">
        <f t="shared" si="258"/>
        <v>0</v>
      </c>
      <c r="AB463" s="29">
        <f t="shared" si="259"/>
        <v>0</v>
      </c>
      <c r="AC463" s="25">
        <f t="shared" si="260"/>
        <v>0</v>
      </c>
      <c r="AD463" s="29">
        <f t="shared" si="261"/>
        <v>0</v>
      </c>
      <c r="AE463" s="25">
        <f t="shared" si="270"/>
        <v>0</v>
      </c>
      <c r="AF463" s="25">
        <f t="shared" si="262"/>
        <v>0</v>
      </c>
      <c r="AG463" s="25">
        <f>IF($A463&lt;0,0,IF(instatk="bs",(1.5+talSCallInstBon)*(MHavg+(ap+Z463-$Z$1)/APtoDPS*MHnorm+170)*(1+sa*0.1+0.04*opp+0.02*agg+Slayer4value-1),IF(instatk="hemo",Slayer4value*(MHavg+(ap+Z463-$Z$1)/APtoDPS*MHnorm)*(1.1+talSCallInstBon)+420*(1+raidcrit)*debuffon,IF(instatk="ss",(MHavg+(ap+Z463-$Z$1)/APtoDPS*MHnorm+98)*(1+sa*0.1+0.02*agg+Slayer4value-1),IF(instatk="v",(ohavg+(ap+Z463-$Z$1)/APtoDPS*OHnorm)*(1+sa*0.1)*(0.5+0.05*dws)+avipdam,Slayer4value*((1+0.04*opp)*(MHavg+101+(ap+Z463-$Z$1)/APtoDPS*MHnorm+(0.5+0.05*dws)*(ohavg+(ap+Z463-$Z$1)/APtoDPS*OHnorm)+101*(1+0.1*dws))*(1+0.5*IF(Talents!$O$18="Yes",1,0)))))))*(instactualhit+(1+((leth*0.06+2)-1)*(cfact-1))*instactualcrit)*fwfactor*AB463*instsec*(AF463/$AN$45))</f>
        <v>0</v>
      </c>
      <c r="AH463" s="25">
        <f t="shared" si="280"/>
        <v>0</v>
      </c>
      <c r="AI463" s="25">
        <f t="shared" si="281"/>
        <v>0</v>
      </c>
      <c r="AJ463" s="25">
        <f t="shared" si="282"/>
        <v>0</v>
      </c>
    </row>
    <row r="464" spans="1:36">
      <c r="A464">
        <f t="shared" si="263"/>
        <v>-1</v>
      </c>
      <c r="B464">
        <f t="shared" si="271"/>
        <v>6</v>
      </c>
      <c r="C464">
        <f t="shared" si="249"/>
        <v>300</v>
      </c>
      <c r="D464">
        <f t="shared" si="264"/>
        <v>0</v>
      </c>
      <c r="E464">
        <f t="shared" si="283"/>
        <v>5</v>
      </c>
      <c r="F464">
        <f t="shared" si="250"/>
        <v>360</v>
      </c>
      <c r="G464">
        <f t="shared" si="265"/>
        <v>0</v>
      </c>
      <c r="H464">
        <f t="shared" si="272"/>
        <v>4</v>
      </c>
      <c r="I464">
        <f t="shared" si="251"/>
        <v>360</v>
      </c>
      <c r="J464">
        <f t="shared" si="266"/>
        <v>0</v>
      </c>
      <c r="K464">
        <f t="shared" si="273"/>
        <v>3</v>
      </c>
      <c r="L464">
        <f t="shared" si="252"/>
        <v>360</v>
      </c>
      <c r="M464">
        <f t="shared" si="267"/>
        <v>0</v>
      </c>
      <c r="N464">
        <f t="shared" si="274"/>
        <v>2</v>
      </c>
      <c r="O464">
        <f t="shared" si="253"/>
        <v>300</v>
      </c>
      <c r="P464">
        <f t="shared" si="275"/>
        <v>0</v>
      </c>
      <c r="Q464">
        <f t="shared" si="276"/>
        <v>2</v>
      </c>
      <c r="R464">
        <f t="shared" si="254"/>
        <v>300</v>
      </c>
      <c r="S464">
        <f t="shared" si="277"/>
        <v>0</v>
      </c>
      <c r="T464">
        <f t="shared" si="278"/>
        <v>-1</v>
      </c>
      <c r="U464">
        <f t="shared" si="268"/>
        <v>1</v>
      </c>
      <c r="V464">
        <f t="shared" si="269"/>
        <v>1</v>
      </c>
      <c r="W464">
        <f t="shared" si="255"/>
        <v>0</v>
      </c>
      <c r="X464">
        <f t="shared" si="279"/>
        <v>0</v>
      </c>
      <c r="Y464">
        <f t="shared" si="256"/>
        <v>0</v>
      </c>
      <c r="Z464">
        <f t="shared" si="257"/>
        <v>0</v>
      </c>
      <c r="AA464">
        <f t="shared" si="258"/>
        <v>0</v>
      </c>
      <c r="AB464" s="29">
        <f t="shared" si="259"/>
        <v>0</v>
      </c>
      <c r="AC464" s="25">
        <f t="shared" si="260"/>
        <v>0</v>
      </c>
      <c r="AD464" s="29">
        <f t="shared" si="261"/>
        <v>0</v>
      </c>
      <c r="AE464" s="25">
        <f t="shared" si="270"/>
        <v>0</v>
      </c>
      <c r="AF464" s="25">
        <f t="shared" si="262"/>
        <v>0</v>
      </c>
      <c r="AG464" s="25">
        <f>IF($A464&lt;0,0,IF(instatk="bs",(1.5+talSCallInstBon)*(MHavg+(ap+Z464-$Z$1)/APtoDPS*MHnorm+170)*(1+sa*0.1+0.04*opp+0.02*agg+Slayer4value-1),IF(instatk="hemo",Slayer4value*(MHavg+(ap+Z464-$Z$1)/APtoDPS*MHnorm)*(1.1+talSCallInstBon)+420*(1+raidcrit)*debuffon,IF(instatk="ss",(MHavg+(ap+Z464-$Z$1)/APtoDPS*MHnorm+98)*(1+sa*0.1+0.02*agg+Slayer4value-1),IF(instatk="v",(ohavg+(ap+Z464-$Z$1)/APtoDPS*OHnorm)*(1+sa*0.1)*(0.5+0.05*dws)+avipdam,Slayer4value*((1+0.04*opp)*(MHavg+101+(ap+Z464-$Z$1)/APtoDPS*MHnorm+(0.5+0.05*dws)*(ohavg+(ap+Z464-$Z$1)/APtoDPS*OHnorm)+101*(1+0.1*dws))*(1+0.5*IF(Talents!$O$18="Yes",1,0)))))))*(instactualhit+(1+((leth*0.06+2)-1)*(cfact-1))*instactualcrit)*fwfactor*AB464*instsec*(AF464/$AN$45))</f>
        <v>0</v>
      </c>
      <c r="AH464" s="25">
        <f t="shared" si="280"/>
        <v>0</v>
      </c>
      <c r="AI464" s="25">
        <f t="shared" si="281"/>
        <v>0</v>
      </c>
      <c r="AJ464" s="25">
        <f t="shared" si="282"/>
        <v>0</v>
      </c>
    </row>
    <row r="465" spans="1:36">
      <c r="A465">
        <f t="shared" si="263"/>
        <v>-1</v>
      </c>
      <c r="B465">
        <f t="shared" si="271"/>
        <v>6</v>
      </c>
      <c r="C465">
        <f t="shared" si="249"/>
        <v>300</v>
      </c>
      <c r="D465">
        <f t="shared" si="264"/>
        <v>0</v>
      </c>
      <c r="E465">
        <f t="shared" si="283"/>
        <v>5</v>
      </c>
      <c r="F465">
        <f t="shared" si="250"/>
        <v>360</v>
      </c>
      <c r="G465">
        <f t="shared" si="265"/>
        <v>0</v>
      </c>
      <c r="H465">
        <f t="shared" si="272"/>
        <v>4</v>
      </c>
      <c r="I465">
        <f t="shared" si="251"/>
        <v>360</v>
      </c>
      <c r="J465">
        <f t="shared" si="266"/>
        <v>0</v>
      </c>
      <c r="K465">
        <f t="shared" si="273"/>
        <v>3</v>
      </c>
      <c r="L465">
        <f t="shared" si="252"/>
        <v>360</v>
      </c>
      <c r="M465">
        <f t="shared" si="267"/>
        <v>0</v>
      </c>
      <c r="N465">
        <f t="shared" si="274"/>
        <v>2</v>
      </c>
      <c r="O465">
        <f t="shared" si="253"/>
        <v>300</v>
      </c>
      <c r="P465">
        <f t="shared" si="275"/>
        <v>0</v>
      </c>
      <c r="Q465">
        <f t="shared" si="276"/>
        <v>2</v>
      </c>
      <c r="R465">
        <f t="shared" si="254"/>
        <v>300</v>
      </c>
      <c r="S465">
        <f t="shared" si="277"/>
        <v>0</v>
      </c>
      <c r="T465">
        <f t="shared" si="278"/>
        <v>-1</v>
      </c>
      <c r="U465">
        <f t="shared" si="268"/>
        <v>1</v>
      </c>
      <c r="V465">
        <f t="shared" si="269"/>
        <v>1</v>
      </c>
      <c r="W465">
        <f t="shared" si="255"/>
        <v>0</v>
      </c>
      <c r="X465">
        <f t="shared" si="279"/>
        <v>0</v>
      </c>
      <c r="Y465">
        <f t="shared" si="256"/>
        <v>0</v>
      </c>
      <c r="Z465">
        <f t="shared" si="257"/>
        <v>0</v>
      </c>
      <c r="AA465">
        <f t="shared" si="258"/>
        <v>0</v>
      </c>
      <c r="AB465" s="29">
        <f t="shared" si="259"/>
        <v>0</v>
      </c>
      <c r="AC465" s="25">
        <f t="shared" si="260"/>
        <v>0</v>
      </c>
      <c r="AD465" s="29">
        <f t="shared" si="261"/>
        <v>0</v>
      </c>
      <c r="AE465" s="25">
        <f t="shared" si="270"/>
        <v>0</v>
      </c>
      <c r="AF465" s="25">
        <f t="shared" si="262"/>
        <v>0</v>
      </c>
      <c r="AG465" s="25">
        <f>IF($A465&lt;0,0,IF(instatk="bs",(1.5+talSCallInstBon)*(MHavg+(ap+Z465-$Z$1)/APtoDPS*MHnorm+170)*(1+sa*0.1+0.04*opp+0.02*agg+Slayer4value-1),IF(instatk="hemo",Slayer4value*(MHavg+(ap+Z465-$Z$1)/APtoDPS*MHnorm)*(1.1+talSCallInstBon)+420*(1+raidcrit)*debuffon,IF(instatk="ss",(MHavg+(ap+Z465-$Z$1)/APtoDPS*MHnorm+98)*(1+sa*0.1+0.02*agg+Slayer4value-1),IF(instatk="v",(ohavg+(ap+Z465-$Z$1)/APtoDPS*OHnorm)*(1+sa*0.1)*(0.5+0.05*dws)+avipdam,Slayer4value*((1+0.04*opp)*(MHavg+101+(ap+Z465-$Z$1)/APtoDPS*MHnorm+(0.5+0.05*dws)*(ohavg+(ap+Z465-$Z$1)/APtoDPS*OHnorm)+101*(1+0.1*dws))*(1+0.5*IF(Talents!$O$18="Yes",1,0)))))))*(instactualhit+(1+((leth*0.06+2)-1)*(cfact-1))*instactualcrit)*fwfactor*AB465*instsec*(AF465/$AN$45))</f>
        <v>0</v>
      </c>
      <c r="AH465" s="25">
        <f t="shared" si="280"/>
        <v>0</v>
      </c>
      <c r="AI465" s="25">
        <f t="shared" si="281"/>
        <v>0</v>
      </c>
      <c r="AJ465" s="25">
        <f t="shared" si="282"/>
        <v>0</v>
      </c>
    </row>
    <row r="466" spans="1:36">
      <c r="A466">
        <f t="shared" si="263"/>
        <v>-1</v>
      </c>
      <c r="B466">
        <f t="shared" si="271"/>
        <v>6</v>
      </c>
      <c r="C466">
        <f t="shared" si="249"/>
        <v>300</v>
      </c>
      <c r="D466">
        <f t="shared" si="264"/>
        <v>0</v>
      </c>
      <c r="E466">
        <f t="shared" si="283"/>
        <v>5</v>
      </c>
      <c r="F466">
        <f t="shared" si="250"/>
        <v>360</v>
      </c>
      <c r="G466">
        <f t="shared" si="265"/>
        <v>0</v>
      </c>
      <c r="H466">
        <f t="shared" si="272"/>
        <v>4</v>
      </c>
      <c r="I466">
        <f t="shared" si="251"/>
        <v>360</v>
      </c>
      <c r="J466">
        <f t="shared" si="266"/>
        <v>0</v>
      </c>
      <c r="K466">
        <f t="shared" si="273"/>
        <v>3</v>
      </c>
      <c r="L466">
        <f t="shared" si="252"/>
        <v>360</v>
      </c>
      <c r="M466">
        <f t="shared" si="267"/>
        <v>0</v>
      </c>
      <c r="N466">
        <f t="shared" si="274"/>
        <v>2</v>
      </c>
      <c r="O466">
        <f t="shared" si="253"/>
        <v>300</v>
      </c>
      <c r="P466">
        <f t="shared" si="275"/>
        <v>0</v>
      </c>
      <c r="Q466">
        <f t="shared" si="276"/>
        <v>2</v>
      </c>
      <c r="R466">
        <f t="shared" si="254"/>
        <v>300</v>
      </c>
      <c r="S466">
        <f t="shared" si="277"/>
        <v>0</v>
      </c>
      <c r="T466">
        <f t="shared" si="278"/>
        <v>-1</v>
      </c>
      <c r="U466">
        <f t="shared" si="268"/>
        <v>1</v>
      </c>
      <c r="V466">
        <f t="shared" si="269"/>
        <v>1</v>
      </c>
      <c r="W466">
        <f t="shared" si="255"/>
        <v>0</v>
      </c>
      <c r="X466">
        <f t="shared" si="279"/>
        <v>0</v>
      </c>
      <c r="Y466">
        <f t="shared" si="256"/>
        <v>0</v>
      </c>
      <c r="Z466">
        <f t="shared" si="257"/>
        <v>0</v>
      </c>
      <c r="AA466">
        <f t="shared" si="258"/>
        <v>0</v>
      </c>
      <c r="AB466" s="29">
        <f t="shared" si="259"/>
        <v>0</v>
      </c>
      <c r="AC466" s="25">
        <f t="shared" si="260"/>
        <v>0</v>
      </c>
      <c r="AD466" s="29">
        <f t="shared" si="261"/>
        <v>0</v>
      </c>
      <c r="AE466" s="25">
        <f t="shared" si="270"/>
        <v>0</v>
      </c>
      <c r="AF466" s="25">
        <f t="shared" si="262"/>
        <v>0</v>
      </c>
      <c r="AG466" s="25">
        <f>IF($A466&lt;0,0,IF(instatk="bs",(1.5+talSCallInstBon)*(MHavg+(ap+Z466-$Z$1)/APtoDPS*MHnorm+170)*(1+sa*0.1+0.04*opp+0.02*agg+Slayer4value-1),IF(instatk="hemo",Slayer4value*(MHavg+(ap+Z466-$Z$1)/APtoDPS*MHnorm)*(1.1+talSCallInstBon)+420*(1+raidcrit)*debuffon,IF(instatk="ss",(MHavg+(ap+Z466-$Z$1)/APtoDPS*MHnorm+98)*(1+sa*0.1+0.02*agg+Slayer4value-1),IF(instatk="v",(ohavg+(ap+Z466-$Z$1)/APtoDPS*OHnorm)*(1+sa*0.1)*(0.5+0.05*dws)+avipdam,Slayer4value*((1+0.04*opp)*(MHavg+101+(ap+Z466-$Z$1)/APtoDPS*MHnorm+(0.5+0.05*dws)*(ohavg+(ap+Z466-$Z$1)/APtoDPS*OHnorm)+101*(1+0.1*dws))*(1+0.5*IF(Talents!$O$18="Yes",1,0)))))))*(instactualhit+(1+((leth*0.06+2)-1)*(cfact-1))*instactualcrit)*fwfactor*AB466*instsec*(AF466/$AN$45))</f>
        <v>0</v>
      </c>
      <c r="AH466" s="25">
        <f t="shared" si="280"/>
        <v>0</v>
      </c>
      <c r="AI466" s="25">
        <f t="shared" si="281"/>
        <v>0</v>
      </c>
      <c r="AJ466" s="25">
        <f t="shared" si="282"/>
        <v>0</v>
      </c>
    </row>
    <row r="467" spans="1:36">
      <c r="A467">
        <f t="shared" si="263"/>
        <v>-1</v>
      </c>
      <c r="B467">
        <f t="shared" si="271"/>
        <v>6</v>
      </c>
      <c r="C467">
        <f t="shared" si="249"/>
        <v>300</v>
      </c>
      <c r="D467">
        <f t="shared" si="264"/>
        <v>0</v>
      </c>
      <c r="E467">
        <f t="shared" si="283"/>
        <v>5</v>
      </c>
      <c r="F467">
        <f t="shared" si="250"/>
        <v>360</v>
      </c>
      <c r="G467">
        <f t="shared" si="265"/>
        <v>0</v>
      </c>
      <c r="H467">
        <f t="shared" si="272"/>
        <v>4</v>
      </c>
      <c r="I467">
        <f t="shared" si="251"/>
        <v>360</v>
      </c>
      <c r="J467">
        <f t="shared" si="266"/>
        <v>0</v>
      </c>
      <c r="K467">
        <f t="shared" si="273"/>
        <v>3</v>
      </c>
      <c r="L467">
        <f t="shared" si="252"/>
        <v>360</v>
      </c>
      <c r="M467">
        <f t="shared" si="267"/>
        <v>0</v>
      </c>
      <c r="N467">
        <f t="shared" si="274"/>
        <v>2</v>
      </c>
      <c r="O467">
        <f t="shared" si="253"/>
        <v>300</v>
      </c>
      <c r="P467">
        <f t="shared" si="275"/>
        <v>0</v>
      </c>
      <c r="Q467">
        <f t="shared" si="276"/>
        <v>2</v>
      </c>
      <c r="R467">
        <f t="shared" si="254"/>
        <v>300</v>
      </c>
      <c r="S467">
        <f t="shared" si="277"/>
        <v>0</v>
      </c>
      <c r="T467">
        <f t="shared" si="278"/>
        <v>-1</v>
      </c>
      <c r="U467">
        <f t="shared" si="268"/>
        <v>1</v>
      </c>
      <c r="V467">
        <f t="shared" si="269"/>
        <v>1</v>
      </c>
      <c r="W467">
        <f t="shared" si="255"/>
        <v>0</v>
      </c>
      <c r="X467">
        <f t="shared" si="279"/>
        <v>0</v>
      </c>
      <c r="Y467">
        <f t="shared" si="256"/>
        <v>0</v>
      </c>
      <c r="Z467">
        <f t="shared" si="257"/>
        <v>0</v>
      </c>
      <c r="AA467">
        <f t="shared" si="258"/>
        <v>0</v>
      </c>
      <c r="AB467" s="29">
        <f t="shared" si="259"/>
        <v>0</v>
      </c>
      <c r="AC467" s="25">
        <f t="shared" si="260"/>
        <v>0</v>
      </c>
      <c r="AD467" s="29">
        <f t="shared" si="261"/>
        <v>0</v>
      </c>
      <c r="AE467" s="25">
        <f t="shared" si="270"/>
        <v>0</v>
      </c>
      <c r="AF467" s="25">
        <f t="shared" si="262"/>
        <v>0</v>
      </c>
      <c r="AG467" s="25">
        <f>IF($A467&lt;0,0,IF(instatk="bs",(1.5+talSCallInstBon)*(MHavg+(ap+Z467-$Z$1)/APtoDPS*MHnorm+170)*(1+sa*0.1+0.04*opp+0.02*agg+Slayer4value-1),IF(instatk="hemo",Slayer4value*(MHavg+(ap+Z467-$Z$1)/APtoDPS*MHnorm)*(1.1+talSCallInstBon)+420*(1+raidcrit)*debuffon,IF(instatk="ss",(MHavg+(ap+Z467-$Z$1)/APtoDPS*MHnorm+98)*(1+sa*0.1+0.02*agg+Slayer4value-1),IF(instatk="v",(ohavg+(ap+Z467-$Z$1)/APtoDPS*OHnorm)*(1+sa*0.1)*(0.5+0.05*dws)+avipdam,Slayer4value*((1+0.04*opp)*(MHavg+101+(ap+Z467-$Z$1)/APtoDPS*MHnorm+(0.5+0.05*dws)*(ohavg+(ap+Z467-$Z$1)/APtoDPS*OHnorm)+101*(1+0.1*dws))*(1+0.5*IF(Talents!$O$18="Yes",1,0)))))))*(instactualhit+(1+((leth*0.06+2)-1)*(cfact-1))*instactualcrit)*fwfactor*AB467*instsec*(AF467/$AN$45))</f>
        <v>0</v>
      </c>
      <c r="AH467" s="25">
        <f t="shared" si="280"/>
        <v>0</v>
      </c>
      <c r="AI467" s="25">
        <f t="shared" si="281"/>
        <v>0</v>
      </c>
      <c r="AJ467" s="25">
        <f t="shared" si="282"/>
        <v>0</v>
      </c>
    </row>
    <row r="468" spans="1:36">
      <c r="A468">
        <f t="shared" si="263"/>
        <v>-1</v>
      </c>
      <c r="B468">
        <f t="shared" si="271"/>
        <v>6</v>
      </c>
      <c r="C468">
        <f t="shared" si="249"/>
        <v>300</v>
      </c>
      <c r="D468">
        <f t="shared" si="264"/>
        <v>0</v>
      </c>
      <c r="E468">
        <f t="shared" si="283"/>
        <v>5</v>
      </c>
      <c r="F468">
        <f t="shared" si="250"/>
        <v>360</v>
      </c>
      <c r="G468">
        <f t="shared" si="265"/>
        <v>0</v>
      </c>
      <c r="H468">
        <f t="shared" si="272"/>
        <v>4</v>
      </c>
      <c r="I468">
        <f t="shared" si="251"/>
        <v>360</v>
      </c>
      <c r="J468">
        <f t="shared" si="266"/>
        <v>0</v>
      </c>
      <c r="K468">
        <f t="shared" si="273"/>
        <v>3</v>
      </c>
      <c r="L468">
        <f t="shared" si="252"/>
        <v>360</v>
      </c>
      <c r="M468">
        <f t="shared" si="267"/>
        <v>0</v>
      </c>
      <c r="N468">
        <f t="shared" si="274"/>
        <v>2</v>
      </c>
      <c r="O468">
        <f t="shared" si="253"/>
        <v>300</v>
      </c>
      <c r="P468">
        <f t="shared" si="275"/>
        <v>0</v>
      </c>
      <c r="Q468">
        <f t="shared" si="276"/>
        <v>2</v>
      </c>
      <c r="R468">
        <f t="shared" si="254"/>
        <v>300</v>
      </c>
      <c r="S468">
        <f t="shared" si="277"/>
        <v>0</v>
      </c>
      <c r="T468">
        <f t="shared" si="278"/>
        <v>-1</v>
      </c>
      <c r="U468">
        <f t="shared" si="268"/>
        <v>1</v>
      </c>
      <c r="V468">
        <f t="shared" si="269"/>
        <v>1</v>
      </c>
      <c r="W468">
        <f t="shared" si="255"/>
        <v>0</v>
      </c>
      <c r="X468">
        <f t="shared" si="279"/>
        <v>0</v>
      </c>
      <c r="Y468">
        <f t="shared" si="256"/>
        <v>0</v>
      </c>
      <c r="Z468">
        <f t="shared" si="257"/>
        <v>0</v>
      </c>
      <c r="AA468">
        <f t="shared" si="258"/>
        <v>0</v>
      </c>
      <c r="AB468" s="29">
        <f t="shared" si="259"/>
        <v>0</v>
      </c>
      <c r="AC468" s="25">
        <f t="shared" si="260"/>
        <v>0</v>
      </c>
      <c r="AD468" s="29">
        <f t="shared" si="261"/>
        <v>0</v>
      </c>
      <c r="AE468" s="25">
        <f t="shared" si="270"/>
        <v>0</v>
      </c>
      <c r="AF468" s="25">
        <f t="shared" si="262"/>
        <v>0</v>
      </c>
      <c r="AG468" s="25">
        <f>IF($A468&lt;0,0,IF(instatk="bs",(1.5+talSCallInstBon)*(MHavg+(ap+Z468-$Z$1)/APtoDPS*MHnorm+170)*(1+sa*0.1+0.04*opp+0.02*agg+Slayer4value-1),IF(instatk="hemo",Slayer4value*(MHavg+(ap+Z468-$Z$1)/APtoDPS*MHnorm)*(1.1+talSCallInstBon)+420*(1+raidcrit)*debuffon,IF(instatk="ss",(MHavg+(ap+Z468-$Z$1)/APtoDPS*MHnorm+98)*(1+sa*0.1+0.02*agg+Slayer4value-1),IF(instatk="v",(ohavg+(ap+Z468-$Z$1)/APtoDPS*OHnorm)*(1+sa*0.1)*(0.5+0.05*dws)+avipdam,Slayer4value*((1+0.04*opp)*(MHavg+101+(ap+Z468-$Z$1)/APtoDPS*MHnorm+(0.5+0.05*dws)*(ohavg+(ap+Z468-$Z$1)/APtoDPS*OHnorm)+101*(1+0.1*dws))*(1+0.5*IF(Talents!$O$18="Yes",1,0)))))))*(instactualhit+(1+((leth*0.06+2)-1)*(cfact-1))*instactualcrit)*fwfactor*AB468*instsec*(AF468/$AN$45))</f>
        <v>0</v>
      </c>
      <c r="AH468" s="25">
        <f t="shared" si="280"/>
        <v>0</v>
      </c>
      <c r="AI468" s="25">
        <f t="shared" si="281"/>
        <v>0</v>
      </c>
      <c r="AJ468" s="25">
        <f t="shared" si="282"/>
        <v>0</v>
      </c>
    </row>
    <row r="469" spans="1:36">
      <c r="A469">
        <f t="shared" si="263"/>
        <v>-1</v>
      </c>
      <c r="B469">
        <f t="shared" si="271"/>
        <v>6</v>
      </c>
      <c r="C469">
        <f t="shared" si="249"/>
        <v>300</v>
      </c>
      <c r="D469">
        <f t="shared" si="264"/>
        <v>0</v>
      </c>
      <c r="E469">
        <f t="shared" si="283"/>
        <v>5</v>
      </c>
      <c r="F469">
        <f t="shared" si="250"/>
        <v>360</v>
      </c>
      <c r="G469">
        <f t="shared" si="265"/>
        <v>0</v>
      </c>
      <c r="H469">
        <f t="shared" si="272"/>
        <v>4</v>
      </c>
      <c r="I469">
        <f t="shared" si="251"/>
        <v>360</v>
      </c>
      <c r="J469">
        <f t="shared" si="266"/>
        <v>0</v>
      </c>
      <c r="K469">
        <f t="shared" si="273"/>
        <v>3</v>
      </c>
      <c r="L469">
        <f t="shared" si="252"/>
        <v>360</v>
      </c>
      <c r="M469">
        <f t="shared" si="267"/>
        <v>0</v>
      </c>
      <c r="N469">
        <f t="shared" si="274"/>
        <v>2</v>
      </c>
      <c r="O469">
        <f t="shared" si="253"/>
        <v>300</v>
      </c>
      <c r="P469">
        <f t="shared" si="275"/>
        <v>0</v>
      </c>
      <c r="Q469">
        <f t="shared" si="276"/>
        <v>2</v>
      </c>
      <c r="R469">
        <f t="shared" si="254"/>
        <v>300</v>
      </c>
      <c r="S469">
        <f t="shared" si="277"/>
        <v>0</v>
      </c>
      <c r="T469">
        <f t="shared" si="278"/>
        <v>-1</v>
      </c>
      <c r="U469">
        <f t="shared" si="268"/>
        <v>1</v>
      </c>
      <c r="V469">
        <f t="shared" si="269"/>
        <v>1</v>
      </c>
      <c r="W469">
        <f t="shared" si="255"/>
        <v>0</v>
      </c>
      <c r="X469">
        <f t="shared" si="279"/>
        <v>0</v>
      </c>
      <c r="Y469">
        <f t="shared" si="256"/>
        <v>0</v>
      </c>
      <c r="Z469">
        <f t="shared" si="257"/>
        <v>0</v>
      </c>
      <c r="AA469">
        <f t="shared" si="258"/>
        <v>0</v>
      </c>
      <c r="AB469" s="29">
        <f t="shared" si="259"/>
        <v>0</v>
      </c>
      <c r="AC469" s="25">
        <f t="shared" si="260"/>
        <v>0</v>
      </c>
      <c r="AD469" s="29">
        <f t="shared" si="261"/>
        <v>0</v>
      </c>
      <c r="AE469" s="25">
        <f t="shared" si="270"/>
        <v>0</v>
      </c>
      <c r="AF469" s="25">
        <f t="shared" si="262"/>
        <v>0</v>
      </c>
      <c r="AG469" s="25">
        <f>IF($A469&lt;0,0,IF(instatk="bs",(1.5+talSCallInstBon)*(MHavg+(ap+Z469-$Z$1)/APtoDPS*MHnorm+170)*(1+sa*0.1+0.04*opp+0.02*agg+Slayer4value-1),IF(instatk="hemo",Slayer4value*(MHavg+(ap+Z469-$Z$1)/APtoDPS*MHnorm)*(1.1+talSCallInstBon)+420*(1+raidcrit)*debuffon,IF(instatk="ss",(MHavg+(ap+Z469-$Z$1)/APtoDPS*MHnorm+98)*(1+sa*0.1+0.02*agg+Slayer4value-1),IF(instatk="v",(ohavg+(ap+Z469-$Z$1)/APtoDPS*OHnorm)*(1+sa*0.1)*(0.5+0.05*dws)+avipdam,Slayer4value*((1+0.04*opp)*(MHavg+101+(ap+Z469-$Z$1)/APtoDPS*MHnorm+(0.5+0.05*dws)*(ohavg+(ap+Z469-$Z$1)/APtoDPS*OHnorm)+101*(1+0.1*dws))*(1+0.5*IF(Talents!$O$18="Yes",1,0)))))))*(instactualhit+(1+((leth*0.06+2)-1)*(cfact-1))*instactualcrit)*fwfactor*AB469*instsec*(AF469/$AN$45))</f>
        <v>0</v>
      </c>
      <c r="AH469" s="25">
        <f t="shared" si="280"/>
        <v>0</v>
      </c>
      <c r="AI469" s="25">
        <f t="shared" si="281"/>
        <v>0</v>
      </c>
      <c r="AJ469" s="25">
        <f t="shared" si="282"/>
        <v>0</v>
      </c>
    </row>
    <row r="470" spans="1:36">
      <c r="A470">
        <f t="shared" si="263"/>
        <v>-1</v>
      </c>
      <c r="B470">
        <f t="shared" si="271"/>
        <v>6</v>
      </c>
      <c r="C470">
        <f t="shared" si="249"/>
        <v>300</v>
      </c>
      <c r="D470">
        <f t="shared" si="264"/>
        <v>0</v>
      </c>
      <c r="E470">
        <f t="shared" si="283"/>
        <v>5</v>
      </c>
      <c r="F470">
        <f t="shared" si="250"/>
        <v>360</v>
      </c>
      <c r="G470">
        <f t="shared" si="265"/>
        <v>0</v>
      </c>
      <c r="H470">
        <f t="shared" si="272"/>
        <v>4</v>
      </c>
      <c r="I470">
        <f t="shared" si="251"/>
        <v>360</v>
      </c>
      <c r="J470">
        <f t="shared" si="266"/>
        <v>0</v>
      </c>
      <c r="K470">
        <f t="shared" si="273"/>
        <v>3</v>
      </c>
      <c r="L470">
        <f t="shared" si="252"/>
        <v>360</v>
      </c>
      <c r="M470">
        <f t="shared" si="267"/>
        <v>0</v>
      </c>
      <c r="N470">
        <f t="shared" si="274"/>
        <v>2</v>
      </c>
      <c r="O470">
        <f t="shared" si="253"/>
        <v>300</v>
      </c>
      <c r="P470">
        <f t="shared" si="275"/>
        <v>0</v>
      </c>
      <c r="Q470">
        <f t="shared" si="276"/>
        <v>2</v>
      </c>
      <c r="R470">
        <f t="shared" si="254"/>
        <v>300</v>
      </c>
      <c r="S470">
        <f t="shared" si="277"/>
        <v>0</v>
      </c>
      <c r="T470">
        <f t="shared" si="278"/>
        <v>-1</v>
      </c>
      <c r="U470">
        <f t="shared" si="268"/>
        <v>1</v>
      </c>
      <c r="V470">
        <f t="shared" si="269"/>
        <v>1</v>
      </c>
      <c r="W470">
        <f t="shared" si="255"/>
        <v>0</v>
      </c>
      <c r="X470">
        <f t="shared" si="279"/>
        <v>0</v>
      </c>
      <c r="Y470">
        <f t="shared" si="256"/>
        <v>0</v>
      </c>
      <c r="Z470">
        <f t="shared" si="257"/>
        <v>0</v>
      </c>
      <c r="AA470">
        <f t="shared" si="258"/>
        <v>0</v>
      </c>
      <c r="AB470" s="29">
        <f t="shared" si="259"/>
        <v>0</v>
      </c>
      <c r="AC470" s="25">
        <f t="shared" si="260"/>
        <v>0</v>
      </c>
      <c r="AD470" s="29">
        <f t="shared" si="261"/>
        <v>0</v>
      </c>
      <c r="AE470" s="25">
        <f t="shared" si="270"/>
        <v>0</v>
      </c>
      <c r="AF470" s="25">
        <f t="shared" si="262"/>
        <v>0</v>
      </c>
      <c r="AG470" s="25">
        <f>IF($A470&lt;0,0,IF(instatk="bs",(1.5+talSCallInstBon)*(MHavg+(ap+Z470-$Z$1)/APtoDPS*MHnorm+170)*(1+sa*0.1+0.04*opp+0.02*agg+Slayer4value-1),IF(instatk="hemo",Slayer4value*(MHavg+(ap+Z470-$Z$1)/APtoDPS*MHnorm)*(1.1+talSCallInstBon)+420*(1+raidcrit)*debuffon,IF(instatk="ss",(MHavg+(ap+Z470-$Z$1)/APtoDPS*MHnorm+98)*(1+sa*0.1+0.02*agg+Slayer4value-1),IF(instatk="v",(ohavg+(ap+Z470-$Z$1)/APtoDPS*OHnorm)*(1+sa*0.1)*(0.5+0.05*dws)+avipdam,Slayer4value*((1+0.04*opp)*(MHavg+101+(ap+Z470-$Z$1)/APtoDPS*MHnorm+(0.5+0.05*dws)*(ohavg+(ap+Z470-$Z$1)/APtoDPS*OHnorm)+101*(1+0.1*dws))*(1+0.5*IF(Talents!$O$18="Yes",1,0)))))))*(instactualhit+(1+((leth*0.06+2)-1)*(cfact-1))*instactualcrit)*fwfactor*AB470*instsec*(AF470/$AN$45))</f>
        <v>0</v>
      </c>
      <c r="AH470" s="25">
        <f t="shared" si="280"/>
        <v>0</v>
      </c>
      <c r="AI470" s="25">
        <f t="shared" si="281"/>
        <v>0</v>
      </c>
      <c r="AJ470" s="25">
        <f t="shared" si="282"/>
        <v>0</v>
      </c>
    </row>
    <row r="471" spans="1:36">
      <c r="A471">
        <f t="shared" si="263"/>
        <v>-1</v>
      </c>
      <c r="B471">
        <f t="shared" si="271"/>
        <v>6</v>
      </c>
      <c r="C471">
        <f t="shared" si="249"/>
        <v>300</v>
      </c>
      <c r="D471">
        <f t="shared" si="264"/>
        <v>0</v>
      </c>
      <c r="E471">
        <f t="shared" si="283"/>
        <v>5</v>
      </c>
      <c r="F471">
        <f t="shared" si="250"/>
        <v>360</v>
      </c>
      <c r="G471">
        <f t="shared" si="265"/>
        <v>0</v>
      </c>
      <c r="H471">
        <f t="shared" si="272"/>
        <v>4</v>
      </c>
      <c r="I471">
        <f t="shared" si="251"/>
        <v>360</v>
      </c>
      <c r="J471">
        <f t="shared" si="266"/>
        <v>0</v>
      </c>
      <c r="K471">
        <f t="shared" si="273"/>
        <v>3</v>
      </c>
      <c r="L471">
        <f t="shared" si="252"/>
        <v>360</v>
      </c>
      <c r="M471">
        <f t="shared" si="267"/>
        <v>0</v>
      </c>
      <c r="N471">
        <f t="shared" si="274"/>
        <v>2</v>
      </c>
      <c r="O471">
        <f t="shared" si="253"/>
        <v>300</v>
      </c>
      <c r="P471">
        <f t="shared" si="275"/>
        <v>0</v>
      </c>
      <c r="Q471">
        <f t="shared" si="276"/>
        <v>2</v>
      </c>
      <c r="R471">
        <f t="shared" si="254"/>
        <v>300</v>
      </c>
      <c r="S471">
        <f t="shared" si="277"/>
        <v>0</v>
      </c>
      <c r="T471">
        <f t="shared" si="278"/>
        <v>-1</v>
      </c>
      <c r="U471">
        <f t="shared" si="268"/>
        <v>1</v>
      </c>
      <c r="V471">
        <f t="shared" si="269"/>
        <v>1</v>
      </c>
      <c r="W471">
        <f t="shared" si="255"/>
        <v>0</v>
      </c>
      <c r="X471">
        <f t="shared" si="279"/>
        <v>0</v>
      </c>
      <c r="Y471">
        <f t="shared" si="256"/>
        <v>0</v>
      </c>
      <c r="Z471">
        <f t="shared" si="257"/>
        <v>0</v>
      </c>
      <c r="AA471">
        <f t="shared" si="258"/>
        <v>0</v>
      </c>
      <c r="AB471" s="29">
        <f t="shared" si="259"/>
        <v>0</v>
      </c>
      <c r="AC471" s="25">
        <f t="shared" si="260"/>
        <v>0</v>
      </c>
      <c r="AD471" s="29">
        <f t="shared" si="261"/>
        <v>0</v>
      </c>
      <c r="AE471" s="25">
        <f t="shared" si="270"/>
        <v>0</v>
      </c>
      <c r="AF471" s="25">
        <f t="shared" si="262"/>
        <v>0</v>
      </c>
      <c r="AG471" s="25">
        <f>IF($A471&lt;0,0,IF(instatk="bs",(1.5+talSCallInstBon)*(MHavg+(ap+Z471-$Z$1)/APtoDPS*MHnorm+170)*(1+sa*0.1+0.04*opp+0.02*agg+Slayer4value-1),IF(instatk="hemo",Slayer4value*(MHavg+(ap+Z471-$Z$1)/APtoDPS*MHnorm)*(1.1+talSCallInstBon)+420*(1+raidcrit)*debuffon,IF(instatk="ss",(MHavg+(ap+Z471-$Z$1)/APtoDPS*MHnorm+98)*(1+sa*0.1+0.02*agg+Slayer4value-1),IF(instatk="v",(ohavg+(ap+Z471-$Z$1)/APtoDPS*OHnorm)*(1+sa*0.1)*(0.5+0.05*dws)+avipdam,Slayer4value*((1+0.04*opp)*(MHavg+101+(ap+Z471-$Z$1)/APtoDPS*MHnorm+(0.5+0.05*dws)*(ohavg+(ap+Z471-$Z$1)/APtoDPS*OHnorm)+101*(1+0.1*dws))*(1+0.5*IF(Talents!$O$18="Yes",1,0)))))))*(instactualhit+(1+((leth*0.06+2)-1)*(cfact-1))*instactualcrit)*fwfactor*AB471*instsec*(AF471/$AN$45))</f>
        <v>0</v>
      </c>
      <c r="AH471" s="25">
        <f t="shared" si="280"/>
        <v>0</v>
      </c>
      <c r="AI471" s="25">
        <f t="shared" si="281"/>
        <v>0</v>
      </c>
      <c r="AJ471" s="25">
        <f t="shared" si="282"/>
        <v>0</v>
      </c>
    </row>
    <row r="472" spans="1:36">
      <c r="A472">
        <f t="shared" si="263"/>
        <v>-1</v>
      </c>
      <c r="B472">
        <f t="shared" si="271"/>
        <v>6</v>
      </c>
      <c r="C472">
        <f t="shared" si="249"/>
        <v>300</v>
      </c>
      <c r="D472">
        <f t="shared" si="264"/>
        <v>0</v>
      </c>
      <c r="E472">
        <f t="shared" si="283"/>
        <v>5</v>
      </c>
      <c r="F472">
        <f t="shared" si="250"/>
        <v>360</v>
      </c>
      <c r="G472">
        <f t="shared" si="265"/>
        <v>0</v>
      </c>
      <c r="H472">
        <f t="shared" si="272"/>
        <v>4</v>
      </c>
      <c r="I472">
        <f t="shared" si="251"/>
        <v>360</v>
      </c>
      <c r="J472">
        <f t="shared" si="266"/>
        <v>0</v>
      </c>
      <c r="K472">
        <f t="shared" si="273"/>
        <v>3</v>
      </c>
      <c r="L472">
        <f t="shared" si="252"/>
        <v>360</v>
      </c>
      <c r="M472">
        <f t="shared" si="267"/>
        <v>0</v>
      </c>
      <c r="N472">
        <f t="shared" si="274"/>
        <v>2</v>
      </c>
      <c r="O472">
        <f t="shared" si="253"/>
        <v>300</v>
      </c>
      <c r="P472">
        <f t="shared" si="275"/>
        <v>0</v>
      </c>
      <c r="Q472">
        <f t="shared" si="276"/>
        <v>2</v>
      </c>
      <c r="R472">
        <f t="shared" si="254"/>
        <v>300</v>
      </c>
      <c r="S472">
        <f t="shared" si="277"/>
        <v>0</v>
      </c>
      <c r="T472">
        <f t="shared" si="278"/>
        <v>-1</v>
      </c>
      <c r="U472">
        <f t="shared" si="268"/>
        <v>1</v>
      </c>
      <c r="V472">
        <f t="shared" si="269"/>
        <v>1</v>
      </c>
      <c r="W472">
        <f t="shared" si="255"/>
        <v>0</v>
      </c>
      <c r="X472">
        <f t="shared" si="279"/>
        <v>0</v>
      </c>
      <c r="Y472">
        <f t="shared" si="256"/>
        <v>0</v>
      </c>
      <c r="Z472">
        <f t="shared" si="257"/>
        <v>0</v>
      </c>
      <c r="AA472">
        <f t="shared" si="258"/>
        <v>0</v>
      </c>
      <c r="AB472" s="29">
        <f t="shared" si="259"/>
        <v>0</v>
      </c>
      <c r="AC472" s="25">
        <f t="shared" si="260"/>
        <v>0</v>
      </c>
      <c r="AD472" s="29">
        <f t="shared" si="261"/>
        <v>0</v>
      </c>
      <c r="AE472" s="25">
        <f t="shared" si="270"/>
        <v>0</v>
      </c>
      <c r="AF472" s="25">
        <f t="shared" si="262"/>
        <v>0</v>
      </c>
      <c r="AG472" s="25">
        <f>IF($A472&lt;0,0,IF(instatk="bs",(1.5+talSCallInstBon)*(MHavg+(ap+Z472-$Z$1)/APtoDPS*MHnorm+170)*(1+sa*0.1+0.04*opp+0.02*agg+Slayer4value-1),IF(instatk="hemo",Slayer4value*(MHavg+(ap+Z472-$Z$1)/APtoDPS*MHnorm)*(1.1+talSCallInstBon)+420*(1+raidcrit)*debuffon,IF(instatk="ss",(MHavg+(ap+Z472-$Z$1)/APtoDPS*MHnorm+98)*(1+sa*0.1+0.02*agg+Slayer4value-1),IF(instatk="v",(ohavg+(ap+Z472-$Z$1)/APtoDPS*OHnorm)*(1+sa*0.1)*(0.5+0.05*dws)+avipdam,Slayer4value*((1+0.04*opp)*(MHavg+101+(ap+Z472-$Z$1)/APtoDPS*MHnorm+(0.5+0.05*dws)*(ohavg+(ap+Z472-$Z$1)/APtoDPS*OHnorm)+101*(1+0.1*dws))*(1+0.5*IF(Talents!$O$18="Yes",1,0)))))))*(instactualhit+(1+((leth*0.06+2)-1)*(cfact-1))*instactualcrit)*fwfactor*AB472*instsec*(AF472/$AN$45))</f>
        <v>0</v>
      </c>
      <c r="AH472" s="25">
        <f t="shared" si="280"/>
        <v>0</v>
      </c>
      <c r="AI472" s="25">
        <f t="shared" si="281"/>
        <v>0</v>
      </c>
      <c r="AJ472" s="25">
        <f t="shared" si="282"/>
        <v>0</v>
      </c>
    </row>
    <row r="473" spans="1:36">
      <c r="A473">
        <f t="shared" si="263"/>
        <v>-1</v>
      </c>
      <c r="B473">
        <f t="shared" si="271"/>
        <v>6</v>
      </c>
      <c r="C473">
        <f t="shared" si="249"/>
        <v>300</v>
      </c>
      <c r="D473">
        <f t="shared" si="264"/>
        <v>0</v>
      </c>
      <c r="E473">
        <f t="shared" si="283"/>
        <v>5</v>
      </c>
      <c r="F473">
        <f t="shared" si="250"/>
        <v>360</v>
      </c>
      <c r="G473">
        <f t="shared" si="265"/>
        <v>0</v>
      </c>
      <c r="H473">
        <f t="shared" si="272"/>
        <v>4</v>
      </c>
      <c r="I473">
        <f t="shared" si="251"/>
        <v>360</v>
      </c>
      <c r="J473">
        <f t="shared" si="266"/>
        <v>0</v>
      </c>
      <c r="K473">
        <f t="shared" si="273"/>
        <v>3</v>
      </c>
      <c r="L473">
        <f t="shared" si="252"/>
        <v>360</v>
      </c>
      <c r="M473">
        <f t="shared" si="267"/>
        <v>0</v>
      </c>
      <c r="N473">
        <f t="shared" si="274"/>
        <v>2</v>
      </c>
      <c r="O473">
        <f t="shared" si="253"/>
        <v>300</v>
      </c>
      <c r="P473">
        <f t="shared" si="275"/>
        <v>0</v>
      </c>
      <c r="Q473">
        <f t="shared" si="276"/>
        <v>2</v>
      </c>
      <c r="R473">
        <f t="shared" si="254"/>
        <v>300</v>
      </c>
      <c r="S473">
        <f t="shared" si="277"/>
        <v>0</v>
      </c>
      <c r="T473">
        <f t="shared" si="278"/>
        <v>-1</v>
      </c>
      <c r="U473">
        <f t="shared" si="268"/>
        <v>1</v>
      </c>
      <c r="V473">
        <f t="shared" si="269"/>
        <v>1</v>
      </c>
      <c r="W473">
        <f t="shared" si="255"/>
        <v>0</v>
      </c>
      <c r="X473">
        <f t="shared" si="279"/>
        <v>0</v>
      </c>
      <c r="Y473">
        <f t="shared" si="256"/>
        <v>0</v>
      </c>
      <c r="Z473">
        <f t="shared" si="257"/>
        <v>0</v>
      </c>
      <c r="AA473">
        <f t="shared" si="258"/>
        <v>0</v>
      </c>
      <c r="AB473" s="29">
        <f t="shared" si="259"/>
        <v>0</v>
      </c>
      <c r="AC473" s="25">
        <f t="shared" si="260"/>
        <v>0</v>
      </c>
      <c r="AD473" s="29">
        <f t="shared" si="261"/>
        <v>0</v>
      </c>
      <c r="AE473" s="25">
        <f t="shared" si="270"/>
        <v>0</v>
      </c>
      <c r="AF473" s="25">
        <f t="shared" si="262"/>
        <v>0</v>
      </c>
      <c r="AG473" s="25">
        <f>IF($A473&lt;0,0,IF(instatk="bs",(1.5+talSCallInstBon)*(MHavg+(ap+Z473-$Z$1)/APtoDPS*MHnorm+170)*(1+sa*0.1+0.04*opp+0.02*agg+Slayer4value-1),IF(instatk="hemo",Slayer4value*(MHavg+(ap+Z473-$Z$1)/APtoDPS*MHnorm)*(1.1+talSCallInstBon)+420*(1+raidcrit)*debuffon,IF(instatk="ss",(MHavg+(ap+Z473-$Z$1)/APtoDPS*MHnorm+98)*(1+sa*0.1+0.02*agg+Slayer4value-1),IF(instatk="v",(ohavg+(ap+Z473-$Z$1)/APtoDPS*OHnorm)*(1+sa*0.1)*(0.5+0.05*dws)+avipdam,Slayer4value*((1+0.04*opp)*(MHavg+101+(ap+Z473-$Z$1)/APtoDPS*MHnorm+(0.5+0.05*dws)*(ohavg+(ap+Z473-$Z$1)/APtoDPS*OHnorm)+101*(1+0.1*dws))*(1+0.5*IF(Talents!$O$18="Yes",1,0)))))))*(instactualhit+(1+((leth*0.06+2)-1)*(cfact-1))*instactualcrit)*fwfactor*AB473*instsec*(AF473/$AN$45))</f>
        <v>0</v>
      </c>
      <c r="AH473" s="25">
        <f t="shared" si="280"/>
        <v>0</v>
      </c>
      <c r="AI473" s="25">
        <f t="shared" si="281"/>
        <v>0</v>
      </c>
      <c r="AJ473" s="25">
        <f t="shared" si="282"/>
        <v>0</v>
      </c>
    </row>
    <row r="474" spans="1:36">
      <c r="A474">
        <f t="shared" si="263"/>
        <v>-1</v>
      </c>
      <c r="B474">
        <f t="shared" si="271"/>
        <v>6</v>
      </c>
      <c r="C474">
        <f t="shared" si="249"/>
        <v>300</v>
      </c>
      <c r="D474">
        <f t="shared" si="264"/>
        <v>0</v>
      </c>
      <c r="E474">
        <f t="shared" si="283"/>
        <v>5</v>
      </c>
      <c r="F474">
        <f t="shared" si="250"/>
        <v>360</v>
      </c>
      <c r="G474">
        <f t="shared" si="265"/>
        <v>0</v>
      </c>
      <c r="H474">
        <f t="shared" si="272"/>
        <v>4</v>
      </c>
      <c r="I474">
        <f t="shared" si="251"/>
        <v>360</v>
      </c>
      <c r="J474">
        <f t="shared" si="266"/>
        <v>0</v>
      </c>
      <c r="K474">
        <f t="shared" si="273"/>
        <v>3</v>
      </c>
      <c r="L474">
        <f t="shared" si="252"/>
        <v>360</v>
      </c>
      <c r="M474">
        <f t="shared" si="267"/>
        <v>0</v>
      </c>
      <c r="N474">
        <f t="shared" si="274"/>
        <v>2</v>
      </c>
      <c r="O474">
        <f t="shared" si="253"/>
        <v>300</v>
      </c>
      <c r="P474">
        <f t="shared" si="275"/>
        <v>0</v>
      </c>
      <c r="Q474">
        <f t="shared" si="276"/>
        <v>2</v>
      </c>
      <c r="R474">
        <f t="shared" si="254"/>
        <v>300</v>
      </c>
      <c r="S474">
        <f t="shared" si="277"/>
        <v>0</v>
      </c>
      <c r="T474">
        <f t="shared" si="278"/>
        <v>-1</v>
      </c>
      <c r="U474">
        <f t="shared" si="268"/>
        <v>1</v>
      </c>
      <c r="V474">
        <f t="shared" si="269"/>
        <v>1</v>
      </c>
      <c r="W474">
        <f t="shared" si="255"/>
        <v>0</v>
      </c>
      <c r="X474">
        <f t="shared" si="279"/>
        <v>0</v>
      </c>
      <c r="Y474">
        <f t="shared" si="256"/>
        <v>0</v>
      </c>
      <c r="Z474">
        <f t="shared" si="257"/>
        <v>0</v>
      </c>
      <c r="AA474">
        <f t="shared" si="258"/>
        <v>0</v>
      </c>
      <c r="AB474" s="29">
        <f t="shared" si="259"/>
        <v>0</v>
      </c>
      <c r="AC474" s="25">
        <f t="shared" si="260"/>
        <v>0</v>
      </c>
      <c r="AD474" s="29">
        <f t="shared" si="261"/>
        <v>0</v>
      </c>
      <c r="AE474" s="25">
        <f t="shared" si="270"/>
        <v>0</v>
      </c>
      <c r="AF474" s="25">
        <f t="shared" si="262"/>
        <v>0</v>
      </c>
      <c r="AG474" s="25">
        <f>IF($A474&lt;0,0,IF(instatk="bs",(1.5+talSCallInstBon)*(MHavg+(ap+Z474-$Z$1)/APtoDPS*MHnorm+170)*(1+sa*0.1+0.04*opp+0.02*agg+Slayer4value-1),IF(instatk="hemo",Slayer4value*(MHavg+(ap+Z474-$Z$1)/APtoDPS*MHnorm)*(1.1+talSCallInstBon)+420*(1+raidcrit)*debuffon,IF(instatk="ss",(MHavg+(ap+Z474-$Z$1)/APtoDPS*MHnorm+98)*(1+sa*0.1+0.02*agg+Slayer4value-1),IF(instatk="v",(ohavg+(ap+Z474-$Z$1)/APtoDPS*OHnorm)*(1+sa*0.1)*(0.5+0.05*dws)+avipdam,Slayer4value*((1+0.04*opp)*(MHavg+101+(ap+Z474-$Z$1)/APtoDPS*MHnorm+(0.5+0.05*dws)*(ohavg+(ap+Z474-$Z$1)/APtoDPS*OHnorm)+101*(1+0.1*dws))*(1+0.5*IF(Talents!$O$18="Yes",1,0)))))))*(instactualhit+(1+((leth*0.06+2)-1)*(cfact-1))*instactualcrit)*fwfactor*AB474*instsec*(AF474/$AN$45))</f>
        <v>0</v>
      </c>
      <c r="AH474" s="25">
        <f t="shared" si="280"/>
        <v>0</v>
      </c>
      <c r="AI474" s="25">
        <f t="shared" si="281"/>
        <v>0</v>
      </c>
      <c r="AJ474" s="25">
        <f t="shared" si="282"/>
        <v>0</v>
      </c>
    </row>
    <row r="475" spans="1:36">
      <c r="A475">
        <f t="shared" si="263"/>
        <v>-1</v>
      </c>
      <c r="B475">
        <f t="shared" si="271"/>
        <v>6</v>
      </c>
      <c r="C475">
        <f t="shared" si="249"/>
        <v>300</v>
      </c>
      <c r="D475">
        <f t="shared" si="264"/>
        <v>0</v>
      </c>
      <c r="E475">
        <f t="shared" si="283"/>
        <v>5</v>
      </c>
      <c r="F475">
        <f t="shared" si="250"/>
        <v>360</v>
      </c>
      <c r="G475">
        <f t="shared" si="265"/>
        <v>0</v>
      </c>
      <c r="H475">
        <f t="shared" si="272"/>
        <v>4</v>
      </c>
      <c r="I475">
        <f t="shared" si="251"/>
        <v>360</v>
      </c>
      <c r="J475">
        <f t="shared" si="266"/>
        <v>0</v>
      </c>
      <c r="K475">
        <f t="shared" si="273"/>
        <v>3</v>
      </c>
      <c r="L475">
        <f t="shared" si="252"/>
        <v>360</v>
      </c>
      <c r="M475">
        <f t="shared" si="267"/>
        <v>0</v>
      </c>
      <c r="N475">
        <f t="shared" si="274"/>
        <v>2</v>
      </c>
      <c r="O475">
        <f t="shared" si="253"/>
        <v>300</v>
      </c>
      <c r="P475">
        <f t="shared" si="275"/>
        <v>0</v>
      </c>
      <c r="Q475">
        <f t="shared" si="276"/>
        <v>2</v>
      </c>
      <c r="R475">
        <f t="shared" si="254"/>
        <v>300</v>
      </c>
      <c r="S475">
        <f t="shared" si="277"/>
        <v>0</v>
      </c>
      <c r="T475">
        <f t="shared" si="278"/>
        <v>-1</v>
      </c>
      <c r="U475">
        <f t="shared" si="268"/>
        <v>1</v>
      </c>
      <c r="V475">
        <f t="shared" si="269"/>
        <v>1</v>
      </c>
      <c r="W475">
        <f t="shared" si="255"/>
        <v>0</v>
      </c>
      <c r="X475">
        <f t="shared" si="279"/>
        <v>0</v>
      </c>
      <c r="Y475">
        <f t="shared" si="256"/>
        <v>0</v>
      </c>
      <c r="Z475">
        <f t="shared" si="257"/>
        <v>0</v>
      </c>
      <c r="AA475">
        <f t="shared" si="258"/>
        <v>0</v>
      </c>
      <c r="AB475" s="29">
        <f t="shared" si="259"/>
        <v>0</v>
      </c>
      <c r="AC475" s="25">
        <f t="shared" si="260"/>
        <v>0</v>
      </c>
      <c r="AD475" s="29">
        <f t="shared" si="261"/>
        <v>0</v>
      </c>
      <c r="AE475" s="25">
        <f t="shared" si="270"/>
        <v>0</v>
      </c>
      <c r="AF475" s="25">
        <f t="shared" si="262"/>
        <v>0</v>
      </c>
      <c r="AG475" s="25">
        <f>IF($A475&lt;0,0,IF(instatk="bs",(1.5+talSCallInstBon)*(MHavg+(ap+Z475-$Z$1)/APtoDPS*MHnorm+170)*(1+sa*0.1+0.04*opp+0.02*agg+Slayer4value-1),IF(instatk="hemo",Slayer4value*(MHavg+(ap+Z475-$Z$1)/APtoDPS*MHnorm)*(1.1+talSCallInstBon)+420*(1+raidcrit)*debuffon,IF(instatk="ss",(MHavg+(ap+Z475-$Z$1)/APtoDPS*MHnorm+98)*(1+sa*0.1+0.02*agg+Slayer4value-1),IF(instatk="v",(ohavg+(ap+Z475-$Z$1)/APtoDPS*OHnorm)*(1+sa*0.1)*(0.5+0.05*dws)+avipdam,Slayer4value*((1+0.04*opp)*(MHavg+101+(ap+Z475-$Z$1)/APtoDPS*MHnorm+(0.5+0.05*dws)*(ohavg+(ap+Z475-$Z$1)/APtoDPS*OHnorm)+101*(1+0.1*dws))*(1+0.5*IF(Talents!$O$18="Yes",1,0)))))))*(instactualhit+(1+((leth*0.06+2)-1)*(cfact-1))*instactualcrit)*fwfactor*AB475*instsec*(AF475/$AN$45))</f>
        <v>0</v>
      </c>
      <c r="AH475" s="25">
        <f t="shared" si="280"/>
        <v>0</v>
      </c>
      <c r="AI475" s="25">
        <f t="shared" si="281"/>
        <v>0</v>
      </c>
      <c r="AJ475" s="25">
        <f t="shared" si="282"/>
        <v>0</v>
      </c>
    </row>
    <row r="476" spans="1:36">
      <c r="A476">
        <f t="shared" si="263"/>
        <v>-1</v>
      </c>
      <c r="B476">
        <f t="shared" si="271"/>
        <v>6</v>
      </c>
      <c r="C476">
        <f t="shared" si="249"/>
        <v>300</v>
      </c>
      <c r="D476">
        <f t="shared" si="264"/>
        <v>0</v>
      </c>
      <c r="E476">
        <f t="shared" si="283"/>
        <v>5</v>
      </c>
      <c r="F476">
        <f t="shared" si="250"/>
        <v>360</v>
      </c>
      <c r="G476">
        <f t="shared" si="265"/>
        <v>0</v>
      </c>
      <c r="H476">
        <f t="shared" si="272"/>
        <v>4</v>
      </c>
      <c r="I476">
        <f t="shared" si="251"/>
        <v>360</v>
      </c>
      <c r="J476">
        <f t="shared" si="266"/>
        <v>0</v>
      </c>
      <c r="K476">
        <f t="shared" si="273"/>
        <v>3</v>
      </c>
      <c r="L476">
        <f t="shared" si="252"/>
        <v>360</v>
      </c>
      <c r="M476">
        <f t="shared" si="267"/>
        <v>0</v>
      </c>
      <c r="N476">
        <f t="shared" si="274"/>
        <v>2</v>
      </c>
      <c r="O476">
        <f t="shared" si="253"/>
        <v>300</v>
      </c>
      <c r="P476">
        <f t="shared" si="275"/>
        <v>0</v>
      </c>
      <c r="Q476">
        <f t="shared" si="276"/>
        <v>2</v>
      </c>
      <c r="R476">
        <f t="shared" si="254"/>
        <v>300</v>
      </c>
      <c r="S476">
        <f t="shared" si="277"/>
        <v>0</v>
      </c>
      <c r="T476">
        <f t="shared" si="278"/>
        <v>-1</v>
      </c>
      <c r="U476">
        <f t="shared" si="268"/>
        <v>1</v>
      </c>
      <c r="V476">
        <f t="shared" si="269"/>
        <v>1</v>
      </c>
      <c r="W476">
        <f t="shared" si="255"/>
        <v>0</v>
      </c>
      <c r="X476">
        <f t="shared" si="279"/>
        <v>0</v>
      </c>
      <c r="Y476">
        <f t="shared" si="256"/>
        <v>0</v>
      </c>
      <c r="Z476">
        <f t="shared" si="257"/>
        <v>0</v>
      </c>
      <c r="AA476">
        <f t="shared" si="258"/>
        <v>0</v>
      </c>
      <c r="AB476" s="29">
        <f t="shared" si="259"/>
        <v>0</v>
      </c>
      <c r="AC476" s="25">
        <f t="shared" si="260"/>
        <v>0</v>
      </c>
      <c r="AD476" s="29">
        <f t="shared" si="261"/>
        <v>0</v>
      </c>
      <c r="AE476" s="25">
        <f t="shared" si="270"/>
        <v>0</v>
      </c>
      <c r="AF476" s="25">
        <f t="shared" si="262"/>
        <v>0</v>
      </c>
      <c r="AG476" s="25">
        <f>IF($A476&lt;0,0,IF(instatk="bs",(1.5+talSCallInstBon)*(MHavg+(ap+Z476-$Z$1)/APtoDPS*MHnorm+170)*(1+sa*0.1+0.04*opp+0.02*agg+Slayer4value-1),IF(instatk="hemo",Slayer4value*(MHavg+(ap+Z476-$Z$1)/APtoDPS*MHnorm)*(1.1+talSCallInstBon)+420*(1+raidcrit)*debuffon,IF(instatk="ss",(MHavg+(ap+Z476-$Z$1)/APtoDPS*MHnorm+98)*(1+sa*0.1+0.02*agg+Slayer4value-1),IF(instatk="v",(ohavg+(ap+Z476-$Z$1)/APtoDPS*OHnorm)*(1+sa*0.1)*(0.5+0.05*dws)+avipdam,Slayer4value*((1+0.04*opp)*(MHavg+101+(ap+Z476-$Z$1)/APtoDPS*MHnorm+(0.5+0.05*dws)*(ohavg+(ap+Z476-$Z$1)/APtoDPS*OHnorm)+101*(1+0.1*dws))*(1+0.5*IF(Talents!$O$18="Yes",1,0)))))))*(instactualhit+(1+((leth*0.06+2)-1)*(cfact-1))*instactualcrit)*fwfactor*AB476*instsec*(AF476/$AN$45))</f>
        <v>0</v>
      </c>
      <c r="AH476" s="25">
        <f t="shared" si="280"/>
        <v>0</v>
      </c>
      <c r="AI476" s="25">
        <f t="shared" si="281"/>
        <v>0</v>
      </c>
      <c r="AJ476" s="25">
        <f t="shared" si="282"/>
        <v>0</v>
      </c>
    </row>
    <row r="477" spans="1:36">
      <c r="A477">
        <f t="shared" si="263"/>
        <v>-1</v>
      </c>
      <c r="B477">
        <f t="shared" si="271"/>
        <v>6</v>
      </c>
      <c r="C477">
        <f t="shared" si="249"/>
        <v>300</v>
      </c>
      <c r="D477">
        <f t="shared" si="264"/>
        <v>0</v>
      </c>
      <c r="E477">
        <f t="shared" si="283"/>
        <v>5</v>
      </c>
      <c r="F477">
        <f t="shared" si="250"/>
        <v>360</v>
      </c>
      <c r="G477">
        <f t="shared" si="265"/>
        <v>0</v>
      </c>
      <c r="H477">
        <f t="shared" si="272"/>
        <v>4</v>
      </c>
      <c r="I477">
        <f t="shared" si="251"/>
        <v>360</v>
      </c>
      <c r="J477">
        <f t="shared" si="266"/>
        <v>0</v>
      </c>
      <c r="K477">
        <f t="shared" si="273"/>
        <v>3</v>
      </c>
      <c r="L477">
        <f t="shared" si="252"/>
        <v>360</v>
      </c>
      <c r="M477">
        <f t="shared" si="267"/>
        <v>0</v>
      </c>
      <c r="N477">
        <f t="shared" si="274"/>
        <v>2</v>
      </c>
      <c r="O477">
        <f t="shared" si="253"/>
        <v>300</v>
      </c>
      <c r="P477">
        <f t="shared" si="275"/>
        <v>0</v>
      </c>
      <c r="Q477">
        <f t="shared" si="276"/>
        <v>2</v>
      </c>
      <c r="R477">
        <f t="shared" si="254"/>
        <v>300</v>
      </c>
      <c r="S477">
        <f t="shared" si="277"/>
        <v>0</v>
      </c>
      <c r="T477">
        <f t="shared" si="278"/>
        <v>-1</v>
      </c>
      <c r="U477">
        <f t="shared" si="268"/>
        <v>1</v>
      </c>
      <c r="V477">
        <f t="shared" si="269"/>
        <v>1</v>
      </c>
      <c r="W477">
        <f t="shared" si="255"/>
        <v>0</v>
      </c>
      <c r="X477">
        <f t="shared" si="279"/>
        <v>0</v>
      </c>
      <c r="Y477">
        <f t="shared" si="256"/>
        <v>0</v>
      </c>
      <c r="Z477">
        <f t="shared" si="257"/>
        <v>0</v>
      </c>
      <c r="AA477">
        <f t="shared" si="258"/>
        <v>0</v>
      </c>
      <c r="AB477" s="29">
        <f t="shared" si="259"/>
        <v>0</v>
      </c>
      <c r="AC477" s="25">
        <f t="shared" si="260"/>
        <v>0</v>
      </c>
      <c r="AD477" s="29">
        <f t="shared" si="261"/>
        <v>0</v>
      </c>
      <c r="AE477" s="25">
        <f t="shared" si="270"/>
        <v>0</v>
      </c>
      <c r="AF477" s="25">
        <f t="shared" si="262"/>
        <v>0</v>
      </c>
      <c r="AG477" s="25">
        <f>IF($A477&lt;0,0,IF(instatk="bs",(1.5+talSCallInstBon)*(MHavg+(ap+Z477-$Z$1)/APtoDPS*MHnorm+170)*(1+sa*0.1+0.04*opp+0.02*agg+Slayer4value-1),IF(instatk="hemo",Slayer4value*(MHavg+(ap+Z477-$Z$1)/APtoDPS*MHnorm)*(1.1+talSCallInstBon)+420*(1+raidcrit)*debuffon,IF(instatk="ss",(MHavg+(ap+Z477-$Z$1)/APtoDPS*MHnorm+98)*(1+sa*0.1+0.02*agg+Slayer4value-1),IF(instatk="v",(ohavg+(ap+Z477-$Z$1)/APtoDPS*OHnorm)*(1+sa*0.1)*(0.5+0.05*dws)+avipdam,Slayer4value*((1+0.04*opp)*(MHavg+101+(ap+Z477-$Z$1)/APtoDPS*MHnorm+(0.5+0.05*dws)*(ohavg+(ap+Z477-$Z$1)/APtoDPS*OHnorm)+101*(1+0.1*dws))*(1+0.5*IF(Talents!$O$18="Yes",1,0)))))))*(instactualhit+(1+((leth*0.06+2)-1)*(cfact-1))*instactualcrit)*fwfactor*AB477*instsec*(AF477/$AN$45))</f>
        <v>0</v>
      </c>
      <c r="AH477" s="25">
        <f t="shared" si="280"/>
        <v>0</v>
      </c>
      <c r="AI477" s="25">
        <f t="shared" si="281"/>
        <v>0</v>
      </c>
      <c r="AJ477" s="25">
        <f t="shared" si="282"/>
        <v>0</v>
      </c>
    </row>
    <row r="478" spans="1:36">
      <c r="A478">
        <f t="shared" si="263"/>
        <v>-1</v>
      </c>
      <c r="B478">
        <f t="shared" si="271"/>
        <v>6</v>
      </c>
      <c r="C478">
        <f t="shared" si="249"/>
        <v>300</v>
      </c>
      <c r="D478">
        <f t="shared" si="264"/>
        <v>0</v>
      </c>
      <c r="E478">
        <f t="shared" si="283"/>
        <v>5</v>
      </c>
      <c r="F478">
        <f t="shared" si="250"/>
        <v>360</v>
      </c>
      <c r="G478">
        <f t="shared" si="265"/>
        <v>0</v>
      </c>
      <c r="H478">
        <f t="shared" si="272"/>
        <v>4</v>
      </c>
      <c r="I478">
        <f t="shared" si="251"/>
        <v>360</v>
      </c>
      <c r="J478">
        <f t="shared" si="266"/>
        <v>0</v>
      </c>
      <c r="K478">
        <f t="shared" si="273"/>
        <v>3</v>
      </c>
      <c r="L478">
        <f t="shared" si="252"/>
        <v>360</v>
      </c>
      <c r="M478">
        <f t="shared" si="267"/>
        <v>0</v>
      </c>
      <c r="N478">
        <f t="shared" si="274"/>
        <v>2</v>
      </c>
      <c r="O478">
        <f t="shared" si="253"/>
        <v>300</v>
      </c>
      <c r="P478">
        <f t="shared" si="275"/>
        <v>0</v>
      </c>
      <c r="Q478">
        <f t="shared" si="276"/>
        <v>2</v>
      </c>
      <c r="R478">
        <f t="shared" si="254"/>
        <v>300</v>
      </c>
      <c r="S478">
        <f t="shared" si="277"/>
        <v>0</v>
      </c>
      <c r="T478">
        <f t="shared" si="278"/>
        <v>-1</v>
      </c>
      <c r="U478">
        <f t="shared" si="268"/>
        <v>1</v>
      </c>
      <c r="V478">
        <f t="shared" si="269"/>
        <v>1</v>
      </c>
      <c r="W478">
        <f t="shared" si="255"/>
        <v>0</v>
      </c>
      <c r="X478">
        <f t="shared" si="279"/>
        <v>0</v>
      </c>
      <c r="Y478">
        <f t="shared" si="256"/>
        <v>0</v>
      </c>
      <c r="Z478">
        <f t="shared" si="257"/>
        <v>0</v>
      </c>
      <c r="AA478">
        <f t="shared" si="258"/>
        <v>0</v>
      </c>
      <c r="AB478" s="29">
        <f t="shared" si="259"/>
        <v>0</v>
      </c>
      <c r="AC478" s="25">
        <f t="shared" si="260"/>
        <v>0</v>
      </c>
      <c r="AD478" s="29">
        <f t="shared" si="261"/>
        <v>0</v>
      </c>
      <c r="AE478" s="25">
        <f t="shared" si="270"/>
        <v>0</v>
      </c>
      <c r="AF478" s="25">
        <f t="shared" si="262"/>
        <v>0</v>
      </c>
      <c r="AG478" s="25">
        <f>IF($A478&lt;0,0,IF(instatk="bs",(1.5+talSCallInstBon)*(MHavg+(ap+Z478-$Z$1)/APtoDPS*MHnorm+170)*(1+sa*0.1+0.04*opp+0.02*agg+Slayer4value-1),IF(instatk="hemo",Slayer4value*(MHavg+(ap+Z478-$Z$1)/APtoDPS*MHnorm)*(1.1+talSCallInstBon)+420*(1+raidcrit)*debuffon,IF(instatk="ss",(MHavg+(ap+Z478-$Z$1)/APtoDPS*MHnorm+98)*(1+sa*0.1+0.02*agg+Slayer4value-1),IF(instatk="v",(ohavg+(ap+Z478-$Z$1)/APtoDPS*OHnorm)*(1+sa*0.1)*(0.5+0.05*dws)+avipdam,Slayer4value*((1+0.04*opp)*(MHavg+101+(ap+Z478-$Z$1)/APtoDPS*MHnorm+(0.5+0.05*dws)*(ohavg+(ap+Z478-$Z$1)/APtoDPS*OHnorm)+101*(1+0.1*dws))*(1+0.5*IF(Talents!$O$18="Yes",1,0)))))))*(instactualhit+(1+((leth*0.06+2)-1)*(cfact-1))*instactualcrit)*fwfactor*AB478*instsec*(AF478/$AN$45))</f>
        <v>0</v>
      </c>
      <c r="AH478" s="25">
        <f t="shared" si="280"/>
        <v>0</v>
      </c>
      <c r="AI478" s="25">
        <f t="shared" si="281"/>
        <v>0</v>
      </c>
      <c r="AJ478" s="25">
        <f t="shared" si="282"/>
        <v>0</v>
      </c>
    </row>
    <row r="479" spans="1:36">
      <c r="A479">
        <f t="shared" si="263"/>
        <v>-1</v>
      </c>
      <c r="B479">
        <f t="shared" si="271"/>
        <v>6</v>
      </c>
      <c r="C479">
        <f t="shared" si="249"/>
        <v>300</v>
      </c>
      <c r="D479">
        <f t="shared" si="264"/>
        <v>0</v>
      </c>
      <c r="E479">
        <f t="shared" si="283"/>
        <v>5</v>
      </c>
      <c r="F479">
        <f t="shared" si="250"/>
        <v>360</v>
      </c>
      <c r="G479">
        <f t="shared" si="265"/>
        <v>0</v>
      </c>
      <c r="H479">
        <f t="shared" si="272"/>
        <v>4</v>
      </c>
      <c r="I479">
        <f t="shared" si="251"/>
        <v>360</v>
      </c>
      <c r="J479">
        <f t="shared" si="266"/>
        <v>0</v>
      </c>
      <c r="K479">
        <f t="shared" si="273"/>
        <v>3</v>
      </c>
      <c r="L479">
        <f t="shared" si="252"/>
        <v>360</v>
      </c>
      <c r="M479">
        <f t="shared" si="267"/>
        <v>0</v>
      </c>
      <c r="N479">
        <f t="shared" si="274"/>
        <v>2</v>
      </c>
      <c r="O479">
        <f t="shared" si="253"/>
        <v>300</v>
      </c>
      <c r="P479">
        <f t="shared" si="275"/>
        <v>0</v>
      </c>
      <c r="Q479">
        <f t="shared" si="276"/>
        <v>2</v>
      </c>
      <c r="R479">
        <f t="shared" si="254"/>
        <v>300</v>
      </c>
      <c r="S479">
        <f t="shared" si="277"/>
        <v>0</v>
      </c>
      <c r="T479">
        <f t="shared" si="278"/>
        <v>-1</v>
      </c>
      <c r="U479">
        <f t="shared" si="268"/>
        <v>1</v>
      </c>
      <c r="V479">
        <f t="shared" si="269"/>
        <v>1</v>
      </c>
      <c r="W479">
        <f t="shared" si="255"/>
        <v>0</v>
      </c>
      <c r="X479">
        <f t="shared" si="279"/>
        <v>0</v>
      </c>
      <c r="Y479">
        <f t="shared" si="256"/>
        <v>0</v>
      </c>
      <c r="Z479">
        <f t="shared" si="257"/>
        <v>0</v>
      </c>
      <c r="AA479">
        <f t="shared" si="258"/>
        <v>0</v>
      </c>
      <c r="AB479" s="29">
        <f t="shared" si="259"/>
        <v>0</v>
      </c>
      <c r="AC479" s="25">
        <f t="shared" si="260"/>
        <v>0</v>
      </c>
      <c r="AD479" s="29">
        <f t="shared" si="261"/>
        <v>0</v>
      </c>
      <c r="AE479" s="25">
        <f t="shared" si="270"/>
        <v>0</v>
      </c>
      <c r="AF479" s="25">
        <f t="shared" si="262"/>
        <v>0</v>
      </c>
      <c r="AG479" s="25">
        <f>IF($A479&lt;0,0,IF(instatk="bs",(1.5+talSCallInstBon)*(MHavg+(ap+Z479-$Z$1)/APtoDPS*MHnorm+170)*(1+sa*0.1+0.04*opp+0.02*agg+Slayer4value-1),IF(instatk="hemo",Slayer4value*(MHavg+(ap+Z479-$Z$1)/APtoDPS*MHnorm)*(1.1+talSCallInstBon)+420*(1+raidcrit)*debuffon,IF(instatk="ss",(MHavg+(ap+Z479-$Z$1)/APtoDPS*MHnorm+98)*(1+sa*0.1+0.02*agg+Slayer4value-1),IF(instatk="v",(ohavg+(ap+Z479-$Z$1)/APtoDPS*OHnorm)*(1+sa*0.1)*(0.5+0.05*dws)+avipdam,Slayer4value*((1+0.04*opp)*(MHavg+101+(ap+Z479-$Z$1)/APtoDPS*MHnorm+(0.5+0.05*dws)*(ohavg+(ap+Z479-$Z$1)/APtoDPS*OHnorm)+101*(1+0.1*dws))*(1+0.5*IF(Talents!$O$18="Yes",1,0)))))))*(instactualhit+(1+((leth*0.06+2)-1)*(cfact-1))*instactualcrit)*fwfactor*AB479*instsec*(AF479/$AN$45))</f>
        <v>0</v>
      </c>
      <c r="AH479" s="25">
        <f t="shared" si="280"/>
        <v>0</v>
      </c>
      <c r="AI479" s="25">
        <f t="shared" si="281"/>
        <v>0</v>
      </c>
      <c r="AJ479" s="25">
        <f t="shared" si="282"/>
        <v>0</v>
      </c>
    </row>
    <row r="480" spans="1:36">
      <c r="A480">
        <f t="shared" si="263"/>
        <v>-1</v>
      </c>
      <c r="B480">
        <f t="shared" si="271"/>
        <v>6</v>
      </c>
      <c r="C480">
        <f t="shared" si="249"/>
        <v>300</v>
      </c>
      <c r="D480">
        <f t="shared" si="264"/>
        <v>0</v>
      </c>
      <c r="E480">
        <f t="shared" si="283"/>
        <v>5</v>
      </c>
      <c r="F480">
        <f t="shared" si="250"/>
        <v>360</v>
      </c>
      <c r="G480">
        <f t="shared" si="265"/>
        <v>0</v>
      </c>
      <c r="H480">
        <f t="shared" si="272"/>
        <v>4</v>
      </c>
      <c r="I480">
        <f t="shared" si="251"/>
        <v>360</v>
      </c>
      <c r="J480">
        <f t="shared" si="266"/>
        <v>0</v>
      </c>
      <c r="K480">
        <f t="shared" si="273"/>
        <v>3</v>
      </c>
      <c r="L480">
        <f t="shared" si="252"/>
        <v>360</v>
      </c>
      <c r="M480">
        <f t="shared" si="267"/>
        <v>0</v>
      </c>
      <c r="N480">
        <f t="shared" si="274"/>
        <v>2</v>
      </c>
      <c r="O480">
        <f t="shared" si="253"/>
        <v>300</v>
      </c>
      <c r="P480">
        <f t="shared" si="275"/>
        <v>0</v>
      </c>
      <c r="Q480">
        <f t="shared" si="276"/>
        <v>2</v>
      </c>
      <c r="R480">
        <f t="shared" si="254"/>
        <v>300</v>
      </c>
      <c r="S480">
        <f t="shared" si="277"/>
        <v>0</v>
      </c>
      <c r="T480">
        <f t="shared" si="278"/>
        <v>-1</v>
      </c>
      <c r="U480">
        <f t="shared" si="268"/>
        <v>1</v>
      </c>
      <c r="V480">
        <f t="shared" si="269"/>
        <v>1</v>
      </c>
      <c r="W480">
        <f t="shared" si="255"/>
        <v>0</v>
      </c>
      <c r="X480">
        <f t="shared" si="279"/>
        <v>0</v>
      </c>
      <c r="Y480">
        <f t="shared" si="256"/>
        <v>0</v>
      </c>
      <c r="Z480">
        <f t="shared" si="257"/>
        <v>0</v>
      </c>
      <c r="AA480">
        <f t="shared" si="258"/>
        <v>0</v>
      </c>
      <c r="AB480" s="29">
        <f t="shared" si="259"/>
        <v>0</v>
      </c>
      <c r="AC480" s="25">
        <f t="shared" si="260"/>
        <v>0</v>
      </c>
      <c r="AD480" s="29">
        <f t="shared" si="261"/>
        <v>0</v>
      </c>
      <c r="AE480" s="25">
        <f t="shared" si="270"/>
        <v>0</v>
      </c>
      <c r="AF480" s="25">
        <f t="shared" si="262"/>
        <v>0</v>
      </c>
      <c r="AG480" s="25">
        <f>IF($A480&lt;0,0,IF(instatk="bs",(1.5+talSCallInstBon)*(MHavg+(ap+Z480-$Z$1)/APtoDPS*MHnorm+170)*(1+sa*0.1+0.04*opp+0.02*agg+Slayer4value-1),IF(instatk="hemo",Slayer4value*(MHavg+(ap+Z480-$Z$1)/APtoDPS*MHnorm)*(1.1+talSCallInstBon)+420*(1+raidcrit)*debuffon,IF(instatk="ss",(MHavg+(ap+Z480-$Z$1)/APtoDPS*MHnorm+98)*(1+sa*0.1+0.02*agg+Slayer4value-1),IF(instatk="v",(ohavg+(ap+Z480-$Z$1)/APtoDPS*OHnorm)*(1+sa*0.1)*(0.5+0.05*dws)+avipdam,Slayer4value*((1+0.04*opp)*(MHavg+101+(ap+Z480-$Z$1)/APtoDPS*MHnorm+(0.5+0.05*dws)*(ohavg+(ap+Z480-$Z$1)/APtoDPS*OHnorm)+101*(1+0.1*dws))*(1+0.5*IF(Talents!$O$18="Yes",1,0)))))))*(instactualhit+(1+((leth*0.06+2)-1)*(cfact-1))*instactualcrit)*fwfactor*AB480*instsec*(AF480/$AN$45))</f>
        <v>0</v>
      </c>
      <c r="AH480" s="25">
        <f t="shared" si="280"/>
        <v>0</v>
      </c>
      <c r="AI480" s="25">
        <f t="shared" si="281"/>
        <v>0</v>
      </c>
      <c r="AJ480" s="25">
        <f t="shared" si="282"/>
        <v>0</v>
      </c>
    </row>
    <row r="481" spans="1:36">
      <c r="A481">
        <f t="shared" si="263"/>
        <v>-1</v>
      </c>
      <c r="B481">
        <f t="shared" si="271"/>
        <v>6</v>
      </c>
      <c r="C481">
        <f t="shared" si="249"/>
        <v>300</v>
      </c>
      <c r="D481">
        <f t="shared" si="264"/>
        <v>0</v>
      </c>
      <c r="E481">
        <f t="shared" si="283"/>
        <v>5</v>
      </c>
      <c r="F481">
        <f t="shared" si="250"/>
        <v>360</v>
      </c>
      <c r="G481">
        <f t="shared" si="265"/>
        <v>0</v>
      </c>
      <c r="H481">
        <f t="shared" si="272"/>
        <v>4</v>
      </c>
      <c r="I481">
        <f t="shared" si="251"/>
        <v>360</v>
      </c>
      <c r="J481">
        <f t="shared" si="266"/>
        <v>0</v>
      </c>
      <c r="K481">
        <f t="shared" si="273"/>
        <v>3</v>
      </c>
      <c r="L481">
        <f t="shared" si="252"/>
        <v>360</v>
      </c>
      <c r="M481">
        <f t="shared" si="267"/>
        <v>0</v>
      </c>
      <c r="N481">
        <f t="shared" si="274"/>
        <v>2</v>
      </c>
      <c r="O481">
        <f t="shared" si="253"/>
        <v>300</v>
      </c>
      <c r="P481">
        <f t="shared" si="275"/>
        <v>0</v>
      </c>
      <c r="Q481">
        <f t="shared" si="276"/>
        <v>2</v>
      </c>
      <c r="R481">
        <f t="shared" si="254"/>
        <v>300</v>
      </c>
      <c r="S481">
        <f t="shared" si="277"/>
        <v>0</v>
      </c>
      <c r="T481">
        <f t="shared" si="278"/>
        <v>-1</v>
      </c>
      <c r="U481">
        <f t="shared" si="268"/>
        <v>1</v>
      </c>
      <c r="V481">
        <f t="shared" si="269"/>
        <v>1</v>
      </c>
      <c r="W481">
        <f t="shared" si="255"/>
        <v>0</v>
      </c>
      <c r="X481">
        <f t="shared" si="279"/>
        <v>0</v>
      </c>
      <c r="Y481">
        <f t="shared" si="256"/>
        <v>0</v>
      </c>
      <c r="Z481">
        <f t="shared" si="257"/>
        <v>0</v>
      </c>
      <c r="AA481">
        <f t="shared" si="258"/>
        <v>0</v>
      </c>
      <c r="AB481" s="29">
        <f t="shared" si="259"/>
        <v>0</v>
      </c>
      <c r="AC481" s="25">
        <f t="shared" si="260"/>
        <v>0</v>
      </c>
      <c r="AD481" s="29">
        <f t="shared" si="261"/>
        <v>0</v>
      </c>
      <c r="AE481" s="25">
        <f t="shared" si="270"/>
        <v>0</v>
      </c>
      <c r="AF481" s="25">
        <f t="shared" si="262"/>
        <v>0</v>
      </c>
      <c r="AG481" s="25">
        <f>IF($A481&lt;0,0,IF(instatk="bs",(1.5+talSCallInstBon)*(MHavg+(ap+Z481-$Z$1)/APtoDPS*MHnorm+170)*(1+sa*0.1+0.04*opp+0.02*agg+Slayer4value-1),IF(instatk="hemo",Slayer4value*(MHavg+(ap+Z481-$Z$1)/APtoDPS*MHnorm)*(1.1+talSCallInstBon)+420*(1+raidcrit)*debuffon,IF(instatk="ss",(MHavg+(ap+Z481-$Z$1)/APtoDPS*MHnorm+98)*(1+sa*0.1+0.02*agg+Slayer4value-1),IF(instatk="v",(ohavg+(ap+Z481-$Z$1)/APtoDPS*OHnorm)*(1+sa*0.1)*(0.5+0.05*dws)+avipdam,Slayer4value*((1+0.04*opp)*(MHavg+101+(ap+Z481-$Z$1)/APtoDPS*MHnorm+(0.5+0.05*dws)*(ohavg+(ap+Z481-$Z$1)/APtoDPS*OHnorm)+101*(1+0.1*dws))*(1+0.5*IF(Talents!$O$18="Yes",1,0)))))))*(instactualhit+(1+((leth*0.06+2)-1)*(cfact-1))*instactualcrit)*fwfactor*AB481*instsec*(AF481/$AN$45))</f>
        <v>0</v>
      </c>
      <c r="AH481" s="25">
        <f t="shared" si="280"/>
        <v>0</v>
      </c>
      <c r="AI481" s="25">
        <f t="shared" si="281"/>
        <v>0</v>
      </c>
      <c r="AJ481" s="25">
        <f t="shared" si="282"/>
        <v>0</v>
      </c>
    </row>
    <row r="482" spans="1:36">
      <c r="A482">
        <f t="shared" si="263"/>
        <v>-1</v>
      </c>
      <c r="B482">
        <f t="shared" si="271"/>
        <v>6</v>
      </c>
      <c r="C482">
        <f t="shared" si="249"/>
        <v>300</v>
      </c>
      <c r="D482">
        <f t="shared" si="264"/>
        <v>0</v>
      </c>
      <c r="E482">
        <f t="shared" si="283"/>
        <v>5</v>
      </c>
      <c r="F482">
        <f t="shared" si="250"/>
        <v>360</v>
      </c>
      <c r="G482">
        <f t="shared" si="265"/>
        <v>0</v>
      </c>
      <c r="H482">
        <f t="shared" si="272"/>
        <v>4</v>
      </c>
      <c r="I482">
        <f t="shared" si="251"/>
        <v>360</v>
      </c>
      <c r="J482">
        <f t="shared" si="266"/>
        <v>0</v>
      </c>
      <c r="K482">
        <f t="shared" si="273"/>
        <v>3</v>
      </c>
      <c r="L482">
        <f t="shared" si="252"/>
        <v>360</v>
      </c>
      <c r="M482">
        <f t="shared" si="267"/>
        <v>0</v>
      </c>
      <c r="N482">
        <f t="shared" si="274"/>
        <v>2</v>
      </c>
      <c r="O482">
        <f t="shared" si="253"/>
        <v>300</v>
      </c>
      <c r="P482">
        <f t="shared" si="275"/>
        <v>0</v>
      </c>
      <c r="Q482">
        <f t="shared" si="276"/>
        <v>2</v>
      </c>
      <c r="R482">
        <f t="shared" si="254"/>
        <v>300</v>
      </c>
      <c r="S482">
        <f t="shared" si="277"/>
        <v>0</v>
      </c>
      <c r="T482">
        <f t="shared" si="278"/>
        <v>-1</v>
      </c>
      <c r="U482">
        <f t="shared" si="268"/>
        <v>1</v>
      </c>
      <c r="V482">
        <f t="shared" si="269"/>
        <v>1</v>
      </c>
      <c r="W482">
        <f t="shared" si="255"/>
        <v>0</v>
      </c>
      <c r="X482">
        <f t="shared" si="279"/>
        <v>0</v>
      </c>
      <c r="Y482">
        <f t="shared" si="256"/>
        <v>0</v>
      </c>
      <c r="Z482">
        <f t="shared" si="257"/>
        <v>0</v>
      </c>
      <c r="AA482">
        <f t="shared" si="258"/>
        <v>0</v>
      </c>
      <c r="AB482" s="29">
        <f t="shared" si="259"/>
        <v>0</v>
      </c>
      <c r="AC482" s="25">
        <f t="shared" si="260"/>
        <v>0</v>
      </c>
      <c r="AD482" s="29">
        <f t="shared" si="261"/>
        <v>0</v>
      </c>
      <c r="AE482" s="25">
        <f t="shared" si="270"/>
        <v>0</v>
      </c>
      <c r="AF482" s="25">
        <f t="shared" si="262"/>
        <v>0</v>
      </c>
      <c r="AG482" s="25">
        <f>IF($A482&lt;0,0,IF(instatk="bs",(1.5+talSCallInstBon)*(MHavg+(ap+Z482-$Z$1)/APtoDPS*MHnorm+170)*(1+sa*0.1+0.04*opp+0.02*agg+Slayer4value-1),IF(instatk="hemo",Slayer4value*(MHavg+(ap+Z482-$Z$1)/APtoDPS*MHnorm)*(1.1+talSCallInstBon)+420*(1+raidcrit)*debuffon,IF(instatk="ss",(MHavg+(ap+Z482-$Z$1)/APtoDPS*MHnorm+98)*(1+sa*0.1+0.02*agg+Slayer4value-1),IF(instatk="v",(ohavg+(ap+Z482-$Z$1)/APtoDPS*OHnorm)*(1+sa*0.1)*(0.5+0.05*dws)+avipdam,Slayer4value*((1+0.04*opp)*(MHavg+101+(ap+Z482-$Z$1)/APtoDPS*MHnorm+(0.5+0.05*dws)*(ohavg+(ap+Z482-$Z$1)/APtoDPS*OHnorm)+101*(1+0.1*dws))*(1+0.5*IF(Talents!$O$18="Yes",1,0)))))))*(instactualhit+(1+((leth*0.06+2)-1)*(cfact-1))*instactualcrit)*fwfactor*AB482*instsec*(AF482/$AN$45))</f>
        <v>0</v>
      </c>
      <c r="AH482" s="25">
        <f t="shared" si="280"/>
        <v>0</v>
      </c>
      <c r="AI482" s="25">
        <f t="shared" si="281"/>
        <v>0</v>
      </c>
      <c r="AJ482" s="25">
        <f t="shared" si="282"/>
        <v>0</v>
      </c>
    </row>
    <row r="483" spans="1:36">
      <c r="A483">
        <f t="shared" si="263"/>
        <v>-1</v>
      </c>
      <c r="B483">
        <f t="shared" si="271"/>
        <v>6</v>
      </c>
      <c r="C483">
        <f t="shared" si="249"/>
        <v>300</v>
      </c>
      <c r="D483">
        <f t="shared" si="264"/>
        <v>0</v>
      </c>
      <c r="E483">
        <f t="shared" si="283"/>
        <v>5</v>
      </c>
      <c r="F483">
        <f t="shared" si="250"/>
        <v>360</v>
      </c>
      <c r="G483">
        <f t="shared" si="265"/>
        <v>0</v>
      </c>
      <c r="H483">
        <f t="shared" si="272"/>
        <v>4</v>
      </c>
      <c r="I483">
        <f t="shared" si="251"/>
        <v>360</v>
      </c>
      <c r="J483">
        <f t="shared" si="266"/>
        <v>0</v>
      </c>
      <c r="K483">
        <f t="shared" si="273"/>
        <v>3</v>
      </c>
      <c r="L483">
        <f t="shared" si="252"/>
        <v>360</v>
      </c>
      <c r="M483">
        <f t="shared" si="267"/>
        <v>0</v>
      </c>
      <c r="N483">
        <f t="shared" si="274"/>
        <v>2</v>
      </c>
      <c r="O483">
        <f t="shared" si="253"/>
        <v>300</v>
      </c>
      <c r="P483">
        <f t="shared" si="275"/>
        <v>0</v>
      </c>
      <c r="Q483">
        <f t="shared" si="276"/>
        <v>2</v>
      </c>
      <c r="R483">
        <f t="shared" si="254"/>
        <v>300</v>
      </c>
      <c r="S483">
        <f t="shared" si="277"/>
        <v>0</v>
      </c>
      <c r="T483">
        <f t="shared" si="278"/>
        <v>-1</v>
      </c>
      <c r="U483">
        <f t="shared" si="268"/>
        <v>1</v>
      </c>
      <c r="V483">
        <f t="shared" si="269"/>
        <v>1</v>
      </c>
      <c r="W483">
        <f t="shared" si="255"/>
        <v>0</v>
      </c>
      <c r="X483">
        <f t="shared" si="279"/>
        <v>0</v>
      </c>
      <c r="Y483">
        <f t="shared" si="256"/>
        <v>0</v>
      </c>
      <c r="Z483">
        <f t="shared" si="257"/>
        <v>0</v>
      </c>
      <c r="AA483">
        <f t="shared" si="258"/>
        <v>0</v>
      </c>
      <c r="AB483" s="29">
        <f t="shared" si="259"/>
        <v>0</v>
      </c>
      <c r="AC483" s="25">
        <f t="shared" si="260"/>
        <v>0</v>
      </c>
      <c r="AD483" s="29">
        <f t="shared" si="261"/>
        <v>0</v>
      </c>
      <c r="AE483" s="25">
        <f t="shared" si="270"/>
        <v>0</v>
      </c>
      <c r="AF483" s="25">
        <f t="shared" si="262"/>
        <v>0</v>
      </c>
      <c r="AG483" s="25">
        <f>IF($A483&lt;0,0,IF(instatk="bs",(1.5+talSCallInstBon)*(MHavg+(ap+Z483-$Z$1)/APtoDPS*MHnorm+170)*(1+sa*0.1+0.04*opp+0.02*agg+Slayer4value-1),IF(instatk="hemo",Slayer4value*(MHavg+(ap+Z483-$Z$1)/APtoDPS*MHnorm)*(1.1+talSCallInstBon)+420*(1+raidcrit)*debuffon,IF(instatk="ss",(MHavg+(ap+Z483-$Z$1)/APtoDPS*MHnorm+98)*(1+sa*0.1+0.02*agg+Slayer4value-1),IF(instatk="v",(ohavg+(ap+Z483-$Z$1)/APtoDPS*OHnorm)*(1+sa*0.1)*(0.5+0.05*dws)+avipdam,Slayer4value*((1+0.04*opp)*(MHavg+101+(ap+Z483-$Z$1)/APtoDPS*MHnorm+(0.5+0.05*dws)*(ohavg+(ap+Z483-$Z$1)/APtoDPS*OHnorm)+101*(1+0.1*dws))*(1+0.5*IF(Talents!$O$18="Yes",1,0)))))))*(instactualhit+(1+((leth*0.06+2)-1)*(cfact-1))*instactualcrit)*fwfactor*AB483*instsec*(AF483/$AN$45))</f>
        <v>0</v>
      </c>
      <c r="AH483" s="25">
        <f t="shared" si="280"/>
        <v>0</v>
      </c>
      <c r="AI483" s="25">
        <f t="shared" si="281"/>
        <v>0</v>
      </c>
      <c r="AJ483" s="25">
        <f t="shared" si="282"/>
        <v>0</v>
      </c>
    </row>
    <row r="484" spans="1:36">
      <c r="A484">
        <f t="shared" si="263"/>
        <v>-1</v>
      </c>
      <c r="B484">
        <f t="shared" si="271"/>
        <v>6</v>
      </c>
      <c r="C484">
        <f t="shared" si="249"/>
        <v>300</v>
      </c>
      <c r="D484">
        <f t="shared" si="264"/>
        <v>0</v>
      </c>
      <c r="E484">
        <f t="shared" si="283"/>
        <v>5</v>
      </c>
      <c r="F484">
        <f t="shared" si="250"/>
        <v>360</v>
      </c>
      <c r="G484">
        <f t="shared" si="265"/>
        <v>0</v>
      </c>
      <c r="H484">
        <f t="shared" si="272"/>
        <v>4</v>
      </c>
      <c r="I484">
        <f t="shared" si="251"/>
        <v>360</v>
      </c>
      <c r="J484">
        <f t="shared" si="266"/>
        <v>0</v>
      </c>
      <c r="K484">
        <f t="shared" si="273"/>
        <v>3</v>
      </c>
      <c r="L484">
        <f t="shared" si="252"/>
        <v>360</v>
      </c>
      <c r="M484">
        <f t="shared" si="267"/>
        <v>0</v>
      </c>
      <c r="N484">
        <f t="shared" si="274"/>
        <v>2</v>
      </c>
      <c r="O484">
        <f t="shared" si="253"/>
        <v>300</v>
      </c>
      <c r="P484">
        <f t="shared" si="275"/>
        <v>0</v>
      </c>
      <c r="Q484">
        <f t="shared" si="276"/>
        <v>2</v>
      </c>
      <c r="R484">
        <f t="shared" si="254"/>
        <v>300</v>
      </c>
      <c r="S484">
        <f t="shared" si="277"/>
        <v>0</v>
      </c>
      <c r="T484">
        <f t="shared" si="278"/>
        <v>-1</v>
      </c>
      <c r="U484">
        <f t="shared" si="268"/>
        <v>1</v>
      </c>
      <c r="V484">
        <f t="shared" si="269"/>
        <v>1</v>
      </c>
      <c r="W484">
        <f t="shared" si="255"/>
        <v>0</v>
      </c>
      <c r="X484">
        <f t="shared" si="279"/>
        <v>0</v>
      </c>
      <c r="Y484">
        <f t="shared" si="256"/>
        <v>0</v>
      </c>
      <c r="Z484">
        <f t="shared" si="257"/>
        <v>0</v>
      </c>
      <c r="AA484">
        <f t="shared" si="258"/>
        <v>0</v>
      </c>
      <c r="AB484" s="29">
        <f t="shared" si="259"/>
        <v>0</v>
      </c>
      <c r="AC484" s="25">
        <f t="shared" si="260"/>
        <v>0</v>
      </c>
      <c r="AD484" s="29">
        <f t="shared" si="261"/>
        <v>0</v>
      </c>
      <c r="AE484" s="25">
        <f t="shared" si="270"/>
        <v>0</v>
      </c>
      <c r="AF484" s="25">
        <f t="shared" si="262"/>
        <v>0</v>
      </c>
      <c r="AG484" s="25">
        <f>IF($A484&lt;0,0,IF(instatk="bs",(1.5+talSCallInstBon)*(MHavg+(ap+Z484-$Z$1)/APtoDPS*MHnorm+170)*(1+sa*0.1+0.04*opp+0.02*agg+Slayer4value-1),IF(instatk="hemo",Slayer4value*(MHavg+(ap+Z484-$Z$1)/APtoDPS*MHnorm)*(1.1+talSCallInstBon)+420*(1+raidcrit)*debuffon,IF(instatk="ss",(MHavg+(ap+Z484-$Z$1)/APtoDPS*MHnorm+98)*(1+sa*0.1+0.02*agg+Slayer4value-1),IF(instatk="v",(ohavg+(ap+Z484-$Z$1)/APtoDPS*OHnorm)*(1+sa*0.1)*(0.5+0.05*dws)+avipdam,Slayer4value*((1+0.04*opp)*(MHavg+101+(ap+Z484-$Z$1)/APtoDPS*MHnorm+(0.5+0.05*dws)*(ohavg+(ap+Z484-$Z$1)/APtoDPS*OHnorm)+101*(1+0.1*dws))*(1+0.5*IF(Talents!$O$18="Yes",1,0)))))))*(instactualhit+(1+((leth*0.06+2)-1)*(cfact-1))*instactualcrit)*fwfactor*AB484*instsec*(AF484/$AN$45))</f>
        <v>0</v>
      </c>
      <c r="AH484" s="25">
        <f t="shared" si="280"/>
        <v>0</v>
      </c>
      <c r="AI484" s="25">
        <f t="shared" si="281"/>
        <v>0</v>
      </c>
      <c r="AJ484" s="25">
        <f t="shared" si="282"/>
        <v>0</v>
      </c>
    </row>
    <row r="485" spans="1:36">
      <c r="A485">
        <f t="shared" si="263"/>
        <v>-1</v>
      </c>
      <c r="B485">
        <f t="shared" si="271"/>
        <v>6</v>
      </c>
      <c r="C485">
        <f t="shared" si="249"/>
        <v>300</v>
      </c>
      <c r="D485">
        <f t="shared" si="264"/>
        <v>0</v>
      </c>
      <c r="E485">
        <f t="shared" si="283"/>
        <v>5</v>
      </c>
      <c r="F485">
        <f t="shared" si="250"/>
        <v>360</v>
      </c>
      <c r="G485">
        <f t="shared" si="265"/>
        <v>0</v>
      </c>
      <c r="H485">
        <f t="shared" si="272"/>
        <v>4</v>
      </c>
      <c r="I485">
        <f t="shared" si="251"/>
        <v>360</v>
      </c>
      <c r="J485">
        <f t="shared" si="266"/>
        <v>0</v>
      </c>
      <c r="K485">
        <f t="shared" si="273"/>
        <v>3</v>
      </c>
      <c r="L485">
        <f t="shared" si="252"/>
        <v>360</v>
      </c>
      <c r="M485">
        <f t="shared" si="267"/>
        <v>0</v>
      </c>
      <c r="N485">
        <f t="shared" si="274"/>
        <v>2</v>
      </c>
      <c r="O485">
        <f t="shared" si="253"/>
        <v>300</v>
      </c>
      <c r="P485">
        <f t="shared" si="275"/>
        <v>0</v>
      </c>
      <c r="Q485">
        <f t="shared" si="276"/>
        <v>2</v>
      </c>
      <c r="R485">
        <f t="shared" si="254"/>
        <v>300</v>
      </c>
      <c r="S485">
        <f t="shared" si="277"/>
        <v>0</v>
      </c>
      <c r="T485">
        <f t="shared" si="278"/>
        <v>-1</v>
      </c>
      <c r="U485">
        <f t="shared" si="268"/>
        <v>1</v>
      </c>
      <c r="V485">
        <f t="shared" si="269"/>
        <v>1</v>
      </c>
      <c r="W485">
        <f t="shared" si="255"/>
        <v>0</v>
      </c>
      <c r="X485">
        <f t="shared" si="279"/>
        <v>0</v>
      </c>
      <c r="Y485">
        <f t="shared" si="256"/>
        <v>0</v>
      </c>
      <c r="Z485">
        <f t="shared" si="257"/>
        <v>0</v>
      </c>
      <c r="AA485">
        <f t="shared" si="258"/>
        <v>0</v>
      </c>
      <c r="AB485" s="29">
        <f t="shared" si="259"/>
        <v>0</v>
      </c>
      <c r="AC485" s="25">
        <f t="shared" si="260"/>
        <v>0</v>
      </c>
      <c r="AD485" s="29">
        <f t="shared" si="261"/>
        <v>0</v>
      </c>
      <c r="AE485" s="25">
        <f t="shared" si="270"/>
        <v>0</v>
      </c>
      <c r="AF485" s="25">
        <f t="shared" si="262"/>
        <v>0</v>
      </c>
      <c r="AG485" s="25">
        <f>IF($A485&lt;0,0,IF(instatk="bs",(1.5+talSCallInstBon)*(MHavg+(ap+Z485-$Z$1)/APtoDPS*MHnorm+170)*(1+sa*0.1+0.04*opp+0.02*agg+Slayer4value-1),IF(instatk="hemo",Slayer4value*(MHavg+(ap+Z485-$Z$1)/APtoDPS*MHnorm)*(1.1+talSCallInstBon)+420*(1+raidcrit)*debuffon,IF(instatk="ss",(MHavg+(ap+Z485-$Z$1)/APtoDPS*MHnorm+98)*(1+sa*0.1+0.02*agg+Slayer4value-1),IF(instatk="v",(ohavg+(ap+Z485-$Z$1)/APtoDPS*OHnorm)*(1+sa*0.1)*(0.5+0.05*dws)+avipdam,Slayer4value*((1+0.04*opp)*(MHavg+101+(ap+Z485-$Z$1)/APtoDPS*MHnorm+(0.5+0.05*dws)*(ohavg+(ap+Z485-$Z$1)/APtoDPS*OHnorm)+101*(1+0.1*dws))*(1+0.5*IF(Talents!$O$18="Yes",1,0)))))))*(instactualhit+(1+((leth*0.06+2)-1)*(cfact-1))*instactualcrit)*fwfactor*AB485*instsec*(AF485/$AN$45))</f>
        <v>0</v>
      </c>
      <c r="AH485" s="25">
        <f t="shared" si="280"/>
        <v>0</v>
      </c>
      <c r="AI485" s="25">
        <f t="shared" si="281"/>
        <v>0</v>
      </c>
      <c r="AJ485" s="25">
        <f t="shared" si="282"/>
        <v>0</v>
      </c>
    </row>
    <row r="486" spans="1:36">
      <c r="A486">
        <f t="shared" si="263"/>
        <v>-1</v>
      </c>
      <c r="B486">
        <f t="shared" si="271"/>
        <v>6</v>
      </c>
      <c r="C486">
        <f t="shared" si="249"/>
        <v>300</v>
      </c>
      <c r="D486">
        <f t="shared" si="264"/>
        <v>0</v>
      </c>
      <c r="E486">
        <f t="shared" si="283"/>
        <v>5</v>
      </c>
      <c r="F486">
        <f t="shared" si="250"/>
        <v>360</v>
      </c>
      <c r="G486">
        <f t="shared" si="265"/>
        <v>0</v>
      </c>
      <c r="H486">
        <f t="shared" si="272"/>
        <v>4</v>
      </c>
      <c r="I486">
        <f t="shared" si="251"/>
        <v>360</v>
      </c>
      <c r="J486">
        <f t="shared" si="266"/>
        <v>0</v>
      </c>
      <c r="K486">
        <f t="shared" si="273"/>
        <v>3</v>
      </c>
      <c r="L486">
        <f t="shared" si="252"/>
        <v>360</v>
      </c>
      <c r="M486">
        <f t="shared" si="267"/>
        <v>0</v>
      </c>
      <c r="N486">
        <f t="shared" si="274"/>
        <v>2</v>
      </c>
      <c r="O486">
        <f t="shared" si="253"/>
        <v>300</v>
      </c>
      <c r="P486">
        <f t="shared" si="275"/>
        <v>0</v>
      </c>
      <c r="Q486">
        <f t="shared" si="276"/>
        <v>2</v>
      </c>
      <c r="R486">
        <f t="shared" si="254"/>
        <v>300</v>
      </c>
      <c r="S486">
        <f t="shared" si="277"/>
        <v>0</v>
      </c>
      <c r="T486">
        <f t="shared" si="278"/>
        <v>-1</v>
      </c>
      <c r="U486">
        <f t="shared" si="268"/>
        <v>1</v>
      </c>
      <c r="V486">
        <f t="shared" si="269"/>
        <v>1</v>
      </c>
      <c r="W486">
        <f t="shared" si="255"/>
        <v>0</v>
      </c>
      <c r="X486">
        <f t="shared" si="279"/>
        <v>0</v>
      </c>
      <c r="Y486">
        <f t="shared" si="256"/>
        <v>0</v>
      </c>
      <c r="Z486">
        <f t="shared" si="257"/>
        <v>0</v>
      </c>
      <c r="AA486">
        <f t="shared" si="258"/>
        <v>0</v>
      </c>
      <c r="AB486" s="29">
        <f t="shared" si="259"/>
        <v>0</v>
      </c>
      <c r="AC486" s="25">
        <f t="shared" si="260"/>
        <v>0</v>
      </c>
      <c r="AD486" s="29">
        <f t="shared" si="261"/>
        <v>0</v>
      </c>
      <c r="AE486" s="25">
        <f t="shared" si="270"/>
        <v>0</v>
      </c>
      <c r="AF486" s="25">
        <f t="shared" si="262"/>
        <v>0</v>
      </c>
      <c r="AG486" s="25">
        <f>IF($A486&lt;0,0,IF(instatk="bs",(1.5+talSCallInstBon)*(MHavg+(ap+Z486-$Z$1)/APtoDPS*MHnorm+170)*(1+sa*0.1+0.04*opp+0.02*agg+Slayer4value-1),IF(instatk="hemo",Slayer4value*(MHavg+(ap+Z486-$Z$1)/APtoDPS*MHnorm)*(1.1+talSCallInstBon)+420*(1+raidcrit)*debuffon,IF(instatk="ss",(MHavg+(ap+Z486-$Z$1)/APtoDPS*MHnorm+98)*(1+sa*0.1+0.02*agg+Slayer4value-1),IF(instatk="v",(ohavg+(ap+Z486-$Z$1)/APtoDPS*OHnorm)*(1+sa*0.1)*(0.5+0.05*dws)+avipdam,Slayer4value*((1+0.04*opp)*(MHavg+101+(ap+Z486-$Z$1)/APtoDPS*MHnorm+(0.5+0.05*dws)*(ohavg+(ap+Z486-$Z$1)/APtoDPS*OHnorm)+101*(1+0.1*dws))*(1+0.5*IF(Talents!$O$18="Yes",1,0)))))))*(instactualhit+(1+((leth*0.06+2)-1)*(cfact-1))*instactualcrit)*fwfactor*AB486*instsec*(AF486/$AN$45))</f>
        <v>0</v>
      </c>
      <c r="AH486" s="25">
        <f t="shared" si="280"/>
        <v>0</v>
      </c>
      <c r="AI486" s="25">
        <f t="shared" si="281"/>
        <v>0</v>
      </c>
      <c r="AJ486" s="25">
        <f t="shared" si="282"/>
        <v>0</v>
      </c>
    </row>
    <row r="487" spans="1:36">
      <c r="A487">
        <f t="shared" si="263"/>
        <v>-1</v>
      </c>
      <c r="B487">
        <f t="shared" si="271"/>
        <v>6</v>
      </c>
      <c r="C487">
        <f t="shared" si="249"/>
        <v>300</v>
      </c>
      <c r="D487">
        <f t="shared" si="264"/>
        <v>0</v>
      </c>
      <c r="E487">
        <f t="shared" si="283"/>
        <v>5</v>
      </c>
      <c r="F487">
        <f t="shared" si="250"/>
        <v>360</v>
      </c>
      <c r="G487">
        <f t="shared" si="265"/>
        <v>0</v>
      </c>
      <c r="H487">
        <f t="shared" si="272"/>
        <v>4</v>
      </c>
      <c r="I487">
        <f t="shared" si="251"/>
        <v>360</v>
      </c>
      <c r="J487">
        <f t="shared" si="266"/>
        <v>0</v>
      </c>
      <c r="K487">
        <f t="shared" si="273"/>
        <v>3</v>
      </c>
      <c r="L487">
        <f t="shared" si="252"/>
        <v>360</v>
      </c>
      <c r="M487">
        <f t="shared" si="267"/>
        <v>0</v>
      </c>
      <c r="N487">
        <f t="shared" si="274"/>
        <v>2</v>
      </c>
      <c r="O487">
        <f t="shared" si="253"/>
        <v>300</v>
      </c>
      <c r="P487">
        <f t="shared" si="275"/>
        <v>0</v>
      </c>
      <c r="Q487">
        <f t="shared" si="276"/>
        <v>2</v>
      </c>
      <c r="R487">
        <f t="shared" si="254"/>
        <v>300</v>
      </c>
      <c r="S487">
        <f t="shared" si="277"/>
        <v>0</v>
      </c>
      <c r="T487">
        <f t="shared" si="278"/>
        <v>-1</v>
      </c>
      <c r="U487">
        <f t="shared" si="268"/>
        <v>1</v>
      </c>
      <c r="V487">
        <f t="shared" si="269"/>
        <v>1</v>
      </c>
      <c r="W487">
        <f t="shared" si="255"/>
        <v>0</v>
      </c>
      <c r="X487">
        <f t="shared" si="279"/>
        <v>0</v>
      </c>
      <c r="Y487">
        <f t="shared" si="256"/>
        <v>0</v>
      </c>
      <c r="Z487">
        <f t="shared" si="257"/>
        <v>0</v>
      </c>
      <c r="AA487">
        <f t="shared" si="258"/>
        <v>0</v>
      </c>
      <c r="AB487" s="29">
        <f t="shared" si="259"/>
        <v>0</v>
      </c>
      <c r="AC487" s="25">
        <f t="shared" si="260"/>
        <v>0</v>
      </c>
      <c r="AD487" s="29">
        <f t="shared" si="261"/>
        <v>0</v>
      </c>
      <c r="AE487" s="25">
        <f t="shared" si="270"/>
        <v>0</v>
      </c>
      <c r="AF487" s="25">
        <f t="shared" si="262"/>
        <v>0</v>
      </c>
      <c r="AG487" s="25">
        <f>IF($A487&lt;0,0,IF(instatk="bs",(1.5+talSCallInstBon)*(MHavg+(ap+Z487-$Z$1)/APtoDPS*MHnorm+170)*(1+sa*0.1+0.04*opp+0.02*agg+Slayer4value-1),IF(instatk="hemo",Slayer4value*(MHavg+(ap+Z487-$Z$1)/APtoDPS*MHnorm)*(1.1+talSCallInstBon)+420*(1+raidcrit)*debuffon,IF(instatk="ss",(MHavg+(ap+Z487-$Z$1)/APtoDPS*MHnorm+98)*(1+sa*0.1+0.02*agg+Slayer4value-1),IF(instatk="v",(ohavg+(ap+Z487-$Z$1)/APtoDPS*OHnorm)*(1+sa*0.1)*(0.5+0.05*dws)+avipdam,Slayer4value*((1+0.04*opp)*(MHavg+101+(ap+Z487-$Z$1)/APtoDPS*MHnorm+(0.5+0.05*dws)*(ohavg+(ap+Z487-$Z$1)/APtoDPS*OHnorm)+101*(1+0.1*dws))*(1+0.5*IF(Talents!$O$18="Yes",1,0)))))))*(instactualhit+(1+((leth*0.06+2)-1)*(cfact-1))*instactualcrit)*fwfactor*AB487*instsec*(AF487/$AN$45))</f>
        <v>0</v>
      </c>
      <c r="AH487" s="25">
        <f t="shared" si="280"/>
        <v>0</v>
      </c>
      <c r="AI487" s="25">
        <f t="shared" si="281"/>
        <v>0</v>
      </c>
      <c r="AJ487" s="25">
        <f t="shared" si="282"/>
        <v>0</v>
      </c>
    </row>
    <row r="488" spans="1:36">
      <c r="A488">
        <f t="shared" si="263"/>
        <v>-1</v>
      </c>
      <c r="B488">
        <f t="shared" si="271"/>
        <v>6</v>
      </c>
      <c r="C488">
        <f t="shared" si="249"/>
        <v>300</v>
      </c>
      <c r="D488">
        <f t="shared" si="264"/>
        <v>0</v>
      </c>
      <c r="E488">
        <f t="shared" si="283"/>
        <v>5</v>
      </c>
      <c r="F488">
        <f t="shared" si="250"/>
        <v>360</v>
      </c>
      <c r="G488">
        <f t="shared" si="265"/>
        <v>0</v>
      </c>
      <c r="H488">
        <f t="shared" si="272"/>
        <v>4</v>
      </c>
      <c r="I488">
        <f t="shared" si="251"/>
        <v>360</v>
      </c>
      <c r="J488">
        <f t="shared" si="266"/>
        <v>0</v>
      </c>
      <c r="K488">
        <f t="shared" si="273"/>
        <v>3</v>
      </c>
      <c r="L488">
        <f t="shared" si="252"/>
        <v>360</v>
      </c>
      <c r="M488">
        <f t="shared" si="267"/>
        <v>0</v>
      </c>
      <c r="N488">
        <f t="shared" si="274"/>
        <v>2</v>
      </c>
      <c r="O488">
        <f t="shared" si="253"/>
        <v>300</v>
      </c>
      <c r="P488">
        <f t="shared" si="275"/>
        <v>0</v>
      </c>
      <c r="Q488">
        <f t="shared" si="276"/>
        <v>2</v>
      </c>
      <c r="R488">
        <f t="shared" si="254"/>
        <v>300</v>
      </c>
      <c r="S488">
        <f t="shared" si="277"/>
        <v>0</v>
      </c>
      <c r="T488">
        <f t="shared" si="278"/>
        <v>-1</v>
      </c>
      <c r="U488">
        <f t="shared" si="268"/>
        <v>1</v>
      </c>
      <c r="V488">
        <f t="shared" si="269"/>
        <v>1</v>
      </c>
      <c r="W488">
        <f t="shared" si="255"/>
        <v>0</v>
      </c>
      <c r="X488">
        <f t="shared" si="279"/>
        <v>0</v>
      </c>
      <c r="Y488">
        <f t="shared" si="256"/>
        <v>0</v>
      </c>
      <c r="Z488">
        <f t="shared" si="257"/>
        <v>0</v>
      </c>
      <c r="AA488">
        <f t="shared" si="258"/>
        <v>0</v>
      </c>
      <c r="AB488" s="29">
        <f t="shared" si="259"/>
        <v>0</v>
      </c>
      <c r="AC488" s="25">
        <f t="shared" si="260"/>
        <v>0</v>
      </c>
      <c r="AD488" s="29">
        <f t="shared" si="261"/>
        <v>0</v>
      </c>
      <c r="AE488" s="25">
        <f t="shared" si="270"/>
        <v>0</v>
      </c>
      <c r="AF488" s="25">
        <f t="shared" si="262"/>
        <v>0</v>
      </c>
      <c r="AG488" s="25">
        <f>IF($A488&lt;0,0,IF(instatk="bs",(1.5+talSCallInstBon)*(MHavg+(ap+Z488-$Z$1)/APtoDPS*MHnorm+170)*(1+sa*0.1+0.04*opp+0.02*agg+Slayer4value-1),IF(instatk="hemo",Slayer4value*(MHavg+(ap+Z488-$Z$1)/APtoDPS*MHnorm)*(1.1+talSCallInstBon)+420*(1+raidcrit)*debuffon,IF(instatk="ss",(MHavg+(ap+Z488-$Z$1)/APtoDPS*MHnorm+98)*(1+sa*0.1+0.02*agg+Slayer4value-1),IF(instatk="v",(ohavg+(ap+Z488-$Z$1)/APtoDPS*OHnorm)*(1+sa*0.1)*(0.5+0.05*dws)+avipdam,Slayer4value*((1+0.04*opp)*(MHavg+101+(ap+Z488-$Z$1)/APtoDPS*MHnorm+(0.5+0.05*dws)*(ohavg+(ap+Z488-$Z$1)/APtoDPS*OHnorm)+101*(1+0.1*dws))*(1+0.5*IF(Talents!$O$18="Yes",1,0)))))))*(instactualhit+(1+((leth*0.06+2)-1)*(cfact-1))*instactualcrit)*fwfactor*AB488*instsec*(AF488/$AN$45))</f>
        <v>0</v>
      </c>
      <c r="AH488" s="25">
        <f t="shared" si="280"/>
        <v>0</v>
      </c>
      <c r="AI488" s="25">
        <f t="shared" si="281"/>
        <v>0</v>
      </c>
      <c r="AJ488" s="25">
        <f t="shared" si="282"/>
        <v>0</v>
      </c>
    </row>
    <row r="489" spans="1:36">
      <c r="A489">
        <f t="shared" si="263"/>
        <v>-1</v>
      </c>
      <c r="B489">
        <f t="shared" si="271"/>
        <v>6</v>
      </c>
      <c r="C489">
        <f t="shared" si="249"/>
        <v>300</v>
      </c>
      <c r="D489">
        <f t="shared" si="264"/>
        <v>0</v>
      </c>
      <c r="E489">
        <f t="shared" si="283"/>
        <v>5</v>
      </c>
      <c r="F489">
        <f t="shared" si="250"/>
        <v>360</v>
      </c>
      <c r="G489">
        <f t="shared" si="265"/>
        <v>0</v>
      </c>
      <c r="H489">
        <f t="shared" si="272"/>
        <v>4</v>
      </c>
      <c r="I489">
        <f t="shared" si="251"/>
        <v>360</v>
      </c>
      <c r="J489">
        <f t="shared" si="266"/>
        <v>0</v>
      </c>
      <c r="K489">
        <f t="shared" si="273"/>
        <v>3</v>
      </c>
      <c r="L489">
        <f t="shared" si="252"/>
        <v>360</v>
      </c>
      <c r="M489">
        <f t="shared" si="267"/>
        <v>0</v>
      </c>
      <c r="N489">
        <f t="shared" si="274"/>
        <v>2</v>
      </c>
      <c r="O489">
        <f t="shared" si="253"/>
        <v>300</v>
      </c>
      <c r="P489">
        <f t="shared" si="275"/>
        <v>0</v>
      </c>
      <c r="Q489">
        <f t="shared" si="276"/>
        <v>2</v>
      </c>
      <c r="R489">
        <f t="shared" si="254"/>
        <v>300</v>
      </c>
      <c r="S489">
        <f t="shared" si="277"/>
        <v>0</v>
      </c>
      <c r="T489">
        <f t="shared" si="278"/>
        <v>-1</v>
      </c>
      <c r="U489">
        <f t="shared" si="268"/>
        <v>1</v>
      </c>
      <c r="V489">
        <f t="shared" si="269"/>
        <v>1</v>
      </c>
      <c r="W489">
        <f t="shared" si="255"/>
        <v>0</v>
      </c>
      <c r="X489">
        <f t="shared" si="279"/>
        <v>0</v>
      </c>
      <c r="Y489">
        <f t="shared" si="256"/>
        <v>0</v>
      </c>
      <c r="Z489">
        <f t="shared" si="257"/>
        <v>0</v>
      </c>
      <c r="AA489">
        <f t="shared" si="258"/>
        <v>0</v>
      </c>
      <c r="AB489" s="29">
        <f t="shared" si="259"/>
        <v>0</v>
      </c>
      <c r="AC489" s="25">
        <f t="shared" si="260"/>
        <v>0</v>
      </c>
      <c r="AD489" s="29">
        <f t="shared" si="261"/>
        <v>0</v>
      </c>
      <c r="AE489" s="25">
        <f t="shared" si="270"/>
        <v>0</v>
      </c>
      <c r="AF489" s="25">
        <f t="shared" si="262"/>
        <v>0</v>
      </c>
      <c r="AG489" s="25">
        <f>IF($A489&lt;0,0,IF(instatk="bs",(1.5+talSCallInstBon)*(MHavg+(ap+Z489-$Z$1)/APtoDPS*MHnorm+170)*(1+sa*0.1+0.04*opp+0.02*agg+Slayer4value-1),IF(instatk="hemo",Slayer4value*(MHavg+(ap+Z489-$Z$1)/APtoDPS*MHnorm)*(1.1+talSCallInstBon)+420*(1+raidcrit)*debuffon,IF(instatk="ss",(MHavg+(ap+Z489-$Z$1)/APtoDPS*MHnorm+98)*(1+sa*0.1+0.02*agg+Slayer4value-1),IF(instatk="v",(ohavg+(ap+Z489-$Z$1)/APtoDPS*OHnorm)*(1+sa*0.1)*(0.5+0.05*dws)+avipdam,Slayer4value*((1+0.04*opp)*(MHavg+101+(ap+Z489-$Z$1)/APtoDPS*MHnorm+(0.5+0.05*dws)*(ohavg+(ap+Z489-$Z$1)/APtoDPS*OHnorm)+101*(1+0.1*dws))*(1+0.5*IF(Talents!$O$18="Yes",1,0)))))))*(instactualhit+(1+((leth*0.06+2)-1)*(cfact-1))*instactualcrit)*fwfactor*AB489*instsec*(AF489/$AN$45))</f>
        <v>0</v>
      </c>
      <c r="AH489" s="25">
        <f t="shared" si="280"/>
        <v>0</v>
      </c>
      <c r="AI489" s="25">
        <f t="shared" si="281"/>
        <v>0</v>
      </c>
      <c r="AJ489" s="25">
        <f t="shared" si="282"/>
        <v>0</v>
      </c>
    </row>
    <row r="490" spans="1:36">
      <c r="A490">
        <f t="shared" si="263"/>
        <v>-1</v>
      </c>
      <c r="B490">
        <f t="shared" si="271"/>
        <v>6</v>
      </c>
      <c r="C490">
        <f t="shared" si="249"/>
        <v>300</v>
      </c>
      <c r="D490">
        <f t="shared" si="264"/>
        <v>0</v>
      </c>
      <c r="E490">
        <f t="shared" si="283"/>
        <v>5</v>
      </c>
      <c r="F490">
        <f t="shared" si="250"/>
        <v>360</v>
      </c>
      <c r="G490">
        <f t="shared" si="265"/>
        <v>0</v>
      </c>
      <c r="H490">
        <f t="shared" si="272"/>
        <v>4</v>
      </c>
      <c r="I490">
        <f t="shared" si="251"/>
        <v>360</v>
      </c>
      <c r="J490">
        <f t="shared" si="266"/>
        <v>0</v>
      </c>
      <c r="K490">
        <f t="shared" si="273"/>
        <v>3</v>
      </c>
      <c r="L490">
        <f t="shared" si="252"/>
        <v>360</v>
      </c>
      <c r="M490">
        <f t="shared" si="267"/>
        <v>0</v>
      </c>
      <c r="N490">
        <f t="shared" si="274"/>
        <v>2</v>
      </c>
      <c r="O490">
        <f t="shared" si="253"/>
        <v>300</v>
      </c>
      <c r="P490">
        <f t="shared" si="275"/>
        <v>0</v>
      </c>
      <c r="Q490">
        <f t="shared" si="276"/>
        <v>2</v>
      </c>
      <c r="R490">
        <f t="shared" si="254"/>
        <v>300</v>
      </c>
      <c r="S490">
        <f t="shared" si="277"/>
        <v>0</v>
      </c>
      <c r="T490">
        <f t="shared" si="278"/>
        <v>-1</v>
      </c>
      <c r="U490">
        <f t="shared" si="268"/>
        <v>1</v>
      </c>
      <c r="V490">
        <f t="shared" si="269"/>
        <v>1</v>
      </c>
      <c r="W490">
        <f t="shared" si="255"/>
        <v>0</v>
      </c>
      <c r="X490">
        <f t="shared" si="279"/>
        <v>0</v>
      </c>
      <c r="Y490">
        <f t="shared" si="256"/>
        <v>0</v>
      </c>
      <c r="Z490">
        <f t="shared" si="257"/>
        <v>0</v>
      </c>
      <c r="AA490">
        <f t="shared" si="258"/>
        <v>0</v>
      </c>
      <c r="AB490" s="29">
        <f t="shared" si="259"/>
        <v>0</v>
      </c>
      <c r="AC490" s="25">
        <f t="shared" si="260"/>
        <v>0</v>
      </c>
      <c r="AD490" s="29">
        <f t="shared" si="261"/>
        <v>0</v>
      </c>
      <c r="AE490" s="25">
        <f t="shared" si="270"/>
        <v>0</v>
      </c>
      <c r="AF490" s="25">
        <f t="shared" si="262"/>
        <v>0</v>
      </c>
      <c r="AG490" s="25">
        <f>IF($A490&lt;0,0,IF(instatk="bs",(1.5+talSCallInstBon)*(MHavg+(ap+Z490-$Z$1)/APtoDPS*MHnorm+170)*(1+sa*0.1+0.04*opp+0.02*agg+Slayer4value-1),IF(instatk="hemo",Slayer4value*(MHavg+(ap+Z490-$Z$1)/APtoDPS*MHnorm)*(1.1+talSCallInstBon)+420*(1+raidcrit)*debuffon,IF(instatk="ss",(MHavg+(ap+Z490-$Z$1)/APtoDPS*MHnorm+98)*(1+sa*0.1+0.02*agg+Slayer4value-1),IF(instatk="v",(ohavg+(ap+Z490-$Z$1)/APtoDPS*OHnorm)*(1+sa*0.1)*(0.5+0.05*dws)+avipdam,Slayer4value*((1+0.04*opp)*(MHavg+101+(ap+Z490-$Z$1)/APtoDPS*MHnorm+(0.5+0.05*dws)*(ohavg+(ap+Z490-$Z$1)/APtoDPS*OHnorm)+101*(1+0.1*dws))*(1+0.5*IF(Talents!$O$18="Yes",1,0)))))))*(instactualhit+(1+((leth*0.06+2)-1)*(cfact-1))*instactualcrit)*fwfactor*AB490*instsec*(AF490/$AN$45))</f>
        <v>0</v>
      </c>
      <c r="AH490" s="25">
        <f t="shared" si="280"/>
        <v>0</v>
      </c>
      <c r="AI490" s="25">
        <f t="shared" si="281"/>
        <v>0</v>
      </c>
      <c r="AJ490" s="25">
        <f t="shared" si="282"/>
        <v>0</v>
      </c>
    </row>
    <row r="491" spans="1:36">
      <c r="A491">
        <f t="shared" si="263"/>
        <v>-1</v>
      </c>
      <c r="B491">
        <f t="shared" si="271"/>
        <v>6</v>
      </c>
      <c r="C491">
        <f t="shared" si="249"/>
        <v>300</v>
      </c>
      <c r="D491">
        <f t="shared" si="264"/>
        <v>0</v>
      </c>
      <c r="E491">
        <f t="shared" si="283"/>
        <v>5</v>
      </c>
      <c r="F491">
        <f t="shared" si="250"/>
        <v>360</v>
      </c>
      <c r="G491">
        <f t="shared" si="265"/>
        <v>0</v>
      </c>
      <c r="H491">
        <f t="shared" si="272"/>
        <v>4</v>
      </c>
      <c r="I491">
        <f t="shared" si="251"/>
        <v>360</v>
      </c>
      <c r="J491">
        <f t="shared" si="266"/>
        <v>0</v>
      </c>
      <c r="K491">
        <f t="shared" si="273"/>
        <v>3</v>
      </c>
      <c r="L491">
        <f t="shared" si="252"/>
        <v>360</v>
      </c>
      <c r="M491">
        <f t="shared" si="267"/>
        <v>0</v>
      </c>
      <c r="N491">
        <f t="shared" si="274"/>
        <v>2</v>
      </c>
      <c r="O491">
        <f t="shared" si="253"/>
        <v>300</v>
      </c>
      <c r="P491">
        <f t="shared" si="275"/>
        <v>0</v>
      </c>
      <c r="Q491">
        <f t="shared" si="276"/>
        <v>2</v>
      </c>
      <c r="R491">
        <f t="shared" si="254"/>
        <v>300</v>
      </c>
      <c r="S491">
        <f t="shared" si="277"/>
        <v>0</v>
      </c>
      <c r="T491">
        <f t="shared" si="278"/>
        <v>-1</v>
      </c>
      <c r="U491">
        <f t="shared" si="268"/>
        <v>1</v>
      </c>
      <c r="V491">
        <f t="shared" si="269"/>
        <v>1</v>
      </c>
      <c r="W491">
        <f t="shared" si="255"/>
        <v>0</v>
      </c>
      <c r="X491">
        <f t="shared" si="279"/>
        <v>0</v>
      </c>
      <c r="Y491">
        <f t="shared" si="256"/>
        <v>0</v>
      </c>
      <c r="Z491">
        <f t="shared" si="257"/>
        <v>0</v>
      </c>
      <c r="AA491">
        <f t="shared" si="258"/>
        <v>0</v>
      </c>
      <c r="AB491" s="29">
        <f t="shared" si="259"/>
        <v>0</v>
      </c>
      <c r="AC491" s="25">
        <f t="shared" si="260"/>
        <v>0</v>
      </c>
      <c r="AD491" s="29">
        <f t="shared" si="261"/>
        <v>0</v>
      </c>
      <c r="AE491" s="25">
        <f t="shared" si="270"/>
        <v>0</v>
      </c>
      <c r="AF491" s="25">
        <f t="shared" si="262"/>
        <v>0</v>
      </c>
      <c r="AG491" s="25">
        <f>IF($A491&lt;0,0,IF(instatk="bs",(1.5+talSCallInstBon)*(MHavg+(ap+Z491-$Z$1)/APtoDPS*MHnorm+170)*(1+sa*0.1+0.04*opp+0.02*agg+Slayer4value-1),IF(instatk="hemo",Slayer4value*(MHavg+(ap+Z491-$Z$1)/APtoDPS*MHnorm)*(1.1+talSCallInstBon)+420*(1+raidcrit)*debuffon,IF(instatk="ss",(MHavg+(ap+Z491-$Z$1)/APtoDPS*MHnorm+98)*(1+sa*0.1+0.02*agg+Slayer4value-1),IF(instatk="v",(ohavg+(ap+Z491-$Z$1)/APtoDPS*OHnorm)*(1+sa*0.1)*(0.5+0.05*dws)+avipdam,Slayer4value*((1+0.04*opp)*(MHavg+101+(ap+Z491-$Z$1)/APtoDPS*MHnorm+(0.5+0.05*dws)*(ohavg+(ap+Z491-$Z$1)/APtoDPS*OHnorm)+101*(1+0.1*dws))*(1+0.5*IF(Talents!$O$18="Yes",1,0)))))))*(instactualhit+(1+((leth*0.06+2)-1)*(cfact-1))*instactualcrit)*fwfactor*AB491*instsec*(AF491/$AN$45))</f>
        <v>0</v>
      </c>
      <c r="AH491" s="25">
        <f t="shared" si="280"/>
        <v>0</v>
      </c>
      <c r="AI491" s="25">
        <f t="shared" si="281"/>
        <v>0</v>
      </c>
      <c r="AJ491" s="25">
        <f t="shared" si="282"/>
        <v>0</v>
      </c>
    </row>
    <row r="492" spans="1:36">
      <c r="A492">
        <f t="shared" si="263"/>
        <v>-1</v>
      </c>
      <c r="B492">
        <f t="shared" si="271"/>
        <v>6</v>
      </c>
      <c r="C492">
        <f t="shared" si="249"/>
        <v>300</v>
      </c>
      <c r="D492">
        <f t="shared" si="264"/>
        <v>0</v>
      </c>
      <c r="E492">
        <f t="shared" si="283"/>
        <v>5</v>
      </c>
      <c r="F492">
        <f t="shared" si="250"/>
        <v>360</v>
      </c>
      <c r="G492">
        <f t="shared" si="265"/>
        <v>0</v>
      </c>
      <c r="H492">
        <f t="shared" si="272"/>
        <v>4</v>
      </c>
      <c r="I492">
        <f t="shared" si="251"/>
        <v>360</v>
      </c>
      <c r="J492">
        <f t="shared" si="266"/>
        <v>0</v>
      </c>
      <c r="K492">
        <f t="shared" si="273"/>
        <v>3</v>
      </c>
      <c r="L492">
        <f t="shared" si="252"/>
        <v>360</v>
      </c>
      <c r="M492">
        <f t="shared" si="267"/>
        <v>0</v>
      </c>
      <c r="N492">
        <f t="shared" si="274"/>
        <v>2</v>
      </c>
      <c r="O492">
        <f t="shared" si="253"/>
        <v>300</v>
      </c>
      <c r="P492">
        <f t="shared" si="275"/>
        <v>0</v>
      </c>
      <c r="Q492">
        <f t="shared" si="276"/>
        <v>2</v>
      </c>
      <c r="R492">
        <f t="shared" si="254"/>
        <v>300</v>
      </c>
      <c r="S492">
        <f t="shared" si="277"/>
        <v>0</v>
      </c>
      <c r="T492">
        <f t="shared" si="278"/>
        <v>-1</v>
      </c>
      <c r="U492">
        <f t="shared" si="268"/>
        <v>1</v>
      </c>
      <c r="V492">
        <f t="shared" si="269"/>
        <v>1</v>
      </c>
      <c r="W492">
        <f t="shared" si="255"/>
        <v>0</v>
      </c>
      <c r="X492">
        <f t="shared" si="279"/>
        <v>0</v>
      </c>
      <c r="Y492">
        <f t="shared" si="256"/>
        <v>0</v>
      </c>
      <c r="Z492">
        <f t="shared" si="257"/>
        <v>0</v>
      </c>
      <c r="AA492">
        <f t="shared" si="258"/>
        <v>0</v>
      </c>
      <c r="AB492" s="29">
        <f t="shared" si="259"/>
        <v>0</v>
      </c>
      <c r="AC492" s="25">
        <f t="shared" si="260"/>
        <v>0</v>
      </c>
      <c r="AD492" s="29">
        <f t="shared" si="261"/>
        <v>0</v>
      </c>
      <c r="AE492" s="25">
        <f t="shared" si="270"/>
        <v>0</v>
      </c>
      <c r="AF492" s="25">
        <f t="shared" si="262"/>
        <v>0</v>
      </c>
      <c r="AG492" s="25">
        <f>IF($A492&lt;0,0,IF(instatk="bs",(1.5+talSCallInstBon)*(MHavg+(ap+Z492-$Z$1)/APtoDPS*MHnorm+170)*(1+sa*0.1+0.04*opp+0.02*agg+Slayer4value-1),IF(instatk="hemo",Slayer4value*(MHavg+(ap+Z492-$Z$1)/APtoDPS*MHnorm)*(1.1+talSCallInstBon)+420*(1+raidcrit)*debuffon,IF(instatk="ss",(MHavg+(ap+Z492-$Z$1)/APtoDPS*MHnorm+98)*(1+sa*0.1+0.02*agg+Slayer4value-1),IF(instatk="v",(ohavg+(ap+Z492-$Z$1)/APtoDPS*OHnorm)*(1+sa*0.1)*(0.5+0.05*dws)+avipdam,Slayer4value*((1+0.04*opp)*(MHavg+101+(ap+Z492-$Z$1)/APtoDPS*MHnorm+(0.5+0.05*dws)*(ohavg+(ap+Z492-$Z$1)/APtoDPS*OHnorm)+101*(1+0.1*dws))*(1+0.5*IF(Talents!$O$18="Yes",1,0)))))))*(instactualhit+(1+((leth*0.06+2)-1)*(cfact-1))*instactualcrit)*fwfactor*AB492*instsec*(AF492/$AN$45))</f>
        <v>0</v>
      </c>
      <c r="AH492" s="25">
        <f t="shared" si="280"/>
        <v>0</v>
      </c>
      <c r="AI492" s="25">
        <f t="shared" si="281"/>
        <v>0</v>
      </c>
      <c r="AJ492" s="25">
        <f t="shared" si="282"/>
        <v>0</v>
      </c>
    </row>
    <row r="493" spans="1:36">
      <c r="A493">
        <f t="shared" si="263"/>
        <v>-1</v>
      </c>
      <c r="B493">
        <f t="shared" si="271"/>
        <v>6</v>
      </c>
      <c r="C493">
        <f t="shared" si="249"/>
        <v>300</v>
      </c>
      <c r="D493">
        <f t="shared" si="264"/>
        <v>0</v>
      </c>
      <c r="E493">
        <f t="shared" si="283"/>
        <v>5</v>
      </c>
      <c r="F493">
        <f t="shared" si="250"/>
        <v>360</v>
      </c>
      <c r="G493">
        <f t="shared" si="265"/>
        <v>0</v>
      </c>
      <c r="H493">
        <f t="shared" si="272"/>
        <v>4</v>
      </c>
      <c r="I493">
        <f t="shared" si="251"/>
        <v>360</v>
      </c>
      <c r="J493">
        <f t="shared" si="266"/>
        <v>0</v>
      </c>
      <c r="K493">
        <f t="shared" si="273"/>
        <v>3</v>
      </c>
      <c r="L493">
        <f t="shared" si="252"/>
        <v>360</v>
      </c>
      <c r="M493">
        <f t="shared" si="267"/>
        <v>0</v>
      </c>
      <c r="N493">
        <f t="shared" si="274"/>
        <v>2</v>
      </c>
      <c r="O493">
        <f t="shared" si="253"/>
        <v>300</v>
      </c>
      <c r="P493">
        <f t="shared" si="275"/>
        <v>0</v>
      </c>
      <c r="Q493">
        <f t="shared" si="276"/>
        <v>2</v>
      </c>
      <c r="R493">
        <f t="shared" si="254"/>
        <v>300</v>
      </c>
      <c r="S493">
        <f t="shared" si="277"/>
        <v>0</v>
      </c>
      <c r="T493">
        <f t="shared" si="278"/>
        <v>-1</v>
      </c>
      <c r="U493">
        <f t="shared" si="268"/>
        <v>1</v>
      </c>
      <c r="V493">
        <f t="shared" si="269"/>
        <v>1</v>
      </c>
      <c r="W493">
        <f t="shared" si="255"/>
        <v>0</v>
      </c>
      <c r="X493">
        <f t="shared" si="279"/>
        <v>0</v>
      </c>
      <c r="Y493">
        <f t="shared" si="256"/>
        <v>0</v>
      </c>
      <c r="Z493">
        <f t="shared" si="257"/>
        <v>0</v>
      </c>
      <c r="AA493">
        <f t="shared" si="258"/>
        <v>0</v>
      </c>
      <c r="AB493" s="29">
        <f t="shared" si="259"/>
        <v>0</v>
      </c>
      <c r="AC493" s="25">
        <f t="shared" si="260"/>
        <v>0</v>
      </c>
      <c r="AD493" s="29">
        <f t="shared" si="261"/>
        <v>0</v>
      </c>
      <c r="AE493" s="25">
        <f t="shared" si="270"/>
        <v>0</v>
      </c>
      <c r="AF493" s="25">
        <f t="shared" si="262"/>
        <v>0</v>
      </c>
      <c r="AG493" s="25">
        <f>IF($A493&lt;0,0,IF(instatk="bs",(1.5+talSCallInstBon)*(MHavg+(ap+Z493-$Z$1)/APtoDPS*MHnorm+170)*(1+sa*0.1+0.04*opp+0.02*agg+Slayer4value-1),IF(instatk="hemo",Slayer4value*(MHavg+(ap+Z493-$Z$1)/APtoDPS*MHnorm)*(1.1+talSCallInstBon)+420*(1+raidcrit)*debuffon,IF(instatk="ss",(MHavg+(ap+Z493-$Z$1)/APtoDPS*MHnorm+98)*(1+sa*0.1+0.02*agg+Slayer4value-1),IF(instatk="v",(ohavg+(ap+Z493-$Z$1)/APtoDPS*OHnorm)*(1+sa*0.1)*(0.5+0.05*dws)+avipdam,Slayer4value*((1+0.04*opp)*(MHavg+101+(ap+Z493-$Z$1)/APtoDPS*MHnorm+(0.5+0.05*dws)*(ohavg+(ap+Z493-$Z$1)/APtoDPS*OHnorm)+101*(1+0.1*dws))*(1+0.5*IF(Talents!$O$18="Yes",1,0)))))))*(instactualhit+(1+((leth*0.06+2)-1)*(cfact-1))*instactualcrit)*fwfactor*AB493*instsec*(AF493/$AN$45))</f>
        <v>0</v>
      </c>
      <c r="AH493" s="25">
        <f t="shared" si="280"/>
        <v>0</v>
      </c>
      <c r="AI493" s="25">
        <f t="shared" si="281"/>
        <v>0</v>
      </c>
      <c r="AJ493" s="25">
        <f t="shared" si="282"/>
        <v>0</v>
      </c>
    </row>
    <row r="494" spans="1:36">
      <c r="A494">
        <f t="shared" si="263"/>
        <v>-1</v>
      </c>
      <c r="B494">
        <f t="shared" si="271"/>
        <v>6</v>
      </c>
      <c r="C494">
        <f t="shared" si="249"/>
        <v>300</v>
      </c>
      <c r="D494">
        <f t="shared" si="264"/>
        <v>0</v>
      </c>
      <c r="E494">
        <f t="shared" si="283"/>
        <v>5</v>
      </c>
      <c r="F494">
        <f t="shared" si="250"/>
        <v>360</v>
      </c>
      <c r="G494">
        <f t="shared" si="265"/>
        <v>0</v>
      </c>
      <c r="H494">
        <f t="shared" si="272"/>
        <v>4</v>
      </c>
      <c r="I494">
        <f t="shared" si="251"/>
        <v>360</v>
      </c>
      <c r="J494">
        <f t="shared" si="266"/>
        <v>0</v>
      </c>
      <c r="K494">
        <f t="shared" si="273"/>
        <v>3</v>
      </c>
      <c r="L494">
        <f t="shared" si="252"/>
        <v>360</v>
      </c>
      <c r="M494">
        <f t="shared" si="267"/>
        <v>0</v>
      </c>
      <c r="N494">
        <f t="shared" si="274"/>
        <v>2</v>
      </c>
      <c r="O494">
        <f t="shared" si="253"/>
        <v>300</v>
      </c>
      <c r="P494">
        <f t="shared" si="275"/>
        <v>0</v>
      </c>
      <c r="Q494">
        <f t="shared" si="276"/>
        <v>2</v>
      </c>
      <c r="R494">
        <f t="shared" si="254"/>
        <v>300</v>
      </c>
      <c r="S494">
        <f t="shared" si="277"/>
        <v>0</v>
      </c>
      <c r="T494">
        <f t="shared" si="278"/>
        <v>-1</v>
      </c>
      <c r="U494">
        <f t="shared" si="268"/>
        <v>1</v>
      </c>
      <c r="V494">
        <f t="shared" si="269"/>
        <v>1</v>
      </c>
      <c r="W494">
        <f t="shared" si="255"/>
        <v>0</v>
      </c>
      <c r="X494">
        <f t="shared" si="279"/>
        <v>0</v>
      </c>
      <c r="Y494">
        <f t="shared" si="256"/>
        <v>0</v>
      </c>
      <c r="Z494">
        <f t="shared" si="257"/>
        <v>0</v>
      </c>
      <c r="AA494">
        <f t="shared" si="258"/>
        <v>0</v>
      </c>
      <c r="AB494" s="29">
        <f t="shared" si="259"/>
        <v>0</v>
      </c>
      <c r="AC494" s="25">
        <f t="shared" si="260"/>
        <v>0</v>
      </c>
      <c r="AD494" s="29">
        <f t="shared" si="261"/>
        <v>0</v>
      </c>
      <c r="AE494" s="25">
        <f t="shared" si="270"/>
        <v>0</v>
      </c>
      <c r="AF494" s="25">
        <f t="shared" si="262"/>
        <v>0</v>
      </c>
      <c r="AG494" s="25">
        <f>IF($A494&lt;0,0,IF(instatk="bs",(1.5+talSCallInstBon)*(MHavg+(ap+Z494-$Z$1)/APtoDPS*MHnorm+170)*(1+sa*0.1+0.04*opp+0.02*agg+Slayer4value-1),IF(instatk="hemo",Slayer4value*(MHavg+(ap+Z494-$Z$1)/APtoDPS*MHnorm)*(1.1+talSCallInstBon)+420*(1+raidcrit)*debuffon,IF(instatk="ss",(MHavg+(ap+Z494-$Z$1)/APtoDPS*MHnorm+98)*(1+sa*0.1+0.02*agg+Slayer4value-1),IF(instatk="v",(ohavg+(ap+Z494-$Z$1)/APtoDPS*OHnorm)*(1+sa*0.1)*(0.5+0.05*dws)+avipdam,Slayer4value*((1+0.04*opp)*(MHavg+101+(ap+Z494-$Z$1)/APtoDPS*MHnorm+(0.5+0.05*dws)*(ohavg+(ap+Z494-$Z$1)/APtoDPS*OHnorm)+101*(1+0.1*dws))*(1+0.5*IF(Talents!$O$18="Yes",1,0)))))))*(instactualhit+(1+((leth*0.06+2)-1)*(cfact-1))*instactualcrit)*fwfactor*AB494*instsec*(AF494/$AN$45))</f>
        <v>0</v>
      </c>
      <c r="AH494" s="25">
        <f t="shared" si="280"/>
        <v>0</v>
      </c>
      <c r="AI494" s="25">
        <f t="shared" si="281"/>
        <v>0</v>
      </c>
      <c r="AJ494" s="25">
        <f t="shared" si="282"/>
        <v>0</v>
      </c>
    </row>
    <row r="495" spans="1:36">
      <c r="A495">
        <f t="shared" si="263"/>
        <v>-1</v>
      </c>
      <c r="B495">
        <f t="shared" si="271"/>
        <v>6</v>
      </c>
      <c r="C495">
        <f t="shared" si="249"/>
        <v>300</v>
      </c>
      <c r="D495">
        <f t="shared" si="264"/>
        <v>0</v>
      </c>
      <c r="E495">
        <f t="shared" si="283"/>
        <v>5</v>
      </c>
      <c r="F495">
        <f t="shared" si="250"/>
        <v>360</v>
      </c>
      <c r="G495">
        <f t="shared" si="265"/>
        <v>0</v>
      </c>
      <c r="H495">
        <f t="shared" si="272"/>
        <v>4</v>
      </c>
      <c r="I495">
        <f t="shared" si="251"/>
        <v>360</v>
      </c>
      <c r="J495">
        <f t="shared" si="266"/>
        <v>0</v>
      </c>
      <c r="K495">
        <f t="shared" si="273"/>
        <v>3</v>
      </c>
      <c r="L495">
        <f t="shared" si="252"/>
        <v>360</v>
      </c>
      <c r="M495">
        <f t="shared" si="267"/>
        <v>0</v>
      </c>
      <c r="N495">
        <f t="shared" si="274"/>
        <v>2</v>
      </c>
      <c r="O495">
        <f t="shared" si="253"/>
        <v>300</v>
      </c>
      <c r="P495">
        <f t="shared" si="275"/>
        <v>0</v>
      </c>
      <c r="Q495">
        <f t="shared" si="276"/>
        <v>2</v>
      </c>
      <c r="R495">
        <f t="shared" si="254"/>
        <v>300</v>
      </c>
      <c r="S495">
        <f t="shared" si="277"/>
        <v>0</v>
      </c>
      <c r="T495">
        <f t="shared" si="278"/>
        <v>-1</v>
      </c>
      <c r="U495">
        <f t="shared" si="268"/>
        <v>1</v>
      </c>
      <c r="V495">
        <f t="shared" si="269"/>
        <v>1</v>
      </c>
      <c r="W495">
        <f t="shared" si="255"/>
        <v>0</v>
      </c>
      <c r="X495">
        <f t="shared" si="279"/>
        <v>0</v>
      </c>
      <c r="Y495">
        <f t="shared" si="256"/>
        <v>0</v>
      </c>
      <c r="Z495">
        <f t="shared" si="257"/>
        <v>0</v>
      </c>
      <c r="AA495">
        <f t="shared" si="258"/>
        <v>0</v>
      </c>
      <c r="AB495" s="29">
        <f t="shared" si="259"/>
        <v>0</v>
      </c>
      <c r="AC495" s="25">
        <f t="shared" si="260"/>
        <v>0</v>
      </c>
      <c r="AD495" s="29">
        <f t="shared" si="261"/>
        <v>0</v>
      </c>
      <c r="AE495" s="25">
        <f t="shared" si="270"/>
        <v>0</v>
      </c>
      <c r="AF495" s="25">
        <f t="shared" si="262"/>
        <v>0</v>
      </c>
      <c r="AG495" s="25">
        <f>IF($A495&lt;0,0,IF(instatk="bs",(1.5+talSCallInstBon)*(MHavg+(ap+Z495-$Z$1)/APtoDPS*MHnorm+170)*(1+sa*0.1+0.04*opp+0.02*agg+Slayer4value-1),IF(instatk="hemo",Slayer4value*(MHavg+(ap+Z495-$Z$1)/APtoDPS*MHnorm)*(1.1+talSCallInstBon)+420*(1+raidcrit)*debuffon,IF(instatk="ss",(MHavg+(ap+Z495-$Z$1)/APtoDPS*MHnorm+98)*(1+sa*0.1+0.02*agg+Slayer4value-1),IF(instatk="v",(ohavg+(ap+Z495-$Z$1)/APtoDPS*OHnorm)*(1+sa*0.1)*(0.5+0.05*dws)+avipdam,Slayer4value*((1+0.04*opp)*(MHavg+101+(ap+Z495-$Z$1)/APtoDPS*MHnorm+(0.5+0.05*dws)*(ohavg+(ap+Z495-$Z$1)/APtoDPS*OHnorm)+101*(1+0.1*dws))*(1+0.5*IF(Talents!$O$18="Yes",1,0)))))))*(instactualhit+(1+((leth*0.06+2)-1)*(cfact-1))*instactualcrit)*fwfactor*AB495*instsec*(AF495/$AN$45))</f>
        <v>0</v>
      </c>
      <c r="AH495" s="25">
        <f t="shared" si="280"/>
        <v>0</v>
      </c>
      <c r="AI495" s="25">
        <f t="shared" si="281"/>
        <v>0</v>
      </c>
      <c r="AJ495" s="25">
        <f t="shared" si="282"/>
        <v>0</v>
      </c>
    </row>
    <row r="496" spans="1:36">
      <c r="A496">
        <f t="shared" si="263"/>
        <v>-1</v>
      </c>
      <c r="B496">
        <f t="shared" si="271"/>
        <v>6</v>
      </c>
      <c r="C496">
        <f t="shared" si="249"/>
        <v>300</v>
      </c>
      <c r="D496">
        <f t="shared" si="264"/>
        <v>0</v>
      </c>
      <c r="E496">
        <f t="shared" si="283"/>
        <v>5</v>
      </c>
      <c r="F496">
        <f t="shared" si="250"/>
        <v>360</v>
      </c>
      <c r="G496">
        <f t="shared" si="265"/>
        <v>0</v>
      </c>
      <c r="H496">
        <f t="shared" si="272"/>
        <v>4</v>
      </c>
      <c r="I496">
        <f t="shared" si="251"/>
        <v>360</v>
      </c>
      <c r="J496">
        <f t="shared" si="266"/>
        <v>0</v>
      </c>
      <c r="K496">
        <f t="shared" si="273"/>
        <v>3</v>
      </c>
      <c r="L496">
        <f t="shared" si="252"/>
        <v>360</v>
      </c>
      <c r="M496">
        <f t="shared" si="267"/>
        <v>0</v>
      </c>
      <c r="N496">
        <f t="shared" si="274"/>
        <v>2</v>
      </c>
      <c r="O496">
        <f t="shared" si="253"/>
        <v>300</v>
      </c>
      <c r="P496">
        <f t="shared" si="275"/>
        <v>0</v>
      </c>
      <c r="Q496">
        <f t="shared" si="276"/>
        <v>2</v>
      </c>
      <c r="R496">
        <f t="shared" si="254"/>
        <v>300</v>
      </c>
      <c r="S496">
        <f t="shared" si="277"/>
        <v>0</v>
      </c>
      <c r="T496">
        <f t="shared" si="278"/>
        <v>-1</v>
      </c>
      <c r="U496">
        <f t="shared" si="268"/>
        <v>1</v>
      </c>
      <c r="V496">
        <f t="shared" si="269"/>
        <v>1</v>
      </c>
      <c r="W496">
        <f t="shared" si="255"/>
        <v>0</v>
      </c>
      <c r="X496">
        <f t="shared" si="279"/>
        <v>0</v>
      </c>
      <c r="Y496">
        <f t="shared" si="256"/>
        <v>0</v>
      </c>
      <c r="Z496">
        <f t="shared" si="257"/>
        <v>0</v>
      </c>
      <c r="AA496">
        <f t="shared" si="258"/>
        <v>0</v>
      </c>
      <c r="AB496" s="29">
        <f t="shared" si="259"/>
        <v>0</v>
      </c>
      <c r="AC496" s="25">
        <f t="shared" si="260"/>
        <v>0</v>
      </c>
      <c r="AD496" s="29">
        <f t="shared" si="261"/>
        <v>0</v>
      </c>
      <c r="AE496" s="25">
        <f t="shared" si="270"/>
        <v>0</v>
      </c>
      <c r="AF496" s="25">
        <f t="shared" si="262"/>
        <v>0</v>
      </c>
      <c r="AG496" s="25">
        <f>IF($A496&lt;0,0,IF(instatk="bs",(1.5+talSCallInstBon)*(MHavg+(ap+Z496-$Z$1)/APtoDPS*MHnorm+170)*(1+sa*0.1+0.04*opp+0.02*agg+Slayer4value-1),IF(instatk="hemo",Slayer4value*(MHavg+(ap+Z496-$Z$1)/APtoDPS*MHnorm)*(1.1+talSCallInstBon)+420*(1+raidcrit)*debuffon,IF(instatk="ss",(MHavg+(ap+Z496-$Z$1)/APtoDPS*MHnorm+98)*(1+sa*0.1+0.02*agg+Slayer4value-1),IF(instatk="v",(ohavg+(ap+Z496-$Z$1)/APtoDPS*OHnorm)*(1+sa*0.1)*(0.5+0.05*dws)+avipdam,Slayer4value*((1+0.04*opp)*(MHavg+101+(ap+Z496-$Z$1)/APtoDPS*MHnorm+(0.5+0.05*dws)*(ohavg+(ap+Z496-$Z$1)/APtoDPS*OHnorm)+101*(1+0.1*dws))*(1+0.5*IF(Talents!$O$18="Yes",1,0)))))))*(instactualhit+(1+((leth*0.06+2)-1)*(cfact-1))*instactualcrit)*fwfactor*AB496*instsec*(AF496/$AN$45))</f>
        <v>0</v>
      </c>
      <c r="AH496" s="25">
        <f t="shared" si="280"/>
        <v>0</v>
      </c>
      <c r="AI496" s="25">
        <f t="shared" si="281"/>
        <v>0</v>
      </c>
      <c r="AJ496" s="25">
        <f t="shared" si="282"/>
        <v>0</v>
      </c>
    </row>
    <row r="497" spans="1:36">
      <c r="A497">
        <f t="shared" si="263"/>
        <v>-1</v>
      </c>
      <c r="B497">
        <f t="shared" si="271"/>
        <v>6</v>
      </c>
      <c r="C497">
        <f t="shared" si="249"/>
        <v>300</v>
      </c>
      <c r="D497">
        <f t="shared" si="264"/>
        <v>0</v>
      </c>
      <c r="E497">
        <f t="shared" si="283"/>
        <v>5</v>
      </c>
      <c r="F497">
        <f t="shared" si="250"/>
        <v>360</v>
      </c>
      <c r="G497">
        <f t="shared" si="265"/>
        <v>0</v>
      </c>
      <c r="H497">
        <f t="shared" si="272"/>
        <v>4</v>
      </c>
      <c r="I497">
        <f t="shared" si="251"/>
        <v>360</v>
      </c>
      <c r="J497">
        <f t="shared" si="266"/>
        <v>0</v>
      </c>
      <c r="K497">
        <f t="shared" si="273"/>
        <v>3</v>
      </c>
      <c r="L497">
        <f t="shared" si="252"/>
        <v>360</v>
      </c>
      <c r="M497">
        <f t="shared" si="267"/>
        <v>0</v>
      </c>
      <c r="N497">
        <f t="shared" si="274"/>
        <v>2</v>
      </c>
      <c r="O497">
        <f t="shared" si="253"/>
        <v>300</v>
      </c>
      <c r="P497">
        <f t="shared" si="275"/>
        <v>0</v>
      </c>
      <c r="Q497">
        <f t="shared" si="276"/>
        <v>2</v>
      </c>
      <c r="R497">
        <f t="shared" si="254"/>
        <v>300</v>
      </c>
      <c r="S497">
        <f t="shared" si="277"/>
        <v>0</v>
      </c>
      <c r="T497">
        <f t="shared" si="278"/>
        <v>-1</v>
      </c>
      <c r="U497">
        <f t="shared" si="268"/>
        <v>1</v>
      </c>
      <c r="V497">
        <f t="shared" si="269"/>
        <v>1</v>
      </c>
      <c r="W497">
        <f t="shared" si="255"/>
        <v>0</v>
      </c>
      <c r="X497">
        <f t="shared" si="279"/>
        <v>0</v>
      </c>
      <c r="Y497">
        <f t="shared" si="256"/>
        <v>0</v>
      </c>
      <c r="Z497">
        <f t="shared" si="257"/>
        <v>0</v>
      </c>
      <c r="AA497">
        <f t="shared" si="258"/>
        <v>0</v>
      </c>
      <c r="AB497" s="29">
        <f t="shared" si="259"/>
        <v>0</v>
      </c>
      <c r="AC497" s="25">
        <f t="shared" si="260"/>
        <v>0</v>
      </c>
      <c r="AD497" s="29">
        <f t="shared" si="261"/>
        <v>0</v>
      </c>
      <c r="AE497" s="25">
        <f t="shared" si="270"/>
        <v>0</v>
      </c>
      <c r="AF497" s="25">
        <f t="shared" si="262"/>
        <v>0</v>
      </c>
      <c r="AG497" s="25">
        <f>IF($A497&lt;0,0,IF(instatk="bs",(1.5+talSCallInstBon)*(MHavg+(ap+Z497-$Z$1)/APtoDPS*MHnorm+170)*(1+sa*0.1+0.04*opp+0.02*agg+Slayer4value-1),IF(instatk="hemo",Slayer4value*(MHavg+(ap+Z497-$Z$1)/APtoDPS*MHnorm)*(1.1+talSCallInstBon)+420*(1+raidcrit)*debuffon,IF(instatk="ss",(MHavg+(ap+Z497-$Z$1)/APtoDPS*MHnorm+98)*(1+sa*0.1+0.02*agg+Slayer4value-1),IF(instatk="v",(ohavg+(ap+Z497-$Z$1)/APtoDPS*OHnorm)*(1+sa*0.1)*(0.5+0.05*dws)+avipdam,Slayer4value*((1+0.04*opp)*(MHavg+101+(ap+Z497-$Z$1)/APtoDPS*MHnorm+(0.5+0.05*dws)*(ohavg+(ap+Z497-$Z$1)/APtoDPS*OHnorm)+101*(1+0.1*dws))*(1+0.5*IF(Talents!$O$18="Yes",1,0)))))))*(instactualhit+(1+((leth*0.06+2)-1)*(cfact-1))*instactualcrit)*fwfactor*AB497*instsec*(AF497/$AN$45))</f>
        <v>0</v>
      </c>
      <c r="AH497" s="25">
        <f t="shared" si="280"/>
        <v>0</v>
      </c>
      <c r="AI497" s="25">
        <f t="shared" si="281"/>
        <v>0</v>
      </c>
      <c r="AJ497" s="25">
        <f t="shared" si="282"/>
        <v>0</v>
      </c>
    </row>
    <row r="498" spans="1:36">
      <c r="A498">
        <f t="shared" si="263"/>
        <v>-1</v>
      </c>
      <c r="B498">
        <f t="shared" si="271"/>
        <v>6</v>
      </c>
      <c r="C498">
        <f t="shared" si="249"/>
        <v>300</v>
      </c>
      <c r="D498">
        <f t="shared" si="264"/>
        <v>0</v>
      </c>
      <c r="E498">
        <f t="shared" si="283"/>
        <v>5</v>
      </c>
      <c r="F498">
        <f t="shared" si="250"/>
        <v>360</v>
      </c>
      <c r="G498">
        <f t="shared" si="265"/>
        <v>0</v>
      </c>
      <c r="H498">
        <f t="shared" si="272"/>
        <v>4</v>
      </c>
      <c r="I498">
        <f t="shared" si="251"/>
        <v>360</v>
      </c>
      <c r="J498">
        <f t="shared" si="266"/>
        <v>0</v>
      </c>
      <c r="K498">
        <f t="shared" si="273"/>
        <v>3</v>
      </c>
      <c r="L498">
        <f t="shared" si="252"/>
        <v>360</v>
      </c>
      <c r="M498">
        <f t="shared" si="267"/>
        <v>0</v>
      </c>
      <c r="N498">
        <f t="shared" si="274"/>
        <v>2</v>
      </c>
      <c r="O498">
        <f t="shared" si="253"/>
        <v>300</v>
      </c>
      <c r="P498">
        <f t="shared" si="275"/>
        <v>0</v>
      </c>
      <c r="Q498">
        <f t="shared" si="276"/>
        <v>2</v>
      </c>
      <c r="R498">
        <f t="shared" si="254"/>
        <v>300</v>
      </c>
      <c r="S498">
        <f t="shared" si="277"/>
        <v>0</v>
      </c>
      <c r="T498">
        <f t="shared" si="278"/>
        <v>-1</v>
      </c>
      <c r="U498">
        <f t="shared" si="268"/>
        <v>1</v>
      </c>
      <c r="V498">
        <f t="shared" si="269"/>
        <v>1</v>
      </c>
      <c r="W498">
        <f t="shared" si="255"/>
        <v>0</v>
      </c>
      <c r="X498">
        <f t="shared" si="279"/>
        <v>0</v>
      </c>
      <c r="Y498">
        <f t="shared" si="256"/>
        <v>0</v>
      </c>
      <c r="Z498">
        <f t="shared" si="257"/>
        <v>0</v>
      </c>
      <c r="AA498">
        <f t="shared" si="258"/>
        <v>0</v>
      </c>
      <c r="AB498" s="29">
        <f t="shared" si="259"/>
        <v>0</v>
      </c>
      <c r="AC498" s="25">
        <f t="shared" si="260"/>
        <v>0</v>
      </c>
      <c r="AD498" s="29">
        <f t="shared" si="261"/>
        <v>0</v>
      </c>
      <c r="AE498" s="25">
        <f t="shared" si="270"/>
        <v>0</v>
      </c>
      <c r="AF498" s="25">
        <f t="shared" si="262"/>
        <v>0</v>
      </c>
      <c r="AG498" s="25">
        <f>IF($A498&lt;0,0,IF(instatk="bs",(1.5+talSCallInstBon)*(MHavg+(ap+Z498-$Z$1)/APtoDPS*MHnorm+170)*(1+sa*0.1+0.04*opp+0.02*agg+Slayer4value-1),IF(instatk="hemo",Slayer4value*(MHavg+(ap+Z498-$Z$1)/APtoDPS*MHnorm)*(1.1+talSCallInstBon)+420*(1+raidcrit)*debuffon,IF(instatk="ss",(MHavg+(ap+Z498-$Z$1)/APtoDPS*MHnorm+98)*(1+sa*0.1+0.02*agg+Slayer4value-1),IF(instatk="v",(ohavg+(ap+Z498-$Z$1)/APtoDPS*OHnorm)*(1+sa*0.1)*(0.5+0.05*dws)+avipdam,Slayer4value*((1+0.04*opp)*(MHavg+101+(ap+Z498-$Z$1)/APtoDPS*MHnorm+(0.5+0.05*dws)*(ohavg+(ap+Z498-$Z$1)/APtoDPS*OHnorm)+101*(1+0.1*dws))*(1+0.5*IF(Talents!$O$18="Yes",1,0)))))))*(instactualhit+(1+((leth*0.06+2)-1)*(cfact-1))*instactualcrit)*fwfactor*AB498*instsec*(AF498/$AN$45))</f>
        <v>0</v>
      </c>
      <c r="AH498" s="25">
        <f t="shared" si="280"/>
        <v>0</v>
      </c>
      <c r="AI498" s="25">
        <f t="shared" si="281"/>
        <v>0</v>
      </c>
      <c r="AJ498" s="25">
        <f t="shared" si="282"/>
        <v>0</v>
      </c>
    </row>
    <row r="499" spans="1:36">
      <c r="A499">
        <f t="shared" si="263"/>
        <v>-1</v>
      </c>
      <c r="B499">
        <f t="shared" si="271"/>
        <v>6</v>
      </c>
      <c r="C499">
        <f t="shared" si="249"/>
        <v>300</v>
      </c>
      <c r="D499">
        <f t="shared" si="264"/>
        <v>0</v>
      </c>
      <c r="E499">
        <f t="shared" si="283"/>
        <v>5</v>
      </c>
      <c r="F499">
        <f t="shared" si="250"/>
        <v>360</v>
      </c>
      <c r="G499">
        <f t="shared" si="265"/>
        <v>0</v>
      </c>
      <c r="H499">
        <f t="shared" si="272"/>
        <v>4</v>
      </c>
      <c r="I499">
        <f t="shared" si="251"/>
        <v>360</v>
      </c>
      <c r="J499">
        <f t="shared" si="266"/>
        <v>0</v>
      </c>
      <c r="K499">
        <f t="shared" si="273"/>
        <v>3</v>
      </c>
      <c r="L499">
        <f t="shared" si="252"/>
        <v>360</v>
      </c>
      <c r="M499">
        <f t="shared" si="267"/>
        <v>0</v>
      </c>
      <c r="N499">
        <f t="shared" si="274"/>
        <v>2</v>
      </c>
      <c r="O499">
        <f t="shared" si="253"/>
        <v>300</v>
      </c>
      <c r="P499">
        <f t="shared" si="275"/>
        <v>0</v>
      </c>
      <c r="Q499">
        <f t="shared" si="276"/>
        <v>2</v>
      </c>
      <c r="R499">
        <f t="shared" si="254"/>
        <v>300</v>
      </c>
      <c r="S499">
        <f t="shared" si="277"/>
        <v>0</v>
      </c>
      <c r="T499">
        <f t="shared" si="278"/>
        <v>-1</v>
      </c>
      <c r="U499">
        <f t="shared" si="268"/>
        <v>1</v>
      </c>
      <c r="V499">
        <f t="shared" si="269"/>
        <v>1</v>
      </c>
      <c r="W499">
        <f t="shared" si="255"/>
        <v>0</v>
      </c>
      <c r="X499">
        <f t="shared" si="279"/>
        <v>0</v>
      </c>
      <c r="Y499">
        <f t="shared" si="256"/>
        <v>0</v>
      </c>
      <c r="Z499">
        <f t="shared" si="257"/>
        <v>0</v>
      </c>
      <c r="AA499">
        <f t="shared" si="258"/>
        <v>0</v>
      </c>
      <c r="AB499" s="29">
        <f t="shared" si="259"/>
        <v>0</v>
      </c>
      <c r="AC499" s="25">
        <f t="shared" si="260"/>
        <v>0</v>
      </c>
      <c r="AD499" s="29">
        <f t="shared" si="261"/>
        <v>0</v>
      </c>
      <c r="AE499" s="25">
        <f t="shared" si="270"/>
        <v>0</v>
      </c>
      <c r="AF499" s="25">
        <f t="shared" si="262"/>
        <v>0</v>
      </c>
      <c r="AG499" s="25">
        <f>IF($A499&lt;0,0,IF(instatk="bs",(1.5+talSCallInstBon)*(MHavg+(ap+Z499-$Z$1)/APtoDPS*MHnorm+170)*(1+sa*0.1+0.04*opp+0.02*agg+Slayer4value-1),IF(instatk="hemo",Slayer4value*(MHavg+(ap+Z499-$Z$1)/APtoDPS*MHnorm)*(1.1+talSCallInstBon)+420*(1+raidcrit)*debuffon,IF(instatk="ss",(MHavg+(ap+Z499-$Z$1)/APtoDPS*MHnorm+98)*(1+sa*0.1+0.02*agg+Slayer4value-1),IF(instatk="v",(ohavg+(ap+Z499-$Z$1)/APtoDPS*OHnorm)*(1+sa*0.1)*(0.5+0.05*dws)+avipdam,Slayer4value*((1+0.04*opp)*(MHavg+101+(ap+Z499-$Z$1)/APtoDPS*MHnorm+(0.5+0.05*dws)*(ohavg+(ap+Z499-$Z$1)/APtoDPS*OHnorm)+101*(1+0.1*dws))*(1+0.5*IF(Talents!$O$18="Yes",1,0)))))))*(instactualhit+(1+((leth*0.06+2)-1)*(cfact-1))*instactualcrit)*fwfactor*AB499*instsec*(AF499/$AN$45))</f>
        <v>0</v>
      </c>
      <c r="AH499" s="25">
        <f t="shared" si="280"/>
        <v>0</v>
      </c>
      <c r="AI499" s="25">
        <f t="shared" si="281"/>
        <v>0</v>
      </c>
      <c r="AJ499" s="25">
        <f t="shared" si="282"/>
        <v>0</v>
      </c>
    </row>
    <row r="500" spans="1:36">
      <c r="A500">
        <f t="shared" si="263"/>
        <v>-1</v>
      </c>
      <c r="B500">
        <f t="shared" si="271"/>
        <v>6</v>
      </c>
      <c r="C500">
        <f t="shared" si="249"/>
        <v>300</v>
      </c>
      <c r="D500">
        <f t="shared" si="264"/>
        <v>0</v>
      </c>
      <c r="E500">
        <f t="shared" si="283"/>
        <v>5</v>
      </c>
      <c r="F500">
        <f t="shared" si="250"/>
        <v>360</v>
      </c>
      <c r="G500">
        <f t="shared" si="265"/>
        <v>0</v>
      </c>
      <c r="H500">
        <f t="shared" si="272"/>
        <v>4</v>
      </c>
      <c r="I500">
        <f t="shared" si="251"/>
        <v>360</v>
      </c>
      <c r="J500">
        <f t="shared" si="266"/>
        <v>0</v>
      </c>
      <c r="K500">
        <f t="shared" si="273"/>
        <v>3</v>
      </c>
      <c r="L500">
        <f t="shared" si="252"/>
        <v>360</v>
      </c>
      <c r="M500">
        <f t="shared" si="267"/>
        <v>0</v>
      </c>
      <c r="N500">
        <f t="shared" si="274"/>
        <v>2</v>
      </c>
      <c r="O500">
        <f t="shared" si="253"/>
        <v>300</v>
      </c>
      <c r="P500">
        <f t="shared" si="275"/>
        <v>0</v>
      </c>
      <c r="Q500">
        <f t="shared" si="276"/>
        <v>2</v>
      </c>
      <c r="R500">
        <f t="shared" si="254"/>
        <v>300</v>
      </c>
      <c r="S500">
        <f t="shared" si="277"/>
        <v>0</v>
      </c>
      <c r="T500">
        <f t="shared" si="278"/>
        <v>-1</v>
      </c>
      <c r="U500">
        <f t="shared" si="268"/>
        <v>1</v>
      </c>
      <c r="V500">
        <f t="shared" si="269"/>
        <v>1</v>
      </c>
      <c r="W500">
        <f t="shared" si="255"/>
        <v>0</v>
      </c>
      <c r="X500">
        <f t="shared" si="279"/>
        <v>0</v>
      </c>
      <c r="Y500">
        <f t="shared" si="256"/>
        <v>0</v>
      </c>
      <c r="Z500">
        <f t="shared" si="257"/>
        <v>0</v>
      </c>
      <c r="AA500">
        <f t="shared" si="258"/>
        <v>0</v>
      </c>
      <c r="AB500" s="29">
        <f t="shared" si="259"/>
        <v>0</v>
      </c>
      <c r="AC500" s="25">
        <f t="shared" si="260"/>
        <v>0</v>
      </c>
      <c r="AD500" s="29">
        <f t="shared" si="261"/>
        <v>0</v>
      </c>
      <c r="AE500" s="25">
        <f t="shared" si="270"/>
        <v>0</v>
      </c>
      <c r="AF500" s="25">
        <f t="shared" si="262"/>
        <v>0</v>
      </c>
      <c r="AG500" s="25">
        <f>IF($A500&lt;0,0,IF(instatk="bs",(1.5+talSCallInstBon)*(MHavg+(ap+Z500-$Z$1)/APtoDPS*MHnorm+170)*(1+sa*0.1+0.04*opp+0.02*agg+Slayer4value-1),IF(instatk="hemo",Slayer4value*(MHavg+(ap+Z500-$Z$1)/APtoDPS*MHnorm)*(1.1+talSCallInstBon)+420*(1+raidcrit)*debuffon,IF(instatk="ss",(MHavg+(ap+Z500-$Z$1)/APtoDPS*MHnorm+98)*(1+sa*0.1+0.02*agg+Slayer4value-1),IF(instatk="v",(ohavg+(ap+Z500-$Z$1)/APtoDPS*OHnorm)*(1+sa*0.1)*(0.5+0.05*dws)+avipdam,Slayer4value*((1+0.04*opp)*(MHavg+101+(ap+Z500-$Z$1)/APtoDPS*MHnorm+(0.5+0.05*dws)*(ohavg+(ap+Z500-$Z$1)/APtoDPS*OHnorm)+101*(1+0.1*dws))*(1+0.5*IF(Talents!$O$18="Yes",1,0)))))))*(instactualhit+(1+((leth*0.06+2)-1)*(cfact-1))*instactualcrit)*fwfactor*AB500*instsec*(AF500/$AN$45))</f>
        <v>0</v>
      </c>
      <c r="AH500" s="25">
        <f t="shared" si="280"/>
        <v>0</v>
      </c>
      <c r="AI500" s="25">
        <f t="shared" si="281"/>
        <v>0</v>
      </c>
      <c r="AJ500" s="25">
        <f t="shared" si="282"/>
        <v>0</v>
      </c>
    </row>
    <row r="501" spans="1:36">
      <c r="A501">
        <f t="shared" si="263"/>
        <v>-1</v>
      </c>
      <c r="B501">
        <f t="shared" si="271"/>
        <v>6</v>
      </c>
      <c r="C501">
        <f t="shared" si="249"/>
        <v>300</v>
      </c>
      <c r="D501">
        <f t="shared" si="264"/>
        <v>0</v>
      </c>
      <c r="E501">
        <f t="shared" si="283"/>
        <v>5</v>
      </c>
      <c r="F501">
        <f t="shared" si="250"/>
        <v>360</v>
      </c>
      <c r="G501">
        <f t="shared" si="265"/>
        <v>0</v>
      </c>
      <c r="H501">
        <f t="shared" si="272"/>
        <v>4</v>
      </c>
      <c r="I501">
        <f t="shared" si="251"/>
        <v>360</v>
      </c>
      <c r="J501">
        <f t="shared" si="266"/>
        <v>0</v>
      </c>
      <c r="K501">
        <f t="shared" si="273"/>
        <v>3</v>
      </c>
      <c r="L501">
        <f t="shared" si="252"/>
        <v>360</v>
      </c>
      <c r="M501">
        <f t="shared" si="267"/>
        <v>0</v>
      </c>
      <c r="N501">
        <f t="shared" si="274"/>
        <v>2</v>
      </c>
      <c r="O501">
        <f t="shared" si="253"/>
        <v>300</v>
      </c>
      <c r="P501">
        <f t="shared" si="275"/>
        <v>0</v>
      </c>
      <c r="Q501">
        <f t="shared" si="276"/>
        <v>2</v>
      </c>
      <c r="R501">
        <f t="shared" si="254"/>
        <v>300</v>
      </c>
      <c r="S501">
        <f t="shared" si="277"/>
        <v>0</v>
      </c>
      <c r="T501">
        <f t="shared" si="278"/>
        <v>-1</v>
      </c>
      <c r="U501">
        <f t="shared" si="268"/>
        <v>1</v>
      </c>
      <c r="V501">
        <f t="shared" si="269"/>
        <v>1</v>
      </c>
      <c r="W501">
        <f t="shared" si="255"/>
        <v>0</v>
      </c>
      <c r="X501">
        <f t="shared" si="279"/>
        <v>0</v>
      </c>
      <c r="Y501">
        <f t="shared" si="256"/>
        <v>0</v>
      </c>
      <c r="Z501">
        <f t="shared" si="257"/>
        <v>0</v>
      </c>
      <c r="AA501">
        <f t="shared" si="258"/>
        <v>0</v>
      </c>
      <c r="AB501" s="29">
        <f t="shared" si="259"/>
        <v>0</v>
      </c>
      <c r="AC501" s="25">
        <f t="shared" si="260"/>
        <v>0</v>
      </c>
      <c r="AD501" s="29">
        <f t="shared" si="261"/>
        <v>0</v>
      </c>
      <c r="AE501" s="25">
        <f t="shared" si="270"/>
        <v>0</v>
      </c>
      <c r="AF501" s="25">
        <f t="shared" si="262"/>
        <v>0</v>
      </c>
      <c r="AG501" s="25">
        <f>IF($A501&lt;0,0,IF(instatk="bs",(1.5+talSCallInstBon)*(MHavg+(ap+Z501-$Z$1)/APtoDPS*MHnorm+170)*(1+sa*0.1+0.04*opp+0.02*agg+Slayer4value-1),IF(instatk="hemo",Slayer4value*(MHavg+(ap+Z501-$Z$1)/APtoDPS*MHnorm)*(1.1+talSCallInstBon)+420*(1+raidcrit)*debuffon,IF(instatk="ss",(MHavg+(ap+Z501-$Z$1)/APtoDPS*MHnorm+98)*(1+sa*0.1+0.02*agg+Slayer4value-1),IF(instatk="v",(ohavg+(ap+Z501-$Z$1)/APtoDPS*OHnorm)*(1+sa*0.1)*(0.5+0.05*dws)+avipdam,Slayer4value*((1+0.04*opp)*(MHavg+101+(ap+Z501-$Z$1)/APtoDPS*MHnorm+(0.5+0.05*dws)*(ohavg+(ap+Z501-$Z$1)/APtoDPS*OHnorm)+101*(1+0.1*dws))*(1+0.5*IF(Talents!$O$18="Yes",1,0)))))))*(instactualhit+(1+((leth*0.06+2)-1)*(cfact-1))*instactualcrit)*fwfactor*AB501*instsec*(AF501/$AN$45))</f>
        <v>0</v>
      </c>
      <c r="AH501" s="25">
        <f t="shared" si="280"/>
        <v>0</v>
      </c>
      <c r="AI501" s="25">
        <f t="shared" si="281"/>
        <v>0</v>
      </c>
      <c r="AJ501" s="25">
        <f t="shared" si="282"/>
        <v>0</v>
      </c>
    </row>
    <row r="502" spans="1:36">
      <c r="A502">
        <f t="shared" si="263"/>
        <v>-1</v>
      </c>
      <c r="B502">
        <f t="shared" si="271"/>
        <v>6</v>
      </c>
      <c r="C502">
        <f t="shared" si="249"/>
        <v>300</v>
      </c>
      <c r="D502">
        <f t="shared" si="264"/>
        <v>0</v>
      </c>
      <c r="E502">
        <f t="shared" si="283"/>
        <v>5</v>
      </c>
      <c r="F502">
        <f t="shared" si="250"/>
        <v>360</v>
      </c>
      <c r="G502">
        <f t="shared" si="265"/>
        <v>0</v>
      </c>
      <c r="H502">
        <f t="shared" si="272"/>
        <v>4</v>
      </c>
      <c r="I502">
        <f t="shared" si="251"/>
        <v>360</v>
      </c>
      <c r="J502">
        <f t="shared" si="266"/>
        <v>0</v>
      </c>
      <c r="K502">
        <f t="shared" si="273"/>
        <v>3</v>
      </c>
      <c r="L502">
        <f t="shared" si="252"/>
        <v>360</v>
      </c>
      <c r="M502">
        <f t="shared" si="267"/>
        <v>0</v>
      </c>
      <c r="N502">
        <f t="shared" si="274"/>
        <v>2</v>
      </c>
      <c r="O502">
        <f t="shared" si="253"/>
        <v>300</v>
      </c>
      <c r="P502">
        <f t="shared" si="275"/>
        <v>0</v>
      </c>
      <c r="Q502">
        <f t="shared" si="276"/>
        <v>2</v>
      </c>
      <c r="R502">
        <f t="shared" si="254"/>
        <v>300</v>
      </c>
      <c r="S502">
        <f t="shared" si="277"/>
        <v>0</v>
      </c>
      <c r="T502">
        <f t="shared" si="278"/>
        <v>-1</v>
      </c>
      <c r="U502">
        <f t="shared" si="268"/>
        <v>1</v>
      </c>
      <c r="V502">
        <f t="shared" si="269"/>
        <v>1</v>
      </c>
      <c r="W502">
        <f t="shared" si="255"/>
        <v>0</v>
      </c>
      <c r="X502">
        <f t="shared" si="279"/>
        <v>0</v>
      </c>
      <c r="Y502">
        <f t="shared" si="256"/>
        <v>0</v>
      </c>
      <c r="Z502">
        <f t="shared" si="257"/>
        <v>0</v>
      </c>
      <c r="AA502">
        <f t="shared" si="258"/>
        <v>0</v>
      </c>
      <c r="AB502" s="29">
        <f t="shared" si="259"/>
        <v>0</v>
      </c>
      <c r="AC502" s="25">
        <f t="shared" si="260"/>
        <v>0</v>
      </c>
      <c r="AD502" s="29">
        <f t="shared" si="261"/>
        <v>0</v>
      </c>
      <c r="AE502" s="25">
        <f t="shared" si="270"/>
        <v>0</v>
      </c>
      <c r="AF502" s="25">
        <f t="shared" si="262"/>
        <v>0</v>
      </c>
      <c r="AG502" s="25">
        <f>IF($A502&lt;0,0,IF(instatk="bs",(1.5+talSCallInstBon)*(MHavg+(ap+Z502-$Z$1)/APtoDPS*MHnorm+170)*(1+sa*0.1+0.04*opp+0.02*agg+Slayer4value-1),IF(instatk="hemo",Slayer4value*(MHavg+(ap+Z502-$Z$1)/APtoDPS*MHnorm)*(1.1+talSCallInstBon)+420*(1+raidcrit)*debuffon,IF(instatk="ss",(MHavg+(ap+Z502-$Z$1)/APtoDPS*MHnorm+98)*(1+sa*0.1+0.02*agg+Slayer4value-1),IF(instatk="v",(ohavg+(ap+Z502-$Z$1)/APtoDPS*OHnorm)*(1+sa*0.1)*(0.5+0.05*dws)+avipdam,Slayer4value*((1+0.04*opp)*(MHavg+101+(ap+Z502-$Z$1)/APtoDPS*MHnorm+(0.5+0.05*dws)*(ohavg+(ap+Z502-$Z$1)/APtoDPS*OHnorm)+101*(1+0.1*dws))*(1+0.5*IF(Talents!$O$18="Yes",1,0)))))))*(instactualhit+(1+((leth*0.06+2)-1)*(cfact-1))*instactualcrit)*fwfactor*AB502*instsec*(AF502/$AN$45))</f>
        <v>0</v>
      </c>
      <c r="AH502" s="25">
        <f t="shared" si="280"/>
        <v>0</v>
      </c>
      <c r="AI502" s="25">
        <f t="shared" si="281"/>
        <v>0</v>
      </c>
      <c r="AJ502" s="25">
        <f t="shared" si="282"/>
        <v>0</v>
      </c>
    </row>
    <row r="503" spans="1:36">
      <c r="A503">
        <f t="shared" si="263"/>
        <v>-1</v>
      </c>
      <c r="B503">
        <f t="shared" si="271"/>
        <v>6</v>
      </c>
      <c r="C503">
        <f t="shared" si="249"/>
        <v>300</v>
      </c>
      <c r="D503">
        <f t="shared" si="264"/>
        <v>0</v>
      </c>
      <c r="E503">
        <f t="shared" si="283"/>
        <v>5</v>
      </c>
      <c r="F503">
        <f t="shared" si="250"/>
        <v>360</v>
      </c>
      <c r="G503">
        <f t="shared" si="265"/>
        <v>0</v>
      </c>
      <c r="H503">
        <f t="shared" si="272"/>
        <v>4</v>
      </c>
      <c r="I503">
        <f t="shared" si="251"/>
        <v>360</v>
      </c>
      <c r="J503">
        <f t="shared" si="266"/>
        <v>0</v>
      </c>
      <c r="K503">
        <f t="shared" si="273"/>
        <v>3</v>
      </c>
      <c r="L503">
        <f t="shared" si="252"/>
        <v>360</v>
      </c>
      <c r="M503">
        <f t="shared" si="267"/>
        <v>0</v>
      </c>
      <c r="N503">
        <f t="shared" si="274"/>
        <v>2</v>
      </c>
      <c r="O503">
        <f t="shared" si="253"/>
        <v>300</v>
      </c>
      <c r="P503">
        <f t="shared" si="275"/>
        <v>0</v>
      </c>
      <c r="Q503">
        <f t="shared" si="276"/>
        <v>2</v>
      </c>
      <c r="R503">
        <f t="shared" si="254"/>
        <v>300</v>
      </c>
      <c r="S503">
        <f t="shared" si="277"/>
        <v>0</v>
      </c>
      <c r="T503">
        <f t="shared" si="278"/>
        <v>-1</v>
      </c>
      <c r="U503">
        <f t="shared" si="268"/>
        <v>1</v>
      </c>
      <c r="V503">
        <f t="shared" si="269"/>
        <v>1</v>
      </c>
      <c r="W503">
        <f t="shared" si="255"/>
        <v>0</v>
      </c>
      <c r="X503">
        <f t="shared" si="279"/>
        <v>0</v>
      </c>
      <c r="Y503">
        <f t="shared" si="256"/>
        <v>0</v>
      </c>
      <c r="Z503">
        <f t="shared" si="257"/>
        <v>0</v>
      </c>
      <c r="AA503">
        <f t="shared" si="258"/>
        <v>0</v>
      </c>
      <c r="AB503" s="29">
        <f t="shared" si="259"/>
        <v>0</v>
      </c>
      <c r="AC503" s="25">
        <f t="shared" si="260"/>
        <v>0</v>
      </c>
      <c r="AD503" s="29">
        <f t="shared" si="261"/>
        <v>0</v>
      </c>
      <c r="AE503" s="25">
        <f t="shared" si="270"/>
        <v>0</v>
      </c>
      <c r="AF503" s="25">
        <f t="shared" si="262"/>
        <v>0</v>
      </c>
      <c r="AG503" s="25">
        <f>IF($A503&lt;0,0,IF(instatk="bs",(1.5+talSCallInstBon)*(MHavg+(ap+Z503-$Z$1)/APtoDPS*MHnorm+170)*(1+sa*0.1+0.04*opp+0.02*agg+Slayer4value-1),IF(instatk="hemo",Slayer4value*(MHavg+(ap+Z503-$Z$1)/APtoDPS*MHnorm)*(1.1+talSCallInstBon)+420*(1+raidcrit)*debuffon,IF(instatk="ss",(MHavg+(ap+Z503-$Z$1)/APtoDPS*MHnorm+98)*(1+sa*0.1+0.02*agg+Slayer4value-1),IF(instatk="v",(ohavg+(ap+Z503-$Z$1)/APtoDPS*OHnorm)*(1+sa*0.1)*(0.5+0.05*dws)+avipdam,Slayer4value*((1+0.04*opp)*(MHavg+101+(ap+Z503-$Z$1)/APtoDPS*MHnorm+(0.5+0.05*dws)*(ohavg+(ap+Z503-$Z$1)/APtoDPS*OHnorm)+101*(1+0.1*dws))*(1+0.5*IF(Talents!$O$18="Yes",1,0)))))))*(instactualhit+(1+((leth*0.06+2)-1)*(cfact-1))*instactualcrit)*fwfactor*AB503*instsec*(AF503/$AN$45))</f>
        <v>0</v>
      </c>
      <c r="AH503" s="25">
        <f t="shared" si="280"/>
        <v>0</v>
      </c>
      <c r="AI503" s="25">
        <f t="shared" si="281"/>
        <v>0</v>
      </c>
      <c r="AJ503" s="25">
        <f t="shared" si="282"/>
        <v>0</v>
      </c>
    </row>
    <row r="504" spans="1:36">
      <c r="A504">
        <f t="shared" si="263"/>
        <v>-1</v>
      </c>
      <c r="B504">
        <f t="shared" si="271"/>
        <v>6</v>
      </c>
      <c r="C504">
        <f t="shared" si="249"/>
        <v>300</v>
      </c>
      <c r="D504">
        <f t="shared" si="264"/>
        <v>0</v>
      </c>
      <c r="E504">
        <f t="shared" si="283"/>
        <v>5</v>
      </c>
      <c r="F504">
        <f t="shared" si="250"/>
        <v>360</v>
      </c>
      <c r="G504">
        <f t="shared" si="265"/>
        <v>0</v>
      </c>
      <c r="H504">
        <f t="shared" si="272"/>
        <v>4</v>
      </c>
      <c r="I504">
        <f t="shared" si="251"/>
        <v>360</v>
      </c>
      <c r="J504">
        <f t="shared" si="266"/>
        <v>0</v>
      </c>
      <c r="K504">
        <f t="shared" si="273"/>
        <v>3</v>
      </c>
      <c r="L504">
        <f t="shared" si="252"/>
        <v>360</v>
      </c>
      <c r="M504">
        <f t="shared" si="267"/>
        <v>0</v>
      </c>
      <c r="N504">
        <f t="shared" si="274"/>
        <v>2</v>
      </c>
      <c r="O504">
        <f t="shared" si="253"/>
        <v>300</v>
      </c>
      <c r="P504">
        <f t="shared" si="275"/>
        <v>0</v>
      </c>
      <c r="Q504">
        <f t="shared" si="276"/>
        <v>2</v>
      </c>
      <c r="R504">
        <f t="shared" si="254"/>
        <v>300</v>
      </c>
      <c r="S504">
        <f t="shared" si="277"/>
        <v>0</v>
      </c>
      <c r="T504">
        <f t="shared" si="278"/>
        <v>-1</v>
      </c>
      <c r="U504">
        <f t="shared" si="268"/>
        <v>1</v>
      </c>
      <c r="V504">
        <f t="shared" si="269"/>
        <v>1</v>
      </c>
      <c r="W504">
        <f t="shared" si="255"/>
        <v>0</v>
      </c>
      <c r="X504">
        <f t="shared" si="279"/>
        <v>0</v>
      </c>
      <c r="Y504">
        <f t="shared" si="256"/>
        <v>0</v>
      </c>
      <c r="Z504">
        <f t="shared" si="257"/>
        <v>0</v>
      </c>
      <c r="AA504">
        <f t="shared" si="258"/>
        <v>0</v>
      </c>
      <c r="AB504" s="29">
        <f t="shared" si="259"/>
        <v>0</v>
      </c>
      <c r="AC504" s="25">
        <f t="shared" si="260"/>
        <v>0</v>
      </c>
      <c r="AD504" s="29">
        <f t="shared" si="261"/>
        <v>0</v>
      </c>
      <c r="AE504" s="25">
        <f t="shared" si="270"/>
        <v>0</v>
      </c>
      <c r="AF504" s="25">
        <f t="shared" si="262"/>
        <v>0</v>
      </c>
      <c r="AG504" s="25">
        <f>IF($A504&lt;0,0,IF(instatk="bs",(1.5+talSCallInstBon)*(MHavg+(ap+Z504-$Z$1)/APtoDPS*MHnorm+170)*(1+sa*0.1+0.04*opp+0.02*agg+Slayer4value-1),IF(instatk="hemo",Slayer4value*(MHavg+(ap+Z504-$Z$1)/APtoDPS*MHnorm)*(1.1+talSCallInstBon)+420*(1+raidcrit)*debuffon,IF(instatk="ss",(MHavg+(ap+Z504-$Z$1)/APtoDPS*MHnorm+98)*(1+sa*0.1+0.02*agg+Slayer4value-1),IF(instatk="v",(ohavg+(ap+Z504-$Z$1)/APtoDPS*OHnorm)*(1+sa*0.1)*(0.5+0.05*dws)+avipdam,Slayer4value*((1+0.04*opp)*(MHavg+101+(ap+Z504-$Z$1)/APtoDPS*MHnorm+(0.5+0.05*dws)*(ohavg+(ap+Z504-$Z$1)/APtoDPS*OHnorm)+101*(1+0.1*dws))*(1+0.5*IF(Talents!$O$18="Yes",1,0)))))))*(instactualhit+(1+((leth*0.06+2)-1)*(cfact-1))*instactualcrit)*fwfactor*AB504*instsec*(AF504/$AN$45))</f>
        <v>0</v>
      </c>
      <c r="AH504" s="25">
        <f t="shared" si="280"/>
        <v>0</v>
      </c>
      <c r="AI504" s="25">
        <f t="shared" si="281"/>
        <v>0</v>
      </c>
      <c r="AJ504" s="25">
        <f t="shared" si="282"/>
        <v>0</v>
      </c>
    </row>
    <row r="505" spans="1:36">
      <c r="A505">
        <f t="shared" si="263"/>
        <v>-1</v>
      </c>
      <c r="B505">
        <f t="shared" si="271"/>
        <v>6</v>
      </c>
      <c r="C505">
        <f t="shared" si="249"/>
        <v>300</v>
      </c>
      <c r="D505">
        <f t="shared" si="264"/>
        <v>0</v>
      </c>
      <c r="E505">
        <f t="shared" si="283"/>
        <v>5</v>
      </c>
      <c r="F505">
        <f t="shared" si="250"/>
        <v>360</v>
      </c>
      <c r="G505">
        <f t="shared" si="265"/>
        <v>0</v>
      </c>
      <c r="H505">
        <f t="shared" si="272"/>
        <v>4</v>
      </c>
      <c r="I505">
        <f t="shared" si="251"/>
        <v>360</v>
      </c>
      <c r="J505">
        <f t="shared" si="266"/>
        <v>0</v>
      </c>
      <c r="K505">
        <f t="shared" si="273"/>
        <v>3</v>
      </c>
      <c r="L505">
        <f t="shared" si="252"/>
        <v>360</v>
      </c>
      <c r="M505">
        <f t="shared" si="267"/>
        <v>0</v>
      </c>
      <c r="N505">
        <f t="shared" si="274"/>
        <v>2</v>
      </c>
      <c r="O505">
        <f t="shared" si="253"/>
        <v>300</v>
      </c>
      <c r="P505">
        <f t="shared" si="275"/>
        <v>0</v>
      </c>
      <c r="Q505">
        <f t="shared" si="276"/>
        <v>2</v>
      </c>
      <c r="R505">
        <f t="shared" si="254"/>
        <v>300</v>
      </c>
      <c r="S505">
        <f t="shared" si="277"/>
        <v>0</v>
      </c>
      <c r="T505">
        <f t="shared" si="278"/>
        <v>-1</v>
      </c>
      <c r="U505">
        <f t="shared" si="268"/>
        <v>1</v>
      </c>
      <c r="V505">
        <f t="shared" si="269"/>
        <v>1</v>
      </c>
      <c r="W505">
        <f t="shared" si="255"/>
        <v>0</v>
      </c>
      <c r="X505">
        <f t="shared" si="279"/>
        <v>0</v>
      </c>
      <c r="Y505">
        <f t="shared" si="256"/>
        <v>0</v>
      </c>
      <c r="Z505">
        <f t="shared" si="257"/>
        <v>0</v>
      </c>
      <c r="AA505">
        <f t="shared" si="258"/>
        <v>0</v>
      </c>
      <c r="AB505" s="29">
        <f t="shared" si="259"/>
        <v>0</v>
      </c>
      <c r="AC505" s="25">
        <f t="shared" si="260"/>
        <v>0</v>
      </c>
      <c r="AD505" s="29">
        <f t="shared" si="261"/>
        <v>0</v>
      </c>
      <c r="AE505" s="25">
        <f t="shared" si="270"/>
        <v>0</v>
      </c>
      <c r="AF505" s="25">
        <f t="shared" si="262"/>
        <v>0</v>
      </c>
      <c r="AG505" s="25">
        <f>IF($A505&lt;0,0,IF(instatk="bs",(1.5+talSCallInstBon)*(MHavg+(ap+Z505-$Z$1)/APtoDPS*MHnorm+170)*(1+sa*0.1+0.04*opp+0.02*agg+Slayer4value-1),IF(instatk="hemo",Slayer4value*(MHavg+(ap+Z505-$Z$1)/APtoDPS*MHnorm)*(1.1+talSCallInstBon)+420*(1+raidcrit)*debuffon,IF(instatk="ss",(MHavg+(ap+Z505-$Z$1)/APtoDPS*MHnorm+98)*(1+sa*0.1+0.02*agg+Slayer4value-1),IF(instatk="v",(ohavg+(ap+Z505-$Z$1)/APtoDPS*OHnorm)*(1+sa*0.1)*(0.5+0.05*dws)+avipdam,Slayer4value*((1+0.04*opp)*(MHavg+101+(ap+Z505-$Z$1)/APtoDPS*MHnorm+(0.5+0.05*dws)*(ohavg+(ap+Z505-$Z$1)/APtoDPS*OHnorm)+101*(1+0.1*dws))*(1+0.5*IF(Talents!$O$18="Yes",1,0)))))))*(instactualhit+(1+((leth*0.06+2)-1)*(cfact-1))*instactualcrit)*fwfactor*AB505*instsec*(AF505/$AN$45))</f>
        <v>0</v>
      </c>
      <c r="AH505" s="25">
        <f t="shared" si="280"/>
        <v>0</v>
      </c>
      <c r="AI505" s="25">
        <f t="shared" si="281"/>
        <v>0</v>
      </c>
      <c r="AJ505" s="25">
        <f t="shared" si="282"/>
        <v>0</v>
      </c>
    </row>
    <row r="506" spans="1:36">
      <c r="A506">
        <f t="shared" si="263"/>
        <v>-1</v>
      </c>
      <c r="B506">
        <f t="shared" si="271"/>
        <v>6</v>
      </c>
      <c r="C506">
        <f t="shared" si="249"/>
        <v>300</v>
      </c>
      <c r="D506">
        <f t="shared" si="264"/>
        <v>0</v>
      </c>
      <c r="E506">
        <f t="shared" si="283"/>
        <v>5</v>
      </c>
      <c r="F506">
        <f t="shared" si="250"/>
        <v>360</v>
      </c>
      <c r="G506">
        <f t="shared" si="265"/>
        <v>0</v>
      </c>
      <c r="H506">
        <f t="shared" si="272"/>
        <v>4</v>
      </c>
      <c r="I506">
        <f t="shared" si="251"/>
        <v>360</v>
      </c>
      <c r="J506">
        <f t="shared" si="266"/>
        <v>0</v>
      </c>
      <c r="K506">
        <f t="shared" si="273"/>
        <v>3</v>
      </c>
      <c r="L506">
        <f t="shared" si="252"/>
        <v>360</v>
      </c>
      <c r="M506">
        <f t="shared" si="267"/>
        <v>0</v>
      </c>
      <c r="N506">
        <f t="shared" si="274"/>
        <v>2</v>
      </c>
      <c r="O506">
        <f t="shared" si="253"/>
        <v>300</v>
      </c>
      <c r="P506">
        <f t="shared" si="275"/>
        <v>0</v>
      </c>
      <c r="Q506">
        <f t="shared" si="276"/>
        <v>2</v>
      </c>
      <c r="R506">
        <f t="shared" si="254"/>
        <v>300</v>
      </c>
      <c r="S506">
        <f t="shared" si="277"/>
        <v>0</v>
      </c>
      <c r="T506">
        <f t="shared" si="278"/>
        <v>-1</v>
      </c>
      <c r="U506">
        <f t="shared" si="268"/>
        <v>1</v>
      </c>
      <c r="V506">
        <f t="shared" si="269"/>
        <v>1</v>
      </c>
      <c r="W506">
        <f t="shared" si="255"/>
        <v>0</v>
      </c>
      <c r="X506">
        <f t="shared" si="279"/>
        <v>0</v>
      </c>
      <c r="Y506">
        <f t="shared" si="256"/>
        <v>0</v>
      </c>
      <c r="Z506">
        <f t="shared" si="257"/>
        <v>0</v>
      </c>
      <c r="AA506">
        <f t="shared" si="258"/>
        <v>0</v>
      </c>
      <c r="AB506" s="29">
        <f t="shared" si="259"/>
        <v>0</v>
      </c>
      <c r="AC506" s="25">
        <f t="shared" si="260"/>
        <v>0</v>
      </c>
      <c r="AD506" s="29">
        <f t="shared" si="261"/>
        <v>0</v>
      </c>
      <c r="AE506" s="25">
        <f t="shared" si="270"/>
        <v>0</v>
      </c>
      <c r="AF506" s="25">
        <f t="shared" si="262"/>
        <v>0</v>
      </c>
      <c r="AG506" s="25">
        <f>IF($A506&lt;0,0,IF(instatk="bs",(1.5+talSCallInstBon)*(MHavg+(ap+Z506-$Z$1)/APtoDPS*MHnorm+170)*(1+sa*0.1+0.04*opp+0.02*agg+Slayer4value-1),IF(instatk="hemo",Slayer4value*(MHavg+(ap+Z506-$Z$1)/APtoDPS*MHnorm)*(1.1+talSCallInstBon)+420*(1+raidcrit)*debuffon,IF(instatk="ss",(MHavg+(ap+Z506-$Z$1)/APtoDPS*MHnorm+98)*(1+sa*0.1+0.02*agg+Slayer4value-1),IF(instatk="v",(ohavg+(ap+Z506-$Z$1)/APtoDPS*OHnorm)*(1+sa*0.1)*(0.5+0.05*dws)+avipdam,Slayer4value*((1+0.04*opp)*(MHavg+101+(ap+Z506-$Z$1)/APtoDPS*MHnorm+(0.5+0.05*dws)*(ohavg+(ap+Z506-$Z$1)/APtoDPS*OHnorm)+101*(1+0.1*dws))*(1+0.5*IF(Talents!$O$18="Yes",1,0)))))))*(instactualhit+(1+((leth*0.06+2)-1)*(cfact-1))*instactualcrit)*fwfactor*AB506*instsec*(AF506/$AN$45))</f>
        <v>0</v>
      </c>
      <c r="AH506" s="25">
        <f t="shared" si="280"/>
        <v>0</v>
      </c>
      <c r="AI506" s="25">
        <f t="shared" si="281"/>
        <v>0</v>
      </c>
      <c r="AJ506" s="25">
        <f t="shared" si="282"/>
        <v>0</v>
      </c>
    </row>
    <row r="507" spans="1:36">
      <c r="A507">
        <f t="shared" si="263"/>
        <v>-1</v>
      </c>
      <c r="B507">
        <f t="shared" si="271"/>
        <v>6</v>
      </c>
      <c r="C507">
        <f t="shared" si="249"/>
        <v>300</v>
      </c>
      <c r="D507">
        <f t="shared" si="264"/>
        <v>0</v>
      </c>
      <c r="E507">
        <f t="shared" si="283"/>
        <v>5</v>
      </c>
      <c r="F507">
        <f t="shared" si="250"/>
        <v>360</v>
      </c>
      <c r="G507">
        <f t="shared" si="265"/>
        <v>0</v>
      </c>
      <c r="H507">
        <f t="shared" si="272"/>
        <v>4</v>
      </c>
      <c r="I507">
        <f t="shared" si="251"/>
        <v>360</v>
      </c>
      <c r="J507">
        <f t="shared" si="266"/>
        <v>0</v>
      </c>
      <c r="K507">
        <f t="shared" si="273"/>
        <v>3</v>
      </c>
      <c r="L507">
        <f t="shared" si="252"/>
        <v>360</v>
      </c>
      <c r="M507">
        <f t="shared" si="267"/>
        <v>0</v>
      </c>
      <c r="N507">
        <f t="shared" si="274"/>
        <v>2</v>
      </c>
      <c r="O507">
        <f t="shared" si="253"/>
        <v>300</v>
      </c>
      <c r="P507">
        <f t="shared" si="275"/>
        <v>0</v>
      </c>
      <c r="Q507">
        <f t="shared" si="276"/>
        <v>2</v>
      </c>
      <c r="R507">
        <f t="shared" si="254"/>
        <v>300</v>
      </c>
      <c r="S507">
        <f t="shared" si="277"/>
        <v>0</v>
      </c>
      <c r="T507">
        <f t="shared" si="278"/>
        <v>-1</v>
      </c>
      <c r="U507">
        <f t="shared" si="268"/>
        <v>1</v>
      </c>
      <c r="V507">
        <f t="shared" si="269"/>
        <v>1</v>
      </c>
      <c r="W507">
        <f t="shared" si="255"/>
        <v>0</v>
      </c>
      <c r="X507">
        <f t="shared" si="279"/>
        <v>0</v>
      </c>
      <c r="Y507">
        <f t="shared" si="256"/>
        <v>0</v>
      </c>
      <c r="Z507">
        <f t="shared" si="257"/>
        <v>0</v>
      </c>
      <c r="AA507">
        <f t="shared" si="258"/>
        <v>0</v>
      </c>
      <c r="AB507" s="29">
        <f t="shared" si="259"/>
        <v>0</v>
      </c>
      <c r="AC507" s="25">
        <f t="shared" si="260"/>
        <v>0</v>
      </c>
      <c r="AD507" s="29">
        <f t="shared" si="261"/>
        <v>0</v>
      </c>
      <c r="AE507" s="25">
        <f t="shared" si="270"/>
        <v>0</v>
      </c>
      <c r="AF507" s="25">
        <f t="shared" si="262"/>
        <v>0</v>
      </c>
      <c r="AG507" s="25">
        <f>IF($A507&lt;0,0,IF(instatk="bs",(1.5+talSCallInstBon)*(MHavg+(ap+Z507-$Z$1)/APtoDPS*MHnorm+170)*(1+sa*0.1+0.04*opp+0.02*agg+Slayer4value-1),IF(instatk="hemo",Slayer4value*(MHavg+(ap+Z507-$Z$1)/APtoDPS*MHnorm)*(1.1+talSCallInstBon)+420*(1+raidcrit)*debuffon,IF(instatk="ss",(MHavg+(ap+Z507-$Z$1)/APtoDPS*MHnorm+98)*(1+sa*0.1+0.02*agg+Slayer4value-1),IF(instatk="v",(ohavg+(ap+Z507-$Z$1)/APtoDPS*OHnorm)*(1+sa*0.1)*(0.5+0.05*dws)+avipdam,Slayer4value*((1+0.04*opp)*(MHavg+101+(ap+Z507-$Z$1)/APtoDPS*MHnorm+(0.5+0.05*dws)*(ohavg+(ap+Z507-$Z$1)/APtoDPS*OHnorm)+101*(1+0.1*dws))*(1+0.5*IF(Talents!$O$18="Yes",1,0)))))))*(instactualhit+(1+((leth*0.06+2)-1)*(cfact-1))*instactualcrit)*fwfactor*AB507*instsec*(AF507/$AN$45))</f>
        <v>0</v>
      </c>
      <c r="AH507" s="25">
        <f t="shared" si="280"/>
        <v>0</v>
      </c>
      <c r="AI507" s="25">
        <f t="shared" si="281"/>
        <v>0</v>
      </c>
      <c r="AJ507" s="25">
        <f t="shared" si="282"/>
        <v>0</v>
      </c>
    </row>
    <row r="508" spans="1:36">
      <c r="A508">
        <f t="shared" si="263"/>
        <v>-1</v>
      </c>
      <c r="B508">
        <f t="shared" si="271"/>
        <v>6</v>
      </c>
      <c r="C508">
        <f t="shared" si="249"/>
        <v>300</v>
      </c>
      <c r="D508">
        <f t="shared" si="264"/>
        <v>0</v>
      </c>
      <c r="E508">
        <f t="shared" si="283"/>
        <v>5</v>
      </c>
      <c r="F508">
        <f t="shared" si="250"/>
        <v>360</v>
      </c>
      <c r="G508">
        <f t="shared" si="265"/>
        <v>0</v>
      </c>
      <c r="H508">
        <f t="shared" si="272"/>
        <v>4</v>
      </c>
      <c r="I508">
        <f t="shared" si="251"/>
        <v>360</v>
      </c>
      <c r="J508">
        <f t="shared" si="266"/>
        <v>0</v>
      </c>
      <c r="K508">
        <f t="shared" si="273"/>
        <v>3</v>
      </c>
      <c r="L508">
        <f t="shared" si="252"/>
        <v>360</v>
      </c>
      <c r="M508">
        <f t="shared" si="267"/>
        <v>0</v>
      </c>
      <c r="N508">
        <f t="shared" si="274"/>
        <v>2</v>
      </c>
      <c r="O508">
        <f t="shared" si="253"/>
        <v>300</v>
      </c>
      <c r="P508">
        <f t="shared" si="275"/>
        <v>0</v>
      </c>
      <c r="Q508">
        <f t="shared" si="276"/>
        <v>2</v>
      </c>
      <c r="R508">
        <f t="shared" si="254"/>
        <v>300</v>
      </c>
      <c r="S508">
        <f t="shared" si="277"/>
        <v>0</v>
      </c>
      <c r="T508">
        <f t="shared" si="278"/>
        <v>-1</v>
      </c>
      <c r="U508">
        <f t="shared" si="268"/>
        <v>1</v>
      </c>
      <c r="V508">
        <f t="shared" si="269"/>
        <v>1</v>
      </c>
      <c r="W508">
        <f t="shared" si="255"/>
        <v>0</v>
      </c>
      <c r="X508">
        <f t="shared" si="279"/>
        <v>0</v>
      </c>
      <c r="Y508">
        <f t="shared" si="256"/>
        <v>0</v>
      </c>
      <c r="Z508">
        <f t="shared" si="257"/>
        <v>0</v>
      </c>
      <c r="AA508">
        <f t="shared" si="258"/>
        <v>0</v>
      </c>
      <c r="AB508" s="29">
        <f t="shared" si="259"/>
        <v>0</v>
      </c>
      <c r="AC508" s="25">
        <f t="shared" si="260"/>
        <v>0</v>
      </c>
      <c r="AD508" s="29">
        <f t="shared" si="261"/>
        <v>0</v>
      </c>
      <c r="AE508" s="25">
        <f t="shared" si="270"/>
        <v>0</v>
      </c>
      <c r="AF508" s="25">
        <f t="shared" si="262"/>
        <v>0</v>
      </c>
      <c r="AG508" s="25">
        <f>IF($A508&lt;0,0,IF(instatk="bs",(1.5+talSCallInstBon)*(MHavg+(ap+Z508-$Z$1)/APtoDPS*MHnorm+170)*(1+sa*0.1+0.04*opp+0.02*agg+Slayer4value-1),IF(instatk="hemo",Slayer4value*(MHavg+(ap+Z508-$Z$1)/APtoDPS*MHnorm)*(1.1+talSCallInstBon)+420*(1+raidcrit)*debuffon,IF(instatk="ss",(MHavg+(ap+Z508-$Z$1)/APtoDPS*MHnorm+98)*(1+sa*0.1+0.02*agg+Slayer4value-1),IF(instatk="v",(ohavg+(ap+Z508-$Z$1)/APtoDPS*OHnorm)*(1+sa*0.1)*(0.5+0.05*dws)+avipdam,Slayer4value*((1+0.04*opp)*(MHavg+101+(ap+Z508-$Z$1)/APtoDPS*MHnorm+(0.5+0.05*dws)*(ohavg+(ap+Z508-$Z$1)/APtoDPS*OHnorm)+101*(1+0.1*dws))*(1+0.5*IF(Talents!$O$18="Yes",1,0)))))))*(instactualhit+(1+((leth*0.06+2)-1)*(cfact-1))*instactualcrit)*fwfactor*AB508*instsec*(AF508/$AN$45))</f>
        <v>0</v>
      </c>
      <c r="AH508" s="25">
        <f t="shared" si="280"/>
        <v>0</v>
      </c>
      <c r="AI508" s="25">
        <f t="shared" si="281"/>
        <v>0</v>
      </c>
      <c r="AJ508" s="25">
        <f t="shared" si="282"/>
        <v>0</v>
      </c>
    </row>
    <row r="509" spans="1:36">
      <c r="A509">
        <f t="shared" si="263"/>
        <v>-1</v>
      </c>
      <c r="B509">
        <f t="shared" si="271"/>
        <v>6</v>
      </c>
      <c r="C509">
        <f t="shared" si="249"/>
        <v>300</v>
      </c>
      <c r="D509">
        <f t="shared" si="264"/>
        <v>0</v>
      </c>
      <c r="E509">
        <f t="shared" si="283"/>
        <v>5</v>
      </c>
      <c r="F509">
        <f t="shared" si="250"/>
        <v>360</v>
      </c>
      <c r="G509">
        <f t="shared" si="265"/>
        <v>0</v>
      </c>
      <c r="H509">
        <f t="shared" si="272"/>
        <v>4</v>
      </c>
      <c r="I509">
        <f t="shared" si="251"/>
        <v>360</v>
      </c>
      <c r="J509">
        <f t="shared" si="266"/>
        <v>0</v>
      </c>
      <c r="K509">
        <f t="shared" si="273"/>
        <v>3</v>
      </c>
      <c r="L509">
        <f t="shared" si="252"/>
        <v>360</v>
      </c>
      <c r="M509">
        <f t="shared" si="267"/>
        <v>0</v>
      </c>
      <c r="N509">
        <f t="shared" si="274"/>
        <v>2</v>
      </c>
      <c r="O509">
        <f t="shared" si="253"/>
        <v>300</v>
      </c>
      <c r="P509">
        <f t="shared" si="275"/>
        <v>0</v>
      </c>
      <c r="Q509">
        <f t="shared" si="276"/>
        <v>2</v>
      </c>
      <c r="R509">
        <f t="shared" si="254"/>
        <v>300</v>
      </c>
      <c r="S509">
        <f t="shared" si="277"/>
        <v>0</v>
      </c>
      <c r="T509">
        <f t="shared" si="278"/>
        <v>-1</v>
      </c>
      <c r="U509">
        <f t="shared" si="268"/>
        <v>1</v>
      </c>
      <c r="V509">
        <f t="shared" si="269"/>
        <v>1</v>
      </c>
      <c r="W509">
        <f t="shared" si="255"/>
        <v>0</v>
      </c>
      <c r="X509">
        <f t="shared" si="279"/>
        <v>0</v>
      </c>
      <c r="Y509">
        <f t="shared" si="256"/>
        <v>0</v>
      </c>
      <c r="Z509">
        <f t="shared" si="257"/>
        <v>0</v>
      </c>
      <c r="AA509">
        <f t="shared" si="258"/>
        <v>0</v>
      </c>
      <c r="AB509" s="29">
        <f t="shared" si="259"/>
        <v>0</v>
      </c>
      <c r="AC509" s="25">
        <f t="shared" si="260"/>
        <v>0</v>
      </c>
      <c r="AD509" s="29">
        <f t="shared" si="261"/>
        <v>0</v>
      </c>
      <c r="AE509" s="25">
        <f t="shared" si="270"/>
        <v>0</v>
      </c>
      <c r="AF509" s="25">
        <f t="shared" si="262"/>
        <v>0</v>
      </c>
      <c r="AG509" s="25">
        <f>IF($A509&lt;0,0,IF(instatk="bs",(1.5+talSCallInstBon)*(MHavg+(ap+Z509-$Z$1)/APtoDPS*MHnorm+170)*(1+sa*0.1+0.04*opp+0.02*agg+Slayer4value-1),IF(instatk="hemo",Slayer4value*(MHavg+(ap+Z509-$Z$1)/APtoDPS*MHnorm)*(1.1+talSCallInstBon)+420*(1+raidcrit)*debuffon,IF(instatk="ss",(MHavg+(ap+Z509-$Z$1)/APtoDPS*MHnorm+98)*(1+sa*0.1+0.02*agg+Slayer4value-1),IF(instatk="v",(ohavg+(ap+Z509-$Z$1)/APtoDPS*OHnorm)*(1+sa*0.1)*(0.5+0.05*dws)+avipdam,Slayer4value*((1+0.04*opp)*(MHavg+101+(ap+Z509-$Z$1)/APtoDPS*MHnorm+(0.5+0.05*dws)*(ohavg+(ap+Z509-$Z$1)/APtoDPS*OHnorm)+101*(1+0.1*dws))*(1+0.5*IF(Talents!$O$18="Yes",1,0)))))))*(instactualhit+(1+((leth*0.06+2)-1)*(cfact-1))*instactualcrit)*fwfactor*AB509*instsec*(AF509/$AN$45))</f>
        <v>0</v>
      </c>
      <c r="AH509" s="25">
        <f t="shared" si="280"/>
        <v>0</v>
      </c>
      <c r="AI509" s="25">
        <f t="shared" si="281"/>
        <v>0</v>
      </c>
      <c r="AJ509" s="25">
        <f t="shared" si="282"/>
        <v>0</v>
      </c>
    </row>
    <row r="510" spans="1:36">
      <c r="A510">
        <f t="shared" si="263"/>
        <v>-1</v>
      </c>
      <c r="B510">
        <f t="shared" si="271"/>
        <v>6</v>
      </c>
      <c r="C510">
        <f t="shared" si="249"/>
        <v>300</v>
      </c>
      <c r="D510">
        <f t="shared" si="264"/>
        <v>0</v>
      </c>
      <c r="E510">
        <f t="shared" si="283"/>
        <v>5</v>
      </c>
      <c r="F510">
        <f t="shared" si="250"/>
        <v>360</v>
      </c>
      <c r="G510">
        <f t="shared" si="265"/>
        <v>0</v>
      </c>
      <c r="H510">
        <f t="shared" si="272"/>
        <v>4</v>
      </c>
      <c r="I510">
        <f t="shared" si="251"/>
        <v>360</v>
      </c>
      <c r="J510">
        <f t="shared" si="266"/>
        <v>0</v>
      </c>
      <c r="K510">
        <f t="shared" si="273"/>
        <v>3</v>
      </c>
      <c r="L510">
        <f t="shared" si="252"/>
        <v>360</v>
      </c>
      <c r="M510">
        <f t="shared" si="267"/>
        <v>0</v>
      </c>
      <c r="N510">
        <f t="shared" si="274"/>
        <v>2</v>
      </c>
      <c r="O510">
        <f t="shared" si="253"/>
        <v>300</v>
      </c>
      <c r="P510">
        <f t="shared" si="275"/>
        <v>0</v>
      </c>
      <c r="Q510">
        <f t="shared" si="276"/>
        <v>2</v>
      </c>
      <c r="R510">
        <f t="shared" si="254"/>
        <v>300</v>
      </c>
      <c r="S510">
        <f t="shared" si="277"/>
        <v>0</v>
      </c>
      <c r="T510">
        <f t="shared" si="278"/>
        <v>-1</v>
      </c>
      <c r="U510">
        <f t="shared" si="268"/>
        <v>1</v>
      </c>
      <c r="V510">
        <f t="shared" si="269"/>
        <v>1</v>
      </c>
      <c r="W510">
        <f t="shared" si="255"/>
        <v>0</v>
      </c>
      <c r="X510">
        <f t="shared" si="279"/>
        <v>0</v>
      </c>
      <c r="Y510">
        <f t="shared" si="256"/>
        <v>0</v>
      </c>
      <c r="Z510">
        <f t="shared" si="257"/>
        <v>0</v>
      </c>
      <c r="AA510">
        <f t="shared" si="258"/>
        <v>0</v>
      </c>
      <c r="AB510" s="29">
        <f t="shared" si="259"/>
        <v>0</v>
      </c>
      <c r="AC510" s="25">
        <f t="shared" si="260"/>
        <v>0</v>
      </c>
      <c r="AD510" s="29">
        <f t="shared" si="261"/>
        <v>0</v>
      </c>
      <c r="AE510" s="25">
        <f t="shared" si="270"/>
        <v>0</v>
      </c>
      <c r="AF510" s="25">
        <f t="shared" si="262"/>
        <v>0</v>
      </c>
      <c r="AG510" s="25">
        <f>IF($A510&lt;0,0,IF(instatk="bs",(1.5+talSCallInstBon)*(MHavg+(ap+Z510-$Z$1)/APtoDPS*MHnorm+170)*(1+sa*0.1+0.04*opp+0.02*agg+Slayer4value-1),IF(instatk="hemo",Slayer4value*(MHavg+(ap+Z510-$Z$1)/APtoDPS*MHnorm)*(1.1+talSCallInstBon)+420*(1+raidcrit)*debuffon,IF(instatk="ss",(MHavg+(ap+Z510-$Z$1)/APtoDPS*MHnorm+98)*(1+sa*0.1+0.02*agg+Slayer4value-1),IF(instatk="v",(ohavg+(ap+Z510-$Z$1)/APtoDPS*OHnorm)*(1+sa*0.1)*(0.5+0.05*dws)+avipdam,Slayer4value*((1+0.04*opp)*(MHavg+101+(ap+Z510-$Z$1)/APtoDPS*MHnorm+(0.5+0.05*dws)*(ohavg+(ap+Z510-$Z$1)/APtoDPS*OHnorm)+101*(1+0.1*dws))*(1+0.5*IF(Talents!$O$18="Yes",1,0)))))))*(instactualhit+(1+((leth*0.06+2)-1)*(cfact-1))*instactualcrit)*fwfactor*AB510*instsec*(AF510/$AN$45))</f>
        <v>0</v>
      </c>
      <c r="AH510" s="25">
        <f t="shared" si="280"/>
        <v>0</v>
      </c>
      <c r="AI510" s="25">
        <f t="shared" si="281"/>
        <v>0</v>
      </c>
      <c r="AJ510" s="25">
        <f t="shared" si="282"/>
        <v>0</v>
      </c>
    </row>
    <row r="511" spans="1:36">
      <c r="A511">
        <f t="shared" si="263"/>
        <v>-1</v>
      </c>
      <c r="B511">
        <f t="shared" si="271"/>
        <v>6</v>
      </c>
      <c r="C511">
        <f t="shared" si="249"/>
        <v>300</v>
      </c>
      <c r="D511">
        <f t="shared" si="264"/>
        <v>0</v>
      </c>
      <c r="E511">
        <f t="shared" si="283"/>
        <v>5</v>
      </c>
      <c r="F511">
        <f t="shared" si="250"/>
        <v>360</v>
      </c>
      <c r="G511">
        <f t="shared" si="265"/>
        <v>0</v>
      </c>
      <c r="H511">
        <f t="shared" si="272"/>
        <v>4</v>
      </c>
      <c r="I511">
        <f t="shared" si="251"/>
        <v>360</v>
      </c>
      <c r="J511">
        <f t="shared" si="266"/>
        <v>0</v>
      </c>
      <c r="K511">
        <f t="shared" si="273"/>
        <v>3</v>
      </c>
      <c r="L511">
        <f t="shared" si="252"/>
        <v>360</v>
      </c>
      <c r="M511">
        <f t="shared" si="267"/>
        <v>0</v>
      </c>
      <c r="N511">
        <f t="shared" si="274"/>
        <v>2</v>
      </c>
      <c r="O511">
        <f t="shared" si="253"/>
        <v>300</v>
      </c>
      <c r="P511">
        <f t="shared" si="275"/>
        <v>0</v>
      </c>
      <c r="Q511">
        <f t="shared" si="276"/>
        <v>2</v>
      </c>
      <c r="R511">
        <f t="shared" si="254"/>
        <v>300</v>
      </c>
      <c r="S511">
        <f t="shared" si="277"/>
        <v>0</v>
      </c>
      <c r="T511">
        <f t="shared" si="278"/>
        <v>-1</v>
      </c>
      <c r="U511">
        <f t="shared" si="268"/>
        <v>1</v>
      </c>
      <c r="V511">
        <f t="shared" si="269"/>
        <v>1</v>
      </c>
      <c r="W511">
        <f t="shared" si="255"/>
        <v>0</v>
      </c>
      <c r="X511">
        <f t="shared" si="279"/>
        <v>0</v>
      </c>
      <c r="Y511">
        <f t="shared" si="256"/>
        <v>0</v>
      </c>
      <c r="Z511">
        <f t="shared" si="257"/>
        <v>0</v>
      </c>
      <c r="AA511">
        <f t="shared" si="258"/>
        <v>0</v>
      </c>
      <c r="AB511" s="29">
        <f t="shared" si="259"/>
        <v>0</v>
      </c>
      <c r="AC511" s="25">
        <f t="shared" si="260"/>
        <v>0</v>
      </c>
      <c r="AD511" s="29">
        <f t="shared" si="261"/>
        <v>0</v>
      </c>
      <c r="AE511" s="25">
        <f t="shared" si="270"/>
        <v>0</v>
      </c>
      <c r="AF511" s="25">
        <f t="shared" si="262"/>
        <v>0</v>
      </c>
      <c r="AG511" s="25">
        <f>IF($A511&lt;0,0,IF(instatk="bs",(1.5+talSCallInstBon)*(MHavg+(ap+Z511-$Z$1)/APtoDPS*MHnorm+170)*(1+sa*0.1+0.04*opp+0.02*agg+Slayer4value-1),IF(instatk="hemo",Slayer4value*(MHavg+(ap+Z511-$Z$1)/APtoDPS*MHnorm)*(1.1+talSCallInstBon)+420*(1+raidcrit)*debuffon,IF(instatk="ss",(MHavg+(ap+Z511-$Z$1)/APtoDPS*MHnorm+98)*(1+sa*0.1+0.02*agg+Slayer4value-1),IF(instatk="v",(ohavg+(ap+Z511-$Z$1)/APtoDPS*OHnorm)*(1+sa*0.1)*(0.5+0.05*dws)+avipdam,Slayer4value*((1+0.04*opp)*(MHavg+101+(ap+Z511-$Z$1)/APtoDPS*MHnorm+(0.5+0.05*dws)*(ohavg+(ap+Z511-$Z$1)/APtoDPS*OHnorm)+101*(1+0.1*dws))*(1+0.5*IF(Talents!$O$18="Yes",1,0)))))))*(instactualhit+(1+((leth*0.06+2)-1)*(cfact-1))*instactualcrit)*fwfactor*AB511*instsec*(AF511/$AN$45))</f>
        <v>0</v>
      </c>
      <c r="AH511" s="25">
        <f t="shared" si="280"/>
        <v>0</v>
      </c>
      <c r="AI511" s="25">
        <f t="shared" si="281"/>
        <v>0</v>
      </c>
      <c r="AJ511" s="25">
        <f t="shared" si="282"/>
        <v>0</v>
      </c>
    </row>
    <row r="512" spans="1:36">
      <c r="A512">
        <f t="shared" si="263"/>
        <v>-1</v>
      </c>
      <c r="B512">
        <f t="shared" si="271"/>
        <v>6</v>
      </c>
      <c r="C512">
        <f t="shared" si="249"/>
        <v>300</v>
      </c>
      <c r="D512">
        <f t="shared" si="264"/>
        <v>0</v>
      </c>
      <c r="E512">
        <f t="shared" si="283"/>
        <v>5</v>
      </c>
      <c r="F512">
        <f t="shared" si="250"/>
        <v>360</v>
      </c>
      <c r="G512">
        <f t="shared" si="265"/>
        <v>0</v>
      </c>
      <c r="H512">
        <f t="shared" si="272"/>
        <v>4</v>
      </c>
      <c r="I512">
        <f t="shared" si="251"/>
        <v>360</v>
      </c>
      <c r="J512">
        <f t="shared" si="266"/>
        <v>0</v>
      </c>
      <c r="K512">
        <f t="shared" si="273"/>
        <v>3</v>
      </c>
      <c r="L512">
        <f t="shared" si="252"/>
        <v>360</v>
      </c>
      <c r="M512">
        <f t="shared" si="267"/>
        <v>0</v>
      </c>
      <c r="N512">
        <f t="shared" si="274"/>
        <v>2</v>
      </c>
      <c r="O512">
        <f t="shared" si="253"/>
        <v>300</v>
      </c>
      <c r="P512">
        <f t="shared" si="275"/>
        <v>0</v>
      </c>
      <c r="Q512">
        <f t="shared" si="276"/>
        <v>2</v>
      </c>
      <c r="R512">
        <f t="shared" si="254"/>
        <v>300</v>
      </c>
      <c r="S512">
        <f t="shared" si="277"/>
        <v>0</v>
      </c>
      <c r="T512">
        <f t="shared" si="278"/>
        <v>-1</v>
      </c>
      <c r="U512">
        <f t="shared" si="268"/>
        <v>1</v>
      </c>
      <c r="V512">
        <f t="shared" si="269"/>
        <v>1</v>
      </c>
      <c r="W512">
        <f t="shared" si="255"/>
        <v>0</v>
      </c>
      <c r="X512">
        <f t="shared" si="279"/>
        <v>0</v>
      </c>
      <c r="Y512">
        <f t="shared" si="256"/>
        <v>0</v>
      </c>
      <c r="Z512">
        <f t="shared" si="257"/>
        <v>0</v>
      </c>
      <c r="AA512">
        <f t="shared" si="258"/>
        <v>0</v>
      </c>
      <c r="AB512" s="29">
        <f t="shared" si="259"/>
        <v>0</v>
      </c>
      <c r="AC512" s="25">
        <f t="shared" si="260"/>
        <v>0</v>
      </c>
      <c r="AD512" s="29">
        <f t="shared" si="261"/>
        <v>0</v>
      </c>
      <c r="AE512" s="25">
        <f t="shared" si="270"/>
        <v>0</v>
      </c>
      <c r="AF512" s="25">
        <f t="shared" si="262"/>
        <v>0</v>
      </c>
      <c r="AG512" s="25">
        <f>IF($A512&lt;0,0,IF(instatk="bs",(1.5+talSCallInstBon)*(MHavg+(ap+Z512-$Z$1)/APtoDPS*MHnorm+170)*(1+sa*0.1+0.04*opp+0.02*agg+Slayer4value-1),IF(instatk="hemo",Slayer4value*(MHavg+(ap+Z512-$Z$1)/APtoDPS*MHnorm)*(1.1+talSCallInstBon)+420*(1+raidcrit)*debuffon,IF(instatk="ss",(MHavg+(ap+Z512-$Z$1)/APtoDPS*MHnorm+98)*(1+sa*0.1+0.02*agg+Slayer4value-1),IF(instatk="v",(ohavg+(ap+Z512-$Z$1)/APtoDPS*OHnorm)*(1+sa*0.1)*(0.5+0.05*dws)+avipdam,Slayer4value*((1+0.04*opp)*(MHavg+101+(ap+Z512-$Z$1)/APtoDPS*MHnorm+(0.5+0.05*dws)*(ohavg+(ap+Z512-$Z$1)/APtoDPS*OHnorm)+101*(1+0.1*dws))*(1+0.5*IF(Talents!$O$18="Yes",1,0)))))))*(instactualhit+(1+((leth*0.06+2)-1)*(cfact-1))*instactualcrit)*fwfactor*AB512*instsec*(AF512/$AN$45))</f>
        <v>0</v>
      </c>
      <c r="AH512" s="25">
        <f t="shared" si="280"/>
        <v>0</v>
      </c>
      <c r="AI512" s="25">
        <f t="shared" si="281"/>
        <v>0</v>
      </c>
      <c r="AJ512" s="25">
        <f t="shared" si="282"/>
        <v>0</v>
      </c>
    </row>
    <row r="513" spans="1:36">
      <c r="A513">
        <f t="shared" si="263"/>
        <v>-1</v>
      </c>
      <c r="B513">
        <f t="shared" si="271"/>
        <v>6</v>
      </c>
      <c r="C513">
        <f t="shared" si="249"/>
        <v>300</v>
      </c>
      <c r="D513">
        <f t="shared" si="264"/>
        <v>0</v>
      </c>
      <c r="E513">
        <f t="shared" si="283"/>
        <v>5</v>
      </c>
      <c r="F513">
        <f t="shared" si="250"/>
        <v>360</v>
      </c>
      <c r="G513">
        <f t="shared" si="265"/>
        <v>0</v>
      </c>
      <c r="H513">
        <f t="shared" si="272"/>
        <v>4</v>
      </c>
      <c r="I513">
        <f t="shared" si="251"/>
        <v>360</v>
      </c>
      <c r="J513">
        <f t="shared" si="266"/>
        <v>0</v>
      </c>
      <c r="K513">
        <f t="shared" si="273"/>
        <v>3</v>
      </c>
      <c r="L513">
        <f t="shared" si="252"/>
        <v>360</v>
      </c>
      <c r="M513">
        <f t="shared" si="267"/>
        <v>0</v>
      </c>
      <c r="N513">
        <f t="shared" si="274"/>
        <v>2</v>
      </c>
      <c r="O513">
        <f t="shared" si="253"/>
        <v>300</v>
      </c>
      <c r="P513">
        <f t="shared" si="275"/>
        <v>0</v>
      </c>
      <c r="Q513">
        <f t="shared" si="276"/>
        <v>2</v>
      </c>
      <c r="R513">
        <f t="shared" si="254"/>
        <v>300</v>
      </c>
      <c r="S513">
        <f t="shared" si="277"/>
        <v>0</v>
      </c>
      <c r="T513">
        <f t="shared" si="278"/>
        <v>-1</v>
      </c>
      <c r="U513">
        <f t="shared" si="268"/>
        <v>1</v>
      </c>
      <c r="V513">
        <f t="shared" si="269"/>
        <v>1</v>
      </c>
      <c r="W513">
        <f t="shared" si="255"/>
        <v>0</v>
      </c>
      <c r="X513">
        <f t="shared" si="279"/>
        <v>0</v>
      </c>
      <c r="Y513">
        <f t="shared" si="256"/>
        <v>0</v>
      </c>
      <c r="Z513">
        <f t="shared" si="257"/>
        <v>0</v>
      </c>
      <c r="AA513">
        <f t="shared" si="258"/>
        <v>0</v>
      </c>
      <c r="AB513" s="29">
        <f t="shared" si="259"/>
        <v>0</v>
      </c>
      <c r="AC513" s="25">
        <f t="shared" si="260"/>
        <v>0</v>
      </c>
      <c r="AD513" s="29">
        <f t="shared" si="261"/>
        <v>0</v>
      </c>
      <c r="AE513" s="25">
        <f t="shared" si="270"/>
        <v>0</v>
      </c>
      <c r="AF513" s="25">
        <f t="shared" si="262"/>
        <v>0</v>
      </c>
      <c r="AG513" s="25">
        <f>IF($A513&lt;0,0,IF(instatk="bs",(1.5+talSCallInstBon)*(MHavg+(ap+Z513-$Z$1)/APtoDPS*MHnorm+170)*(1+sa*0.1+0.04*opp+0.02*agg+Slayer4value-1),IF(instatk="hemo",Slayer4value*(MHavg+(ap+Z513-$Z$1)/APtoDPS*MHnorm)*(1.1+talSCallInstBon)+420*(1+raidcrit)*debuffon,IF(instatk="ss",(MHavg+(ap+Z513-$Z$1)/APtoDPS*MHnorm+98)*(1+sa*0.1+0.02*agg+Slayer4value-1),IF(instatk="v",(ohavg+(ap+Z513-$Z$1)/APtoDPS*OHnorm)*(1+sa*0.1)*(0.5+0.05*dws)+avipdam,Slayer4value*((1+0.04*opp)*(MHavg+101+(ap+Z513-$Z$1)/APtoDPS*MHnorm+(0.5+0.05*dws)*(ohavg+(ap+Z513-$Z$1)/APtoDPS*OHnorm)+101*(1+0.1*dws))*(1+0.5*IF(Talents!$O$18="Yes",1,0)))))))*(instactualhit+(1+((leth*0.06+2)-1)*(cfact-1))*instactualcrit)*fwfactor*AB513*instsec*(AF513/$AN$45))</f>
        <v>0</v>
      </c>
      <c r="AH513" s="25">
        <f t="shared" si="280"/>
        <v>0</v>
      </c>
      <c r="AI513" s="25">
        <f t="shared" si="281"/>
        <v>0</v>
      </c>
      <c r="AJ513" s="25">
        <f t="shared" si="282"/>
        <v>0</v>
      </c>
    </row>
    <row r="514" spans="1:36">
      <c r="A514">
        <f t="shared" si="263"/>
        <v>-1</v>
      </c>
      <c r="B514">
        <f t="shared" si="271"/>
        <v>6</v>
      </c>
      <c r="C514">
        <f t="shared" si="249"/>
        <v>300</v>
      </c>
      <c r="D514">
        <f t="shared" si="264"/>
        <v>0</v>
      </c>
      <c r="E514">
        <f t="shared" si="283"/>
        <v>5</v>
      </c>
      <c r="F514">
        <f t="shared" si="250"/>
        <v>360</v>
      </c>
      <c r="G514">
        <f t="shared" si="265"/>
        <v>0</v>
      </c>
      <c r="H514">
        <f t="shared" si="272"/>
        <v>4</v>
      </c>
      <c r="I514">
        <f t="shared" si="251"/>
        <v>360</v>
      </c>
      <c r="J514">
        <f t="shared" si="266"/>
        <v>0</v>
      </c>
      <c r="K514">
        <f t="shared" si="273"/>
        <v>3</v>
      </c>
      <c r="L514">
        <f t="shared" si="252"/>
        <v>360</v>
      </c>
      <c r="M514">
        <f t="shared" si="267"/>
        <v>0</v>
      </c>
      <c r="N514">
        <f t="shared" si="274"/>
        <v>2</v>
      </c>
      <c r="O514">
        <f t="shared" si="253"/>
        <v>300</v>
      </c>
      <c r="P514">
        <f t="shared" si="275"/>
        <v>0</v>
      </c>
      <c r="Q514">
        <f t="shared" si="276"/>
        <v>2</v>
      </c>
      <c r="R514">
        <f t="shared" si="254"/>
        <v>300</v>
      </c>
      <c r="S514">
        <f t="shared" si="277"/>
        <v>0</v>
      </c>
      <c r="T514">
        <f t="shared" si="278"/>
        <v>-1</v>
      </c>
      <c r="U514">
        <f t="shared" si="268"/>
        <v>1</v>
      </c>
      <c r="V514">
        <f t="shared" si="269"/>
        <v>1</v>
      </c>
      <c r="W514">
        <f t="shared" si="255"/>
        <v>0</v>
      </c>
      <c r="X514">
        <f t="shared" si="279"/>
        <v>0</v>
      </c>
      <c r="Y514">
        <f t="shared" si="256"/>
        <v>0</v>
      </c>
      <c r="Z514">
        <f t="shared" si="257"/>
        <v>0</v>
      </c>
      <c r="AA514">
        <f t="shared" si="258"/>
        <v>0</v>
      </c>
      <c r="AB514" s="29">
        <f t="shared" si="259"/>
        <v>0</v>
      </c>
      <c r="AC514" s="25">
        <f t="shared" si="260"/>
        <v>0</v>
      </c>
      <c r="AD514" s="29">
        <f t="shared" si="261"/>
        <v>0</v>
      </c>
      <c r="AE514" s="25">
        <f t="shared" si="270"/>
        <v>0</v>
      </c>
      <c r="AF514" s="25">
        <f t="shared" si="262"/>
        <v>0</v>
      </c>
      <c r="AG514" s="25">
        <f>IF($A514&lt;0,0,IF(instatk="bs",(1.5+talSCallInstBon)*(MHavg+(ap+Z514-$Z$1)/APtoDPS*MHnorm+170)*(1+sa*0.1+0.04*opp+0.02*agg+Slayer4value-1),IF(instatk="hemo",Slayer4value*(MHavg+(ap+Z514-$Z$1)/APtoDPS*MHnorm)*(1.1+talSCallInstBon)+420*(1+raidcrit)*debuffon,IF(instatk="ss",(MHavg+(ap+Z514-$Z$1)/APtoDPS*MHnorm+98)*(1+sa*0.1+0.02*agg+Slayer4value-1),IF(instatk="v",(ohavg+(ap+Z514-$Z$1)/APtoDPS*OHnorm)*(1+sa*0.1)*(0.5+0.05*dws)+avipdam,Slayer4value*((1+0.04*opp)*(MHavg+101+(ap+Z514-$Z$1)/APtoDPS*MHnorm+(0.5+0.05*dws)*(ohavg+(ap+Z514-$Z$1)/APtoDPS*OHnorm)+101*(1+0.1*dws))*(1+0.5*IF(Talents!$O$18="Yes",1,0)))))))*(instactualhit+(1+((leth*0.06+2)-1)*(cfact-1))*instactualcrit)*fwfactor*AB514*instsec*(AF514/$AN$45))</f>
        <v>0</v>
      </c>
      <c r="AH514" s="25">
        <f t="shared" si="280"/>
        <v>0</v>
      </c>
      <c r="AI514" s="25">
        <f t="shared" si="281"/>
        <v>0</v>
      </c>
      <c r="AJ514" s="25">
        <f t="shared" si="282"/>
        <v>0</v>
      </c>
    </row>
    <row r="515" spans="1:36">
      <c r="A515">
        <f t="shared" si="263"/>
        <v>-1</v>
      </c>
      <c r="B515">
        <f t="shared" si="271"/>
        <v>6</v>
      </c>
      <c r="C515">
        <f t="shared" ref="C515:C578" si="284">IF(AND(cdspec60,cdspec60plus),CHOOSE($B515,cdspec601,cdspec602,cdspec603,cdspec604,cdspec605,cdspec606,cdspec607,cdspec608,cdspec609,cdspec6010),($B515-1)*60+IF(cdspec60,cdspec601,0))</f>
        <v>300</v>
      </c>
      <c r="D515">
        <f t="shared" si="264"/>
        <v>0</v>
      </c>
      <c r="E515">
        <f t="shared" si="283"/>
        <v>5</v>
      </c>
      <c r="F515">
        <f t="shared" ref="F515:F578" si="285">IF(AND(cdspec90,cdspec90plus),CHOOSE(E515,cdspec901,cdspec902,cdspec903,cdspec904,cdspec905,cdspec906),(E515-1)*IF(cdtreat90as120,120,90)+IF(cdspec90,cdspec901,0))</f>
        <v>360</v>
      </c>
      <c r="G515">
        <f t="shared" si="265"/>
        <v>0</v>
      </c>
      <c r="H515">
        <f t="shared" si="272"/>
        <v>4</v>
      </c>
      <c r="I515">
        <f t="shared" ref="I515:I578" si="286">IF(AND(cdspec120,cdspec120plus),CHOOSE(H515,cdspec1201,cdspec1202,cdspec1203,cdspec1204,cdspec1205),(H515-1)*120+IF(cdspec120,cdspec1201,0))</f>
        <v>360</v>
      </c>
      <c r="J515">
        <f t="shared" si="266"/>
        <v>0</v>
      </c>
      <c r="K515">
        <f t="shared" si="273"/>
        <v>3</v>
      </c>
      <c r="L515">
        <f t="shared" ref="L515:L578" si="287">IF(AND(cdspec180,cdspec180plus),CHOOSE(K515,cdspec1801,cdspec1802,cdspec1803,cdspec1804),(K515-1)*IF(cdtreat180as240,240,180)+IF(cdspec180,cdspec1801,0))</f>
        <v>360</v>
      </c>
      <c r="M515">
        <f t="shared" si="267"/>
        <v>0</v>
      </c>
      <c r="N515">
        <f t="shared" si="274"/>
        <v>2</v>
      </c>
      <c r="O515">
        <f t="shared" ref="O515:O578" si="288">IF(cdspecar,CHOOSE(N515,cdar1,cdar2),(N515-1)*300)</f>
        <v>300</v>
      </c>
      <c r="P515">
        <f t="shared" si="275"/>
        <v>0</v>
      </c>
      <c r="Q515">
        <f t="shared" si="276"/>
        <v>2</v>
      </c>
      <c r="R515">
        <f t="shared" ref="R515:R578" si="289">IF(cdspectea,CHOOSE(Q515,cdtea1,cdtea2),(Q515-1)*300)</f>
        <v>300</v>
      </c>
      <c r="S515">
        <f t="shared" si="277"/>
        <v>0</v>
      </c>
      <c r="T515">
        <f t="shared" si="278"/>
        <v>-1</v>
      </c>
      <c r="U515">
        <f t="shared" si="268"/>
        <v>1</v>
      </c>
      <c r="V515">
        <f t="shared" si="269"/>
        <v>1</v>
      </c>
      <c r="W515">
        <f t="shared" ref="W515:W578" si="290">IF(V515=0,-1,IF(cdspeclust,CHOOSE(V515,cdlust1,cdlust2,cdlust3,cdlust4,cdlust5,cdlust6,cdlust7,cdlust8,cdlust9,cdlust10,cdlust11,cdlust12,cdlust13,cdlust14,cdlust15),(V515-1)*120))</f>
        <v>0</v>
      </c>
      <c r="X515">
        <f t="shared" si="279"/>
        <v>0</v>
      </c>
      <c r="Y515">
        <f t="shared" ref="Y515:Y578" si="291">IF($A515&lt;0, 0, IF($J515=0, 0, $AO$16*($J515&lt;=$AT$16)-IF($AW$14, $AO$3*($J515&lt;=$AT$3)))+IF($U515=0, 0, $AO$3))</f>
        <v>0</v>
      </c>
      <c r="Z515">
        <f t="shared" ref="Z515:Z578" si="292">IF($A515&lt;0, 0, IF($D515=0, 0, $AP$6*($D515&lt;=$AT$6)-IF($AW$5, $AP$3*($D515&lt;=$AT$3)))+IF($G515=0, 0, ($AP$9+$AP$10+$AP$11+$AP$12)*($G515&lt;=$AT$9)-IF($AW$8, $AP$3*($G515&lt;=$AT$3)))+IF($J515=0, 0, ($AP$17+$AP$18+$AP$19+$AP$24)*($J515&lt;=$AT$17)+($AP$23+$AP$25+$AP$27)*($J515&lt;=$AT$23)+$AP$30*($J515&lt;=$AT$30)+$AP$21*ROUNDUP($J515/2,0)*($J515&lt;=$AT$21)-IF($AW$14, IF($AP$3=65,$AP$3*ROUNDUP($J515/2,0)*($J515&lt;=$AT$3),$AP$3*($J515&lt;=$AT$3))))+IF($M515=0, 0, $AP$34*($M515&lt;=$AT$34)-IF($AW$32, $AP$3*($M515&lt;=$AT$3)))+IF($U515=0, 0, IF($AP$3=65,$AP$3*ROUNDUP($U515/2,0),$AP$3)))</f>
        <v>0</v>
      </c>
      <c r="AA515">
        <f t="shared" ref="AA515:AA578" si="293">IF($A515&lt;0,0,IF($J515=0,0,$AQ$20*($J515&lt;=$AT$20)-IF($AW$14,$AQ$3*($J515&lt;=$AT$3)))+IF($M515=0,0,$AQ$33*($M515&lt;=$AT$33))+IF($U515=0,0,$AQ$3))</f>
        <v>0</v>
      </c>
      <c r="AB515" s="29">
        <f t="shared" ref="AB515:AB578" si="294">IF($A515&lt;0,0,1-MAX($AN$44-AA515,0)/(MAX($AN$44-AA515,0)+467.5*CharLevel-22167.5))</f>
        <v>0</v>
      </c>
      <c r="AC515" s="25">
        <f t="shared" ref="AC515:AC578" si="295">IF($A515&lt;0,0,$AN$43+IF($J515=0, 0, $AR$15*($J515&lt;=$AT$15)+$AR$22*($J515&lt;=$AT$22)+$AR$28*($J515&lt;=$AT$28)+$AR$29*($J515&lt;=$AT$29)-IF($AW$14, $AR$3*($J515&lt;=$AT$3))))</f>
        <v>0</v>
      </c>
      <c r="AD515" s="29">
        <f t="shared" ref="AD515:AD578" si="296">IF($A515&lt;0,0,(1+$AC515/(hasterate*100))*(1+$AS$26/100*AND($J515&gt;0,$J515&lt;=$AT$26))*(1+$AS$35/100*AND($M515&gt;0,$M515&lt;=$AT$35))*(1+0.3*($X515&gt;0)))</f>
        <v>0</v>
      </c>
      <c r="AE515" s="25">
        <f t="shared" si="270"/>
        <v>0</v>
      </c>
      <c r="AF515" s="25">
        <f t="shared" ref="AF515:AF578" si="297">MIN(instcost,AE515)</f>
        <v>0</v>
      </c>
      <c r="AG515" s="25">
        <f>IF($A515&lt;0,0,IF(instatk="bs",(1.5+talSCallInstBon)*(MHavg+(ap+Z515-$Z$1)/APtoDPS*MHnorm+170)*(1+sa*0.1+0.04*opp+0.02*agg+Slayer4value-1),IF(instatk="hemo",Slayer4value*(MHavg+(ap+Z515-$Z$1)/APtoDPS*MHnorm)*(1.1+talSCallInstBon)+420*(1+raidcrit)*debuffon,IF(instatk="ss",(MHavg+(ap+Z515-$Z$1)/APtoDPS*MHnorm+98)*(1+sa*0.1+0.02*agg+Slayer4value-1),IF(instatk="v",(ohavg+(ap+Z515-$Z$1)/APtoDPS*OHnorm)*(1+sa*0.1)*(0.5+0.05*dws)+avipdam,Slayer4value*((1+0.04*opp)*(MHavg+101+(ap+Z515-$Z$1)/APtoDPS*MHnorm+(0.5+0.05*dws)*(ohavg+(ap+Z515-$Z$1)/APtoDPS*OHnorm)+101*(1+0.1*dws))*(1+0.5*IF(Talents!$O$18="Yes",1,0)))))))*(instactualhit+(1+((leth*0.06+2)-1)*(cfact-1))*instactualcrit)*fwfactor*AB515*instsec*(AF515/$AN$45))</f>
        <v>0</v>
      </c>
      <c r="AH515" s="25">
        <f t="shared" si="280"/>
        <v>0</v>
      </c>
      <c r="AI515" s="25">
        <f t="shared" si="281"/>
        <v>0</v>
      </c>
      <c r="AJ515" s="25">
        <f t="shared" si="282"/>
        <v>0</v>
      </c>
    </row>
    <row r="516" spans="1:36">
      <c r="A516">
        <f t="shared" ref="A516:A579" si="298">IF(A515&lt;0,-1,IF(A515+1&gt;=time,-1,A515+1))</f>
        <v>-1</v>
      </c>
      <c r="B516">
        <f t="shared" si="271"/>
        <v>6</v>
      </c>
      <c r="C516">
        <f t="shared" si="284"/>
        <v>300</v>
      </c>
      <c r="D516">
        <f t="shared" ref="D516:D579" si="299">IF($A516=$C516,1,IF(AND($D515&gt;0,$D515&lt;30),$D515+1,0))</f>
        <v>0</v>
      </c>
      <c r="E516">
        <f t="shared" si="283"/>
        <v>5</v>
      </c>
      <c r="F516">
        <f t="shared" si="285"/>
        <v>360</v>
      </c>
      <c r="G516">
        <f t="shared" ref="G516:G579" si="300">IF($A516=F516,1,IF(AND(G515&gt;0,G515&lt;30),G515+1,0))</f>
        <v>0</v>
      </c>
      <c r="H516">
        <f t="shared" si="272"/>
        <v>4</v>
      </c>
      <c r="I516">
        <f t="shared" si="286"/>
        <v>360</v>
      </c>
      <c r="J516">
        <f t="shared" ref="J516:J579" si="301">IF($A516=I516,1,IF(AND(J515&gt;0,J515&lt;30),J515+1,0))</f>
        <v>0</v>
      </c>
      <c r="K516">
        <f t="shared" si="273"/>
        <v>3</v>
      </c>
      <c r="L516">
        <f t="shared" si="287"/>
        <v>360</v>
      </c>
      <c r="M516">
        <f t="shared" ref="M516:M579" si="302">IF($A516=L516,1,IF(AND(M515&gt;0,M515&lt;30),M515+1,0))</f>
        <v>0</v>
      </c>
      <c r="N516">
        <f t="shared" si="274"/>
        <v>2</v>
      </c>
      <c r="O516">
        <f t="shared" si="288"/>
        <v>300</v>
      </c>
      <c r="P516">
        <f t="shared" si="275"/>
        <v>0</v>
      </c>
      <c r="Q516">
        <f t="shared" si="276"/>
        <v>2</v>
      </c>
      <c r="R516">
        <f t="shared" si="289"/>
        <v>300</v>
      </c>
      <c r="S516">
        <f t="shared" si="277"/>
        <v>0</v>
      </c>
      <c r="T516">
        <f t="shared" si="278"/>
        <v>-1</v>
      </c>
      <c r="U516">
        <f t="shared" ref="U516:U579" si="303">IF($A516=T516,1,IF(AND(U515&gt;0,U515&lt;$AT$3),U515+1,0))</f>
        <v>1</v>
      </c>
      <c r="V516">
        <f t="shared" ref="V516:V579" si="304">MIN(IF(X515=1,V515+1,V515),blustcount)</f>
        <v>1</v>
      </c>
      <c r="W516">
        <f t="shared" si="290"/>
        <v>0</v>
      </c>
      <c r="X516">
        <f t="shared" si="279"/>
        <v>0</v>
      </c>
      <c r="Y516">
        <f t="shared" si="291"/>
        <v>0</v>
      </c>
      <c r="Z516">
        <f t="shared" si="292"/>
        <v>0</v>
      </c>
      <c r="AA516">
        <f t="shared" si="293"/>
        <v>0</v>
      </c>
      <c r="AB516" s="29">
        <f t="shared" si="294"/>
        <v>0</v>
      </c>
      <c r="AC516" s="25">
        <f t="shared" si="295"/>
        <v>0</v>
      </c>
      <c r="AD516" s="29">
        <f t="shared" si="296"/>
        <v>0</v>
      </c>
      <c r="AE516" s="25">
        <f t="shared" ref="AE516:AE579" si="305">IF($A516&lt;0,0,$AN$45+IF($P516&gt;0,$AN$37*$AL$37,0)+$S516*(60-IF(CharLevel&gt;60,(CharLevel-60)*2,0))*$AL$38+IF($J516=1,$AL$26*-25+IF($AL$39, 30, 0),0)+IF($M516=1,$AL$35*-10,0)+IF(AE515&gt;instcost,AE515-instcost,0))</f>
        <v>0</v>
      </c>
      <c r="AF516" s="25">
        <f t="shared" si="297"/>
        <v>0</v>
      </c>
      <c r="AG516" s="25">
        <f>IF($A516&lt;0,0,IF(instatk="bs",(1.5+talSCallInstBon)*(MHavg+(ap+Z516-$Z$1)/APtoDPS*MHnorm+170)*(1+sa*0.1+0.04*opp+0.02*agg+Slayer4value-1),IF(instatk="hemo",Slayer4value*(MHavg+(ap+Z516-$Z$1)/APtoDPS*MHnorm)*(1.1+talSCallInstBon)+420*(1+raidcrit)*debuffon,IF(instatk="ss",(MHavg+(ap+Z516-$Z$1)/APtoDPS*MHnorm+98)*(1+sa*0.1+0.02*agg+Slayer4value-1),IF(instatk="v",(ohavg+(ap+Z516-$Z$1)/APtoDPS*OHnorm)*(1+sa*0.1)*(0.5+0.05*dws)+avipdam,Slayer4value*((1+0.04*opp)*(MHavg+101+(ap+Z516-$Z$1)/APtoDPS*MHnorm+(0.5+0.05*dws)*(ohavg+(ap+Z516-$Z$1)/APtoDPS*OHnorm)+101*(1+0.1*dws))*(1+0.5*IF(Talents!$O$18="Yes",1,0)))))))*(instactualhit+(1+((leth*0.06+2)-1)*(cfact-1))*instactualcrit)*fwfactor*AB516*instsec*(AF516/$AN$45))</f>
        <v>0</v>
      </c>
      <c r="AH516" s="25">
        <f t="shared" si="280"/>
        <v>0</v>
      </c>
      <c r="AI516" s="25">
        <f t="shared" si="281"/>
        <v>0</v>
      </c>
      <c r="AJ516" s="25">
        <f t="shared" si="282"/>
        <v>0</v>
      </c>
    </row>
    <row r="517" spans="1:36">
      <c r="A517">
        <f t="shared" si="298"/>
        <v>-1</v>
      </c>
      <c r="B517">
        <f t="shared" ref="B517:B580" si="306">MIN(IF(D516=1,B516+1,B516),10)</f>
        <v>6</v>
      </c>
      <c r="C517">
        <f t="shared" si="284"/>
        <v>300</v>
      </c>
      <c r="D517">
        <f t="shared" si="299"/>
        <v>0</v>
      </c>
      <c r="E517">
        <f t="shared" si="283"/>
        <v>5</v>
      </c>
      <c r="F517">
        <f t="shared" si="285"/>
        <v>360</v>
      </c>
      <c r="G517">
        <f t="shared" si="300"/>
        <v>0</v>
      </c>
      <c r="H517">
        <f t="shared" ref="H517:H580" si="307">MIN(IF(J516=1,H516+1,H516),5)</f>
        <v>4</v>
      </c>
      <c r="I517">
        <f t="shared" si="286"/>
        <v>360</v>
      </c>
      <c r="J517">
        <f t="shared" si="301"/>
        <v>0</v>
      </c>
      <c r="K517">
        <f t="shared" ref="K517:K580" si="308">MIN(IF(M516=1,K516+1,K516),4)</f>
        <v>3</v>
      </c>
      <c r="L517">
        <f t="shared" si="287"/>
        <v>360</v>
      </c>
      <c r="M517">
        <f t="shared" si="302"/>
        <v>0</v>
      </c>
      <c r="N517">
        <f t="shared" ref="N517:N580" si="309">MIN(IF(P516=1,N516+1,N516),2)</f>
        <v>2</v>
      </c>
      <c r="O517">
        <f t="shared" si="288"/>
        <v>300</v>
      </c>
      <c r="P517">
        <f t="shared" ref="P517:P580" si="310">IF($A517=O517,1,IF(AND(P516&gt;0,P516&lt;15),P516+1,0))</f>
        <v>0</v>
      </c>
      <c r="Q517">
        <f t="shared" ref="Q517:Q580" si="311">MIN(IF(S516=1,Q516+1,Q516),2)</f>
        <v>2</v>
      </c>
      <c r="R517">
        <f t="shared" si="289"/>
        <v>300</v>
      </c>
      <c r="S517">
        <f t="shared" ref="S517:S580" si="312">IF($A517=R517,1,IF(AND(S516&gt;0,S516&lt;1),S516+1,0))</f>
        <v>0</v>
      </c>
      <c r="T517">
        <f t="shared" ref="T517:T580" si="313">IF($AU$3, IF(AND(T516&gt;IF($AV$5,C517,IF($AV$8,F517,IF($AV$14,I517,IF($AV$32,L517))))-$AT$3,T516&lt;IF($AV$5,C517,IF($AV$8,F517,IF($AV$14,I517,IF($AV$32,L517))))+$AU$3), IF($AV$5,C517,IF($AV$8,F517,IF($AV$14,I517,IF($AV$32,L517))))+$AU$3, T516)+IF(T516-A516=0, IF($AW$5,60,IF($AW$8,90,IF($AW$14,120,IF($AW$32,180))))), -1)</f>
        <v>-1</v>
      </c>
      <c r="U517">
        <f t="shared" si="303"/>
        <v>1</v>
      </c>
      <c r="V517">
        <f t="shared" si="304"/>
        <v>1</v>
      </c>
      <c r="W517">
        <f t="shared" si="290"/>
        <v>0</v>
      </c>
      <c r="X517">
        <f t="shared" ref="X517:X580" si="314">IF($A517=W517,1,IF(AND(X516&gt;0,X516&lt;40),X516+1,0))</f>
        <v>0</v>
      </c>
      <c r="Y517">
        <f t="shared" si="291"/>
        <v>0</v>
      </c>
      <c r="Z517">
        <f t="shared" si="292"/>
        <v>0</v>
      </c>
      <c r="AA517">
        <f t="shared" si="293"/>
        <v>0</v>
      </c>
      <c r="AB517" s="29">
        <f t="shared" si="294"/>
        <v>0</v>
      </c>
      <c r="AC517" s="25">
        <f t="shared" si="295"/>
        <v>0</v>
      </c>
      <c r="AD517" s="29">
        <f t="shared" si="296"/>
        <v>0</v>
      </c>
      <c r="AE517" s="25">
        <f t="shared" si="305"/>
        <v>0</v>
      </c>
      <c r="AF517" s="25">
        <f t="shared" si="297"/>
        <v>0</v>
      </c>
      <c r="AG517" s="25">
        <f>IF($A517&lt;0,0,IF(instatk="bs",(1.5+talSCallInstBon)*(MHavg+(ap+Z517-$Z$1)/APtoDPS*MHnorm+170)*(1+sa*0.1+0.04*opp+0.02*agg+Slayer4value-1),IF(instatk="hemo",Slayer4value*(MHavg+(ap+Z517-$Z$1)/APtoDPS*MHnorm)*(1.1+talSCallInstBon)+420*(1+raidcrit)*debuffon,IF(instatk="ss",(MHavg+(ap+Z517-$Z$1)/APtoDPS*MHnorm+98)*(1+sa*0.1+0.02*agg+Slayer4value-1),IF(instatk="v",(ohavg+(ap+Z517-$Z$1)/APtoDPS*OHnorm)*(1+sa*0.1)*(0.5+0.05*dws)+avipdam,Slayer4value*((1+0.04*opp)*(MHavg+101+(ap+Z517-$Z$1)/APtoDPS*MHnorm+(0.5+0.05*dws)*(ohavg+(ap+Z517-$Z$1)/APtoDPS*OHnorm)+101*(1+0.1*dws))*(1+0.5*IF(Talents!$O$18="Yes",1,0)))))))*(instactualhit+(1+((leth*0.06+2)-1)*(cfact-1))*instactualcrit)*fwfactor*AB517*instsec*(AF517/$AN$45))</f>
        <v>0</v>
      </c>
      <c r="AH517" s="25">
        <f t="shared" ref="AH517:AH580" si="315">IF(AH516-$AF517&lt;0,0,AH516-$AF517)</f>
        <v>0</v>
      </c>
      <c r="AI517" s="25">
        <f t="shared" ref="AI517:AI580" si="316">IF(AI516-AF517&lt;0,0,AI516-AF517)</f>
        <v>0</v>
      </c>
      <c r="AJ517" s="25">
        <f t="shared" ref="AJ517:AJ580" si="317">IF(AJ516-$AF517&lt;0,0,AJ516-$AF517)</f>
        <v>0</v>
      </c>
    </row>
    <row r="518" spans="1:36">
      <c r="A518">
        <f t="shared" si="298"/>
        <v>-1</v>
      </c>
      <c r="B518">
        <f t="shared" si="306"/>
        <v>6</v>
      </c>
      <c r="C518">
        <f t="shared" si="284"/>
        <v>300</v>
      </c>
      <c r="D518">
        <f t="shared" si="299"/>
        <v>0</v>
      </c>
      <c r="E518">
        <f t="shared" ref="E518:E581" si="318">MIN(IF(G517=1,E517+1,E517),6)</f>
        <v>5</v>
      </c>
      <c r="F518">
        <f t="shared" si="285"/>
        <v>360</v>
      </c>
      <c r="G518">
        <f t="shared" si="300"/>
        <v>0</v>
      </c>
      <c r="H518">
        <f t="shared" si="307"/>
        <v>4</v>
      </c>
      <c r="I518">
        <f t="shared" si="286"/>
        <v>360</v>
      </c>
      <c r="J518">
        <f t="shared" si="301"/>
        <v>0</v>
      </c>
      <c r="K518">
        <f t="shared" si="308"/>
        <v>3</v>
      </c>
      <c r="L518">
        <f t="shared" si="287"/>
        <v>360</v>
      </c>
      <c r="M518">
        <f t="shared" si="302"/>
        <v>0</v>
      </c>
      <c r="N518">
        <f t="shared" si="309"/>
        <v>2</v>
      </c>
      <c r="O518">
        <f t="shared" si="288"/>
        <v>300</v>
      </c>
      <c r="P518">
        <f t="shared" si="310"/>
        <v>0</v>
      </c>
      <c r="Q518">
        <f t="shared" si="311"/>
        <v>2</v>
      </c>
      <c r="R518">
        <f t="shared" si="289"/>
        <v>300</v>
      </c>
      <c r="S518">
        <f t="shared" si="312"/>
        <v>0</v>
      </c>
      <c r="T518">
        <f t="shared" si="313"/>
        <v>-1</v>
      </c>
      <c r="U518">
        <f t="shared" si="303"/>
        <v>1</v>
      </c>
      <c r="V518">
        <f t="shared" si="304"/>
        <v>1</v>
      </c>
      <c r="W518">
        <f t="shared" si="290"/>
        <v>0</v>
      </c>
      <c r="X518">
        <f t="shared" si="314"/>
        <v>0</v>
      </c>
      <c r="Y518">
        <f t="shared" si="291"/>
        <v>0</v>
      </c>
      <c r="Z518">
        <f t="shared" si="292"/>
        <v>0</v>
      </c>
      <c r="AA518">
        <f t="shared" si="293"/>
        <v>0</v>
      </c>
      <c r="AB518" s="29">
        <f t="shared" si="294"/>
        <v>0</v>
      </c>
      <c r="AC518" s="25">
        <f t="shared" si="295"/>
        <v>0</v>
      </c>
      <c r="AD518" s="29">
        <f t="shared" si="296"/>
        <v>0</v>
      </c>
      <c r="AE518" s="25">
        <f t="shared" si="305"/>
        <v>0</v>
      </c>
      <c r="AF518" s="25">
        <f t="shared" si="297"/>
        <v>0</v>
      </c>
      <c r="AG518" s="25">
        <f>IF($A518&lt;0,0,IF(instatk="bs",(1.5+talSCallInstBon)*(MHavg+(ap+Z518-$Z$1)/APtoDPS*MHnorm+170)*(1+sa*0.1+0.04*opp+0.02*agg+Slayer4value-1),IF(instatk="hemo",Slayer4value*(MHavg+(ap+Z518-$Z$1)/APtoDPS*MHnorm)*(1.1+talSCallInstBon)+420*(1+raidcrit)*debuffon,IF(instatk="ss",(MHavg+(ap+Z518-$Z$1)/APtoDPS*MHnorm+98)*(1+sa*0.1+0.02*agg+Slayer4value-1),IF(instatk="v",(ohavg+(ap+Z518-$Z$1)/APtoDPS*OHnorm)*(1+sa*0.1)*(0.5+0.05*dws)+avipdam,Slayer4value*((1+0.04*opp)*(MHavg+101+(ap+Z518-$Z$1)/APtoDPS*MHnorm+(0.5+0.05*dws)*(ohavg+(ap+Z518-$Z$1)/APtoDPS*OHnorm)+101*(1+0.1*dws))*(1+0.5*IF(Talents!$O$18="Yes",1,0)))))))*(instactualhit+(1+((leth*0.06+2)-1)*(cfact-1))*instactualcrit)*fwfactor*AB518*instsec*(AF518/$AN$45))</f>
        <v>0</v>
      </c>
      <c r="AH518" s="25">
        <f t="shared" si="315"/>
        <v>0</v>
      </c>
      <c r="AI518" s="25">
        <f t="shared" si="316"/>
        <v>0</v>
      </c>
      <c r="AJ518" s="25">
        <f t="shared" si="317"/>
        <v>0</v>
      </c>
    </row>
    <row r="519" spans="1:36">
      <c r="A519">
        <f t="shared" si="298"/>
        <v>-1</v>
      </c>
      <c r="B519">
        <f t="shared" si="306"/>
        <v>6</v>
      </c>
      <c r="C519">
        <f t="shared" si="284"/>
        <v>300</v>
      </c>
      <c r="D519">
        <f t="shared" si="299"/>
        <v>0</v>
      </c>
      <c r="E519">
        <f t="shared" si="318"/>
        <v>5</v>
      </c>
      <c r="F519">
        <f t="shared" si="285"/>
        <v>360</v>
      </c>
      <c r="G519">
        <f t="shared" si="300"/>
        <v>0</v>
      </c>
      <c r="H519">
        <f t="shared" si="307"/>
        <v>4</v>
      </c>
      <c r="I519">
        <f t="shared" si="286"/>
        <v>360</v>
      </c>
      <c r="J519">
        <f t="shared" si="301"/>
        <v>0</v>
      </c>
      <c r="K519">
        <f t="shared" si="308"/>
        <v>3</v>
      </c>
      <c r="L519">
        <f t="shared" si="287"/>
        <v>360</v>
      </c>
      <c r="M519">
        <f t="shared" si="302"/>
        <v>0</v>
      </c>
      <c r="N519">
        <f t="shared" si="309"/>
        <v>2</v>
      </c>
      <c r="O519">
        <f t="shared" si="288"/>
        <v>300</v>
      </c>
      <c r="P519">
        <f t="shared" si="310"/>
        <v>0</v>
      </c>
      <c r="Q519">
        <f t="shared" si="311"/>
        <v>2</v>
      </c>
      <c r="R519">
        <f t="shared" si="289"/>
        <v>300</v>
      </c>
      <c r="S519">
        <f t="shared" si="312"/>
        <v>0</v>
      </c>
      <c r="T519">
        <f t="shared" si="313"/>
        <v>-1</v>
      </c>
      <c r="U519">
        <f t="shared" si="303"/>
        <v>1</v>
      </c>
      <c r="V519">
        <f t="shared" si="304"/>
        <v>1</v>
      </c>
      <c r="W519">
        <f t="shared" si="290"/>
        <v>0</v>
      </c>
      <c r="X519">
        <f t="shared" si="314"/>
        <v>0</v>
      </c>
      <c r="Y519">
        <f t="shared" si="291"/>
        <v>0</v>
      </c>
      <c r="Z519">
        <f t="shared" si="292"/>
        <v>0</v>
      </c>
      <c r="AA519">
        <f t="shared" si="293"/>
        <v>0</v>
      </c>
      <c r="AB519" s="29">
        <f t="shared" si="294"/>
        <v>0</v>
      </c>
      <c r="AC519" s="25">
        <f t="shared" si="295"/>
        <v>0</v>
      </c>
      <c r="AD519" s="29">
        <f t="shared" si="296"/>
        <v>0</v>
      </c>
      <c r="AE519" s="25">
        <f t="shared" si="305"/>
        <v>0</v>
      </c>
      <c r="AF519" s="25">
        <f t="shared" si="297"/>
        <v>0</v>
      </c>
      <c r="AG519" s="25">
        <f>IF($A519&lt;0,0,IF(instatk="bs",(1.5+talSCallInstBon)*(MHavg+(ap+Z519-$Z$1)/APtoDPS*MHnorm+170)*(1+sa*0.1+0.04*opp+0.02*agg+Slayer4value-1),IF(instatk="hemo",Slayer4value*(MHavg+(ap+Z519-$Z$1)/APtoDPS*MHnorm)*(1.1+talSCallInstBon)+420*(1+raidcrit)*debuffon,IF(instatk="ss",(MHavg+(ap+Z519-$Z$1)/APtoDPS*MHnorm+98)*(1+sa*0.1+0.02*agg+Slayer4value-1),IF(instatk="v",(ohavg+(ap+Z519-$Z$1)/APtoDPS*OHnorm)*(1+sa*0.1)*(0.5+0.05*dws)+avipdam,Slayer4value*((1+0.04*opp)*(MHavg+101+(ap+Z519-$Z$1)/APtoDPS*MHnorm+(0.5+0.05*dws)*(ohavg+(ap+Z519-$Z$1)/APtoDPS*OHnorm)+101*(1+0.1*dws))*(1+0.5*IF(Talents!$O$18="Yes",1,0)))))))*(instactualhit+(1+((leth*0.06+2)-1)*(cfact-1))*instactualcrit)*fwfactor*AB519*instsec*(AF519/$AN$45))</f>
        <v>0</v>
      </c>
      <c r="AH519" s="25">
        <f t="shared" si="315"/>
        <v>0</v>
      </c>
      <c r="AI519" s="25">
        <f t="shared" si="316"/>
        <v>0</v>
      </c>
      <c r="AJ519" s="25">
        <f t="shared" si="317"/>
        <v>0</v>
      </c>
    </row>
    <row r="520" spans="1:36">
      <c r="A520">
        <f t="shared" si="298"/>
        <v>-1</v>
      </c>
      <c r="B520">
        <f t="shared" si="306"/>
        <v>6</v>
      </c>
      <c r="C520">
        <f t="shared" si="284"/>
        <v>300</v>
      </c>
      <c r="D520">
        <f t="shared" si="299"/>
        <v>0</v>
      </c>
      <c r="E520">
        <f t="shared" si="318"/>
        <v>5</v>
      </c>
      <c r="F520">
        <f t="shared" si="285"/>
        <v>360</v>
      </c>
      <c r="G520">
        <f t="shared" si="300"/>
        <v>0</v>
      </c>
      <c r="H520">
        <f t="shared" si="307"/>
        <v>4</v>
      </c>
      <c r="I520">
        <f t="shared" si="286"/>
        <v>360</v>
      </c>
      <c r="J520">
        <f t="shared" si="301"/>
        <v>0</v>
      </c>
      <c r="K520">
        <f t="shared" si="308"/>
        <v>3</v>
      </c>
      <c r="L520">
        <f t="shared" si="287"/>
        <v>360</v>
      </c>
      <c r="M520">
        <f t="shared" si="302"/>
        <v>0</v>
      </c>
      <c r="N520">
        <f t="shared" si="309"/>
        <v>2</v>
      </c>
      <c r="O520">
        <f t="shared" si="288"/>
        <v>300</v>
      </c>
      <c r="P520">
        <f t="shared" si="310"/>
        <v>0</v>
      </c>
      <c r="Q520">
        <f t="shared" si="311"/>
        <v>2</v>
      </c>
      <c r="R520">
        <f t="shared" si="289"/>
        <v>300</v>
      </c>
      <c r="S520">
        <f t="shared" si="312"/>
        <v>0</v>
      </c>
      <c r="T520">
        <f t="shared" si="313"/>
        <v>-1</v>
      </c>
      <c r="U520">
        <f t="shared" si="303"/>
        <v>1</v>
      </c>
      <c r="V520">
        <f t="shared" si="304"/>
        <v>1</v>
      </c>
      <c r="W520">
        <f t="shared" si="290"/>
        <v>0</v>
      </c>
      <c r="X520">
        <f t="shared" si="314"/>
        <v>0</v>
      </c>
      <c r="Y520">
        <f t="shared" si="291"/>
        <v>0</v>
      </c>
      <c r="Z520">
        <f t="shared" si="292"/>
        <v>0</v>
      </c>
      <c r="AA520">
        <f t="shared" si="293"/>
        <v>0</v>
      </c>
      <c r="AB520" s="29">
        <f t="shared" si="294"/>
        <v>0</v>
      </c>
      <c r="AC520" s="25">
        <f t="shared" si="295"/>
        <v>0</v>
      </c>
      <c r="AD520" s="29">
        <f t="shared" si="296"/>
        <v>0</v>
      </c>
      <c r="AE520" s="25">
        <f t="shared" si="305"/>
        <v>0</v>
      </c>
      <c r="AF520" s="25">
        <f t="shared" si="297"/>
        <v>0</v>
      </c>
      <c r="AG520" s="25">
        <f>IF($A520&lt;0,0,IF(instatk="bs",(1.5+talSCallInstBon)*(MHavg+(ap+Z520-$Z$1)/APtoDPS*MHnorm+170)*(1+sa*0.1+0.04*opp+0.02*agg+Slayer4value-1),IF(instatk="hemo",Slayer4value*(MHavg+(ap+Z520-$Z$1)/APtoDPS*MHnorm)*(1.1+talSCallInstBon)+420*(1+raidcrit)*debuffon,IF(instatk="ss",(MHavg+(ap+Z520-$Z$1)/APtoDPS*MHnorm+98)*(1+sa*0.1+0.02*agg+Slayer4value-1),IF(instatk="v",(ohavg+(ap+Z520-$Z$1)/APtoDPS*OHnorm)*(1+sa*0.1)*(0.5+0.05*dws)+avipdam,Slayer4value*((1+0.04*opp)*(MHavg+101+(ap+Z520-$Z$1)/APtoDPS*MHnorm+(0.5+0.05*dws)*(ohavg+(ap+Z520-$Z$1)/APtoDPS*OHnorm)+101*(1+0.1*dws))*(1+0.5*IF(Talents!$O$18="Yes",1,0)))))))*(instactualhit+(1+((leth*0.06+2)-1)*(cfact-1))*instactualcrit)*fwfactor*AB520*instsec*(AF520/$AN$45))</f>
        <v>0</v>
      </c>
      <c r="AH520" s="25">
        <f t="shared" si="315"/>
        <v>0</v>
      </c>
      <c r="AI520" s="25">
        <f t="shared" si="316"/>
        <v>0</v>
      </c>
      <c r="AJ520" s="25">
        <f t="shared" si="317"/>
        <v>0</v>
      </c>
    </row>
    <row r="521" spans="1:36">
      <c r="A521">
        <f t="shared" si="298"/>
        <v>-1</v>
      </c>
      <c r="B521">
        <f t="shared" si="306"/>
        <v>6</v>
      </c>
      <c r="C521">
        <f t="shared" si="284"/>
        <v>300</v>
      </c>
      <c r="D521">
        <f t="shared" si="299"/>
        <v>0</v>
      </c>
      <c r="E521">
        <f t="shared" si="318"/>
        <v>5</v>
      </c>
      <c r="F521">
        <f t="shared" si="285"/>
        <v>360</v>
      </c>
      <c r="G521">
        <f t="shared" si="300"/>
        <v>0</v>
      </c>
      <c r="H521">
        <f t="shared" si="307"/>
        <v>4</v>
      </c>
      <c r="I521">
        <f t="shared" si="286"/>
        <v>360</v>
      </c>
      <c r="J521">
        <f t="shared" si="301"/>
        <v>0</v>
      </c>
      <c r="K521">
        <f t="shared" si="308"/>
        <v>3</v>
      </c>
      <c r="L521">
        <f t="shared" si="287"/>
        <v>360</v>
      </c>
      <c r="M521">
        <f t="shared" si="302"/>
        <v>0</v>
      </c>
      <c r="N521">
        <f t="shared" si="309"/>
        <v>2</v>
      </c>
      <c r="O521">
        <f t="shared" si="288"/>
        <v>300</v>
      </c>
      <c r="P521">
        <f t="shared" si="310"/>
        <v>0</v>
      </c>
      <c r="Q521">
        <f t="shared" si="311"/>
        <v>2</v>
      </c>
      <c r="R521">
        <f t="shared" si="289"/>
        <v>300</v>
      </c>
      <c r="S521">
        <f t="shared" si="312"/>
        <v>0</v>
      </c>
      <c r="T521">
        <f t="shared" si="313"/>
        <v>-1</v>
      </c>
      <c r="U521">
        <f t="shared" si="303"/>
        <v>1</v>
      </c>
      <c r="V521">
        <f t="shared" si="304"/>
        <v>1</v>
      </c>
      <c r="W521">
        <f t="shared" si="290"/>
        <v>0</v>
      </c>
      <c r="X521">
        <f t="shared" si="314"/>
        <v>0</v>
      </c>
      <c r="Y521">
        <f t="shared" si="291"/>
        <v>0</v>
      </c>
      <c r="Z521">
        <f t="shared" si="292"/>
        <v>0</v>
      </c>
      <c r="AA521">
        <f t="shared" si="293"/>
        <v>0</v>
      </c>
      <c r="AB521" s="29">
        <f t="shared" si="294"/>
        <v>0</v>
      </c>
      <c r="AC521" s="25">
        <f t="shared" si="295"/>
        <v>0</v>
      </c>
      <c r="AD521" s="29">
        <f t="shared" si="296"/>
        <v>0</v>
      </c>
      <c r="AE521" s="25">
        <f t="shared" si="305"/>
        <v>0</v>
      </c>
      <c r="AF521" s="25">
        <f t="shared" si="297"/>
        <v>0</v>
      </c>
      <c r="AG521" s="25">
        <f>IF($A521&lt;0,0,IF(instatk="bs",(1.5+talSCallInstBon)*(MHavg+(ap+Z521-$Z$1)/APtoDPS*MHnorm+170)*(1+sa*0.1+0.04*opp+0.02*agg+Slayer4value-1),IF(instatk="hemo",Slayer4value*(MHavg+(ap+Z521-$Z$1)/APtoDPS*MHnorm)*(1.1+talSCallInstBon)+420*(1+raidcrit)*debuffon,IF(instatk="ss",(MHavg+(ap+Z521-$Z$1)/APtoDPS*MHnorm+98)*(1+sa*0.1+0.02*agg+Slayer4value-1),IF(instatk="v",(ohavg+(ap+Z521-$Z$1)/APtoDPS*OHnorm)*(1+sa*0.1)*(0.5+0.05*dws)+avipdam,Slayer4value*((1+0.04*opp)*(MHavg+101+(ap+Z521-$Z$1)/APtoDPS*MHnorm+(0.5+0.05*dws)*(ohavg+(ap+Z521-$Z$1)/APtoDPS*OHnorm)+101*(1+0.1*dws))*(1+0.5*IF(Talents!$O$18="Yes",1,0)))))))*(instactualhit+(1+((leth*0.06+2)-1)*(cfact-1))*instactualcrit)*fwfactor*AB521*instsec*(AF521/$AN$45))</f>
        <v>0</v>
      </c>
      <c r="AH521" s="25">
        <f t="shared" si="315"/>
        <v>0</v>
      </c>
      <c r="AI521" s="25">
        <f t="shared" si="316"/>
        <v>0</v>
      </c>
      <c r="AJ521" s="25">
        <f t="shared" si="317"/>
        <v>0</v>
      </c>
    </row>
    <row r="522" spans="1:36">
      <c r="A522">
        <f t="shared" si="298"/>
        <v>-1</v>
      </c>
      <c r="B522">
        <f t="shared" si="306"/>
        <v>6</v>
      </c>
      <c r="C522">
        <f t="shared" si="284"/>
        <v>300</v>
      </c>
      <c r="D522">
        <f t="shared" si="299"/>
        <v>0</v>
      </c>
      <c r="E522">
        <f t="shared" si="318"/>
        <v>5</v>
      </c>
      <c r="F522">
        <f t="shared" si="285"/>
        <v>360</v>
      </c>
      <c r="G522">
        <f t="shared" si="300"/>
        <v>0</v>
      </c>
      <c r="H522">
        <f t="shared" si="307"/>
        <v>4</v>
      </c>
      <c r="I522">
        <f t="shared" si="286"/>
        <v>360</v>
      </c>
      <c r="J522">
        <f t="shared" si="301"/>
        <v>0</v>
      </c>
      <c r="K522">
        <f t="shared" si="308"/>
        <v>3</v>
      </c>
      <c r="L522">
        <f t="shared" si="287"/>
        <v>360</v>
      </c>
      <c r="M522">
        <f t="shared" si="302"/>
        <v>0</v>
      </c>
      <c r="N522">
        <f t="shared" si="309"/>
        <v>2</v>
      </c>
      <c r="O522">
        <f t="shared" si="288"/>
        <v>300</v>
      </c>
      <c r="P522">
        <f t="shared" si="310"/>
        <v>0</v>
      </c>
      <c r="Q522">
        <f t="shared" si="311"/>
        <v>2</v>
      </c>
      <c r="R522">
        <f t="shared" si="289"/>
        <v>300</v>
      </c>
      <c r="S522">
        <f t="shared" si="312"/>
        <v>0</v>
      </c>
      <c r="T522">
        <f t="shared" si="313"/>
        <v>-1</v>
      </c>
      <c r="U522">
        <f t="shared" si="303"/>
        <v>1</v>
      </c>
      <c r="V522">
        <f t="shared" si="304"/>
        <v>1</v>
      </c>
      <c r="W522">
        <f t="shared" si="290"/>
        <v>0</v>
      </c>
      <c r="X522">
        <f t="shared" si="314"/>
        <v>0</v>
      </c>
      <c r="Y522">
        <f t="shared" si="291"/>
        <v>0</v>
      </c>
      <c r="Z522">
        <f t="shared" si="292"/>
        <v>0</v>
      </c>
      <c r="AA522">
        <f t="shared" si="293"/>
        <v>0</v>
      </c>
      <c r="AB522" s="29">
        <f t="shared" si="294"/>
        <v>0</v>
      </c>
      <c r="AC522" s="25">
        <f t="shared" si="295"/>
        <v>0</v>
      </c>
      <c r="AD522" s="29">
        <f t="shared" si="296"/>
        <v>0</v>
      </c>
      <c r="AE522" s="25">
        <f t="shared" si="305"/>
        <v>0</v>
      </c>
      <c r="AF522" s="25">
        <f t="shared" si="297"/>
        <v>0</v>
      </c>
      <c r="AG522" s="25">
        <f>IF($A522&lt;0,0,IF(instatk="bs",(1.5+talSCallInstBon)*(MHavg+(ap+Z522-$Z$1)/APtoDPS*MHnorm+170)*(1+sa*0.1+0.04*opp+0.02*agg+Slayer4value-1),IF(instatk="hemo",Slayer4value*(MHavg+(ap+Z522-$Z$1)/APtoDPS*MHnorm)*(1.1+talSCallInstBon)+420*(1+raidcrit)*debuffon,IF(instatk="ss",(MHavg+(ap+Z522-$Z$1)/APtoDPS*MHnorm+98)*(1+sa*0.1+0.02*agg+Slayer4value-1),IF(instatk="v",(ohavg+(ap+Z522-$Z$1)/APtoDPS*OHnorm)*(1+sa*0.1)*(0.5+0.05*dws)+avipdam,Slayer4value*((1+0.04*opp)*(MHavg+101+(ap+Z522-$Z$1)/APtoDPS*MHnorm+(0.5+0.05*dws)*(ohavg+(ap+Z522-$Z$1)/APtoDPS*OHnorm)+101*(1+0.1*dws))*(1+0.5*IF(Talents!$O$18="Yes",1,0)))))))*(instactualhit+(1+((leth*0.06+2)-1)*(cfact-1))*instactualcrit)*fwfactor*AB522*instsec*(AF522/$AN$45))</f>
        <v>0</v>
      </c>
      <c r="AH522" s="25">
        <f t="shared" si="315"/>
        <v>0</v>
      </c>
      <c r="AI522" s="25">
        <f t="shared" si="316"/>
        <v>0</v>
      </c>
      <c r="AJ522" s="25">
        <f t="shared" si="317"/>
        <v>0</v>
      </c>
    </row>
    <row r="523" spans="1:36">
      <c r="A523">
        <f t="shared" si="298"/>
        <v>-1</v>
      </c>
      <c r="B523">
        <f t="shared" si="306"/>
        <v>6</v>
      </c>
      <c r="C523">
        <f t="shared" si="284"/>
        <v>300</v>
      </c>
      <c r="D523">
        <f t="shared" si="299"/>
        <v>0</v>
      </c>
      <c r="E523">
        <f t="shared" si="318"/>
        <v>5</v>
      </c>
      <c r="F523">
        <f t="shared" si="285"/>
        <v>360</v>
      </c>
      <c r="G523">
        <f t="shared" si="300"/>
        <v>0</v>
      </c>
      <c r="H523">
        <f t="shared" si="307"/>
        <v>4</v>
      </c>
      <c r="I523">
        <f t="shared" si="286"/>
        <v>360</v>
      </c>
      <c r="J523">
        <f t="shared" si="301"/>
        <v>0</v>
      </c>
      <c r="K523">
        <f t="shared" si="308"/>
        <v>3</v>
      </c>
      <c r="L523">
        <f t="shared" si="287"/>
        <v>360</v>
      </c>
      <c r="M523">
        <f t="shared" si="302"/>
        <v>0</v>
      </c>
      <c r="N523">
        <f t="shared" si="309"/>
        <v>2</v>
      </c>
      <c r="O523">
        <f t="shared" si="288"/>
        <v>300</v>
      </c>
      <c r="P523">
        <f t="shared" si="310"/>
        <v>0</v>
      </c>
      <c r="Q523">
        <f t="shared" si="311"/>
        <v>2</v>
      </c>
      <c r="R523">
        <f t="shared" si="289"/>
        <v>300</v>
      </c>
      <c r="S523">
        <f t="shared" si="312"/>
        <v>0</v>
      </c>
      <c r="T523">
        <f t="shared" si="313"/>
        <v>-1</v>
      </c>
      <c r="U523">
        <f t="shared" si="303"/>
        <v>1</v>
      </c>
      <c r="V523">
        <f t="shared" si="304"/>
        <v>1</v>
      </c>
      <c r="W523">
        <f t="shared" si="290"/>
        <v>0</v>
      </c>
      <c r="X523">
        <f t="shared" si="314"/>
        <v>0</v>
      </c>
      <c r="Y523">
        <f t="shared" si="291"/>
        <v>0</v>
      </c>
      <c r="Z523">
        <f t="shared" si="292"/>
        <v>0</v>
      </c>
      <c r="AA523">
        <f t="shared" si="293"/>
        <v>0</v>
      </c>
      <c r="AB523" s="29">
        <f t="shared" si="294"/>
        <v>0</v>
      </c>
      <c r="AC523" s="25">
        <f t="shared" si="295"/>
        <v>0</v>
      </c>
      <c r="AD523" s="29">
        <f t="shared" si="296"/>
        <v>0</v>
      </c>
      <c r="AE523" s="25">
        <f t="shared" si="305"/>
        <v>0</v>
      </c>
      <c r="AF523" s="25">
        <f t="shared" si="297"/>
        <v>0</v>
      </c>
      <c r="AG523" s="25">
        <f>IF($A523&lt;0,0,IF(instatk="bs",(1.5+talSCallInstBon)*(MHavg+(ap+Z523-$Z$1)/APtoDPS*MHnorm+170)*(1+sa*0.1+0.04*opp+0.02*agg+Slayer4value-1),IF(instatk="hemo",Slayer4value*(MHavg+(ap+Z523-$Z$1)/APtoDPS*MHnorm)*(1.1+talSCallInstBon)+420*(1+raidcrit)*debuffon,IF(instatk="ss",(MHavg+(ap+Z523-$Z$1)/APtoDPS*MHnorm+98)*(1+sa*0.1+0.02*agg+Slayer4value-1),IF(instatk="v",(ohavg+(ap+Z523-$Z$1)/APtoDPS*OHnorm)*(1+sa*0.1)*(0.5+0.05*dws)+avipdam,Slayer4value*((1+0.04*opp)*(MHavg+101+(ap+Z523-$Z$1)/APtoDPS*MHnorm+(0.5+0.05*dws)*(ohavg+(ap+Z523-$Z$1)/APtoDPS*OHnorm)+101*(1+0.1*dws))*(1+0.5*IF(Talents!$O$18="Yes",1,0)))))))*(instactualhit+(1+((leth*0.06+2)-1)*(cfact-1))*instactualcrit)*fwfactor*AB523*instsec*(AF523/$AN$45))</f>
        <v>0</v>
      </c>
      <c r="AH523" s="25">
        <f t="shared" si="315"/>
        <v>0</v>
      </c>
      <c r="AI523" s="25">
        <f t="shared" si="316"/>
        <v>0</v>
      </c>
      <c r="AJ523" s="25">
        <f t="shared" si="317"/>
        <v>0</v>
      </c>
    </row>
    <row r="524" spans="1:36">
      <c r="A524">
        <f t="shared" si="298"/>
        <v>-1</v>
      </c>
      <c r="B524">
        <f t="shared" si="306"/>
        <v>6</v>
      </c>
      <c r="C524">
        <f t="shared" si="284"/>
        <v>300</v>
      </c>
      <c r="D524">
        <f t="shared" si="299"/>
        <v>0</v>
      </c>
      <c r="E524">
        <f t="shared" si="318"/>
        <v>5</v>
      </c>
      <c r="F524">
        <f t="shared" si="285"/>
        <v>360</v>
      </c>
      <c r="G524">
        <f t="shared" si="300"/>
        <v>0</v>
      </c>
      <c r="H524">
        <f t="shared" si="307"/>
        <v>4</v>
      </c>
      <c r="I524">
        <f t="shared" si="286"/>
        <v>360</v>
      </c>
      <c r="J524">
        <f t="shared" si="301"/>
        <v>0</v>
      </c>
      <c r="K524">
        <f t="shared" si="308"/>
        <v>3</v>
      </c>
      <c r="L524">
        <f t="shared" si="287"/>
        <v>360</v>
      </c>
      <c r="M524">
        <f t="shared" si="302"/>
        <v>0</v>
      </c>
      <c r="N524">
        <f t="shared" si="309"/>
        <v>2</v>
      </c>
      <c r="O524">
        <f t="shared" si="288"/>
        <v>300</v>
      </c>
      <c r="P524">
        <f t="shared" si="310"/>
        <v>0</v>
      </c>
      <c r="Q524">
        <f t="shared" si="311"/>
        <v>2</v>
      </c>
      <c r="R524">
        <f t="shared" si="289"/>
        <v>300</v>
      </c>
      <c r="S524">
        <f t="shared" si="312"/>
        <v>0</v>
      </c>
      <c r="T524">
        <f t="shared" si="313"/>
        <v>-1</v>
      </c>
      <c r="U524">
        <f t="shared" si="303"/>
        <v>1</v>
      </c>
      <c r="V524">
        <f t="shared" si="304"/>
        <v>1</v>
      </c>
      <c r="W524">
        <f t="shared" si="290"/>
        <v>0</v>
      </c>
      <c r="X524">
        <f t="shared" si="314"/>
        <v>0</v>
      </c>
      <c r="Y524">
        <f t="shared" si="291"/>
        <v>0</v>
      </c>
      <c r="Z524">
        <f t="shared" si="292"/>
        <v>0</v>
      </c>
      <c r="AA524">
        <f t="shared" si="293"/>
        <v>0</v>
      </c>
      <c r="AB524" s="29">
        <f t="shared" si="294"/>
        <v>0</v>
      </c>
      <c r="AC524" s="25">
        <f t="shared" si="295"/>
        <v>0</v>
      </c>
      <c r="AD524" s="29">
        <f t="shared" si="296"/>
        <v>0</v>
      </c>
      <c r="AE524" s="25">
        <f t="shared" si="305"/>
        <v>0</v>
      </c>
      <c r="AF524" s="25">
        <f t="shared" si="297"/>
        <v>0</v>
      </c>
      <c r="AG524" s="25">
        <f>IF($A524&lt;0,0,IF(instatk="bs",(1.5+talSCallInstBon)*(MHavg+(ap+Z524-$Z$1)/APtoDPS*MHnorm+170)*(1+sa*0.1+0.04*opp+0.02*agg+Slayer4value-1),IF(instatk="hemo",Slayer4value*(MHavg+(ap+Z524-$Z$1)/APtoDPS*MHnorm)*(1.1+talSCallInstBon)+420*(1+raidcrit)*debuffon,IF(instatk="ss",(MHavg+(ap+Z524-$Z$1)/APtoDPS*MHnorm+98)*(1+sa*0.1+0.02*agg+Slayer4value-1),IF(instatk="v",(ohavg+(ap+Z524-$Z$1)/APtoDPS*OHnorm)*(1+sa*0.1)*(0.5+0.05*dws)+avipdam,Slayer4value*((1+0.04*opp)*(MHavg+101+(ap+Z524-$Z$1)/APtoDPS*MHnorm+(0.5+0.05*dws)*(ohavg+(ap+Z524-$Z$1)/APtoDPS*OHnorm)+101*(1+0.1*dws))*(1+0.5*IF(Talents!$O$18="Yes",1,0)))))))*(instactualhit+(1+((leth*0.06+2)-1)*(cfact-1))*instactualcrit)*fwfactor*AB524*instsec*(AF524/$AN$45))</f>
        <v>0</v>
      </c>
      <c r="AH524" s="25">
        <f t="shared" si="315"/>
        <v>0</v>
      </c>
      <c r="AI524" s="25">
        <f t="shared" si="316"/>
        <v>0</v>
      </c>
      <c r="AJ524" s="25">
        <f t="shared" si="317"/>
        <v>0</v>
      </c>
    </row>
    <row r="525" spans="1:36">
      <c r="A525">
        <f t="shared" si="298"/>
        <v>-1</v>
      </c>
      <c r="B525">
        <f t="shared" si="306"/>
        <v>6</v>
      </c>
      <c r="C525">
        <f t="shared" si="284"/>
        <v>300</v>
      </c>
      <c r="D525">
        <f t="shared" si="299"/>
        <v>0</v>
      </c>
      <c r="E525">
        <f t="shared" si="318"/>
        <v>5</v>
      </c>
      <c r="F525">
        <f t="shared" si="285"/>
        <v>360</v>
      </c>
      <c r="G525">
        <f t="shared" si="300"/>
        <v>0</v>
      </c>
      <c r="H525">
        <f t="shared" si="307"/>
        <v>4</v>
      </c>
      <c r="I525">
        <f t="shared" si="286"/>
        <v>360</v>
      </c>
      <c r="J525">
        <f t="shared" si="301"/>
        <v>0</v>
      </c>
      <c r="K525">
        <f t="shared" si="308"/>
        <v>3</v>
      </c>
      <c r="L525">
        <f t="shared" si="287"/>
        <v>360</v>
      </c>
      <c r="M525">
        <f t="shared" si="302"/>
        <v>0</v>
      </c>
      <c r="N525">
        <f t="shared" si="309"/>
        <v>2</v>
      </c>
      <c r="O525">
        <f t="shared" si="288"/>
        <v>300</v>
      </c>
      <c r="P525">
        <f t="shared" si="310"/>
        <v>0</v>
      </c>
      <c r="Q525">
        <f t="shared" si="311"/>
        <v>2</v>
      </c>
      <c r="R525">
        <f t="shared" si="289"/>
        <v>300</v>
      </c>
      <c r="S525">
        <f t="shared" si="312"/>
        <v>0</v>
      </c>
      <c r="T525">
        <f t="shared" si="313"/>
        <v>-1</v>
      </c>
      <c r="U525">
        <f t="shared" si="303"/>
        <v>1</v>
      </c>
      <c r="V525">
        <f t="shared" si="304"/>
        <v>1</v>
      </c>
      <c r="W525">
        <f t="shared" si="290"/>
        <v>0</v>
      </c>
      <c r="X525">
        <f t="shared" si="314"/>
        <v>0</v>
      </c>
      <c r="Y525">
        <f t="shared" si="291"/>
        <v>0</v>
      </c>
      <c r="Z525">
        <f t="shared" si="292"/>
        <v>0</v>
      </c>
      <c r="AA525">
        <f t="shared" si="293"/>
        <v>0</v>
      </c>
      <c r="AB525" s="29">
        <f t="shared" si="294"/>
        <v>0</v>
      </c>
      <c r="AC525" s="25">
        <f t="shared" si="295"/>
        <v>0</v>
      </c>
      <c r="AD525" s="29">
        <f t="shared" si="296"/>
        <v>0</v>
      </c>
      <c r="AE525" s="25">
        <f t="shared" si="305"/>
        <v>0</v>
      </c>
      <c r="AF525" s="25">
        <f t="shared" si="297"/>
        <v>0</v>
      </c>
      <c r="AG525" s="25">
        <f>IF($A525&lt;0,0,IF(instatk="bs",(1.5+talSCallInstBon)*(MHavg+(ap+Z525-$Z$1)/APtoDPS*MHnorm+170)*(1+sa*0.1+0.04*opp+0.02*agg+Slayer4value-1),IF(instatk="hemo",Slayer4value*(MHavg+(ap+Z525-$Z$1)/APtoDPS*MHnorm)*(1.1+talSCallInstBon)+420*(1+raidcrit)*debuffon,IF(instatk="ss",(MHavg+(ap+Z525-$Z$1)/APtoDPS*MHnorm+98)*(1+sa*0.1+0.02*agg+Slayer4value-1),IF(instatk="v",(ohavg+(ap+Z525-$Z$1)/APtoDPS*OHnorm)*(1+sa*0.1)*(0.5+0.05*dws)+avipdam,Slayer4value*((1+0.04*opp)*(MHavg+101+(ap+Z525-$Z$1)/APtoDPS*MHnorm+(0.5+0.05*dws)*(ohavg+(ap+Z525-$Z$1)/APtoDPS*OHnorm)+101*(1+0.1*dws))*(1+0.5*IF(Talents!$O$18="Yes",1,0)))))))*(instactualhit+(1+((leth*0.06+2)-1)*(cfact-1))*instactualcrit)*fwfactor*AB525*instsec*(AF525/$AN$45))</f>
        <v>0</v>
      </c>
      <c r="AH525" s="25">
        <f t="shared" si="315"/>
        <v>0</v>
      </c>
      <c r="AI525" s="25">
        <f t="shared" si="316"/>
        <v>0</v>
      </c>
      <c r="AJ525" s="25">
        <f t="shared" si="317"/>
        <v>0</v>
      </c>
    </row>
    <row r="526" spans="1:36">
      <c r="A526">
        <f t="shared" si="298"/>
        <v>-1</v>
      </c>
      <c r="B526">
        <f t="shared" si="306"/>
        <v>6</v>
      </c>
      <c r="C526">
        <f t="shared" si="284"/>
        <v>300</v>
      </c>
      <c r="D526">
        <f t="shared" si="299"/>
        <v>0</v>
      </c>
      <c r="E526">
        <f t="shared" si="318"/>
        <v>5</v>
      </c>
      <c r="F526">
        <f t="shared" si="285"/>
        <v>360</v>
      </c>
      <c r="G526">
        <f t="shared" si="300"/>
        <v>0</v>
      </c>
      <c r="H526">
        <f t="shared" si="307"/>
        <v>4</v>
      </c>
      <c r="I526">
        <f t="shared" si="286"/>
        <v>360</v>
      </c>
      <c r="J526">
        <f t="shared" si="301"/>
        <v>0</v>
      </c>
      <c r="K526">
        <f t="shared" si="308"/>
        <v>3</v>
      </c>
      <c r="L526">
        <f t="shared" si="287"/>
        <v>360</v>
      </c>
      <c r="M526">
        <f t="shared" si="302"/>
        <v>0</v>
      </c>
      <c r="N526">
        <f t="shared" si="309"/>
        <v>2</v>
      </c>
      <c r="O526">
        <f t="shared" si="288"/>
        <v>300</v>
      </c>
      <c r="P526">
        <f t="shared" si="310"/>
        <v>0</v>
      </c>
      <c r="Q526">
        <f t="shared" si="311"/>
        <v>2</v>
      </c>
      <c r="R526">
        <f t="shared" si="289"/>
        <v>300</v>
      </c>
      <c r="S526">
        <f t="shared" si="312"/>
        <v>0</v>
      </c>
      <c r="T526">
        <f t="shared" si="313"/>
        <v>-1</v>
      </c>
      <c r="U526">
        <f t="shared" si="303"/>
        <v>1</v>
      </c>
      <c r="V526">
        <f t="shared" si="304"/>
        <v>1</v>
      </c>
      <c r="W526">
        <f t="shared" si="290"/>
        <v>0</v>
      </c>
      <c r="X526">
        <f t="shared" si="314"/>
        <v>0</v>
      </c>
      <c r="Y526">
        <f t="shared" si="291"/>
        <v>0</v>
      </c>
      <c r="Z526">
        <f t="shared" si="292"/>
        <v>0</v>
      </c>
      <c r="AA526">
        <f t="shared" si="293"/>
        <v>0</v>
      </c>
      <c r="AB526" s="29">
        <f t="shared" si="294"/>
        <v>0</v>
      </c>
      <c r="AC526" s="25">
        <f t="shared" si="295"/>
        <v>0</v>
      </c>
      <c r="AD526" s="29">
        <f t="shared" si="296"/>
        <v>0</v>
      </c>
      <c r="AE526" s="25">
        <f t="shared" si="305"/>
        <v>0</v>
      </c>
      <c r="AF526" s="25">
        <f t="shared" si="297"/>
        <v>0</v>
      </c>
      <c r="AG526" s="25">
        <f>IF($A526&lt;0,0,IF(instatk="bs",(1.5+talSCallInstBon)*(MHavg+(ap+Z526-$Z$1)/APtoDPS*MHnorm+170)*(1+sa*0.1+0.04*opp+0.02*agg+Slayer4value-1),IF(instatk="hemo",Slayer4value*(MHavg+(ap+Z526-$Z$1)/APtoDPS*MHnorm)*(1.1+talSCallInstBon)+420*(1+raidcrit)*debuffon,IF(instatk="ss",(MHavg+(ap+Z526-$Z$1)/APtoDPS*MHnorm+98)*(1+sa*0.1+0.02*agg+Slayer4value-1),IF(instatk="v",(ohavg+(ap+Z526-$Z$1)/APtoDPS*OHnorm)*(1+sa*0.1)*(0.5+0.05*dws)+avipdam,Slayer4value*((1+0.04*opp)*(MHavg+101+(ap+Z526-$Z$1)/APtoDPS*MHnorm+(0.5+0.05*dws)*(ohavg+(ap+Z526-$Z$1)/APtoDPS*OHnorm)+101*(1+0.1*dws))*(1+0.5*IF(Talents!$O$18="Yes",1,0)))))))*(instactualhit+(1+((leth*0.06+2)-1)*(cfact-1))*instactualcrit)*fwfactor*AB526*instsec*(AF526/$AN$45))</f>
        <v>0</v>
      </c>
      <c r="AH526" s="25">
        <f t="shared" si="315"/>
        <v>0</v>
      </c>
      <c r="AI526" s="25">
        <f t="shared" si="316"/>
        <v>0</v>
      </c>
      <c r="AJ526" s="25">
        <f t="shared" si="317"/>
        <v>0</v>
      </c>
    </row>
    <row r="527" spans="1:36">
      <c r="A527">
        <f t="shared" si="298"/>
        <v>-1</v>
      </c>
      <c r="B527">
        <f t="shared" si="306"/>
        <v>6</v>
      </c>
      <c r="C527">
        <f t="shared" si="284"/>
        <v>300</v>
      </c>
      <c r="D527">
        <f t="shared" si="299"/>
        <v>0</v>
      </c>
      <c r="E527">
        <f t="shared" si="318"/>
        <v>5</v>
      </c>
      <c r="F527">
        <f t="shared" si="285"/>
        <v>360</v>
      </c>
      <c r="G527">
        <f t="shared" si="300"/>
        <v>0</v>
      </c>
      <c r="H527">
        <f t="shared" si="307"/>
        <v>4</v>
      </c>
      <c r="I527">
        <f t="shared" si="286"/>
        <v>360</v>
      </c>
      <c r="J527">
        <f t="shared" si="301"/>
        <v>0</v>
      </c>
      <c r="K527">
        <f t="shared" si="308"/>
        <v>3</v>
      </c>
      <c r="L527">
        <f t="shared" si="287"/>
        <v>360</v>
      </c>
      <c r="M527">
        <f t="shared" si="302"/>
        <v>0</v>
      </c>
      <c r="N527">
        <f t="shared" si="309"/>
        <v>2</v>
      </c>
      <c r="O527">
        <f t="shared" si="288"/>
        <v>300</v>
      </c>
      <c r="P527">
        <f t="shared" si="310"/>
        <v>0</v>
      </c>
      <c r="Q527">
        <f t="shared" si="311"/>
        <v>2</v>
      </c>
      <c r="R527">
        <f t="shared" si="289"/>
        <v>300</v>
      </c>
      <c r="S527">
        <f t="shared" si="312"/>
        <v>0</v>
      </c>
      <c r="T527">
        <f t="shared" si="313"/>
        <v>-1</v>
      </c>
      <c r="U527">
        <f t="shared" si="303"/>
        <v>1</v>
      </c>
      <c r="V527">
        <f t="shared" si="304"/>
        <v>1</v>
      </c>
      <c r="W527">
        <f t="shared" si="290"/>
        <v>0</v>
      </c>
      <c r="X527">
        <f t="shared" si="314"/>
        <v>0</v>
      </c>
      <c r="Y527">
        <f t="shared" si="291"/>
        <v>0</v>
      </c>
      <c r="Z527">
        <f t="shared" si="292"/>
        <v>0</v>
      </c>
      <c r="AA527">
        <f t="shared" si="293"/>
        <v>0</v>
      </c>
      <c r="AB527" s="29">
        <f t="shared" si="294"/>
        <v>0</v>
      </c>
      <c r="AC527" s="25">
        <f t="shared" si="295"/>
        <v>0</v>
      </c>
      <c r="AD527" s="29">
        <f t="shared" si="296"/>
        <v>0</v>
      </c>
      <c r="AE527" s="25">
        <f t="shared" si="305"/>
        <v>0</v>
      </c>
      <c r="AF527" s="25">
        <f t="shared" si="297"/>
        <v>0</v>
      </c>
      <c r="AG527" s="25">
        <f>IF($A527&lt;0,0,IF(instatk="bs",(1.5+talSCallInstBon)*(MHavg+(ap+Z527-$Z$1)/APtoDPS*MHnorm+170)*(1+sa*0.1+0.04*opp+0.02*agg+Slayer4value-1),IF(instatk="hemo",Slayer4value*(MHavg+(ap+Z527-$Z$1)/APtoDPS*MHnorm)*(1.1+talSCallInstBon)+420*(1+raidcrit)*debuffon,IF(instatk="ss",(MHavg+(ap+Z527-$Z$1)/APtoDPS*MHnorm+98)*(1+sa*0.1+0.02*agg+Slayer4value-1),IF(instatk="v",(ohavg+(ap+Z527-$Z$1)/APtoDPS*OHnorm)*(1+sa*0.1)*(0.5+0.05*dws)+avipdam,Slayer4value*((1+0.04*opp)*(MHavg+101+(ap+Z527-$Z$1)/APtoDPS*MHnorm+(0.5+0.05*dws)*(ohavg+(ap+Z527-$Z$1)/APtoDPS*OHnorm)+101*(1+0.1*dws))*(1+0.5*IF(Talents!$O$18="Yes",1,0)))))))*(instactualhit+(1+((leth*0.06+2)-1)*(cfact-1))*instactualcrit)*fwfactor*AB527*instsec*(AF527/$AN$45))</f>
        <v>0</v>
      </c>
      <c r="AH527" s="25">
        <f t="shared" si="315"/>
        <v>0</v>
      </c>
      <c r="AI527" s="25">
        <f t="shared" si="316"/>
        <v>0</v>
      </c>
      <c r="AJ527" s="25">
        <f t="shared" si="317"/>
        <v>0</v>
      </c>
    </row>
    <row r="528" spans="1:36">
      <c r="A528">
        <f t="shared" si="298"/>
        <v>-1</v>
      </c>
      <c r="B528">
        <f t="shared" si="306"/>
        <v>6</v>
      </c>
      <c r="C528">
        <f t="shared" si="284"/>
        <v>300</v>
      </c>
      <c r="D528">
        <f t="shared" si="299"/>
        <v>0</v>
      </c>
      <c r="E528">
        <f t="shared" si="318"/>
        <v>5</v>
      </c>
      <c r="F528">
        <f t="shared" si="285"/>
        <v>360</v>
      </c>
      <c r="G528">
        <f t="shared" si="300"/>
        <v>0</v>
      </c>
      <c r="H528">
        <f t="shared" si="307"/>
        <v>4</v>
      </c>
      <c r="I528">
        <f t="shared" si="286"/>
        <v>360</v>
      </c>
      <c r="J528">
        <f t="shared" si="301"/>
        <v>0</v>
      </c>
      <c r="K528">
        <f t="shared" si="308"/>
        <v>3</v>
      </c>
      <c r="L528">
        <f t="shared" si="287"/>
        <v>360</v>
      </c>
      <c r="M528">
        <f t="shared" si="302"/>
        <v>0</v>
      </c>
      <c r="N528">
        <f t="shared" si="309"/>
        <v>2</v>
      </c>
      <c r="O528">
        <f t="shared" si="288"/>
        <v>300</v>
      </c>
      <c r="P528">
        <f t="shared" si="310"/>
        <v>0</v>
      </c>
      <c r="Q528">
        <f t="shared" si="311"/>
        <v>2</v>
      </c>
      <c r="R528">
        <f t="shared" si="289"/>
        <v>300</v>
      </c>
      <c r="S528">
        <f t="shared" si="312"/>
        <v>0</v>
      </c>
      <c r="T528">
        <f t="shared" si="313"/>
        <v>-1</v>
      </c>
      <c r="U528">
        <f t="shared" si="303"/>
        <v>1</v>
      </c>
      <c r="V528">
        <f t="shared" si="304"/>
        <v>1</v>
      </c>
      <c r="W528">
        <f t="shared" si="290"/>
        <v>0</v>
      </c>
      <c r="X528">
        <f t="shared" si="314"/>
        <v>0</v>
      </c>
      <c r="Y528">
        <f t="shared" si="291"/>
        <v>0</v>
      </c>
      <c r="Z528">
        <f t="shared" si="292"/>
        <v>0</v>
      </c>
      <c r="AA528">
        <f t="shared" si="293"/>
        <v>0</v>
      </c>
      <c r="AB528" s="29">
        <f t="shared" si="294"/>
        <v>0</v>
      </c>
      <c r="AC528" s="25">
        <f t="shared" si="295"/>
        <v>0</v>
      </c>
      <c r="AD528" s="29">
        <f t="shared" si="296"/>
        <v>0</v>
      </c>
      <c r="AE528" s="25">
        <f t="shared" si="305"/>
        <v>0</v>
      </c>
      <c r="AF528" s="25">
        <f t="shared" si="297"/>
        <v>0</v>
      </c>
      <c r="AG528" s="25">
        <f>IF($A528&lt;0,0,IF(instatk="bs",(1.5+talSCallInstBon)*(MHavg+(ap+Z528-$Z$1)/APtoDPS*MHnorm+170)*(1+sa*0.1+0.04*opp+0.02*agg+Slayer4value-1),IF(instatk="hemo",Slayer4value*(MHavg+(ap+Z528-$Z$1)/APtoDPS*MHnorm)*(1.1+talSCallInstBon)+420*(1+raidcrit)*debuffon,IF(instatk="ss",(MHavg+(ap+Z528-$Z$1)/APtoDPS*MHnorm+98)*(1+sa*0.1+0.02*agg+Slayer4value-1),IF(instatk="v",(ohavg+(ap+Z528-$Z$1)/APtoDPS*OHnorm)*(1+sa*0.1)*(0.5+0.05*dws)+avipdam,Slayer4value*((1+0.04*opp)*(MHavg+101+(ap+Z528-$Z$1)/APtoDPS*MHnorm+(0.5+0.05*dws)*(ohavg+(ap+Z528-$Z$1)/APtoDPS*OHnorm)+101*(1+0.1*dws))*(1+0.5*IF(Talents!$O$18="Yes",1,0)))))))*(instactualhit+(1+((leth*0.06+2)-1)*(cfact-1))*instactualcrit)*fwfactor*AB528*instsec*(AF528/$AN$45))</f>
        <v>0</v>
      </c>
      <c r="AH528" s="25">
        <f t="shared" si="315"/>
        <v>0</v>
      </c>
      <c r="AI528" s="25">
        <f t="shared" si="316"/>
        <v>0</v>
      </c>
      <c r="AJ528" s="25">
        <f t="shared" si="317"/>
        <v>0</v>
      </c>
    </row>
    <row r="529" spans="1:36">
      <c r="A529">
        <f t="shared" si="298"/>
        <v>-1</v>
      </c>
      <c r="B529">
        <f t="shared" si="306"/>
        <v>6</v>
      </c>
      <c r="C529">
        <f t="shared" si="284"/>
        <v>300</v>
      </c>
      <c r="D529">
        <f t="shared" si="299"/>
        <v>0</v>
      </c>
      <c r="E529">
        <f t="shared" si="318"/>
        <v>5</v>
      </c>
      <c r="F529">
        <f t="shared" si="285"/>
        <v>360</v>
      </c>
      <c r="G529">
        <f t="shared" si="300"/>
        <v>0</v>
      </c>
      <c r="H529">
        <f t="shared" si="307"/>
        <v>4</v>
      </c>
      <c r="I529">
        <f t="shared" si="286"/>
        <v>360</v>
      </c>
      <c r="J529">
        <f t="shared" si="301"/>
        <v>0</v>
      </c>
      <c r="K529">
        <f t="shared" si="308"/>
        <v>3</v>
      </c>
      <c r="L529">
        <f t="shared" si="287"/>
        <v>360</v>
      </c>
      <c r="M529">
        <f t="shared" si="302"/>
        <v>0</v>
      </c>
      <c r="N529">
        <f t="shared" si="309"/>
        <v>2</v>
      </c>
      <c r="O529">
        <f t="shared" si="288"/>
        <v>300</v>
      </c>
      <c r="P529">
        <f t="shared" si="310"/>
        <v>0</v>
      </c>
      <c r="Q529">
        <f t="shared" si="311"/>
        <v>2</v>
      </c>
      <c r="R529">
        <f t="shared" si="289"/>
        <v>300</v>
      </c>
      <c r="S529">
        <f t="shared" si="312"/>
        <v>0</v>
      </c>
      <c r="T529">
        <f t="shared" si="313"/>
        <v>-1</v>
      </c>
      <c r="U529">
        <f t="shared" si="303"/>
        <v>1</v>
      </c>
      <c r="V529">
        <f t="shared" si="304"/>
        <v>1</v>
      </c>
      <c r="W529">
        <f t="shared" si="290"/>
        <v>0</v>
      </c>
      <c r="X529">
        <f t="shared" si="314"/>
        <v>0</v>
      </c>
      <c r="Y529">
        <f t="shared" si="291"/>
        <v>0</v>
      </c>
      <c r="Z529">
        <f t="shared" si="292"/>
        <v>0</v>
      </c>
      <c r="AA529">
        <f t="shared" si="293"/>
        <v>0</v>
      </c>
      <c r="AB529" s="29">
        <f t="shared" si="294"/>
        <v>0</v>
      </c>
      <c r="AC529" s="25">
        <f t="shared" si="295"/>
        <v>0</v>
      </c>
      <c r="AD529" s="29">
        <f t="shared" si="296"/>
        <v>0</v>
      </c>
      <c r="AE529" s="25">
        <f t="shared" si="305"/>
        <v>0</v>
      </c>
      <c r="AF529" s="25">
        <f t="shared" si="297"/>
        <v>0</v>
      </c>
      <c r="AG529" s="25">
        <f>IF($A529&lt;0,0,IF(instatk="bs",(1.5+talSCallInstBon)*(MHavg+(ap+Z529-$Z$1)/APtoDPS*MHnorm+170)*(1+sa*0.1+0.04*opp+0.02*agg+Slayer4value-1),IF(instatk="hemo",Slayer4value*(MHavg+(ap+Z529-$Z$1)/APtoDPS*MHnorm)*(1.1+talSCallInstBon)+420*(1+raidcrit)*debuffon,IF(instatk="ss",(MHavg+(ap+Z529-$Z$1)/APtoDPS*MHnorm+98)*(1+sa*0.1+0.02*agg+Slayer4value-1),IF(instatk="v",(ohavg+(ap+Z529-$Z$1)/APtoDPS*OHnorm)*(1+sa*0.1)*(0.5+0.05*dws)+avipdam,Slayer4value*((1+0.04*opp)*(MHavg+101+(ap+Z529-$Z$1)/APtoDPS*MHnorm+(0.5+0.05*dws)*(ohavg+(ap+Z529-$Z$1)/APtoDPS*OHnorm)+101*(1+0.1*dws))*(1+0.5*IF(Talents!$O$18="Yes",1,0)))))))*(instactualhit+(1+((leth*0.06+2)-1)*(cfact-1))*instactualcrit)*fwfactor*AB529*instsec*(AF529/$AN$45))</f>
        <v>0</v>
      </c>
      <c r="AH529" s="25">
        <f t="shared" si="315"/>
        <v>0</v>
      </c>
      <c r="AI529" s="25">
        <f t="shared" si="316"/>
        <v>0</v>
      </c>
      <c r="AJ529" s="25">
        <f t="shared" si="317"/>
        <v>0</v>
      </c>
    </row>
    <row r="530" spans="1:36">
      <c r="A530">
        <f t="shared" si="298"/>
        <v>-1</v>
      </c>
      <c r="B530">
        <f t="shared" si="306"/>
        <v>6</v>
      </c>
      <c r="C530">
        <f t="shared" si="284"/>
        <v>300</v>
      </c>
      <c r="D530">
        <f t="shared" si="299"/>
        <v>0</v>
      </c>
      <c r="E530">
        <f t="shared" si="318"/>
        <v>5</v>
      </c>
      <c r="F530">
        <f t="shared" si="285"/>
        <v>360</v>
      </c>
      <c r="G530">
        <f t="shared" si="300"/>
        <v>0</v>
      </c>
      <c r="H530">
        <f t="shared" si="307"/>
        <v>4</v>
      </c>
      <c r="I530">
        <f t="shared" si="286"/>
        <v>360</v>
      </c>
      <c r="J530">
        <f t="shared" si="301"/>
        <v>0</v>
      </c>
      <c r="K530">
        <f t="shared" si="308"/>
        <v>3</v>
      </c>
      <c r="L530">
        <f t="shared" si="287"/>
        <v>360</v>
      </c>
      <c r="M530">
        <f t="shared" si="302"/>
        <v>0</v>
      </c>
      <c r="N530">
        <f t="shared" si="309"/>
        <v>2</v>
      </c>
      <c r="O530">
        <f t="shared" si="288"/>
        <v>300</v>
      </c>
      <c r="P530">
        <f t="shared" si="310"/>
        <v>0</v>
      </c>
      <c r="Q530">
        <f t="shared" si="311"/>
        <v>2</v>
      </c>
      <c r="R530">
        <f t="shared" si="289"/>
        <v>300</v>
      </c>
      <c r="S530">
        <f t="shared" si="312"/>
        <v>0</v>
      </c>
      <c r="T530">
        <f t="shared" si="313"/>
        <v>-1</v>
      </c>
      <c r="U530">
        <f t="shared" si="303"/>
        <v>1</v>
      </c>
      <c r="V530">
        <f t="shared" si="304"/>
        <v>1</v>
      </c>
      <c r="W530">
        <f t="shared" si="290"/>
        <v>0</v>
      </c>
      <c r="X530">
        <f t="shared" si="314"/>
        <v>0</v>
      </c>
      <c r="Y530">
        <f t="shared" si="291"/>
        <v>0</v>
      </c>
      <c r="Z530">
        <f t="shared" si="292"/>
        <v>0</v>
      </c>
      <c r="AA530">
        <f t="shared" si="293"/>
        <v>0</v>
      </c>
      <c r="AB530" s="29">
        <f t="shared" si="294"/>
        <v>0</v>
      </c>
      <c r="AC530" s="25">
        <f t="shared" si="295"/>
        <v>0</v>
      </c>
      <c r="AD530" s="29">
        <f t="shared" si="296"/>
        <v>0</v>
      </c>
      <c r="AE530" s="25">
        <f t="shared" si="305"/>
        <v>0</v>
      </c>
      <c r="AF530" s="25">
        <f t="shared" si="297"/>
        <v>0</v>
      </c>
      <c r="AG530" s="25">
        <f>IF($A530&lt;0,0,IF(instatk="bs",(1.5+talSCallInstBon)*(MHavg+(ap+Z530-$Z$1)/APtoDPS*MHnorm+170)*(1+sa*0.1+0.04*opp+0.02*agg+Slayer4value-1),IF(instatk="hemo",Slayer4value*(MHavg+(ap+Z530-$Z$1)/APtoDPS*MHnorm)*(1.1+talSCallInstBon)+420*(1+raidcrit)*debuffon,IF(instatk="ss",(MHavg+(ap+Z530-$Z$1)/APtoDPS*MHnorm+98)*(1+sa*0.1+0.02*agg+Slayer4value-1),IF(instatk="v",(ohavg+(ap+Z530-$Z$1)/APtoDPS*OHnorm)*(1+sa*0.1)*(0.5+0.05*dws)+avipdam,Slayer4value*((1+0.04*opp)*(MHavg+101+(ap+Z530-$Z$1)/APtoDPS*MHnorm+(0.5+0.05*dws)*(ohavg+(ap+Z530-$Z$1)/APtoDPS*OHnorm)+101*(1+0.1*dws))*(1+0.5*IF(Talents!$O$18="Yes",1,0)))))))*(instactualhit+(1+((leth*0.06+2)-1)*(cfact-1))*instactualcrit)*fwfactor*AB530*instsec*(AF530/$AN$45))</f>
        <v>0</v>
      </c>
      <c r="AH530" s="25">
        <f t="shared" si="315"/>
        <v>0</v>
      </c>
      <c r="AI530" s="25">
        <f t="shared" si="316"/>
        <v>0</v>
      </c>
      <c r="AJ530" s="25">
        <f t="shared" si="317"/>
        <v>0</v>
      </c>
    </row>
    <row r="531" spans="1:36">
      <c r="A531">
        <f t="shared" si="298"/>
        <v>-1</v>
      </c>
      <c r="B531">
        <f t="shared" si="306"/>
        <v>6</v>
      </c>
      <c r="C531">
        <f t="shared" si="284"/>
        <v>300</v>
      </c>
      <c r="D531">
        <f t="shared" si="299"/>
        <v>0</v>
      </c>
      <c r="E531">
        <f t="shared" si="318"/>
        <v>5</v>
      </c>
      <c r="F531">
        <f t="shared" si="285"/>
        <v>360</v>
      </c>
      <c r="G531">
        <f t="shared" si="300"/>
        <v>0</v>
      </c>
      <c r="H531">
        <f t="shared" si="307"/>
        <v>4</v>
      </c>
      <c r="I531">
        <f t="shared" si="286"/>
        <v>360</v>
      </c>
      <c r="J531">
        <f t="shared" si="301"/>
        <v>0</v>
      </c>
      <c r="K531">
        <f t="shared" si="308"/>
        <v>3</v>
      </c>
      <c r="L531">
        <f t="shared" si="287"/>
        <v>360</v>
      </c>
      <c r="M531">
        <f t="shared" si="302"/>
        <v>0</v>
      </c>
      <c r="N531">
        <f t="shared" si="309"/>
        <v>2</v>
      </c>
      <c r="O531">
        <f t="shared" si="288"/>
        <v>300</v>
      </c>
      <c r="P531">
        <f t="shared" si="310"/>
        <v>0</v>
      </c>
      <c r="Q531">
        <f t="shared" si="311"/>
        <v>2</v>
      </c>
      <c r="R531">
        <f t="shared" si="289"/>
        <v>300</v>
      </c>
      <c r="S531">
        <f t="shared" si="312"/>
        <v>0</v>
      </c>
      <c r="T531">
        <f t="shared" si="313"/>
        <v>-1</v>
      </c>
      <c r="U531">
        <f t="shared" si="303"/>
        <v>1</v>
      </c>
      <c r="V531">
        <f t="shared" si="304"/>
        <v>1</v>
      </c>
      <c r="W531">
        <f t="shared" si="290"/>
        <v>0</v>
      </c>
      <c r="X531">
        <f t="shared" si="314"/>
        <v>0</v>
      </c>
      <c r="Y531">
        <f t="shared" si="291"/>
        <v>0</v>
      </c>
      <c r="Z531">
        <f t="shared" si="292"/>
        <v>0</v>
      </c>
      <c r="AA531">
        <f t="shared" si="293"/>
        <v>0</v>
      </c>
      <c r="AB531" s="29">
        <f t="shared" si="294"/>
        <v>0</v>
      </c>
      <c r="AC531" s="25">
        <f t="shared" si="295"/>
        <v>0</v>
      </c>
      <c r="AD531" s="29">
        <f t="shared" si="296"/>
        <v>0</v>
      </c>
      <c r="AE531" s="25">
        <f t="shared" si="305"/>
        <v>0</v>
      </c>
      <c r="AF531" s="25">
        <f t="shared" si="297"/>
        <v>0</v>
      </c>
      <c r="AG531" s="25">
        <f>IF($A531&lt;0,0,IF(instatk="bs",(1.5+talSCallInstBon)*(MHavg+(ap+Z531-$Z$1)/APtoDPS*MHnorm+170)*(1+sa*0.1+0.04*opp+0.02*agg+Slayer4value-1),IF(instatk="hemo",Slayer4value*(MHavg+(ap+Z531-$Z$1)/APtoDPS*MHnorm)*(1.1+talSCallInstBon)+420*(1+raidcrit)*debuffon,IF(instatk="ss",(MHavg+(ap+Z531-$Z$1)/APtoDPS*MHnorm+98)*(1+sa*0.1+0.02*agg+Slayer4value-1),IF(instatk="v",(ohavg+(ap+Z531-$Z$1)/APtoDPS*OHnorm)*(1+sa*0.1)*(0.5+0.05*dws)+avipdam,Slayer4value*((1+0.04*opp)*(MHavg+101+(ap+Z531-$Z$1)/APtoDPS*MHnorm+(0.5+0.05*dws)*(ohavg+(ap+Z531-$Z$1)/APtoDPS*OHnorm)+101*(1+0.1*dws))*(1+0.5*IF(Talents!$O$18="Yes",1,0)))))))*(instactualhit+(1+((leth*0.06+2)-1)*(cfact-1))*instactualcrit)*fwfactor*AB531*instsec*(AF531/$AN$45))</f>
        <v>0</v>
      </c>
      <c r="AH531" s="25">
        <f t="shared" si="315"/>
        <v>0</v>
      </c>
      <c r="AI531" s="25">
        <f t="shared" si="316"/>
        <v>0</v>
      </c>
      <c r="AJ531" s="25">
        <f t="shared" si="317"/>
        <v>0</v>
      </c>
    </row>
    <row r="532" spans="1:36">
      <c r="A532">
        <f t="shared" si="298"/>
        <v>-1</v>
      </c>
      <c r="B532">
        <f t="shared" si="306"/>
        <v>6</v>
      </c>
      <c r="C532">
        <f t="shared" si="284"/>
        <v>300</v>
      </c>
      <c r="D532">
        <f t="shared" si="299"/>
        <v>0</v>
      </c>
      <c r="E532">
        <f t="shared" si="318"/>
        <v>5</v>
      </c>
      <c r="F532">
        <f t="shared" si="285"/>
        <v>360</v>
      </c>
      <c r="G532">
        <f t="shared" si="300"/>
        <v>0</v>
      </c>
      <c r="H532">
        <f t="shared" si="307"/>
        <v>4</v>
      </c>
      <c r="I532">
        <f t="shared" si="286"/>
        <v>360</v>
      </c>
      <c r="J532">
        <f t="shared" si="301"/>
        <v>0</v>
      </c>
      <c r="K532">
        <f t="shared" si="308"/>
        <v>3</v>
      </c>
      <c r="L532">
        <f t="shared" si="287"/>
        <v>360</v>
      </c>
      <c r="M532">
        <f t="shared" si="302"/>
        <v>0</v>
      </c>
      <c r="N532">
        <f t="shared" si="309"/>
        <v>2</v>
      </c>
      <c r="O532">
        <f t="shared" si="288"/>
        <v>300</v>
      </c>
      <c r="P532">
        <f t="shared" si="310"/>
        <v>0</v>
      </c>
      <c r="Q532">
        <f t="shared" si="311"/>
        <v>2</v>
      </c>
      <c r="R532">
        <f t="shared" si="289"/>
        <v>300</v>
      </c>
      <c r="S532">
        <f t="shared" si="312"/>
        <v>0</v>
      </c>
      <c r="T532">
        <f t="shared" si="313"/>
        <v>-1</v>
      </c>
      <c r="U532">
        <f t="shared" si="303"/>
        <v>1</v>
      </c>
      <c r="V532">
        <f t="shared" si="304"/>
        <v>1</v>
      </c>
      <c r="W532">
        <f t="shared" si="290"/>
        <v>0</v>
      </c>
      <c r="X532">
        <f t="shared" si="314"/>
        <v>0</v>
      </c>
      <c r="Y532">
        <f t="shared" si="291"/>
        <v>0</v>
      </c>
      <c r="Z532">
        <f t="shared" si="292"/>
        <v>0</v>
      </c>
      <c r="AA532">
        <f t="shared" si="293"/>
        <v>0</v>
      </c>
      <c r="AB532" s="29">
        <f t="shared" si="294"/>
        <v>0</v>
      </c>
      <c r="AC532" s="25">
        <f t="shared" si="295"/>
        <v>0</v>
      </c>
      <c r="AD532" s="29">
        <f t="shared" si="296"/>
        <v>0</v>
      </c>
      <c r="AE532" s="25">
        <f t="shared" si="305"/>
        <v>0</v>
      </c>
      <c r="AF532" s="25">
        <f t="shared" si="297"/>
        <v>0</v>
      </c>
      <c r="AG532" s="25">
        <f>IF($A532&lt;0,0,IF(instatk="bs",(1.5+talSCallInstBon)*(MHavg+(ap+Z532-$Z$1)/APtoDPS*MHnorm+170)*(1+sa*0.1+0.04*opp+0.02*agg+Slayer4value-1),IF(instatk="hemo",Slayer4value*(MHavg+(ap+Z532-$Z$1)/APtoDPS*MHnorm)*(1.1+talSCallInstBon)+420*(1+raidcrit)*debuffon,IF(instatk="ss",(MHavg+(ap+Z532-$Z$1)/APtoDPS*MHnorm+98)*(1+sa*0.1+0.02*agg+Slayer4value-1),IF(instatk="v",(ohavg+(ap+Z532-$Z$1)/APtoDPS*OHnorm)*(1+sa*0.1)*(0.5+0.05*dws)+avipdam,Slayer4value*((1+0.04*opp)*(MHavg+101+(ap+Z532-$Z$1)/APtoDPS*MHnorm+(0.5+0.05*dws)*(ohavg+(ap+Z532-$Z$1)/APtoDPS*OHnorm)+101*(1+0.1*dws))*(1+0.5*IF(Talents!$O$18="Yes",1,0)))))))*(instactualhit+(1+((leth*0.06+2)-1)*(cfact-1))*instactualcrit)*fwfactor*AB532*instsec*(AF532/$AN$45))</f>
        <v>0</v>
      </c>
      <c r="AH532" s="25">
        <f t="shared" si="315"/>
        <v>0</v>
      </c>
      <c r="AI532" s="25">
        <f t="shared" si="316"/>
        <v>0</v>
      </c>
      <c r="AJ532" s="25">
        <f t="shared" si="317"/>
        <v>0</v>
      </c>
    </row>
    <row r="533" spans="1:36">
      <c r="A533">
        <f t="shared" si="298"/>
        <v>-1</v>
      </c>
      <c r="B533">
        <f t="shared" si="306"/>
        <v>6</v>
      </c>
      <c r="C533">
        <f t="shared" si="284"/>
        <v>300</v>
      </c>
      <c r="D533">
        <f t="shared" si="299"/>
        <v>0</v>
      </c>
      <c r="E533">
        <f t="shared" si="318"/>
        <v>5</v>
      </c>
      <c r="F533">
        <f t="shared" si="285"/>
        <v>360</v>
      </c>
      <c r="G533">
        <f t="shared" si="300"/>
        <v>0</v>
      </c>
      <c r="H533">
        <f t="shared" si="307"/>
        <v>4</v>
      </c>
      <c r="I533">
        <f t="shared" si="286"/>
        <v>360</v>
      </c>
      <c r="J533">
        <f t="shared" si="301"/>
        <v>0</v>
      </c>
      <c r="K533">
        <f t="shared" si="308"/>
        <v>3</v>
      </c>
      <c r="L533">
        <f t="shared" si="287"/>
        <v>360</v>
      </c>
      <c r="M533">
        <f t="shared" si="302"/>
        <v>0</v>
      </c>
      <c r="N533">
        <f t="shared" si="309"/>
        <v>2</v>
      </c>
      <c r="O533">
        <f t="shared" si="288"/>
        <v>300</v>
      </c>
      <c r="P533">
        <f t="shared" si="310"/>
        <v>0</v>
      </c>
      <c r="Q533">
        <f t="shared" si="311"/>
        <v>2</v>
      </c>
      <c r="R533">
        <f t="shared" si="289"/>
        <v>300</v>
      </c>
      <c r="S533">
        <f t="shared" si="312"/>
        <v>0</v>
      </c>
      <c r="T533">
        <f t="shared" si="313"/>
        <v>-1</v>
      </c>
      <c r="U533">
        <f t="shared" si="303"/>
        <v>1</v>
      </c>
      <c r="V533">
        <f t="shared" si="304"/>
        <v>1</v>
      </c>
      <c r="W533">
        <f t="shared" si="290"/>
        <v>0</v>
      </c>
      <c r="X533">
        <f t="shared" si="314"/>
        <v>0</v>
      </c>
      <c r="Y533">
        <f t="shared" si="291"/>
        <v>0</v>
      </c>
      <c r="Z533">
        <f t="shared" si="292"/>
        <v>0</v>
      </c>
      <c r="AA533">
        <f t="shared" si="293"/>
        <v>0</v>
      </c>
      <c r="AB533" s="29">
        <f t="shared" si="294"/>
        <v>0</v>
      </c>
      <c r="AC533" s="25">
        <f t="shared" si="295"/>
        <v>0</v>
      </c>
      <c r="AD533" s="29">
        <f t="shared" si="296"/>
        <v>0</v>
      </c>
      <c r="AE533" s="25">
        <f t="shared" si="305"/>
        <v>0</v>
      </c>
      <c r="AF533" s="25">
        <f t="shared" si="297"/>
        <v>0</v>
      </c>
      <c r="AG533" s="25">
        <f>IF($A533&lt;0,0,IF(instatk="bs",(1.5+talSCallInstBon)*(MHavg+(ap+Z533-$Z$1)/APtoDPS*MHnorm+170)*(1+sa*0.1+0.04*opp+0.02*agg+Slayer4value-1),IF(instatk="hemo",Slayer4value*(MHavg+(ap+Z533-$Z$1)/APtoDPS*MHnorm)*(1.1+talSCallInstBon)+420*(1+raidcrit)*debuffon,IF(instatk="ss",(MHavg+(ap+Z533-$Z$1)/APtoDPS*MHnorm+98)*(1+sa*0.1+0.02*agg+Slayer4value-1),IF(instatk="v",(ohavg+(ap+Z533-$Z$1)/APtoDPS*OHnorm)*(1+sa*0.1)*(0.5+0.05*dws)+avipdam,Slayer4value*((1+0.04*opp)*(MHavg+101+(ap+Z533-$Z$1)/APtoDPS*MHnorm+(0.5+0.05*dws)*(ohavg+(ap+Z533-$Z$1)/APtoDPS*OHnorm)+101*(1+0.1*dws))*(1+0.5*IF(Talents!$O$18="Yes",1,0)))))))*(instactualhit+(1+((leth*0.06+2)-1)*(cfact-1))*instactualcrit)*fwfactor*AB533*instsec*(AF533/$AN$45))</f>
        <v>0</v>
      </c>
      <c r="AH533" s="25">
        <f t="shared" si="315"/>
        <v>0</v>
      </c>
      <c r="AI533" s="25">
        <f t="shared" si="316"/>
        <v>0</v>
      </c>
      <c r="AJ533" s="25">
        <f t="shared" si="317"/>
        <v>0</v>
      </c>
    </row>
    <row r="534" spans="1:36">
      <c r="A534">
        <f t="shared" si="298"/>
        <v>-1</v>
      </c>
      <c r="B534">
        <f t="shared" si="306"/>
        <v>6</v>
      </c>
      <c r="C534">
        <f t="shared" si="284"/>
        <v>300</v>
      </c>
      <c r="D534">
        <f t="shared" si="299"/>
        <v>0</v>
      </c>
      <c r="E534">
        <f t="shared" si="318"/>
        <v>5</v>
      </c>
      <c r="F534">
        <f t="shared" si="285"/>
        <v>360</v>
      </c>
      <c r="G534">
        <f t="shared" si="300"/>
        <v>0</v>
      </c>
      <c r="H534">
        <f t="shared" si="307"/>
        <v>4</v>
      </c>
      <c r="I534">
        <f t="shared" si="286"/>
        <v>360</v>
      </c>
      <c r="J534">
        <f t="shared" si="301"/>
        <v>0</v>
      </c>
      <c r="K534">
        <f t="shared" si="308"/>
        <v>3</v>
      </c>
      <c r="L534">
        <f t="shared" si="287"/>
        <v>360</v>
      </c>
      <c r="M534">
        <f t="shared" si="302"/>
        <v>0</v>
      </c>
      <c r="N534">
        <f t="shared" si="309"/>
        <v>2</v>
      </c>
      <c r="O534">
        <f t="shared" si="288"/>
        <v>300</v>
      </c>
      <c r="P534">
        <f t="shared" si="310"/>
        <v>0</v>
      </c>
      <c r="Q534">
        <f t="shared" si="311"/>
        <v>2</v>
      </c>
      <c r="R534">
        <f t="shared" si="289"/>
        <v>300</v>
      </c>
      <c r="S534">
        <f t="shared" si="312"/>
        <v>0</v>
      </c>
      <c r="T534">
        <f t="shared" si="313"/>
        <v>-1</v>
      </c>
      <c r="U534">
        <f t="shared" si="303"/>
        <v>1</v>
      </c>
      <c r="V534">
        <f t="shared" si="304"/>
        <v>1</v>
      </c>
      <c r="W534">
        <f t="shared" si="290"/>
        <v>0</v>
      </c>
      <c r="X534">
        <f t="shared" si="314"/>
        <v>0</v>
      </c>
      <c r="Y534">
        <f t="shared" si="291"/>
        <v>0</v>
      </c>
      <c r="Z534">
        <f t="shared" si="292"/>
        <v>0</v>
      </c>
      <c r="AA534">
        <f t="shared" si="293"/>
        <v>0</v>
      </c>
      <c r="AB534" s="29">
        <f t="shared" si="294"/>
        <v>0</v>
      </c>
      <c r="AC534" s="25">
        <f t="shared" si="295"/>
        <v>0</v>
      </c>
      <c r="AD534" s="29">
        <f t="shared" si="296"/>
        <v>0</v>
      </c>
      <c r="AE534" s="25">
        <f t="shared" si="305"/>
        <v>0</v>
      </c>
      <c r="AF534" s="25">
        <f t="shared" si="297"/>
        <v>0</v>
      </c>
      <c r="AG534" s="25">
        <f>IF($A534&lt;0,0,IF(instatk="bs",(1.5+talSCallInstBon)*(MHavg+(ap+Z534-$Z$1)/APtoDPS*MHnorm+170)*(1+sa*0.1+0.04*opp+0.02*agg+Slayer4value-1),IF(instatk="hemo",Slayer4value*(MHavg+(ap+Z534-$Z$1)/APtoDPS*MHnorm)*(1.1+talSCallInstBon)+420*(1+raidcrit)*debuffon,IF(instatk="ss",(MHavg+(ap+Z534-$Z$1)/APtoDPS*MHnorm+98)*(1+sa*0.1+0.02*agg+Slayer4value-1),IF(instatk="v",(ohavg+(ap+Z534-$Z$1)/APtoDPS*OHnorm)*(1+sa*0.1)*(0.5+0.05*dws)+avipdam,Slayer4value*((1+0.04*opp)*(MHavg+101+(ap+Z534-$Z$1)/APtoDPS*MHnorm+(0.5+0.05*dws)*(ohavg+(ap+Z534-$Z$1)/APtoDPS*OHnorm)+101*(1+0.1*dws))*(1+0.5*IF(Talents!$O$18="Yes",1,0)))))))*(instactualhit+(1+((leth*0.06+2)-1)*(cfact-1))*instactualcrit)*fwfactor*AB534*instsec*(AF534/$AN$45))</f>
        <v>0</v>
      </c>
      <c r="AH534" s="25">
        <f t="shared" si="315"/>
        <v>0</v>
      </c>
      <c r="AI534" s="25">
        <f t="shared" si="316"/>
        <v>0</v>
      </c>
      <c r="AJ534" s="25">
        <f t="shared" si="317"/>
        <v>0</v>
      </c>
    </row>
    <row r="535" spans="1:36">
      <c r="A535">
        <f t="shared" si="298"/>
        <v>-1</v>
      </c>
      <c r="B535">
        <f t="shared" si="306"/>
        <v>6</v>
      </c>
      <c r="C535">
        <f t="shared" si="284"/>
        <v>300</v>
      </c>
      <c r="D535">
        <f t="shared" si="299"/>
        <v>0</v>
      </c>
      <c r="E535">
        <f t="shared" si="318"/>
        <v>5</v>
      </c>
      <c r="F535">
        <f t="shared" si="285"/>
        <v>360</v>
      </c>
      <c r="G535">
        <f t="shared" si="300"/>
        <v>0</v>
      </c>
      <c r="H535">
        <f t="shared" si="307"/>
        <v>4</v>
      </c>
      <c r="I535">
        <f t="shared" si="286"/>
        <v>360</v>
      </c>
      <c r="J535">
        <f t="shared" si="301"/>
        <v>0</v>
      </c>
      <c r="K535">
        <f t="shared" si="308"/>
        <v>3</v>
      </c>
      <c r="L535">
        <f t="shared" si="287"/>
        <v>360</v>
      </c>
      <c r="M535">
        <f t="shared" si="302"/>
        <v>0</v>
      </c>
      <c r="N535">
        <f t="shared" si="309"/>
        <v>2</v>
      </c>
      <c r="O535">
        <f t="shared" si="288"/>
        <v>300</v>
      </c>
      <c r="P535">
        <f t="shared" si="310"/>
        <v>0</v>
      </c>
      <c r="Q535">
        <f t="shared" si="311"/>
        <v>2</v>
      </c>
      <c r="R535">
        <f t="shared" si="289"/>
        <v>300</v>
      </c>
      <c r="S535">
        <f t="shared" si="312"/>
        <v>0</v>
      </c>
      <c r="T535">
        <f t="shared" si="313"/>
        <v>-1</v>
      </c>
      <c r="U535">
        <f t="shared" si="303"/>
        <v>1</v>
      </c>
      <c r="V535">
        <f t="shared" si="304"/>
        <v>1</v>
      </c>
      <c r="W535">
        <f t="shared" si="290"/>
        <v>0</v>
      </c>
      <c r="X535">
        <f t="shared" si="314"/>
        <v>0</v>
      </c>
      <c r="Y535">
        <f t="shared" si="291"/>
        <v>0</v>
      </c>
      <c r="Z535">
        <f t="shared" si="292"/>
        <v>0</v>
      </c>
      <c r="AA535">
        <f t="shared" si="293"/>
        <v>0</v>
      </c>
      <c r="AB535" s="29">
        <f t="shared" si="294"/>
        <v>0</v>
      </c>
      <c r="AC535" s="25">
        <f t="shared" si="295"/>
        <v>0</v>
      </c>
      <c r="AD535" s="29">
        <f t="shared" si="296"/>
        <v>0</v>
      </c>
      <c r="AE535" s="25">
        <f t="shared" si="305"/>
        <v>0</v>
      </c>
      <c r="AF535" s="25">
        <f t="shared" si="297"/>
        <v>0</v>
      </c>
      <c r="AG535" s="25">
        <f>IF($A535&lt;0,0,IF(instatk="bs",(1.5+talSCallInstBon)*(MHavg+(ap+Z535-$Z$1)/APtoDPS*MHnorm+170)*(1+sa*0.1+0.04*opp+0.02*agg+Slayer4value-1),IF(instatk="hemo",Slayer4value*(MHavg+(ap+Z535-$Z$1)/APtoDPS*MHnorm)*(1.1+talSCallInstBon)+420*(1+raidcrit)*debuffon,IF(instatk="ss",(MHavg+(ap+Z535-$Z$1)/APtoDPS*MHnorm+98)*(1+sa*0.1+0.02*agg+Slayer4value-1),IF(instatk="v",(ohavg+(ap+Z535-$Z$1)/APtoDPS*OHnorm)*(1+sa*0.1)*(0.5+0.05*dws)+avipdam,Slayer4value*((1+0.04*opp)*(MHavg+101+(ap+Z535-$Z$1)/APtoDPS*MHnorm+(0.5+0.05*dws)*(ohavg+(ap+Z535-$Z$1)/APtoDPS*OHnorm)+101*(1+0.1*dws))*(1+0.5*IF(Talents!$O$18="Yes",1,0)))))))*(instactualhit+(1+((leth*0.06+2)-1)*(cfact-1))*instactualcrit)*fwfactor*AB535*instsec*(AF535/$AN$45))</f>
        <v>0</v>
      </c>
      <c r="AH535" s="25">
        <f t="shared" si="315"/>
        <v>0</v>
      </c>
      <c r="AI535" s="25">
        <f t="shared" si="316"/>
        <v>0</v>
      </c>
      <c r="AJ535" s="25">
        <f t="shared" si="317"/>
        <v>0</v>
      </c>
    </row>
    <row r="536" spans="1:36">
      <c r="A536">
        <f t="shared" si="298"/>
        <v>-1</v>
      </c>
      <c r="B536">
        <f t="shared" si="306"/>
        <v>6</v>
      </c>
      <c r="C536">
        <f t="shared" si="284"/>
        <v>300</v>
      </c>
      <c r="D536">
        <f t="shared" si="299"/>
        <v>0</v>
      </c>
      <c r="E536">
        <f t="shared" si="318"/>
        <v>5</v>
      </c>
      <c r="F536">
        <f t="shared" si="285"/>
        <v>360</v>
      </c>
      <c r="G536">
        <f t="shared" si="300"/>
        <v>0</v>
      </c>
      <c r="H536">
        <f t="shared" si="307"/>
        <v>4</v>
      </c>
      <c r="I536">
        <f t="shared" si="286"/>
        <v>360</v>
      </c>
      <c r="J536">
        <f t="shared" si="301"/>
        <v>0</v>
      </c>
      <c r="K536">
        <f t="shared" si="308"/>
        <v>3</v>
      </c>
      <c r="L536">
        <f t="shared" si="287"/>
        <v>360</v>
      </c>
      <c r="M536">
        <f t="shared" si="302"/>
        <v>0</v>
      </c>
      <c r="N536">
        <f t="shared" si="309"/>
        <v>2</v>
      </c>
      <c r="O536">
        <f t="shared" si="288"/>
        <v>300</v>
      </c>
      <c r="P536">
        <f t="shared" si="310"/>
        <v>0</v>
      </c>
      <c r="Q536">
        <f t="shared" si="311"/>
        <v>2</v>
      </c>
      <c r="R536">
        <f t="shared" si="289"/>
        <v>300</v>
      </c>
      <c r="S536">
        <f t="shared" si="312"/>
        <v>0</v>
      </c>
      <c r="T536">
        <f t="shared" si="313"/>
        <v>-1</v>
      </c>
      <c r="U536">
        <f t="shared" si="303"/>
        <v>1</v>
      </c>
      <c r="V536">
        <f t="shared" si="304"/>
        <v>1</v>
      </c>
      <c r="W536">
        <f t="shared" si="290"/>
        <v>0</v>
      </c>
      <c r="X536">
        <f t="shared" si="314"/>
        <v>0</v>
      </c>
      <c r="Y536">
        <f t="shared" si="291"/>
        <v>0</v>
      </c>
      <c r="Z536">
        <f t="shared" si="292"/>
        <v>0</v>
      </c>
      <c r="AA536">
        <f t="shared" si="293"/>
        <v>0</v>
      </c>
      <c r="AB536" s="29">
        <f t="shared" si="294"/>
        <v>0</v>
      </c>
      <c r="AC536" s="25">
        <f t="shared" si="295"/>
        <v>0</v>
      </c>
      <c r="AD536" s="29">
        <f t="shared" si="296"/>
        <v>0</v>
      </c>
      <c r="AE536" s="25">
        <f t="shared" si="305"/>
        <v>0</v>
      </c>
      <c r="AF536" s="25">
        <f t="shared" si="297"/>
        <v>0</v>
      </c>
      <c r="AG536" s="25">
        <f>IF($A536&lt;0,0,IF(instatk="bs",(1.5+talSCallInstBon)*(MHavg+(ap+Z536-$Z$1)/APtoDPS*MHnorm+170)*(1+sa*0.1+0.04*opp+0.02*agg+Slayer4value-1),IF(instatk="hemo",Slayer4value*(MHavg+(ap+Z536-$Z$1)/APtoDPS*MHnorm)*(1.1+talSCallInstBon)+420*(1+raidcrit)*debuffon,IF(instatk="ss",(MHavg+(ap+Z536-$Z$1)/APtoDPS*MHnorm+98)*(1+sa*0.1+0.02*agg+Slayer4value-1),IF(instatk="v",(ohavg+(ap+Z536-$Z$1)/APtoDPS*OHnorm)*(1+sa*0.1)*(0.5+0.05*dws)+avipdam,Slayer4value*((1+0.04*opp)*(MHavg+101+(ap+Z536-$Z$1)/APtoDPS*MHnorm+(0.5+0.05*dws)*(ohavg+(ap+Z536-$Z$1)/APtoDPS*OHnorm)+101*(1+0.1*dws))*(1+0.5*IF(Talents!$O$18="Yes",1,0)))))))*(instactualhit+(1+((leth*0.06+2)-1)*(cfact-1))*instactualcrit)*fwfactor*AB536*instsec*(AF536/$AN$45))</f>
        <v>0</v>
      </c>
      <c r="AH536" s="25">
        <f t="shared" si="315"/>
        <v>0</v>
      </c>
      <c r="AI536" s="25">
        <f t="shared" si="316"/>
        <v>0</v>
      </c>
      <c r="AJ536" s="25">
        <f t="shared" si="317"/>
        <v>0</v>
      </c>
    </row>
    <row r="537" spans="1:36">
      <c r="A537">
        <f t="shared" si="298"/>
        <v>-1</v>
      </c>
      <c r="B537">
        <f t="shared" si="306"/>
        <v>6</v>
      </c>
      <c r="C537">
        <f t="shared" si="284"/>
        <v>300</v>
      </c>
      <c r="D537">
        <f t="shared" si="299"/>
        <v>0</v>
      </c>
      <c r="E537">
        <f t="shared" si="318"/>
        <v>5</v>
      </c>
      <c r="F537">
        <f t="shared" si="285"/>
        <v>360</v>
      </c>
      <c r="G537">
        <f t="shared" si="300"/>
        <v>0</v>
      </c>
      <c r="H537">
        <f t="shared" si="307"/>
        <v>4</v>
      </c>
      <c r="I537">
        <f t="shared" si="286"/>
        <v>360</v>
      </c>
      <c r="J537">
        <f t="shared" si="301"/>
        <v>0</v>
      </c>
      <c r="K537">
        <f t="shared" si="308"/>
        <v>3</v>
      </c>
      <c r="L537">
        <f t="shared" si="287"/>
        <v>360</v>
      </c>
      <c r="M537">
        <f t="shared" si="302"/>
        <v>0</v>
      </c>
      <c r="N537">
        <f t="shared" si="309"/>
        <v>2</v>
      </c>
      <c r="O537">
        <f t="shared" si="288"/>
        <v>300</v>
      </c>
      <c r="P537">
        <f t="shared" si="310"/>
        <v>0</v>
      </c>
      <c r="Q537">
        <f t="shared" si="311"/>
        <v>2</v>
      </c>
      <c r="R537">
        <f t="shared" si="289"/>
        <v>300</v>
      </c>
      <c r="S537">
        <f t="shared" si="312"/>
        <v>0</v>
      </c>
      <c r="T537">
        <f t="shared" si="313"/>
        <v>-1</v>
      </c>
      <c r="U537">
        <f t="shared" si="303"/>
        <v>1</v>
      </c>
      <c r="V537">
        <f t="shared" si="304"/>
        <v>1</v>
      </c>
      <c r="W537">
        <f t="shared" si="290"/>
        <v>0</v>
      </c>
      <c r="X537">
        <f t="shared" si="314"/>
        <v>0</v>
      </c>
      <c r="Y537">
        <f t="shared" si="291"/>
        <v>0</v>
      </c>
      <c r="Z537">
        <f t="shared" si="292"/>
        <v>0</v>
      </c>
      <c r="AA537">
        <f t="shared" si="293"/>
        <v>0</v>
      </c>
      <c r="AB537" s="29">
        <f t="shared" si="294"/>
        <v>0</v>
      </c>
      <c r="AC537" s="25">
        <f t="shared" si="295"/>
        <v>0</v>
      </c>
      <c r="AD537" s="29">
        <f t="shared" si="296"/>
        <v>0</v>
      </c>
      <c r="AE537" s="25">
        <f t="shared" si="305"/>
        <v>0</v>
      </c>
      <c r="AF537" s="25">
        <f t="shared" si="297"/>
        <v>0</v>
      </c>
      <c r="AG537" s="25">
        <f>IF($A537&lt;0,0,IF(instatk="bs",(1.5+talSCallInstBon)*(MHavg+(ap+Z537-$Z$1)/APtoDPS*MHnorm+170)*(1+sa*0.1+0.04*opp+0.02*agg+Slayer4value-1),IF(instatk="hemo",Slayer4value*(MHavg+(ap+Z537-$Z$1)/APtoDPS*MHnorm)*(1.1+talSCallInstBon)+420*(1+raidcrit)*debuffon,IF(instatk="ss",(MHavg+(ap+Z537-$Z$1)/APtoDPS*MHnorm+98)*(1+sa*0.1+0.02*agg+Slayer4value-1),IF(instatk="v",(ohavg+(ap+Z537-$Z$1)/APtoDPS*OHnorm)*(1+sa*0.1)*(0.5+0.05*dws)+avipdam,Slayer4value*((1+0.04*opp)*(MHavg+101+(ap+Z537-$Z$1)/APtoDPS*MHnorm+(0.5+0.05*dws)*(ohavg+(ap+Z537-$Z$1)/APtoDPS*OHnorm)+101*(1+0.1*dws))*(1+0.5*IF(Talents!$O$18="Yes",1,0)))))))*(instactualhit+(1+((leth*0.06+2)-1)*(cfact-1))*instactualcrit)*fwfactor*AB537*instsec*(AF537/$AN$45))</f>
        <v>0</v>
      </c>
      <c r="AH537" s="25">
        <f t="shared" si="315"/>
        <v>0</v>
      </c>
      <c r="AI537" s="25">
        <f t="shared" si="316"/>
        <v>0</v>
      </c>
      <c r="AJ537" s="25">
        <f t="shared" si="317"/>
        <v>0</v>
      </c>
    </row>
    <row r="538" spans="1:36">
      <c r="A538">
        <f t="shared" si="298"/>
        <v>-1</v>
      </c>
      <c r="B538">
        <f t="shared" si="306"/>
        <v>6</v>
      </c>
      <c r="C538">
        <f t="shared" si="284"/>
        <v>300</v>
      </c>
      <c r="D538">
        <f t="shared" si="299"/>
        <v>0</v>
      </c>
      <c r="E538">
        <f t="shared" si="318"/>
        <v>5</v>
      </c>
      <c r="F538">
        <f t="shared" si="285"/>
        <v>360</v>
      </c>
      <c r="G538">
        <f t="shared" si="300"/>
        <v>0</v>
      </c>
      <c r="H538">
        <f t="shared" si="307"/>
        <v>4</v>
      </c>
      <c r="I538">
        <f t="shared" si="286"/>
        <v>360</v>
      </c>
      <c r="J538">
        <f t="shared" si="301"/>
        <v>0</v>
      </c>
      <c r="K538">
        <f t="shared" si="308"/>
        <v>3</v>
      </c>
      <c r="L538">
        <f t="shared" si="287"/>
        <v>360</v>
      </c>
      <c r="M538">
        <f t="shared" si="302"/>
        <v>0</v>
      </c>
      <c r="N538">
        <f t="shared" si="309"/>
        <v>2</v>
      </c>
      <c r="O538">
        <f t="shared" si="288"/>
        <v>300</v>
      </c>
      <c r="P538">
        <f t="shared" si="310"/>
        <v>0</v>
      </c>
      <c r="Q538">
        <f t="shared" si="311"/>
        <v>2</v>
      </c>
      <c r="R538">
        <f t="shared" si="289"/>
        <v>300</v>
      </c>
      <c r="S538">
        <f t="shared" si="312"/>
        <v>0</v>
      </c>
      <c r="T538">
        <f t="shared" si="313"/>
        <v>-1</v>
      </c>
      <c r="U538">
        <f t="shared" si="303"/>
        <v>1</v>
      </c>
      <c r="V538">
        <f t="shared" si="304"/>
        <v>1</v>
      </c>
      <c r="W538">
        <f t="shared" si="290"/>
        <v>0</v>
      </c>
      <c r="X538">
        <f t="shared" si="314"/>
        <v>0</v>
      </c>
      <c r="Y538">
        <f t="shared" si="291"/>
        <v>0</v>
      </c>
      <c r="Z538">
        <f t="shared" si="292"/>
        <v>0</v>
      </c>
      <c r="AA538">
        <f t="shared" si="293"/>
        <v>0</v>
      </c>
      <c r="AB538" s="29">
        <f t="shared" si="294"/>
        <v>0</v>
      </c>
      <c r="AC538" s="25">
        <f t="shared" si="295"/>
        <v>0</v>
      </c>
      <c r="AD538" s="29">
        <f t="shared" si="296"/>
        <v>0</v>
      </c>
      <c r="AE538" s="25">
        <f t="shared" si="305"/>
        <v>0</v>
      </c>
      <c r="AF538" s="25">
        <f t="shared" si="297"/>
        <v>0</v>
      </c>
      <c r="AG538" s="25">
        <f>IF($A538&lt;0,0,IF(instatk="bs",(1.5+talSCallInstBon)*(MHavg+(ap+Z538-$Z$1)/APtoDPS*MHnorm+170)*(1+sa*0.1+0.04*opp+0.02*agg+Slayer4value-1),IF(instatk="hemo",Slayer4value*(MHavg+(ap+Z538-$Z$1)/APtoDPS*MHnorm)*(1.1+talSCallInstBon)+420*(1+raidcrit)*debuffon,IF(instatk="ss",(MHavg+(ap+Z538-$Z$1)/APtoDPS*MHnorm+98)*(1+sa*0.1+0.02*agg+Slayer4value-1),IF(instatk="v",(ohavg+(ap+Z538-$Z$1)/APtoDPS*OHnorm)*(1+sa*0.1)*(0.5+0.05*dws)+avipdam,Slayer4value*((1+0.04*opp)*(MHavg+101+(ap+Z538-$Z$1)/APtoDPS*MHnorm+(0.5+0.05*dws)*(ohavg+(ap+Z538-$Z$1)/APtoDPS*OHnorm)+101*(1+0.1*dws))*(1+0.5*IF(Talents!$O$18="Yes",1,0)))))))*(instactualhit+(1+((leth*0.06+2)-1)*(cfact-1))*instactualcrit)*fwfactor*AB538*instsec*(AF538/$AN$45))</f>
        <v>0</v>
      </c>
      <c r="AH538" s="25">
        <f t="shared" si="315"/>
        <v>0</v>
      </c>
      <c r="AI538" s="25">
        <f t="shared" si="316"/>
        <v>0</v>
      </c>
      <c r="AJ538" s="25">
        <f t="shared" si="317"/>
        <v>0</v>
      </c>
    </row>
    <row r="539" spans="1:36">
      <c r="A539">
        <f t="shared" si="298"/>
        <v>-1</v>
      </c>
      <c r="B539">
        <f t="shared" si="306"/>
        <v>6</v>
      </c>
      <c r="C539">
        <f t="shared" si="284"/>
        <v>300</v>
      </c>
      <c r="D539">
        <f t="shared" si="299"/>
        <v>0</v>
      </c>
      <c r="E539">
        <f t="shared" si="318"/>
        <v>5</v>
      </c>
      <c r="F539">
        <f t="shared" si="285"/>
        <v>360</v>
      </c>
      <c r="G539">
        <f t="shared" si="300"/>
        <v>0</v>
      </c>
      <c r="H539">
        <f t="shared" si="307"/>
        <v>4</v>
      </c>
      <c r="I539">
        <f t="shared" si="286"/>
        <v>360</v>
      </c>
      <c r="J539">
        <f t="shared" si="301"/>
        <v>0</v>
      </c>
      <c r="K539">
        <f t="shared" si="308"/>
        <v>3</v>
      </c>
      <c r="L539">
        <f t="shared" si="287"/>
        <v>360</v>
      </c>
      <c r="M539">
        <f t="shared" si="302"/>
        <v>0</v>
      </c>
      <c r="N539">
        <f t="shared" si="309"/>
        <v>2</v>
      </c>
      <c r="O539">
        <f t="shared" si="288"/>
        <v>300</v>
      </c>
      <c r="P539">
        <f t="shared" si="310"/>
        <v>0</v>
      </c>
      <c r="Q539">
        <f t="shared" si="311"/>
        <v>2</v>
      </c>
      <c r="R539">
        <f t="shared" si="289"/>
        <v>300</v>
      </c>
      <c r="S539">
        <f t="shared" si="312"/>
        <v>0</v>
      </c>
      <c r="T539">
        <f t="shared" si="313"/>
        <v>-1</v>
      </c>
      <c r="U539">
        <f t="shared" si="303"/>
        <v>1</v>
      </c>
      <c r="V539">
        <f t="shared" si="304"/>
        <v>1</v>
      </c>
      <c r="W539">
        <f t="shared" si="290"/>
        <v>0</v>
      </c>
      <c r="X539">
        <f t="shared" si="314"/>
        <v>0</v>
      </c>
      <c r="Y539">
        <f t="shared" si="291"/>
        <v>0</v>
      </c>
      <c r="Z539">
        <f t="shared" si="292"/>
        <v>0</v>
      </c>
      <c r="AA539">
        <f t="shared" si="293"/>
        <v>0</v>
      </c>
      <c r="AB539" s="29">
        <f t="shared" si="294"/>
        <v>0</v>
      </c>
      <c r="AC539" s="25">
        <f t="shared" si="295"/>
        <v>0</v>
      </c>
      <c r="AD539" s="29">
        <f t="shared" si="296"/>
        <v>0</v>
      </c>
      <c r="AE539" s="25">
        <f t="shared" si="305"/>
        <v>0</v>
      </c>
      <c r="AF539" s="25">
        <f t="shared" si="297"/>
        <v>0</v>
      </c>
      <c r="AG539" s="25">
        <f>IF($A539&lt;0,0,IF(instatk="bs",(1.5+talSCallInstBon)*(MHavg+(ap+Z539-$Z$1)/APtoDPS*MHnorm+170)*(1+sa*0.1+0.04*opp+0.02*agg+Slayer4value-1),IF(instatk="hemo",Slayer4value*(MHavg+(ap+Z539-$Z$1)/APtoDPS*MHnorm)*(1.1+talSCallInstBon)+420*(1+raidcrit)*debuffon,IF(instatk="ss",(MHavg+(ap+Z539-$Z$1)/APtoDPS*MHnorm+98)*(1+sa*0.1+0.02*agg+Slayer4value-1),IF(instatk="v",(ohavg+(ap+Z539-$Z$1)/APtoDPS*OHnorm)*(1+sa*0.1)*(0.5+0.05*dws)+avipdam,Slayer4value*((1+0.04*opp)*(MHavg+101+(ap+Z539-$Z$1)/APtoDPS*MHnorm+(0.5+0.05*dws)*(ohavg+(ap+Z539-$Z$1)/APtoDPS*OHnorm)+101*(1+0.1*dws))*(1+0.5*IF(Talents!$O$18="Yes",1,0)))))))*(instactualhit+(1+((leth*0.06+2)-1)*(cfact-1))*instactualcrit)*fwfactor*AB539*instsec*(AF539/$AN$45))</f>
        <v>0</v>
      </c>
      <c r="AH539" s="25">
        <f t="shared" si="315"/>
        <v>0</v>
      </c>
      <c r="AI539" s="25">
        <f t="shared" si="316"/>
        <v>0</v>
      </c>
      <c r="AJ539" s="25">
        <f t="shared" si="317"/>
        <v>0</v>
      </c>
    </row>
    <row r="540" spans="1:36">
      <c r="A540">
        <f t="shared" si="298"/>
        <v>-1</v>
      </c>
      <c r="B540">
        <f t="shared" si="306"/>
        <v>6</v>
      </c>
      <c r="C540">
        <f t="shared" si="284"/>
        <v>300</v>
      </c>
      <c r="D540">
        <f t="shared" si="299"/>
        <v>0</v>
      </c>
      <c r="E540">
        <f t="shared" si="318"/>
        <v>5</v>
      </c>
      <c r="F540">
        <f t="shared" si="285"/>
        <v>360</v>
      </c>
      <c r="G540">
        <f t="shared" si="300"/>
        <v>0</v>
      </c>
      <c r="H540">
        <f t="shared" si="307"/>
        <v>4</v>
      </c>
      <c r="I540">
        <f t="shared" si="286"/>
        <v>360</v>
      </c>
      <c r="J540">
        <f t="shared" si="301"/>
        <v>0</v>
      </c>
      <c r="K540">
        <f t="shared" si="308"/>
        <v>3</v>
      </c>
      <c r="L540">
        <f t="shared" si="287"/>
        <v>360</v>
      </c>
      <c r="M540">
        <f t="shared" si="302"/>
        <v>0</v>
      </c>
      <c r="N540">
        <f t="shared" si="309"/>
        <v>2</v>
      </c>
      <c r="O540">
        <f t="shared" si="288"/>
        <v>300</v>
      </c>
      <c r="P540">
        <f t="shared" si="310"/>
        <v>0</v>
      </c>
      <c r="Q540">
        <f t="shared" si="311"/>
        <v>2</v>
      </c>
      <c r="R540">
        <f t="shared" si="289"/>
        <v>300</v>
      </c>
      <c r="S540">
        <f t="shared" si="312"/>
        <v>0</v>
      </c>
      <c r="T540">
        <f t="shared" si="313"/>
        <v>-1</v>
      </c>
      <c r="U540">
        <f t="shared" si="303"/>
        <v>1</v>
      </c>
      <c r="V540">
        <f t="shared" si="304"/>
        <v>1</v>
      </c>
      <c r="W540">
        <f t="shared" si="290"/>
        <v>0</v>
      </c>
      <c r="X540">
        <f t="shared" si="314"/>
        <v>0</v>
      </c>
      <c r="Y540">
        <f t="shared" si="291"/>
        <v>0</v>
      </c>
      <c r="Z540">
        <f t="shared" si="292"/>
        <v>0</v>
      </c>
      <c r="AA540">
        <f t="shared" si="293"/>
        <v>0</v>
      </c>
      <c r="AB540" s="29">
        <f t="shared" si="294"/>
        <v>0</v>
      </c>
      <c r="AC540" s="25">
        <f t="shared" si="295"/>
        <v>0</v>
      </c>
      <c r="AD540" s="29">
        <f t="shared" si="296"/>
        <v>0</v>
      </c>
      <c r="AE540" s="25">
        <f t="shared" si="305"/>
        <v>0</v>
      </c>
      <c r="AF540" s="25">
        <f t="shared" si="297"/>
        <v>0</v>
      </c>
      <c r="AG540" s="25">
        <f>IF($A540&lt;0,0,IF(instatk="bs",(1.5+talSCallInstBon)*(MHavg+(ap+Z540-$Z$1)/APtoDPS*MHnorm+170)*(1+sa*0.1+0.04*opp+0.02*agg+Slayer4value-1),IF(instatk="hemo",Slayer4value*(MHavg+(ap+Z540-$Z$1)/APtoDPS*MHnorm)*(1.1+talSCallInstBon)+420*(1+raidcrit)*debuffon,IF(instatk="ss",(MHavg+(ap+Z540-$Z$1)/APtoDPS*MHnorm+98)*(1+sa*0.1+0.02*agg+Slayer4value-1),IF(instatk="v",(ohavg+(ap+Z540-$Z$1)/APtoDPS*OHnorm)*(1+sa*0.1)*(0.5+0.05*dws)+avipdam,Slayer4value*((1+0.04*opp)*(MHavg+101+(ap+Z540-$Z$1)/APtoDPS*MHnorm+(0.5+0.05*dws)*(ohavg+(ap+Z540-$Z$1)/APtoDPS*OHnorm)+101*(1+0.1*dws))*(1+0.5*IF(Talents!$O$18="Yes",1,0)))))))*(instactualhit+(1+((leth*0.06+2)-1)*(cfact-1))*instactualcrit)*fwfactor*AB540*instsec*(AF540/$AN$45))</f>
        <v>0</v>
      </c>
      <c r="AH540" s="25">
        <f t="shared" si="315"/>
        <v>0</v>
      </c>
      <c r="AI540" s="25">
        <f t="shared" si="316"/>
        <v>0</v>
      </c>
      <c r="AJ540" s="25">
        <f t="shared" si="317"/>
        <v>0</v>
      </c>
    </row>
    <row r="541" spans="1:36">
      <c r="A541">
        <f t="shared" si="298"/>
        <v>-1</v>
      </c>
      <c r="B541">
        <f t="shared" si="306"/>
        <v>6</v>
      </c>
      <c r="C541">
        <f t="shared" si="284"/>
        <v>300</v>
      </c>
      <c r="D541">
        <f t="shared" si="299"/>
        <v>0</v>
      </c>
      <c r="E541">
        <f t="shared" si="318"/>
        <v>5</v>
      </c>
      <c r="F541">
        <f t="shared" si="285"/>
        <v>360</v>
      </c>
      <c r="G541">
        <f t="shared" si="300"/>
        <v>0</v>
      </c>
      <c r="H541">
        <f t="shared" si="307"/>
        <v>4</v>
      </c>
      <c r="I541">
        <f t="shared" si="286"/>
        <v>360</v>
      </c>
      <c r="J541">
        <f t="shared" si="301"/>
        <v>0</v>
      </c>
      <c r="K541">
        <f t="shared" si="308"/>
        <v>3</v>
      </c>
      <c r="L541">
        <f t="shared" si="287"/>
        <v>360</v>
      </c>
      <c r="M541">
        <f t="shared" si="302"/>
        <v>0</v>
      </c>
      <c r="N541">
        <f t="shared" si="309"/>
        <v>2</v>
      </c>
      <c r="O541">
        <f t="shared" si="288"/>
        <v>300</v>
      </c>
      <c r="P541">
        <f t="shared" si="310"/>
        <v>0</v>
      </c>
      <c r="Q541">
        <f t="shared" si="311"/>
        <v>2</v>
      </c>
      <c r="R541">
        <f t="shared" si="289"/>
        <v>300</v>
      </c>
      <c r="S541">
        <f t="shared" si="312"/>
        <v>0</v>
      </c>
      <c r="T541">
        <f t="shared" si="313"/>
        <v>-1</v>
      </c>
      <c r="U541">
        <f t="shared" si="303"/>
        <v>1</v>
      </c>
      <c r="V541">
        <f t="shared" si="304"/>
        <v>1</v>
      </c>
      <c r="W541">
        <f t="shared" si="290"/>
        <v>0</v>
      </c>
      <c r="X541">
        <f t="shared" si="314"/>
        <v>0</v>
      </c>
      <c r="Y541">
        <f t="shared" si="291"/>
        <v>0</v>
      </c>
      <c r="Z541">
        <f t="shared" si="292"/>
        <v>0</v>
      </c>
      <c r="AA541">
        <f t="shared" si="293"/>
        <v>0</v>
      </c>
      <c r="AB541" s="29">
        <f t="shared" si="294"/>
        <v>0</v>
      </c>
      <c r="AC541" s="25">
        <f t="shared" si="295"/>
        <v>0</v>
      </c>
      <c r="AD541" s="29">
        <f t="shared" si="296"/>
        <v>0</v>
      </c>
      <c r="AE541" s="25">
        <f t="shared" si="305"/>
        <v>0</v>
      </c>
      <c r="AF541" s="25">
        <f t="shared" si="297"/>
        <v>0</v>
      </c>
      <c r="AG541" s="25">
        <f>IF($A541&lt;0,0,IF(instatk="bs",(1.5+talSCallInstBon)*(MHavg+(ap+Z541-$Z$1)/APtoDPS*MHnorm+170)*(1+sa*0.1+0.04*opp+0.02*agg+Slayer4value-1),IF(instatk="hemo",Slayer4value*(MHavg+(ap+Z541-$Z$1)/APtoDPS*MHnorm)*(1.1+talSCallInstBon)+420*(1+raidcrit)*debuffon,IF(instatk="ss",(MHavg+(ap+Z541-$Z$1)/APtoDPS*MHnorm+98)*(1+sa*0.1+0.02*agg+Slayer4value-1),IF(instatk="v",(ohavg+(ap+Z541-$Z$1)/APtoDPS*OHnorm)*(1+sa*0.1)*(0.5+0.05*dws)+avipdam,Slayer4value*((1+0.04*opp)*(MHavg+101+(ap+Z541-$Z$1)/APtoDPS*MHnorm+(0.5+0.05*dws)*(ohavg+(ap+Z541-$Z$1)/APtoDPS*OHnorm)+101*(1+0.1*dws))*(1+0.5*IF(Talents!$O$18="Yes",1,0)))))))*(instactualhit+(1+((leth*0.06+2)-1)*(cfact-1))*instactualcrit)*fwfactor*AB541*instsec*(AF541/$AN$45))</f>
        <v>0</v>
      </c>
      <c r="AH541" s="25">
        <f t="shared" si="315"/>
        <v>0</v>
      </c>
      <c r="AI541" s="25">
        <f t="shared" si="316"/>
        <v>0</v>
      </c>
      <c r="AJ541" s="25">
        <f t="shared" si="317"/>
        <v>0</v>
      </c>
    </row>
    <row r="542" spans="1:36">
      <c r="A542">
        <f t="shared" si="298"/>
        <v>-1</v>
      </c>
      <c r="B542">
        <f t="shared" si="306"/>
        <v>6</v>
      </c>
      <c r="C542">
        <f t="shared" si="284"/>
        <v>300</v>
      </c>
      <c r="D542">
        <f t="shared" si="299"/>
        <v>0</v>
      </c>
      <c r="E542">
        <f t="shared" si="318"/>
        <v>5</v>
      </c>
      <c r="F542">
        <f t="shared" si="285"/>
        <v>360</v>
      </c>
      <c r="G542">
        <f t="shared" si="300"/>
        <v>0</v>
      </c>
      <c r="H542">
        <f t="shared" si="307"/>
        <v>4</v>
      </c>
      <c r="I542">
        <f t="shared" si="286"/>
        <v>360</v>
      </c>
      <c r="J542">
        <f t="shared" si="301"/>
        <v>0</v>
      </c>
      <c r="K542">
        <f t="shared" si="308"/>
        <v>3</v>
      </c>
      <c r="L542">
        <f t="shared" si="287"/>
        <v>360</v>
      </c>
      <c r="M542">
        <f t="shared" si="302"/>
        <v>0</v>
      </c>
      <c r="N542">
        <f t="shared" si="309"/>
        <v>2</v>
      </c>
      <c r="O542">
        <f t="shared" si="288"/>
        <v>300</v>
      </c>
      <c r="P542">
        <f t="shared" si="310"/>
        <v>0</v>
      </c>
      <c r="Q542">
        <f t="shared" si="311"/>
        <v>2</v>
      </c>
      <c r="R542">
        <f t="shared" si="289"/>
        <v>300</v>
      </c>
      <c r="S542">
        <f t="shared" si="312"/>
        <v>0</v>
      </c>
      <c r="T542">
        <f t="shared" si="313"/>
        <v>-1</v>
      </c>
      <c r="U542">
        <f t="shared" si="303"/>
        <v>1</v>
      </c>
      <c r="V542">
        <f t="shared" si="304"/>
        <v>1</v>
      </c>
      <c r="W542">
        <f t="shared" si="290"/>
        <v>0</v>
      </c>
      <c r="X542">
        <f t="shared" si="314"/>
        <v>0</v>
      </c>
      <c r="Y542">
        <f t="shared" si="291"/>
        <v>0</v>
      </c>
      <c r="Z542">
        <f t="shared" si="292"/>
        <v>0</v>
      </c>
      <c r="AA542">
        <f t="shared" si="293"/>
        <v>0</v>
      </c>
      <c r="AB542" s="29">
        <f t="shared" si="294"/>
        <v>0</v>
      </c>
      <c r="AC542" s="25">
        <f t="shared" si="295"/>
        <v>0</v>
      </c>
      <c r="AD542" s="29">
        <f t="shared" si="296"/>
        <v>0</v>
      </c>
      <c r="AE542" s="25">
        <f t="shared" si="305"/>
        <v>0</v>
      </c>
      <c r="AF542" s="25">
        <f t="shared" si="297"/>
        <v>0</v>
      </c>
      <c r="AG542" s="25">
        <f>IF($A542&lt;0,0,IF(instatk="bs",(1.5+talSCallInstBon)*(MHavg+(ap+Z542-$Z$1)/APtoDPS*MHnorm+170)*(1+sa*0.1+0.04*opp+0.02*agg+Slayer4value-1),IF(instatk="hemo",Slayer4value*(MHavg+(ap+Z542-$Z$1)/APtoDPS*MHnorm)*(1.1+talSCallInstBon)+420*(1+raidcrit)*debuffon,IF(instatk="ss",(MHavg+(ap+Z542-$Z$1)/APtoDPS*MHnorm+98)*(1+sa*0.1+0.02*agg+Slayer4value-1),IF(instatk="v",(ohavg+(ap+Z542-$Z$1)/APtoDPS*OHnorm)*(1+sa*0.1)*(0.5+0.05*dws)+avipdam,Slayer4value*((1+0.04*opp)*(MHavg+101+(ap+Z542-$Z$1)/APtoDPS*MHnorm+(0.5+0.05*dws)*(ohavg+(ap+Z542-$Z$1)/APtoDPS*OHnorm)+101*(1+0.1*dws))*(1+0.5*IF(Talents!$O$18="Yes",1,0)))))))*(instactualhit+(1+((leth*0.06+2)-1)*(cfact-1))*instactualcrit)*fwfactor*AB542*instsec*(AF542/$AN$45))</f>
        <v>0</v>
      </c>
      <c r="AH542" s="25">
        <f t="shared" si="315"/>
        <v>0</v>
      </c>
      <c r="AI542" s="25">
        <f t="shared" si="316"/>
        <v>0</v>
      </c>
      <c r="AJ542" s="25">
        <f t="shared" si="317"/>
        <v>0</v>
      </c>
    </row>
    <row r="543" spans="1:36">
      <c r="A543">
        <f t="shared" si="298"/>
        <v>-1</v>
      </c>
      <c r="B543">
        <f t="shared" si="306"/>
        <v>6</v>
      </c>
      <c r="C543">
        <f t="shared" si="284"/>
        <v>300</v>
      </c>
      <c r="D543">
        <f t="shared" si="299"/>
        <v>0</v>
      </c>
      <c r="E543">
        <f t="shared" si="318"/>
        <v>5</v>
      </c>
      <c r="F543">
        <f t="shared" si="285"/>
        <v>360</v>
      </c>
      <c r="G543">
        <f t="shared" si="300"/>
        <v>0</v>
      </c>
      <c r="H543">
        <f t="shared" si="307"/>
        <v>4</v>
      </c>
      <c r="I543">
        <f t="shared" si="286"/>
        <v>360</v>
      </c>
      <c r="J543">
        <f t="shared" si="301"/>
        <v>0</v>
      </c>
      <c r="K543">
        <f t="shared" si="308"/>
        <v>3</v>
      </c>
      <c r="L543">
        <f t="shared" si="287"/>
        <v>360</v>
      </c>
      <c r="M543">
        <f t="shared" si="302"/>
        <v>0</v>
      </c>
      <c r="N543">
        <f t="shared" si="309"/>
        <v>2</v>
      </c>
      <c r="O543">
        <f t="shared" si="288"/>
        <v>300</v>
      </c>
      <c r="P543">
        <f t="shared" si="310"/>
        <v>0</v>
      </c>
      <c r="Q543">
        <f t="shared" si="311"/>
        <v>2</v>
      </c>
      <c r="R543">
        <f t="shared" si="289"/>
        <v>300</v>
      </c>
      <c r="S543">
        <f t="shared" si="312"/>
        <v>0</v>
      </c>
      <c r="T543">
        <f t="shared" si="313"/>
        <v>-1</v>
      </c>
      <c r="U543">
        <f t="shared" si="303"/>
        <v>1</v>
      </c>
      <c r="V543">
        <f t="shared" si="304"/>
        <v>1</v>
      </c>
      <c r="W543">
        <f t="shared" si="290"/>
        <v>0</v>
      </c>
      <c r="X543">
        <f t="shared" si="314"/>
        <v>0</v>
      </c>
      <c r="Y543">
        <f t="shared" si="291"/>
        <v>0</v>
      </c>
      <c r="Z543">
        <f t="shared" si="292"/>
        <v>0</v>
      </c>
      <c r="AA543">
        <f t="shared" si="293"/>
        <v>0</v>
      </c>
      <c r="AB543" s="29">
        <f t="shared" si="294"/>
        <v>0</v>
      </c>
      <c r="AC543" s="25">
        <f t="shared" si="295"/>
        <v>0</v>
      </c>
      <c r="AD543" s="29">
        <f t="shared" si="296"/>
        <v>0</v>
      </c>
      <c r="AE543" s="25">
        <f t="shared" si="305"/>
        <v>0</v>
      </c>
      <c r="AF543" s="25">
        <f t="shared" si="297"/>
        <v>0</v>
      </c>
      <c r="AG543" s="25">
        <f>IF($A543&lt;0,0,IF(instatk="bs",(1.5+talSCallInstBon)*(MHavg+(ap+Z543-$Z$1)/APtoDPS*MHnorm+170)*(1+sa*0.1+0.04*opp+0.02*agg+Slayer4value-1),IF(instatk="hemo",Slayer4value*(MHavg+(ap+Z543-$Z$1)/APtoDPS*MHnorm)*(1.1+talSCallInstBon)+420*(1+raidcrit)*debuffon,IF(instatk="ss",(MHavg+(ap+Z543-$Z$1)/APtoDPS*MHnorm+98)*(1+sa*0.1+0.02*agg+Slayer4value-1),IF(instatk="v",(ohavg+(ap+Z543-$Z$1)/APtoDPS*OHnorm)*(1+sa*0.1)*(0.5+0.05*dws)+avipdam,Slayer4value*((1+0.04*opp)*(MHavg+101+(ap+Z543-$Z$1)/APtoDPS*MHnorm+(0.5+0.05*dws)*(ohavg+(ap+Z543-$Z$1)/APtoDPS*OHnorm)+101*(1+0.1*dws))*(1+0.5*IF(Talents!$O$18="Yes",1,0)))))))*(instactualhit+(1+((leth*0.06+2)-1)*(cfact-1))*instactualcrit)*fwfactor*AB543*instsec*(AF543/$AN$45))</f>
        <v>0</v>
      </c>
      <c r="AH543" s="25">
        <f t="shared" si="315"/>
        <v>0</v>
      </c>
      <c r="AI543" s="25">
        <f t="shared" si="316"/>
        <v>0</v>
      </c>
      <c r="AJ543" s="25">
        <f t="shared" si="317"/>
        <v>0</v>
      </c>
    </row>
    <row r="544" spans="1:36">
      <c r="A544">
        <f t="shared" si="298"/>
        <v>-1</v>
      </c>
      <c r="B544">
        <f t="shared" si="306"/>
        <v>6</v>
      </c>
      <c r="C544">
        <f t="shared" si="284"/>
        <v>300</v>
      </c>
      <c r="D544">
        <f t="shared" si="299"/>
        <v>0</v>
      </c>
      <c r="E544">
        <f t="shared" si="318"/>
        <v>5</v>
      </c>
      <c r="F544">
        <f t="shared" si="285"/>
        <v>360</v>
      </c>
      <c r="G544">
        <f t="shared" si="300"/>
        <v>0</v>
      </c>
      <c r="H544">
        <f t="shared" si="307"/>
        <v>4</v>
      </c>
      <c r="I544">
        <f t="shared" si="286"/>
        <v>360</v>
      </c>
      <c r="J544">
        <f t="shared" si="301"/>
        <v>0</v>
      </c>
      <c r="K544">
        <f t="shared" si="308"/>
        <v>3</v>
      </c>
      <c r="L544">
        <f t="shared" si="287"/>
        <v>360</v>
      </c>
      <c r="M544">
        <f t="shared" si="302"/>
        <v>0</v>
      </c>
      <c r="N544">
        <f t="shared" si="309"/>
        <v>2</v>
      </c>
      <c r="O544">
        <f t="shared" si="288"/>
        <v>300</v>
      </c>
      <c r="P544">
        <f t="shared" si="310"/>
        <v>0</v>
      </c>
      <c r="Q544">
        <f t="shared" si="311"/>
        <v>2</v>
      </c>
      <c r="R544">
        <f t="shared" si="289"/>
        <v>300</v>
      </c>
      <c r="S544">
        <f t="shared" si="312"/>
        <v>0</v>
      </c>
      <c r="T544">
        <f t="shared" si="313"/>
        <v>-1</v>
      </c>
      <c r="U544">
        <f t="shared" si="303"/>
        <v>1</v>
      </c>
      <c r="V544">
        <f t="shared" si="304"/>
        <v>1</v>
      </c>
      <c r="W544">
        <f t="shared" si="290"/>
        <v>0</v>
      </c>
      <c r="X544">
        <f t="shared" si="314"/>
        <v>0</v>
      </c>
      <c r="Y544">
        <f t="shared" si="291"/>
        <v>0</v>
      </c>
      <c r="Z544">
        <f t="shared" si="292"/>
        <v>0</v>
      </c>
      <c r="AA544">
        <f t="shared" si="293"/>
        <v>0</v>
      </c>
      <c r="AB544" s="29">
        <f t="shared" si="294"/>
        <v>0</v>
      </c>
      <c r="AC544" s="25">
        <f t="shared" si="295"/>
        <v>0</v>
      </c>
      <c r="AD544" s="29">
        <f t="shared" si="296"/>
        <v>0</v>
      </c>
      <c r="AE544" s="25">
        <f t="shared" si="305"/>
        <v>0</v>
      </c>
      <c r="AF544" s="25">
        <f t="shared" si="297"/>
        <v>0</v>
      </c>
      <c r="AG544" s="25">
        <f>IF($A544&lt;0,0,IF(instatk="bs",(1.5+talSCallInstBon)*(MHavg+(ap+Z544-$Z$1)/APtoDPS*MHnorm+170)*(1+sa*0.1+0.04*opp+0.02*agg+Slayer4value-1),IF(instatk="hemo",Slayer4value*(MHavg+(ap+Z544-$Z$1)/APtoDPS*MHnorm)*(1.1+talSCallInstBon)+420*(1+raidcrit)*debuffon,IF(instatk="ss",(MHavg+(ap+Z544-$Z$1)/APtoDPS*MHnorm+98)*(1+sa*0.1+0.02*agg+Slayer4value-1),IF(instatk="v",(ohavg+(ap+Z544-$Z$1)/APtoDPS*OHnorm)*(1+sa*0.1)*(0.5+0.05*dws)+avipdam,Slayer4value*((1+0.04*opp)*(MHavg+101+(ap+Z544-$Z$1)/APtoDPS*MHnorm+(0.5+0.05*dws)*(ohavg+(ap+Z544-$Z$1)/APtoDPS*OHnorm)+101*(1+0.1*dws))*(1+0.5*IF(Talents!$O$18="Yes",1,0)))))))*(instactualhit+(1+((leth*0.06+2)-1)*(cfact-1))*instactualcrit)*fwfactor*AB544*instsec*(AF544/$AN$45))</f>
        <v>0</v>
      </c>
      <c r="AH544" s="25">
        <f t="shared" si="315"/>
        <v>0</v>
      </c>
      <c r="AI544" s="25">
        <f t="shared" si="316"/>
        <v>0</v>
      </c>
      <c r="AJ544" s="25">
        <f t="shared" si="317"/>
        <v>0</v>
      </c>
    </row>
    <row r="545" spans="1:36">
      <c r="A545">
        <f t="shared" si="298"/>
        <v>-1</v>
      </c>
      <c r="B545">
        <f t="shared" si="306"/>
        <v>6</v>
      </c>
      <c r="C545">
        <f t="shared" si="284"/>
        <v>300</v>
      </c>
      <c r="D545">
        <f t="shared" si="299"/>
        <v>0</v>
      </c>
      <c r="E545">
        <f t="shared" si="318"/>
        <v>5</v>
      </c>
      <c r="F545">
        <f t="shared" si="285"/>
        <v>360</v>
      </c>
      <c r="G545">
        <f t="shared" si="300"/>
        <v>0</v>
      </c>
      <c r="H545">
        <f t="shared" si="307"/>
        <v>4</v>
      </c>
      <c r="I545">
        <f t="shared" si="286"/>
        <v>360</v>
      </c>
      <c r="J545">
        <f t="shared" si="301"/>
        <v>0</v>
      </c>
      <c r="K545">
        <f t="shared" si="308"/>
        <v>3</v>
      </c>
      <c r="L545">
        <f t="shared" si="287"/>
        <v>360</v>
      </c>
      <c r="M545">
        <f t="shared" si="302"/>
        <v>0</v>
      </c>
      <c r="N545">
        <f t="shared" si="309"/>
        <v>2</v>
      </c>
      <c r="O545">
        <f t="shared" si="288"/>
        <v>300</v>
      </c>
      <c r="P545">
        <f t="shared" si="310"/>
        <v>0</v>
      </c>
      <c r="Q545">
        <f t="shared" si="311"/>
        <v>2</v>
      </c>
      <c r="R545">
        <f t="shared" si="289"/>
        <v>300</v>
      </c>
      <c r="S545">
        <f t="shared" si="312"/>
        <v>0</v>
      </c>
      <c r="T545">
        <f t="shared" si="313"/>
        <v>-1</v>
      </c>
      <c r="U545">
        <f t="shared" si="303"/>
        <v>1</v>
      </c>
      <c r="V545">
        <f t="shared" si="304"/>
        <v>1</v>
      </c>
      <c r="W545">
        <f t="shared" si="290"/>
        <v>0</v>
      </c>
      <c r="X545">
        <f t="shared" si="314"/>
        <v>0</v>
      </c>
      <c r="Y545">
        <f t="shared" si="291"/>
        <v>0</v>
      </c>
      <c r="Z545">
        <f t="shared" si="292"/>
        <v>0</v>
      </c>
      <c r="AA545">
        <f t="shared" si="293"/>
        <v>0</v>
      </c>
      <c r="AB545" s="29">
        <f t="shared" si="294"/>
        <v>0</v>
      </c>
      <c r="AC545" s="25">
        <f t="shared" si="295"/>
        <v>0</v>
      </c>
      <c r="AD545" s="29">
        <f t="shared" si="296"/>
        <v>0</v>
      </c>
      <c r="AE545" s="25">
        <f t="shared" si="305"/>
        <v>0</v>
      </c>
      <c r="AF545" s="25">
        <f t="shared" si="297"/>
        <v>0</v>
      </c>
      <c r="AG545" s="25">
        <f>IF($A545&lt;0,0,IF(instatk="bs",(1.5+talSCallInstBon)*(MHavg+(ap+Z545-$Z$1)/APtoDPS*MHnorm+170)*(1+sa*0.1+0.04*opp+0.02*agg+Slayer4value-1),IF(instatk="hemo",Slayer4value*(MHavg+(ap+Z545-$Z$1)/APtoDPS*MHnorm)*(1.1+talSCallInstBon)+420*(1+raidcrit)*debuffon,IF(instatk="ss",(MHavg+(ap+Z545-$Z$1)/APtoDPS*MHnorm+98)*(1+sa*0.1+0.02*agg+Slayer4value-1),IF(instatk="v",(ohavg+(ap+Z545-$Z$1)/APtoDPS*OHnorm)*(1+sa*0.1)*(0.5+0.05*dws)+avipdam,Slayer4value*((1+0.04*opp)*(MHavg+101+(ap+Z545-$Z$1)/APtoDPS*MHnorm+(0.5+0.05*dws)*(ohavg+(ap+Z545-$Z$1)/APtoDPS*OHnorm)+101*(1+0.1*dws))*(1+0.5*IF(Talents!$O$18="Yes",1,0)))))))*(instactualhit+(1+((leth*0.06+2)-1)*(cfact-1))*instactualcrit)*fwfactor*AB545*instsec*(AF545/$AN$45))</f>
        <v>0</v>
      </c>
      <c r="AH545" s="25">
        <f t="shared" si="315"/>
        <v>0</v>
      </c>
      <c r="AI545" s="25">
        <f t="shared" si="316"/>
        <v>0</v>
      </c>
      <c r="AJ545" s="25">
        <f t="shared" si="317"/>
        <v>0</v>
      </c>
    </row>
    <row r="546" spans="1:36">
      <c r="A546">
        <f t="shared" si="298"/>
        <v>-1</v>
      </c>
      <c r="B546">
        <f t="shared" si="306"/>
        <v>6</v>
      </c>
      <c r="C546">
        <f t="shared" si="284"/>
        <v>300</v>
      </c>
      <c r="D546">
        <f t="shared" si="299"/>
        <v>0</v>
      </c>
      <c r="E546">
        <f t="shared" si="318"/>
        <v>5</v>
      </c>
      <c r="F546">
        <f t="shared" si="285"/>
        <v>360</v>
      </c>
      <c r="G546">
        <f t="shared" si="300"/>
        <v>0</v>
      </c>
      <c r="H546">
        <f t="shared" si="307"/>
        <v>4</v>
      </c>
      <c r="I546">
        <f t="shared" si="286"/>
        <v>360</v>
      </c>
      <c r="J546">
        <f t="shared" si="301"/>
        <v>0</v>
      </c>
      <c r="K546">
        <f t="shared" si="308"/>
        <v>3</v>
      </c>
      <c r="L546">
        <f t="shared" si="287"/>
        <v>360</v>
      </c>
      <c r="M546">
        <f t="shared" si="302"/>
        <v>0</v>
      </c>
      <c r="N546">
        <f t="shared" si="309"/>
        <v>2</v>
      </c>
      <c r="O546">
        <f t="shared" si="288"/>
        <v>300</v>
      </c>
      <c r="P546">
        <f t="shared" si="310"/>
        <v>0</v>
      </c>
      <c r="Q546">
        <f t="shared" si="311"/>
        <v>2</v>
      </c>
      <c r="R546">
        <f t="shared" si="289"/>
        <v>300</v>
      </c>
      <c r="S546">
        <f t="shared" si="312"/>
        <v>0</v>
      </c>
      <c r="T546">
        <f t="shared" si="313"/>
        <v>-1</v>
      </c>
      <c r="U546">
        <f t="shared" si="303"/>
        <v>1</v>
      </c>
      <c r="V546">
        <f t="shared" si="304"/>
        <v>1</v>
      </c>
      <c r="W546">
        <f t="shared" si="290"/>
        <v>0</v>
      </c>
      <c r="X546">
        <f t="shared" si="314"/>
        <v>0</v>
      </c>
      <c r="Y546">
        <f t="shared" si="291"/>
        <v>0</v>
      </c>
      <c r="Z546">
        <f t="shared" si="292"/>
        <v>0</v>
      </c>
      <c r="AA546">
        <f t="shared" si="293"/>
        <v>0</v>
      </c>
      <c r="AB546" s="29">
        <f t="shared" si="294"/>
        <v>0</v>
      </c>
      <c r="AC546" s="25">
        <f t="shared" si="295"/>
        <v>0</v>
      </c>
      <c r="AD546" s="29">
        <f t="shared" si="296"/>
        <v>0</v>
      </c>
      <c r="AE546" s="25">
        <f t="shared" si="305"/>
        <v>0</v>
      </c>
      <c r="AF546" s="25">
        <f t="shared" si="297"/>
        <v>0</v>
      </c>
      <c r="AG546" s="25">
        <f>IF($A546&lt;0,0,IF(instatk="bs",(1.5+talSCallInstBon)*(MHavg+(ap+Z546-$Z$1)/APtoDPS*MHnorm+170)*(1+sa*0.1+0.04*opp+0.02*agg+Slayer4value-1),IF(instatk="hemo",Slayer4value*(MHavg+(ap+Z546-$Z$1)/APtoDPS*MHnorm)*(1.1+talSCallInstBon)+420*(1+raidcrit)*debuffon,IF(instatk="ss",(MHavg+(ap+Z546-$Z$1)/APtoDPS*MHnorm+98)*(1+sa*0.1+0.02*agg+Slayer4value-1),IF(instatk="v",(ohavg+(ap+Z546-$Z$1)/APtoDPS*OHnorm)*(1+sa*0.1)*(0.5+0.05*dws)+avipdam,Slayer4value*((1+0.04*opp)*(MHavg+101+(ap+Z546-$Z$1)/APtoDPS*MHnorm+(0.5+0.05*dws)*(ohavg+(ap+Z546-$Z$1)/APtoDPS*OHnorm)+101*(1+0.1*dws))*(1+0.5*IF(Talents!$O$18="Yes",1,0)))))))*(instactualhit+(1+((leth*0.06+2)-1)*(cfact-1))*instactualcrit)*fwfactor*AB546*instsec*(AF546/$AN$45))</f>
        <v>0</v>
      </c>
      <c r="AH546" s="25">
        <f t="shared" si="315"/>
        <v>0</v>
      </c>
      <c r="AI546" s="25">
        <f t="shared" si="316"/>
        <v>0</v>
      </c>
      <c r="AJ546" s="25">
        <f t="shared" si="317"/>
        <v>0</v>
      </c>
    </row>
    <row r="547" spans="1:36">
      <c r="A547">
        <f t="shared" si="298"/>
        <v>-1</v>
      </c>
      <c r="B547">
        <f t="shared" si="306"/>
        <v>6</v>
      </c>
      <c r="C547">
        <f t="shared" si="284"/>
        <v>300</v>
      </c>
      <c r="D547">
        <f t="shared" si="299"/>
        <v>0</v>
      </c>
      <c r="E547">
        <f t="shared" si="318"/>
        <v>5</v>
      </c>
      <c r="F547">
        <f t="shared" si="285"/>
        <v>360</v>
      </c>
      <c r="G547">
        <f t="shared" si="300"/>
        <v>0</v>
      </c>
      <c r="H547">
        <f t="shared" si="307"/>
        <v>4</v>
      </c>
      <c r="I547">
        <f t="shared" si="286"/>
        <v>360</v>
      </c>
      <c r="J547">
        <f t="shared" si="301"/>
        <v>0</v>
      </c>
      <c r="K547">
        <f t="shared" si="308"/>
        <v>3</v>
      </c>
      <c r="L547">
        <f t="shared" si="287"/>
        <v>360</v>
      </c>
      <c r="M547">
        <f t="shared" si="302"/>
        <v>0</v>
      </c>
      <c r="N547">
        <f t="shared" si="309"/>
        <v>2</v>
      </c>
      <c r="O547">
        <f t="shared" si="288"/>
        <v>300</v>
      </c>
      <c r="P547">
        <f t="shared" si="310"/>
        <v>0</v>
      </c>
      <c r="Q547">
        <f t="shared" si="311"/>
        <v>2</v>
      </c>
      <c r="R547">
        <f t="shared" si="289"/>
        <v>300</v>
      </c>
      <c r="S547">
        <f t="shared" si="312"/>
        <v>0</v>
      </c>
      <c r="T547">
        <f t="shared" si="313"/>
        <v>-1</v>
      </c>
      <c r="U547">
        <f t="shared" si="303"/>
        <v>1</v>
      </c>
      <c r="V547">
        <f t="shared" si="304"/>
        <v>1</v>
      </c>
      <c r="W547">
        <f t="shared" si="290"/>
        <v>0</v>
      </c>
      <c r="X547">
        <f t="shared" si="314"/>
        <v>0</v>
      </c>
      <c r="Y547">
        <f t="shared" si="291"/>
        <v>0</v>
      </c>
      <c r="Z547">
        <f t="shared" si="292"/>
        <v>0</v>
      </c>
      <c r="AA547">
        <f t="shared" si="293"/>
        <v>0</v>
      </c>
      <c r="AB547" s="29">
        <f t="shared" si="294"/>
        <v>0</v>
      </c>
      <c r="AC547" s="25">
        <f t="shared" si="295"/>
        <v>0</v>
      </c>
      <c r="AD547" s="29">
        <f t="shared" si="296"/>
        <v>0</v>
      </c>
      <c r="AE547" s="25">
        <f t="shared" si="305"/>
        <v>0</v>
      </c>
      <c r="AF547" s="25">
        <f t="shared" si="297"/>
        <v>0</v>
      </c>
      <c r="AG547" s="25">
        <f>IF($A547&lt;0,0,IF(instatk="bs",(1.5+talSCallInstBon)*(MHavg+(ap+Z547-$Z$1)/APtoDPS*MHnorm+170)*(1+sa*0.1+0.04*opp+0.02*agg+Slayer4value-1),IF(instatk="hemo",Slayer4value*(MHavg+(ap+Z547-$Z$1)/APtoDPS*MHnorm)*(1.1+talSCallInstBon)+420*(1+raidcrit)*debuffon,IF(instatk="ss",(MHavg+(ap+Z547-$Z$1)/APtoDPS*MHnorm+98)*(1+sa*0.1+0.02*agg+Slayer4value-1),IF(instatk="v",(ohavg+(ap+Z547-$Z$1)/APtoDPS*OHnorm)*(1+sa*0.1)*(0.5+0.05*dws)+avipdam,Slayer4value*((1+0.04*opp)*(MHavg+101+(ap+Z547-$Z$1)/APtoDPS*MHnorm+(0.5+0.05*dws)*(ohavg+(ap+Z547-$Z$1)/APtoDPS*OHnorm)+101*(1+0.1*dws))*(1+0.5*IF(Talents!$O$18="Yes",1,0)))))))*(instactualhit+(1+((leth*0.06+2)-1)*(cfact-1))*instactualcrit)*fwfactor*AB547*instsec*(AF547/$AN$45))</f>
        <v>0</v>
      </c>
      <c r="AH547" s="25">
        <f t="shared" si="315"/>
        <v>0</v>
      </c>
      <c r="AI547" s="25">
        <f t="shared" si="316"/>
        <v>0</v>
      </c>
      <c r="AJ547" s="25">
        <f t="shared" si="317"/>
        <v>0</v>
      </c>
    </row>
    <row r="548" spans="1:36">
      <c r="A548">
        <f t="shared" si="298"/>
        <v>-1</v>
      </c>
      <c r="B548">
        <f t="shared" si="306"/>
        <v>6</v>
      </c>
      <c r="C548">
        <f t="shared" si="284"/>
        <v>300</v>
      </c>
      <c r="D548">
        <f t="shared" si="299"/>
        <v>0</v>
      </c>
      <c r="E548">
        <f t="shared" si="318"/>
        <v>5</v>
      </c>
      <c r="F548">
        <f t="shared" si="285"/>
        <v>360</v>
      </c>
      <c r="G548">
        <f t="shared" si="300"/>
        <v>0</v>
      </c>
      <c r="H548">
        <f t="shared" si="307"/>
        <v>4</v>
      </c>
      <c r="I548">
        <f t="shared" si="286"/>
        <v>360</v>
      </c>
      <c r="J548">
        <f t="shared" si="301"/>
        <v>0</v>
      </c>
      <c r="K548">
        <f t="shared" si="308"/>
        <v>3</v>
      </c>
      <c r="L548">
        <f t="shared" si="287"/>
        <v>360</v>
      </c>
      <c r="M548">
        <f t="shared" si="302"/>
        <v>0</v>
      </c>
      <c r="N548">
        <f t="shared" si="309"/>
        <v>2</v>
      </c>
      <c r="O548">
        <f t="shared" si="288"/>
        <v>300</v>
      </c>
      <c r="P548">
        <f t="shared" si="310"/>
        <v>0</v>
      </c>
      <c r="Q548">
        <f t="shared" si="311"/>
        <v>2</v>
      </c>
      <c r="R548">
        <f t="shared" si="289"/>
        <v>300</v>
      </c>
      <c r="S548">
        <f t="shared" si="312"/>
        <v>0</v>
      </c>
      <c r="T548">
        <f t="shared" si="313"/>
        <v>-1</v>
      </c>
      <c r="U548">
        <f t="shared" si="303"/>
        <v>1</v>
      </c>
      <c r="V548">
        <f t="shared" si="304"/>
        <v>1</v>
      </c>
      <c r="W548">
        <f t="shared" si="290"/>
        <v>0</v>
      </c>
      <c r="X548">
        <f t="shared" si="314"/>
        <v>0</v>
      </c>
      <c r="Y548">
        <f t="shared" si="291"/>
        <v>0</v>
      </c>
      <c r="Z548">
        <f t="shared" si="292"/>
        <v>0</v>
      </c>
      <c r="AA548">
        <f t="shared" si="293"/>
        <v>0</v>
      </c>
      <c r="AB548" s="29">
        <f t="shared" si="294"/>
        <v>0</v>
      </c>
      <c r="AC548" s="25">
        <f t="shared" si="295"/>
        <v>0</v>
      </c>
      <c r="AD548" s="29">
        <f t="shared" si="296"/>
        <v>0</v>
      </c>
      <c r="AE548" s="25">
        <f t="shared" si="305"/>
        <v>0</v>
      </c>
      <c r="AF548" s="25">
        <f t="shared" si="297"/>
        <v>0</v>
      </c>
      <c r="AG548" s="25">
        <f>IF($A548&lt;0,0,IF(instatk="bs",(1.5+talSCallInstBon)*(MHavg+(ap+Z548-$Z$1)/APtoDPS*MHnorm+170)*(1+sa*0.1+0.04*opp+0.02*agg+Slayer4value-1),IF(instatk="hemo",Slayer4value*(MHavg+(ap+Z548-$Z$1)/APtoDPS*MHnorm)*(1.1+talSCallInstBon)+420*(1+raidcrit)*debuffon,IF(instatk="ss",(MHavg+(ap+Z548-$Z$1)/APtoDPS*MHnorm+98)*(1+sa*0.1+0.02*agg+Slayer4value-1),IF(instatk="v",(ohavg+(ap+Z548-$Z$1)/APtoDPS*OHnorm)*(1+sa*0.1)*(0.5+0.05*dws)+avipdam,Slayer4value*((1+0.04*opp)*(MHavg+101+(ap+Z548-$Z$1)/APtoDPS*MHnorm+(0.5+0.05*dws)*(ohavg+(ap+Z548-$Z$1)/APtoDPS*OHnorm)+101*(1+0.1*dws))*(1+0.5*IF(Talents!$O$18="Yes",1,0)))))))*(instactualhit+(1+((leth*0.06+2)-1)*(cfact-1))*instactualcrit)*fwfactor*AB548*instsec*(AF548/$AN$45))</f>
        <v>0</v>
      </c>
      <c r="AH548" s="25">
        <f t="shared" si="315"/>
        <v>0</v>
      </c>
      <c r="AI548" s="25">
        <f t="shared" si="316"/>
        <v>0</v>
      </c>
      <c r="AJ548" s="25">
        <f t="shared" si="317"/>
        <v>0</v>
      </c>
    </row>
    <row r="549" spans="1:36">
      <c r="A549">
        <f t="shared" si="298"/>
        <v>-1</v>
      </c>
      <c r="B549">
        <f t="shared" si="306"/>
        <v>6</v>
      </c>
      <c r="C549">
        <f t="shared" si="284"/>
        <v>300</v>
      </c>
      <c r="D549">
        <f t="shared" si="299"/>
        <v>0</v>
      </c>
      <c r="E549">
        <f t="shared" si="318"/>
        <v>5</v>
      </c>
      <c r="F549">
        <f t="shared" si="285"/>
        <v>360</v>
      </c>
      <c r="G549">
        <f t="shared" si="300"/>
        <v>0</v>
      </c>
      <c r="H549">
        <f t="shared" si="307"/>
        <v>4</v>
      </c>
      <c r="I549">
        <f t="shared" si="286"/>
        <v>360</v>
      </c>
      <c r="J549">
        <f t="shared" si="301"/>
        <v>0</v>
      </c>
      <c r="K549">
        <f t="shared" si="308"/>
        <v>3</v>
      </c>
      <c r="L549">
        <f t="shared" si="287"/>
        <v>360</v>
      </c>
      <c r="M549">
        <f t="shared" si="302"/>
        <v>0</v>
      </c>
      <c r="N549">
        <f t="shared" si="309"/>
        <v>2</v>
      </c>
      <c r="O549">
        <f t="shared" si="288"/>
        <v>300</v>
      </c>
      <c r="P549">
        <f t="shared" si="310"/>
        <v>0</v>
      </c>
      <c r="Q549">
        <f t="shared" si="311"/>
        <v>2</v>
      </c>
      <c r="R549">
        <f t="shared" si="289"/>
        <v>300</v>
      </c>
      <c r="S549">
        <f t="shared" si="312"/>
        <v>0</v>
      </c>
      <c r="T549">
        <f t="shared" si="313"/>
        <v>-1</v>
      </c>
      <c r="U549">
        <f t="shared" si="303"/>
        <v>1</v>
      </c>
      <c r="V549">
        <f t="shared" si="304"/>
        <v>1</v>
      </c>
      <c r="W549">
        <f t="shared" si="290"/>
        <v>0</v>
      </c>
      <c r="X549">
        <f t="shared" si="314"/>
        <v>0</v>
      </c>
      <c r="Y549">
        <f t="shared" si="291"/>
        <v>0</v>
      </c>
      <c r="Z549">
        <f t="shared" si="292"/>
        <v>0</v>
      </c>
      <c r="AA549">
        <f t="shared" si="293"/>
        <v>0</v>
      </c>
      <c r="AB549" s="29">
        <f t="shared" si="294"/>
        <v>0</v>
      </c>
      <c r="AC549" s="25">
        <f t="shared" si="295"/>
        <v>0</v>
      </c>
      <c r="AD549" s="29">
        <f t="shared" si="296"/>
        <v>0</v>
      </c>
      <c r="AE549" s="25">
        <f t="shared" si="305"/>
        <v>0</v>
      </c>
      <c r="AF549" s="25">
        <f t="shared" si="297"/>
        <v>0</v>
      </c>
      <c r="AG549" s="25">
        <f>IF($A549&lt;0,0,IF(instatk="bs",(1.5+talSCallInstBon)*(MHavg+(ap+Z549-$Z$1)/APtoDPS*MHnorm+170)*(1+sa*0.1+0.04*opp+0.02*agg+Slayer4value-1),IF(instatk="hemo",Slayer4value*(MHavg+(ap+Z549-$Z$1)/APtoDPS*MHnorm)*(1.1+talSCallInstBon)+420*(1+raidcrit)*debuffon,IF(instatk="ss",(MHavg+(ap+Z549-$Z$1)/APtoDPS*MHnorm+98)*(1+sa*0.1+0.02*agg+Slayer4value-1),IF(instatk="v",(ohavg+(ap+Z549-$Z$1)/APtoDPS*OHnorm)*(1+sa*0.1)*(0.5+0.05*dws)+avipdam,Slayer4value*((1+0.04*opp)*(MHavg+101+(ap+Z549-$Z$1)/APtoDPS*MHnorm+(0.5+0.05*dws)*(ohavg+(ap+Z549-$Z$1)/APtoDPS*OHnorm)+101*(1+0.1*dws))*(1+0.5*IF(Talents!$O$18="Yes",1,0)))))))*(instactualhit+(1+((leth*0.06+2)-1)*(cfact-1))*instactualcrit)*fwfactor*AB549*instsec*(AF549/$AN$45))</f>
        <v>0</v>
      </c>
      <c r="AH549" s="25">
        <f t="shared" si="315"/>
        <v>0</v>
      </c>
      <c r="AI549" s="25">
        <f t="shared" si="316"/>
        <v>0</v>
      </c>
      <c r="AJ549" s="25">
        <f t="shared" si="317"/>
        <v>0</v>
      </c>
    </row>
    <row r="550" spans="1:36">
      <c r="A550">
        <f t="shared" si="298"/>
        <v>-1</v>
      </c>
      <c r="B550">
        <f t="shared" si="306"/>
        <v>6</v>
      </c>
      <c r="C550">
        <f t="shared" si="284"/>
        <v>300</v>
      </c>
      <c r="D550">
        <f t="shared" si="299"/>
        <v>0</v>
      </c>
      <c r="E550">
        <f t="shared" si="318"/>
        <v>5</v>
      </c>
      <c r="F550">
        <f t="shared" si="285"/>
        <v>360</v>
      </c>
      <c r="G550">
        <f t="shared" si="300"/>
        <v>0</v>
      </c>
      <c r="H550">
        <f t="shared" si="307"/>
        <v>4</v>
      </c>
      <c r="I550">
        <f t="shared" si="286"/>
        <v>360</v>
      </c>
      <c r="J550">
        <f t="shared" si="301"/>
        <v>0</v>
      </c>
      <c r="K550">
        <f t="shared" si="308"/>
        <v>3</v>
      </c>
      <c r="L550">
        <f t="shared" si="287"/>
        <v>360</v>
      </c>
      <c r="M550">
        <f t="shared" si="302"/>
        <v>0</v>
      </c>
      <c r="N550">
        <f t="shared" si="309"/>
        <v>2</v>
      </c>
      <c r="O550">
        <f t="shared" si="288"/>
        <v>300</v>
      </c>
      <c r="P550">
        <f t="shared" si="310"/>
        <v>0</v>
      </c>
      <c r="Q550">
        <f t="shared" si="311"/>
        <v>2</v>
      </c>
      <c r="R550">
        <f t="shared" si="289"/>
        <v>300</v>
      </c>
      <c r="S550">
        <f t="shared" si="312"/>
        <v>0</v>
      </c>
      <c r="T550">
        <f t="shared" si="313"/>
        <v>-1</v>
      </c>
      <c r="U550">
        <f t="shared" si="303"/>
        <v>1</v>
      </c>
      <c r="V550">
        <f t="shared" si="304"/>
        <v>1</v>
      </c>
      <c r="W550">
        <f t="shared" si="290"/>
        <v>0</v>
      </c>
      <c r="X550">
        <f t="shared" si="314"/>
        <v>0</v>
      </c>
      <c r="Y550">
        <f t="shared" si="291"/>
        <v>0</v>
      </c>
      <c r="Z550">
        <f t="shared" si="292"/>
        <v>0</v>
      </c>
      <c r="AA550">
        <f t="shared" si="293"/>
        <v>0</v>
      </c>
      <c r="AB550" s="29">
        <f t="shared" si="294"/>
        <v>0</v>
      </c>
      <c r="AC550" s="25">
        <f t="shared" si="295"/>
        <v>0</v>
      </c>
      <c r="AD550" s="29">
        <f t="shared" si="296"/>
        <v>0</v>
      </c>
      <c r="AE550" s="25">
        <f t="shared" si="305"/>
        <v>0</v>
      </c>
      <c r="AF550" s="25">
        <f t="shared" si="297"/>
        <v>0</v>
      </c>
      <c r="AG550" s="25">
        <f>IF($A550&lt;0,0,IF(instatk="bs",(1.5+talSCallInstBon)*(MHavg+(ap+Z550-$Z$1)/APtoDPS*MHnorm+170)*(1+sa*0.1+0.04*opp+0.02*agg+Slayer4value-1),IF(instatk="hemo",Slayer4value*(MHavg+(ap+Z550-$Z$1)/APtoDPS*MHnorm)*(1.1+talSCallInstBon)+420*(1+raidcrit)*debuffon,IF(instatk="ss",(MHavg+(ap+Z550-$Z$1)/APtoDPS*MHnorm+98)*(1+sa*0.1+0.02*agg+Slayer4value-1),IF(instatk="v",(ohavg+(ap+Z550-$Z$1)/APtoDPS*OHnorm)*(1+sa*0.1)*(0.5+0.05*dws)+avipdam,Slayer4value*((1+0.04*opp)*(MHavg+101+(ap+Z550-$Z$1)/APtoDPS*MHnorm+(0.5+0.05*dws)*(ohavg+(ap+Z550-$Z$1)/APtoDPS*OHnorm)+101*(1+0.1*dws))*(1+0.5*IF(Talents!$O$18="Yes",1,0)))))))*(instactualhit+(1+((leth*0.06+2)-1)*(cfact-1))*instactualcrit)*fwfactor*AB550*instsec*(AF550/$AN$45))</f>
        <v>0</v>
      </c>
      <c r="AH550" s="25">
        <f t="shared" si="315"/>
        <v>0</v>
      </c>
      <c r="AI550" s="25">
        <f t="shared" si="316"/>
        <v>0</v>
      </c>
      <c r="AJ550" s="25">
        <f t="shared" si="317"/>
        <v>0</v>
      </c>
    </row>
    <row r="551" spans="1:36">
      <c r="A551">
        <f t="shared" si="298"/>
        <v>-1</v>
      </c>
      <c r="B551">
        <f t="shared" si="306"/>
        <v>6</v>
      </c>
      <c r="C551">
        <f t="shared" si="284"/>
        <v>300</v>
      </c>
      <c r="D551">
        <f t="shared" si="299"/>
        <v>0</v>
      </c>
      <c r="E551">
        <f t="shared" si="318"/>
        <v>5</v>
      </c>
      <c r="F551">
        <f t="shared" si="285"/>
        <v>360</v>
      </c>
      <c r="G551">
        <f t="shared" si="300"/>
        <v>0</v>
      </c>
      <c r="H551">
        <f t="shared" si="307"/>
        <v>4</v>
      </c>
      <c r="I551">
        <f t="shared" si="286"/>
        <v>360</v>
      </c>
      <c r="J551">
        <f t="shared" si="301"/>
        <v>0</v>
      </c>
      <c r="K551">
        <f t="shared" si="308"/>
        <v>3</v>
      </c>
      <c r="L551">
        <f t="shared" si="287"/>
        <v>360</v>
      </c>
      <c r="M551">
        <f t="shared" si="302"/>
        <v>0</v>
      </c>
      <c r="N551">
        <f t="shared" si="309"/>
        <v>2</v>
      </c>
      <c r="O551">
        <f t="shared" si="288"/>
        <v>300</v>
      </c>
      <c r="P551">
        <f t="shared" si="310"/>
        <v>0</v>
      </c>
      <c r="Q551">
        <f t="shared" si="311"/>
        <v>2</v>
      </c>
      <c r="R551">
        <f t="shared" si="289"/>
        <v>300</v>
      </c>
      <c r="S551">
        <f t="shared" si="312"/>
        <v>0</v>
      </c>
      <c r="T551">
        <f t="shared" si="313"/>
        <v>-1</v>
      </c>
      <c r="U551">
        <f t="shared" si="303"/>
        <v>1</v>
      </c>
      <c r="V551">
        <f t="shared" si="304"/>
        <v>1</v>
      </c>
      <c r="W551">
        <f t="shared" si="290"/>
        <v>0</v>
      </c>
      <c r="X551">
        <f t="shared" si="314"/>
        <v>0</v>
      </c>
      <c r="Y551">
        <f t="shared" si="291"/>
        <v>0</v>
      </c>
      <c r="Z551">
        <f t="shared" si="292"/>
        <v>0</v>
      </c>
      <c r="AA551">
        <f t="shared" si="293"/>
        <v>0</v>
      </c>
      <c r="AB551" s="29">
        <f t="shared" si="294"/>
        <v>0</v>
      </c>
      <c r="AC551" s="25">
        <f t="shared" si="295"/>
        <v>0</v>
      </c>
      <c r="AD551" s="29">
        <f t="shared" si="296"/>
        <v>0</v>
      </c>
      <c r="AE551" s="25">
        <f t="shared" si="305"/>
        <v>0</v>
      </c>
      <c r="AF551" s="25">
        <f t="shared" si="297"/>
        <v>0</v>
      </c>
      <c r="AG551" s="25">
        <f>IF($A551&lt;0,0,IF(instatk="bs",(1.5+talSCallInstBon)*(MHavg+(ap+Z551-$Z$1)/APtoDPS*MHnorm+170)*(1+sa*0.1+0.04*opp+0.02*agg+Slayer4value-1),IF(instatk="hemo",Slayer4value*(MHavg+(ap+Z551-$Z$1)/APtoDPS*MHnorm)*(1.1+talSCallInstBon)+420*(1+raidcrit)*debuffon,IF(instatk="ss",(MHavg+(ap+Z551-$Z$1)/APtoDPS*MHnorm+98)*(1+sa*0.1+0.02*agg+Slayer4value-1),IF(instatk="v",(ohavg+(ap+Z551-$Z$1)/APtoDPS*OHnorm)*(1+sa*0.1)*(0.5+0.05*dws)+avipdam,Slayer4value*((1+0.04*opp)*(MHavg+101+(ap+Z551-$Z$1)/APtoDPS*MHnorm+(0.5+0.05*dws)*(ohavg+(ap+Z551-$Z$1)/APtoDPS*OHnorm)+101*(1+0.1*dws))*(1+0.5*IF(Talents!$O$18="Yes",1,0)))))))*(instactualhit+(1+((leth*0.06+2)-1)*(cfact-1))*instactualcrit)*fwfactor*AB551*instsec*(AF551/$AN$45))</f>
        <v>0</v>
      </c>
      <c r="AH551" s="25">
        <f t="shared" si="315"/>
        <v>0</v>
      </c>
      <c r="AI551" s="25">
        <f t="shared" si="316"/>
        <v>0</v>
      </c>
      <c r="AJ551" s="25">
        <f t="shared" si="317"/>
        <v>0</v>
      </c>
    </row>
    <row r="552" spans="1:36">
      <c r="A552">
        <f t="shared" si="298"/>
        <v>-1</v>
      </c>
      <c r="B552">
        <f t="shared" si="306"/>
        <v>6</v>
      </c>
      <c r="C552">
        <f t="shared" si="284"/>
        <v>300</v>
      </c>
      <c r="D552">
        <f t="shared" si="299"/>
        <v>0</v>
      </c>
      <c r="E552">
        <f t="shared" si="318"/>
        <v>5</v>
      </c>
      <c r="F552">
        <f t="shared" si="285"/>
        <v>360</v>
      </c>
      <c r="G552">
        <f t="shared" si="300"/>
        <v>0</v>
      </c>
      <c r="H552">
        <f t="shared" si="307"/>
        <v>4</v>
      </c>
      <c r="I552">
        <f t="shared" si="286"/>
        <v>360</v>
      </c>
      <c r="J552">
        <f t="shared" si="301"/>
        <v>0</v>
      </c>
      <c r="K552">
        <f t="shared" si="308"/>
        <v>3</v>
      </c>
      <c r="L552">
        <f t="shared" si="287"/>
        <v>360</v>
      </c>
      <c r="M552">
        <f t="shared" si="302"/>
        <v>0</v>
      </c>
      <c r="N552">
        <f t="shared" si="309"/>
        <v>2</v>
      </c>
      <c r="O552">
        <f t="shared" si="288"/>
        <v>300</v>
      </c>
      <c r="P552">
        <f t="shared" si="310"/>
        <v>0</v>
      </c>
      <c r="Q552">
        <f t="shared" si="311"/>
        <v>2</v>
      </c>
      <c r="R552">
        <f t="shared" si="289"/>
        <v>300</v>
      </c>
      <c r="S552">
        <f t="shared" si="312"/>
        <v>0</v>
      </c>
      <c r="T552">
        <f t="shared" si="313"/>
        <v>-1</v>
      </c>
      <c r="U552">
        <f t="shared" si="303"/>
        <v>1</v>
      </c>
      <c r="V552">
        <f t="shared" si="304"/>
        <v>1</v>
      </c>
      <c r="W552">
        <f t="shared" si="290"/>
        <v>0</v>
      </c>
      <c r="X552">
        <f t="shared" si="314"/>
        <v>0</v>
      </c>
      <c r="Y552">
        <f t="shared" si="291"/>
        <v>0</v>
      </c>
      <c r="Z552">
        <f t="shared" si="292"/>
        <v>0</v>
      </c>
      <c r="AA552">
        <f t="shared" si="293"/>
        <v>0</v>
      </c>
      <c r="AB552" s="29">
        <f t="shared" si="294"/>
        <v>0</v>
      </c>
      <c r="AC552" s="25">
        <f t="shared" si="295"/>
        <v>0</v>
      </c>
      <c r="AD552" s="29">
        <f t="shared" si="296"/>
        <v>0</v>
      </c>
      <c r="AE552" s="25">
        <f t="shared" si="305"/>
        <v>0</v>
      </c>
      <c r="AF552" s="25">
        <f t="shared" si="297"/>
        <v>0</v>
      </c>
      <c r="AG552" s="25">
        <f>IF($A552&lt;0,0,IF(instatk="bs",(1.5+talSCallInstBon)*(MHavg+(ap+Z552-$Z$1)/APtoDPS*MHnorm+170)*(1+sa*0.1+0.04*opp+0.02*agg+Slayer4value-1),IF(instatk="hemo",Slayer4value*(MHavg+(ap+Z552-$Z$1)/APtoDPS*MHnorm)*(1.1+talSCallInstBon)+420*(1+raidcrit)*debuffon,IF(instatk="ss",(MHavg+(ap+Z552-$Z$1)/APtoDPS*MHnorm+98)*(1+sa*0.1+0.02*agg+Slayer4value-1),IF(instatk="v",(ohavg+(ap+Z552-$Z$1)/APtoDPS*OHnorm)*(1+sa*0.1)*(0.5+0.05*dws)+avipdam,Slayer4value*((1+0.04*opp)*(MHavg+101+(ap+Z552-$Z$1)/APtoDPS*MHnorm+(0.5+0.05*dws)*(ohavg+(ap+Z552-$Z$1)/APtoDPS*OHnorm)+101*(1+0.1*dws))*(1+0.5*IF(Talents!$O$18="Yes",1,0)))))))*(instactualhit+(1+((leth*0.06+2)-1)*(cfact-1))*instactualcrit)*fwfactor*AB552*instsec*(AF552/$AN$45))</f>
        <v>0</v>
      </c>
      <c r="AH552" s="25">
        <f t="shared" si="315"/>
        <v>0</v>
      </c>
      <c r="AI552" s="25">
        <f t="shared" si="316"/>
        <v>0</v>
      </c>
      <c r="AJ552" s="25">
        <f t="shared" si="317"/>
        <v>0</v>
      </c>
    </row>
    <row r="553" spans="1:36">
      <c r="A553">
        <f t="shared" si="298"/>
        <v>-1</v>
      </c>
      <c r="B553">
        <f t="shared" si="306"/>
        <v>6</v>
      </c>
      <c r="C553">
        <f t="shared" si="284"/>
        <v>300</v>
      </c>
      <c r="D553">
        <f t="shared" si="299"/>
        <v>0</v>
      </c>
      <c r="E553">
        <f t="shared" si="318"/>
        <v>5</v>
      </c>
      <c r="F553">
        <f t="shared" si="285"/>
        <v>360</v>
      </c>
      <c r="G553">
        <f t="shared" si="300"/>
        <v>0</v>
      </c>
      <c r="H553">
        <f t="shared" si="307"/>
        <v>4</v>
      </c>
      <c r="I553">
        <f t="shared" si="286"/>
        <v>360</v>
      </c>
      <c r="J553">
        <f t="shared" si="301"/>
        <v>0</v>
      </c>
      <c r="K553">
        <f t="shared" si="308"/>
        <v>3</v>
      </c>
      <c r="L553">
        <f t="shared" si="287"/>
        <v>360</v>
      </c>
      <c r="M553">
        <f t="shared" si="302"/>
        <v>0</v>
      </c>
      <c r="N553">
        <f t="shared" si="309"/>
        <v>2</v>
      </c>
      <c r="O553">
        <f t="shared" si="288"/>
        <v>300</v>
      </c>
      <c r="P553">
        <f t="shared" si="310"/>
        <v>0</v>
      </c>
      <c r="Q553">
        <f t="shared" si="311"/>
        <v>2</v>
      </c>
      <c r="R553">
        <f t="shared" si="289"/>
        <v>300</v>
      </c>
      <c r="S553">
        <f t="shared" si="312"/>
        <v>0</v>
      </c>
      <c r="T553">
        <f t="shared" si="313"/>
        <v>-1</v>
      </c>
      <c r="U553">
        <f t="shared" si="303"/>
        <v>1</v>
      </c>
      <c r="V553">
        <f t="shared" si="304"/>
        <v>1</v>
      </c>
      <c r="W553">
        <f t="shared" si="290"/>
        <v>0</v>
      </c>
      <c r="X553">
        <f t="shared" si="314"/>
        <v>0</v>
      </c>
      <c r="Y553">
        <f t="shared" si="291"/>
        <v>0</v>
      </c>
      <c r="Z553">
        <f t="shared" si="292"/>
        <v>0</v>
      </c>
      <c r="AA553">
        <f t="shared" si="293"/>
        <v>0</v>
      </c>
      <c r="AB553" s="29">
        <f t="shared" si="294"/>
        <v>0</v>
      </c>
      <c r="AC553" s="25">
        <f t="shared" si="295"/>
        <v>0</v>
      </c>
      <c r="AD553" s="29">
        <f t="shared" si="296"/>
        <v>0</v>
      </c>
      <c r="AE553" s="25">
        <f t="shared" si="305"/>
        <v>0</v>
      </c>
      <c r="AF553" s="25">
        <f t="shared" si="297"/>
        <v>0</v>
      </c>
      <c r="AG553" s="25">
        <f>IF($A553&lt;0,0,IF(instatk="bs",(1.5+talSCallInstBon)*(MHavg+(ap+Z553-$Z$1)/APtoDPS*MHnorm+170)*(1+sa*0.1+0.04*opp+0.02*agg+Slayer4value-1),IF(instatk="hemo",Slayer4value*(MHavg+(ap+Z553-$Z$1)/APtoDPS*MHnorm)*(1.1+talSCallInstBon)+420*(1+raidcrit)*debuffon,IF(instatk="ss",(MHavg+(ap+Z553-$Z$1)/APtoDPS*MHnorm+98)*(1+sa*0.1+0.02*agg+Slayer4value-1),IF(instatk="v",(ohavg+(ap+Z553-$Z$1)/APtoDPS*OHnorm)*(1+sa*0.1)*(0.5+0.05*dws)+avipdam,Slayer4value*((1+0.04*opp)*(MHavg+101+(ap+Z553-$Z$1)/APtoDPS*MHnorm+(0.5+0.05*dws)*(ohavg+(ap+Z553-$Z$1)/APtoDPS*OHnorm)+101*(1+0.1*dws))*(1+0.5*IF(Talents!$O$18="Yes",1,0)))))))*(instactualhit+(1+((leth*0.06+2)-1)*(cfact-1))*instactualcrit)*fwfactor*AB553*instsec*(AF553/$AN$45))</f>
        <v>0</v>
      </c>
      <c r="AH553" s="25">
        <f t="shared" si="315"/>
        <v>0</v>
      </c>
      <c r="AI553" s="25">
        <f t="shared" si="316"/>
        <v>0</v>
      </c>
      <c r="AJ553" s="25">
        <f t="shared" si="317"/>
        <v>0</v>
      </c>
    </row>
    <row r="554" spans="1:36">
      <c r="A554">
        <f t="shared" si="298"/>
        <v>-1</v>
      </c>
      <c r="B554">
        <f t="shared" si="306"/>
        <v>6</v>
      </c>
      <c r="C554">
        <f t="shared" si="284"/>
        <v>300</v>
      </c>
      <c r="D554">
        <f t="shared" si="299"/>
        <v>0</v>
      </c>
      <c r="E554">
        <f t="shared" si="318"/>
        <v>5</v>
      </c>
      <c r="F554">
        <f t="shared" si="285"/>
        <v>360</v>
      </c>
      <c r="G554">
        <f t="shared" si="300"/>
        <v>0</v>
      </c>
      <c r="H554">
        <f t="shared" si="307"/>
        <v>4</v>
      </c>
      <c r="I554">
        <f t="shared" si="286"/>
        <v>360</v>
      </c>
      <c r="J554">
        <f t="shared" si="301"/>
        <v>0</v>
      </c>
      <c r="K554">
        <f t="shared" si="308"/>
        <v>3</v>
      </c>
      <c r="L554">
        <f t="shared" si="287"/>
        <v>360</v>
      </c>
      <c r="M554">
        <f t="shared" si="302"/>
        <v>0</v>
      </c>
      <c r="N554">
        <f t="shared" si="309"/>
        <v>2</v>
      </c>
      <c r="O554">
        <f t="shared" si="288"/>
        <v>300</v>
      </c>
      <c r="P554">
        <f t="shared" si="310"/>
        <v>0</v>
      </c>
      <c r="Q554">
        <f t="shared" si="311"/>
        <v>2</v>
      </c>
      <c r="R554">
        <f t="shared" si="289"/>
        <v>300</v>
      </c>
      <c r="S554">
        <f t="shared" si="312"/>
        <v>0</v>
      </c>
      <c r="T554">
        <f t="shared" si="313"/>
        <v>-1</v>
      </c>
      <c r="U554">
        <f t="shared" si="303"/>
        <v>1</v>
      </c>
      <c r="V554">
        <f t="shared" si="304"/>
        <v>1</v>
      </c>
      <c r="W554">
        <f t="shared" si="290"/>
        <v>0</v>
      </c>
      <c r="X554">
        <f t="shared" si="314"/>
        <v>0</v>
      </c>
      <c r="Y554">
        <f t="shared" si="291"/>
        <v>0</v>
      </c>
      <c r="Z554">
        <f t="shared" si="292"/>
        <v>0</v>
      </c>
      <c r="AA554">
        <f t="shared" si="293"/>
        <v>0</v>
      </c>
      <c r="AB554" s="29">
        <f t="shared" si="294"/>
        <v>0</v>
      </c>
      <c r="AC554" s="25">
        <f t="shared" si="295"/>
        <v>0</v>
      </c>
      <c r="AD554" s="29">
        <f t="shared" si="296"/>
        <v>0</v>
      </c>
      <c r="AE554" s="25">
        <f t="shared" si="305"/>
        <v>0</v>
      </c>
      <c r="AF554" s="25">
        <f t="shared" si="297"/>
        <v>0</v>
      </c>
      <c r="AG554" s="25">
        <f>IF($A554&lt;0,0,IF(instatk="bs",(1.5+talSCallInstBon)*(MHavg+(ap+Z554-$Z$1)/APtoDPS*MHnorm+170)*(1+sa*0.1+0.04*opp+0.02*agg+Slayer4value-1),IF(instatk="hemo",Slayer4value*(MHavg+(ap+Z554-$Z$1)/APtoDPS*MHnorm)*(1.1+talSCallInstBon)+420*(1+raidcrit)*debuffon,IF(instatk="ss",(MHavg+(ap+Z554-$Z$1)/APtoDPS*MHnorm+98)*(1+sa*0.1+0.02*agg+Slayer4value-1),IF(instatk="v",(ohavg+(ap+Z554-$Z$1)/APtoDPS*OHnorm)*(1+sa*0.1)*(0.5+0.05*dws)+avipdam,Slayer4value*((1+0.04*opp)*(MHavg+101+(ap+Z554-$Z$1)/APtoDPS*MHnorm+(0.5+0.05*dws)*(ohavg+(ap+Z554-$Z$1)/APtoDPS*OHnorm)+101*(1+0.1*dws))*(1+0.5*IF(Talents!$O$18="Yes",1,0)))))))*(instactualhit+(1+((leth*0.06+2)-1)*(cfact-1))*instactualcrit)*fwfactor*AB554*instsec*(AF554/$AN$45))</f>
        <v>0</v>
      </c>
      <c r="AH554" s="25">
        <f t="shared" si="315"/>
        <v>0</v>
      </c>
      <c r="AI554" s="25">
        <f t="shared" si="316"/>
        <v>0</v>
      </c>
      <c r="AJ554" s="25">
        <f t="shared" si="317"/>
        <v>0</v>
      </c>
    </row>
    <row r="555" spans="1:36">
      <c r="A555">
        <f t="shared" si="298"/>
        <v>-1</v>
      </c>
      <c r="B555">
        <f t="shared" si="306"/>
        <v>6</v>
      </c>
      <c r="C555">
        <f t="shared" si="284"/>
        <v>300</v>
      </c>
      <c r="D555">
        <f t="shared" si="299"/>
        <v>0</v>
      </c>
      <c r="E555">
        <f t="shared" si="318"/>
        <v>5</v>
      </c>
      <c r="F555">
        <f t="shared" si="285"/>
        <v>360</v>
      </c>
      <c r="G555">
        <f t="shared" si="300"/>
        <v>0</v>
      </c>
      <c r="H555">
        <f t="shared" si="307"/>
        <v>4</v>
      </c>
      <c r="I555">
        <f t="shared" si="286"/>
        <v>360</v>
      </c>
      <c r="J555">
        <f t="shared" si="301"/>
        <v>0</v>
      </c>
      <c r="K555">
        <f t="shared" si="308"/>
        <v>3</v>
      </c>
      <c r="L555">
        <f t="shared" si="287"/>
        <v>360</v>
      </c>
      <c r="M555">
        <f t="shared" si="302"/>
        <v>0</v>
      </c>
      <c r="N555">
        <f t="shared" si="309"/>
        <v>2</v>
      </c>
      <c r="O555">
        <f t="shared" si="288"/>
        <v>300</v>
      </c>
      <c r="P555">
        <f t="shared" si="310"/>
        <v>0</v>
      </c>
      <c r="Q555">
        <f t="shared" si="311"/>
        <v>2</v>
      </c>
      <c r="R555">
        <f t="shared" si="289"/>
        <v>300</v>
      </c>
      <c r="S555">
        <f t="shared" si="312"/>
        <v>0</v>
      </c>
      <c r="T555">
        <f t="shared" si="313"/>
        <v>-1</v>
      </c>
      <c r="U555">
        <f t="shared" si="303"/>
        <v>1</v>
      </c>
      <c r="V555">
        <f t="shared" si="304"/>
        <v>1</v>
      </c>
      <c r="W555">
        <f t="shared" si="290"/>
        <v>0</v>
      </c>
      <c r="X555">
        <f t="shared" si="314"/>
        <v>0</v>
      </c>
      <c r="Y555">
        <f t="shared" si="291"/>
        <v>0</v>
      </c>
      <c r="Z555">
        <f t="shared" si="292"/>
        <v>0</v>
      </c>
      <c r="AA555">
        <f t="shared" si="293"/>
        <v>0</v>
      </c>
      <c r="AB555" s="29">
        <f t="shared" si="294"/>
        <v>0</v>
      </c>
      <c r="AC555" s="25">
        <f t="shared" si="295"/>
        <v>0</v>
      </c>
      <c r="AD555" s="29">
        <f t="shared" si="296"/>
        <v>0</v>
      </c>
      <c r="AE555" s="25">
        <f t="shared" si="305"/>
        <v>0</v>
      </c>
      <c r="AF555" s="25">
        <f t="shared" si="297"/>
        <v>0</v>
      </c>
      <c r="AG555" s="25">
        <f>IF($A555&lt;0,0,IF(instatk="bs",(1.5+talSCallInstBon)*(MHavg+(ap+Z555-$Z$1)/APtoDPS*MHnorm+170)*(1+sa*0.1+0.04*opp+0.02*agg+Slayer4value-1),IF(instatk="hemo",Slayer4value*(MHavg+(ap+Z555-$Z$1)/APtoDPS*MHnorm)*(1.1+talSCallInstBon)+420*(1+raidcrit)*debuffon,IF(instatk="ss",(MHavg+(ap+Z555-$Z$1)/APtoDPS*MHnorm+98)*(1+sa*0.1+0.02*agg+Slayer4value-1),IF(instatk="v",(ohavg+(ap+Z555-$Z$1)/APtoDPS*OHnorm)*(1+sa*0.1)*(0.5+0.05*dws)+avipdam,Slayer4value*((1+0.04*opp)*(MHavg+101+(ap+Z555-$Z$1)/APtoDPS*MHnorm+(0.5+0.05*dws)*(ohavg+(ap+Z555-$Z$1)/APtoDPS*OHnorm)+101*(1+0.1*dws))*(1+0.5*IF(Talents!$O$18="Yes",1,0)))))))*(instactualhit+(1+((leth*0.06+2)-1)*(cfact-1))*instactualcrit)*fwfactor*AB555*instsec*(AF555/$AN$45))</f>
        <v>0</v>
      </c>
      <c r="AH555" s="25">
        <f t="shared" si="315"/>
        <v>0</v>
      </c>
      <c r="AI555" s="25">
        <f t="shared" si="316"/>
        <v>0</v>
      </c>
      <c r="AJ555" s="25">
        <f t="shared" si="317"/>
        <v>0</v>
      </c>
    </row>
    <row r="556" spans="1:36">
      <c r="A556">
        <f t="shared" si="298"/>
        <v>-1</v>
      </c>
      <c r="B556">
        <f t="shared" si="306"/>
        <v>6</v>
      </c>
      <c r="C556">
        <f t="shared" si="284"/>
        <v>300</v>
      </c>
      <c r="D556">
        <f t="shared" si="299"/>
        <v>0</v>
      </c>
      <c r="E556">
        <f t="shared" si="318"/>
        <v>5</v>
      </c>
      <c r="F556">
        <f t="shared" si="285"/>
        <v>360</v>
      </c>
      <c r="G556">
        <f t="shared" si="300"/>
        <v>0</v>
      </c>
      <c r="H556">
        <f t="shared" si="307"/>
        <v>4</v>
      </c>
      <c r="I556">
        <f t="shared" si="286"/>
        <v>360</v>
      </c>
      <c r="J556">
        <f t="shared" si="301"/>
        <v>0</v>
      </c>
      <c r="K556">
        <f t="shared" si="308"/>
        <v>3</v>
      </c>
      <c r="L556">
        <f t="shared" si="287"/>
        <v>360</v>
      </c>
      <c r="M556">
        <f t="shared" si="302"/>
        <v>0</v>
      </c>
      <c r="N556">
        <f t="shared" si="309"/>
        <v>2</v>
      </c>
      <c r="O556">
        <f t="shared" si="288"/>
        <v>300</v>
      </c>
      <c r="P556">
        <f t="shared" si="310"/>
        <v>0</v>
      </c>
      <c r="Q556">
        <f t="shared" si="311"/>
        <v>2</v>
      </c>
      <c r="R556">
        <f t="shared" si="289"/>
        <v>300</v>
      </c>
      <c r="S556">
        <f t="shared" si="312"/>
        <v>0</v>
      </c>
      <c r="T556">
        <f t="shared" si="313"/>
        <v>-1</v>
      </c>
      <c r="U556">
        <f t="shared" si="303"/>
        <v>1</v>
      </c>
      <c r="V556">
        <f t="shared" si="304"/>
        <v>1</v>
      </c>
      <c r="W556">
        <f t="shared" si="290"/>
        <v>0</v>
      </c>
      <c r="X556">
        <f t="shared" si="314"/>
        <v>0</v>
      </c>
      <c r="Y556">
        <f t="shared" si="291"/>
        <v>0</v>
      </c>
      <c r="Z556">
        <f t="shared" si="292"/>
        <v>0</v>
      </c>
      <c r="AA556">
        <f t="shared" si="293"/>
        <v>0</v>
      </c>
      <c r="AB556" s="29">
        <f t="shared" si="294"/>
        <v>0</v>
      </c>
      <c r="AC556" s="25">
        <f t="shared" si="295"/>
        <v>0</v>
      </c>
      <c r="AD556" s="29">
        <f t="shared" si="296"/>
        <v>0</v>
      </c>
      <c r="AE556" s="25">
        <f t="shared" si="305"/>
        <v>0</v>
      </c>
      <c r="AF556" s="25">
        <f t="shared" si="297"/>
        <v>0</v>
      </c>
      <c r="AG556" s="25">
        <f>IF($A556&lt;0,0,IF(instatk="bs",(1.5+talSCallInstBon)*(MHavg+(ap+Z556-$Z$1)/APtoDPS*MHnorm+170)*(1+sa*0.1+0.04*opp+0.02*agg+Slayer4value-1),IF(instatk="hemo",Slayer4value*(MHavg+(ap+Z556-$Z$1)/APtoDPS*MHnorm)*(1.1+talSCallInstBon)+420*(1+raidcrit)*debuffon,IF(instatk="ss",(MHavg+(ap+Z556-$Z$1)/APtoDPS*MHnorm+98)*(1+sa*0.1+0.02*agg+Slayer4value-1),IF(instatk="v",(ohavg+(ap+Z556-$Z$1)/APtoDPS*OHnorm)*(1+sa*0.1)*(0.5+0.05*dws)+avipdam,Slayer4value*((1+0.04*opp)*(MHavg+101+(ap+Z556-$Z$1)/APtoDPS*MHnorm+(0.5+0.05*dws)*(ohavg+(ap+Z556-$Z$1)/APtoDPS*OHnorm)+101*(1+0.1*dws))*(1+0.5*IF(Talents!$O$18="Yes",1,0)))))))*(instactualhit+(1+((leth*0.06+2)-1)*(cfact-1))*instactualcrit)*fwfactor*AB556*instsec*(AF556/$AN$45))</f>
        <v>0</v>
      </c>
      <c r="AH556" s="25">
        <f t="shared" si="315"/>
        <v>0</v>
      </c>
      <c r="AI556" s="25">
        <f t="shared" si="316"/>
        <v>0</v>
      </c>
      <c r="AJ556" s="25">
        <f t="shared" si="317"/>
        <v>0</v>
      </c>
    </row>
    <row r="557" spans="1:36">
      <c r="A557">
        <f t="shared" si="298"/>
        <v>-1</v>
      </c>
      <c r="B557">
        <f t="shared" si="306"/>
        <v>6</v>
      </c>
      <c r="C557">
        <f t="shared" si="284"/>
        <v>300</v>
      </c>
      <c r="D557">
        <f t="shared" si="299"/>
        <v>0</v>
      </c>
      <c r="E557">
        <f t="shared" si="318"/>
        <v>5</v>
      </c>
      <c r="F557">
        <f t="shared" si="285"/>
        <v>360</v>
      </c>
      <c r="G557">
        <f t="shared" si="300"/>
        <v>0</v>
      </c>
      <c r="H557">
        <f t="shared" si="307"/>
        <v>4</v>
      </c>
      <c r="I557">
        <f t="shared" si="286"/>
        <v>360</v>
      </c>
      <c r="J557">
        <f t="shared" si="301"/>
        <v>0</v>
      </c>
      <c r="K557">
        <f t="shared" si="308"/>
        <v>3</v>
      </c>
      <c r="L557">
        <f t="shared" si="287"/>
        <v>360</v>
      </c>
      <c r="M557">
        <f t="shared" si="302"/>
        <v>0</v>
      </c>
      <c r="N557">
        <f t="shared" si="309"/>
        <v>2</v>
      </c>
      <c r="O557">
        <f t="shared" si="288"/>
        <v>300</v>
      </c>
      <c r="P557">
        <f t="shared" si="310"/>
        <v>0</v>
      </c>
      <c r="Q557">
        <f t="shared" si="311"/>
        <v>2</v>
      </c>
      <c r="R557">
        <f t="shared" si="289"/>
        <v>300</v>
      </c>
      <c r="S557">
        <f t="shared" si="312"/>
        <v>0</v>
      </c>
      <c r="T557">
        <f t="shared" si="313"/>
        <v>-1</v>
      </c>
      <c r="U557">
        <f t="shared" si="303"/>
        <v>1</v>
      </c>
      <c r="V557">
        <f t="shared" si="304"/>
        <v>1</v>
      </c>
      <c r="W557">
        <f t="shared" si="290"/>
        <v>0</v>
      </c>
      <c r="X557">
        <f t="shared" si="314"/>
        <v>0</v>
      </c>
      <c r="Y557">
        <f t="shared" si="291"/>
        <v>0</v>
      </c>
      <c r="Z557">
        <f t="shared" si="292"/>
        <v>0</v>
      </c>
      <c r="AA557">
        <f t="shared" si="293"/>
        <v>0</v>
      </c>
      <c r="AB557" s="29">
        <f t="shared" si="294"/>
        <v>0</v>
      </c>
      <c r="AC557" s="25">
        <f t="shared" si="295"/>
        <v>0</v>
      </c>
      <c r="AD557" s="29">
        <f t="shared" si="296"/>
        <v>0</v>
      </c>
      <c r="AE557" s="25">
        <f t="shared" si="305"/>
        <v>0</v>
      </c>
      <c r="AF557" s="25">
        <f t="shared" si="297"/>
        <v>0</v>
      </c>
      <c r="AG557" s="25">
        <f>IF($A557&lt;0,0,IF(instatk="bs",(1.5+talSCallInstBon)*(MHavg+(ap+Z557-$Z$1)/APtoDPS*MHnorm+170)*(1+sa*0.1+0.04*opp+0.02*agg+Slayer4value-1),IF(instatk="hemo",Slayer4value*(MHavg+(ap+Z557-$Z$1)/APtoDPS*MHnorm)*(1.1+talSCallInstBon)+420*(1+raidcrit)*debuffon,IF(instatk="ss",(MHavg+(ap+Z557-$Z$1)/APtoDPS*MHnorm+98)*(1+sa*0.1+0.02*agg+Slayer4value-1),IF(instatk="v",(ohavg+(ap+Z557-$Z$1)/APtoDPS*OHnorm)*(1+sa*0.1)*(0.5+0.05*dws)+avipdam,Slayer4value*((1+0.04*opp)*(MHavg+101+(ap+Z557-$Z$1)/APtoDPS*MHnorm+(0.5+0.05*dws)*(ohavg+(ap+Z557-$Z$1)/APtoDPS*OHnorm)+101*(1+0.1*dws))*(1+0.5*IF(Talents!$O$18="Yes",1,0)))))))*(instactualhit+(1+((leth*0.06+2)-1)*(cfact-1))*instactualcrit)*fwfactor*AB557*instsec*(AF557/$AN$45))</f>
        <v>0</v>
      </c>
      <c r="AH557" s="25">
        <f t="shared" si="315"/>
        <v>0</v>
      </c>
      <c r="AI557" s="25">
        <f t="shared" si="316"/>
        <v>0</v>
      </c>
      <c r="AJ557" s="25">
        <f t="shared" si="317"/>
        <v>0</v>
      </c>
    </row>
    <row r="558" spans="1:36">
      <c r="A558">
        <f t="shared" si="298"/>
        <v>-1</v>
      </c>
      <c r="B558">
        <f t="shared" si="306"/>
        <v>6</v>
      </c>
      <c r="C558">
        <f t="shared" si="284"/>
        <v>300</v>
      </c>
      <c r="D558">
        <f t="shared" si="299"/>
        <v>0</v>
      </c>
      <c r="E558">
        <f t="shared" si="318"/>
        <v>5</v>
      </c>
      <c r="F558">
        <f t="shared" si="285"/>
        <v>360</v>
      </c>
      <c r="G558">
        <f t="shared" si="300"/>
        <v>0</v>
      </c>
      <c r="H558">
        <f t="shared" si="307"/>
        <v>4</v>
      </c>
      <c r="I558">
        <f t="shared" si="286"/>
        <v>360</v>
      </c>
      <c r="J558">
        <f t="shared" si="301"/>
        <v>0</v>
      </c>
      <c r="K558">
        <f t="shared" si="308"/>
        <v>3</v>
      </c>
      <c r="L558">
        <f t="shared" si="287"/>
        <v>360</v>
      </c>
      <c r="M558">
        <f t="shared" si="302"/>
        <v>0</v>
      </c>
      <c r="N558">
        <f t="shared" si="309"/>
        <v>2</v>
      </c>
      <c r="O558">
        <f t="shared" si="288"/>
        <v>300</v>
      </c>
      <c r="P558">
        <f t="shared" si="310"/>
        <v>0</v>
      </c>
      <c r="Q558">
        <f t="shared" si="311"/>
        <v>2</v>
      </c>
      <c r="R558">
        <f t="shared" si="289"/>
        <v>300</v>
      </c>
      <c r="S558">
        <f t="shared" si="312"/>
        <v>0</v>
      </c>
      <c r="T558">
        <f t="shared" si="313"/>
        <v>-1</v>
      </c>
      <c r="U558">
        <f t="shared" si="303"/>
        <v>1</v>
      </c>
      <c r="V558">
        <f t="shared" si="304"/>
        <v>1</v>
      </c>
      <c r="W558">
        <f t="shared" si="290"/>
        <v>0</v>
      </c>
      <c r="X558">
        <f t="shared" si="314"/>
        <v>0</v>
      </c>
      <c r="Y558">
        <f t="shared" si="291"/>
        <v>0</v>
      </c>
      <c r="Z558">
        <f t="shared" si="292"/>
        <v>0</v>
      </c>
      <c r="AA558">
        <f t="shared" si="293"/>
        <v>0</v>
      </c>
      <c r="AB558" s="29">
        <f t="shared" si="294"/>
        <v>0</v>
      </c>
      <c r="AC558" s="25">
        <f t="shared" si="295"/>
        <v>0</v>
      </c>
      <c r="AD558" s="29">
        <f t="shared" si="296"/>
        <v>0</v>
      </c>
      <c r="AE558" s="25">
        <f t="shared" si="305"/>
        <v>0</v>
      </c>
      <c r="AF558" s="25">
        <f t="shared" si="297"/>
        <v>0</v>
      </c>
      <c r="AG558" s="25">
        <f>IF($A558&lt;0,0,IF(instatk="bs",(1.5+talSCallInstBon)*(MHavg+(ap+Z558-$Z$1)/APtoDPS*MHnorm+170)*(1+sa*0.1+0.04*opp+0.02*agg+Slayer4value-1),IF(instatk="hemo",Slayer4value*(MHavg+(ap+Z558-$Z$1)/APtoDPS*MHnorm)*(1.1+talSCallInstBon)+420*(1+raidcrit)*debuffon,IF(instatk="ss",(MHavg+(ap+Z558-$Z$1)/APtoDPS*MHnorm+98)*(1+sa*0.1+0.02*agg+Slayer4value-1),IF(instatk="v",(ohavg+(ap+Z558-$Z$1)/APtoDPS*OHnorm)*(1+sa*0.1)*(0.5+0.05*dws)+avipdam,Slayer4value*((1+0.04*opp)*(MHavg+101+(ap+Z558-$Z$1)/APtoDPS*MHnorm+(0.5+0.05*dws)*(ohavg+(ap+Z558-$Z$1)/APtoDPS*OHnorm)+101*(1+0.1*dws))*(1+0.5*IF(Talents!$O$18="Yes",1,0)))))))*(instactualhit+(1+((leth*0.06+2)-1)*(cfact-1))*instactualcrit)*fwfactor*AB558*instsec*(AF558/$AN$45))</f>
        <v>0</v>
      </c>
      <c r="AH558" s="25">
        <f t="shared" si="315"/>
        <v>0</v>
      </c>
      <c r="AI558" s="25">
        <f t="shared" si="316"/>
        <v>0</v>
      </c>
      <c r="AJ558" s="25">
        <f t="shared" si="317"/>
        <v>0</v>
      </c>
    </row>
    <row r="559" spans="1:36">
      <c r="A559">
        <f t="shared" si="298"/>
        <v>-1</v>
      </c>
      <c r="B559">
        <f t="shared" si="306"/>
        <v>6</v>
      </c>
      <c r="C559">
        <f t="shared" si="284"/>
        <v>300</v>
      </c>
      <c r="D559">
        <f t="shared" si="299"/>
        <v>0</v>
      </c>
      <c r="E559">
        <f t="shared" si="318"/>
        <v>5</v>
      </c>
      <c r="F559">
        <f t="shared" si="285"/>
        <v>360</v>
      </c>
      <c r="G559">
        <f t="shared" si="300"/>
        <v>0</v>
      </c>
      <c r="H559">
        <f t="shared" si="307"/>
        <v>4</v>
      </c>
      <c r="I559">
        <f t="shared" si="286"/>
        <v>360</v>
      </c>
      <c r="J559">
        <f t="shared" si="301"/>
        <v>0</v>
      </c>
      <c r="K559">
        <f t="shared" si="308"/>
        <v>3</v>
      </c>
      <c r="L559">
        <f t="shared" si="287"/>
        <v>360</v>
      </c>
      <c r="M559">
        <f t="shared" si="302"/>
        <v>0</v>
      </c>
      <c r="N559">
        <f t="shared" si="309"/>
        <v>2</v>
      </c>
      <c r="O559">
        <f t="shared" si="288"/>
        <v>300</v>
      </c>
      <c r="P559">
        <f t="shared" si="310"/>
        <v>0</v>
      </c>
      <c r="Q559">
        <f t="shared" si="311"/>
        <v>2</v>
      </c>
      <c r="R559">
        <f t="shared" si="289"/>
        <v>300</v>
      </c>
      <c r="S559">
        <f t="shared" si="312"/>
        <v>0</v>
      </c>
      <c r="T559">
        <f t="shared" si="313"/>
        <v>-1</v>
      </c>
      <c r="U559">
        <f t="shared" si="303"/>
        <v>1</v>
      </c>
      <c r="V559">
        <f t="shared" si="304"/>
        <v>1</v>
      </c>
      <c r="W559">
        <f t="shared" si="290"/>
        <v>0</v>
      </c>
      <c r="X559">
        <f t="shared" si="314"/>
        <v>0</v>
      </c>
      <c r="Y559">
        <f t="shared" si="291"/>
        <v>0</v>
      </c>
      <c r="Z559">
        <f t="shared" si="292"/>
        <v>0</v>
      </c>
      <c r="AA559">
        <f t="shared" si="293"/>
        <v>0</v>
      </c>
      <c r="AB559" s="29">
        <f t="shared" si="294"/>
        <v>0</v>
      </c>
      <c r="AC559" s="25">
        <f t="shared" si="295"/>
        <v>0</v>
      </c>
      <c r="AD559" s="29">
        <f t="shared" si="296"/>
        <v>0</v>
      </c>
      <c r="AE559" s="25">
        <f t="shared" si="305"/>
        <v>0</v>
      </c>
      <c r="AF559" s="25">
        <f t="shared" si="297"/>
        <v>0</v>
      </c>
      <c r="AG559" s="25">
        <f>IF($A559&lt;0,0,IF(instatk="bs",(1.5+talSCallInstBon)*(MHavg+(ap+Z559-$Z$1)/APtoDPS*MHnorm+170)*(1+sa*0.1+0.04*opp+0.02*agg+Slayer4value-1),IF(instatk="hemo",Slayer4value*(MHavg+(ap+Z559-$Z$1)/APtoDPS*MHnorm)*(1.1+talSCallInstBon)+420*(1+raidcrit)*debuffon,IF(instatk="ss",(MHavg+(ap+Z559-$Z$1)/APtoDPS*MHnorm+98)*(1+sa*0.1+0.02*agg+Slayer4value-1),IF(instatk="v",(ohavg+(ap+Z559-$Z$1)/APtoDPS*OHnorm)*(1+sa*0.1)*(0.5+0.05*dws)+avipdam,Slayer4value*((1+0.04*opp)*(MHavg+101+(ap+Z559-$Z$1)/APtoDPS*MHnorm+(0.5+0.05*dws)*(ohavg+(ap+Z559-$Z$1)/APtoDPS*OHnorm)+101*(1+0.1*dws))*(1+0.5*IF(Talents!$O$18="Yes",1,0)))))))*(instactualhit+(1+((leth*0.06+2)-1)*(cfact-1))*instactualcrit)*fwfactor*AB559*instsec*(AF559/$AN$45))</f>
        <v>0</v>
      </c>
      <c r="AH559" s="25">
        <f t="shared" si="315"/>
        <v>0</v>
      </c>
      <c r="AI559" s="25">
        <f t="shared" si="316"/>
        <v>0</v>
      </c>
      <c r="AJ559" s="25">
        <f t="shared" si="317"/>
        <v>0</v>
      </c>
    </row>
    <row r="560" spans="1:36">
      <c r="A560">
        <f t="shared" si="298"/>
        <v>-1</v>
      </c>
      <c r="B560">
        <f t="shared" si="306"/>
        <v>6</v>
      </c>
      <c r="C560">
        <f t="shared" si="284"/>
        <v>300</v>
      </c>
      <c r="D560">
        <f t="shared" si="299"/>
        <v>0</v>
      </c>
      <c r="E560">
        <f t="shared" si="318"/>
        <v>5</v>
      </c>
      <c r="F560">
        <f t="shared" si="285"/>
        <v>360</v>
      </c>
      <c r="G560">
        <f t="shared" si="300"/>
        <v>0</v>
      </c>
      <c r="H560">
        <f t="shared" si="307"/>
        <v>4</v>
      </c>
      <c r="I560">
        <f t="shared" si="286"/>
        <v>360</v>
      </c>
      <c r="J560">
        <f t="shared" si="301"/>
        <v>0</v>
      </c>
      <c r="K560">
        <f t="shared" si="308"/>
        <v>3</v>
      </c>
      <c r="L560">
        <f t="shared" si="287"/>
        <v>360</v>
      </c>
      <c r="M560">
        <f t="shared" si="302"/>
        <v>0</v>
      </c>
      <c r="N560">
        <f t="shared" si="309"/>
        <v>2</v>
      </c>
      <c r="O560">
        <f t="shared" si="288"/>
        <v>300</v>
      </c>
      <c r="P560">
        <f t="shared" si="310"/>
        <v>0</v>
      </c>
      <c r="Q560">
        <f t="shared" si="311"/>
        <v>2</v>
      </c>
      <c r="R560">
        <f t="shared" si="289"/>
        <v>300</v>
      </c>
      <c r="S560">
        <f t="shared" si="312"/>
        <v>0</v>
      </c>
      <c r="T560">
        <f t="shared" si="313"/>
        <v>-1</v>
      </c>
      <c r="U560">
        <f t="shared" si="303"/>
        <v>1</v>
      </c>
      <c r="V560">
        <f t="shared" si="304"/>
        <v>1</v>
      </c>
      <c r="W560">
        <f t="shared" si="290"/>
        <v>0</v>
      </c>
      <c r="X560">
        <f t="shared" si="314"/>
        <v>0</v>
      </c>
      <c r="Y560">
        <f t="shared" si="291"/>
        <v>0</v>
      </c>
      <c r="Z560">
        <f t="shared" si="292"/>
        <v>0</v>
      </c>
      <c r="AA560">
        <f t="shared" si="293"/>
        <v>0</v>
      </c>
      <c r="AB560" s="29">
        <f t="shared" si="294"/>
        <v>0</v>
      </c>
      <c r="AC560" s="25">
        <f t="shared" si="295"/>
        <v>0</v>
      </c>
      <c r="AD560" s="29">
        <f t="shared" si="296"/>
        <v>0</v>
      </c>
      <c r="AE560" s="25">
        <f t="shared" si="305"/>
        <v>0</v>
      </c>
      <c r="AF560" s="25">
        <f t="shared" si="297"/>
        <v>0</v>
      </c>
      <c r="AG560" s="25">
        <f>IF($A560&lt;0,0,IF(instatk="bs",(1.5+talSCallInstBon)*(MHavg+(ap+Z560-$Z$1)/APtoDPS*MHnorm+170)*(1+sa*0.1+0.04*opp+0.02*agg+Slayer4value-1),IF(instatk="hemo",Slayer4value*(MHavg+(ap+Z560-$Z$1)/APtoDPS*MHnorm)*(1.1+talSCallInstBon)+420*(1+raidcrit)*debuffon,IF(instatk="ss",(MHavg+(ap+Z560-$Z$1)/APtoDPS*MHnorm+98)*(1+sa*0.1+0.02*agg+Slayer4value-1),IF(instatk="v",(ohavg+(ap+Z560-$Z$1)/APtoDPS*OHnorm)*(1+sa*0.1)*(0.5+0.05*dws)+avipdam,Slayer4value*((1+0.04*opp)*(MHavg+101+(ap+Z560-$Z$1)/APtoDPS*MHnorm+(0.5+0.05*dws)*(ohavg+(ap+Z560-$Z$1)/APtoDPS*OHnorm)+101*(1+0.1*dws))*(1+0.5*IF(Talents!$O$18="Yes",1,0)))))))*(instactualhit+(1+((leth*0.06+2)-1)*(cfact-1))*instactualcrit)*fwfactor*AB560*instsec*(AF560/$AN$45))</f>
        <v>0</v>
      </c>
      <c r="AH560" s="25">
        <f t="shared" si="315"/>
        <v>0</v>
      </c>
      <c r="AI560" s="25">
        <f t="shared" si="316"/>
        <v>0</v>
      </c>
      <c r="AJ560" s="25">
        <f t="shared" si="317"/>
        <v>0</v>
      </c>
    </row>
    <row r="561" spans="1:36">
      <c r="A561">
        <f t="shared" si="298"/>
        <v>-1</v>
      </c>
      <c r="B561">
        <f t="shared" si="306"/>
        <v>6</v>
      </c>
      <c r="C561">
        <f t="shared" si="284"/>
        <v>300</v>
      </c>
      <c r="D561">
        <f t="shared" si="299"/>
        <v>0</v>
      </c>
      <c r="E561">
        <f t="shared" si="318"/>
        <v>5</v>
      </c>
      <c r="F561">
        <f t="shared" si="285"/>
        <v>360</v>
      </c>
      <c r="G561">
        <f t="shared" si="300"/>
        <v>0</v>
      </c>
      <c r="H561">
        <f t="shared" si="307"/>
        <v>4</v>
      </c>
      <c r="I561">
        <f t="shared" si="286"/>
        <v>360</v>
      </c>
      <c r="J561">
        <f t="shared" si="301"/>
        <v>0</v>
      </c>
      <c r="K561">
        <f t="shared" si="308"/>
        <v>3</v>
      </c>
      <c r="L561">
        <f t="shared" si="287"/>
        <v>360</v>
      </c>
      <c r="M561">
        <f t="shared" si="302"/>
        <v>0</v>
      </c>
      <c r="N561">
        <f t="shared" si="309"/>
        <v>2</v>
      </c>
      <c r="O561">
        <f t="shared" si="288"/>
        <v>300</v>
      </c>
      <c r="P561">
        <f t="shared" si="310"/>
        <v>0</v>
      </c>
      <c r="Q561">
        <f t="shared" si="311"/>
        <v>2</v>
      </c>
      <c r="R561">
        <f t="shared" si="289"/>
        <v>300</v>
      </c>
      <c r="S561">
        <f t="shared" si="312"/>
        <v>0</v>
      </c>
      <c r="T561">
        <f t="shared" si="313"/>
        <v>-1</v>
      </c>
      <c r="U561">
        <f t="shared" si="303"/>
        <v>1</v>
      </c>
      <c r="V561">
        <f t="shared" si="304"/>
        <v>1</v>
      </c>
      <c r="W561">
        <f t="shared" si="290"/>
        <v>0</v>
      </c>
      <c r="X561">
        <f t="shared" si="314"/>
        <v>0</v>
      </c>
      <c r="Y561">
        <f t="shared" si="291"/>
        <v>0</v>
      </c>
      <c r="Z561">
        <f t="shared" si="292"/>
        <v>0</v>
      </c>
      <c r="AA561">
        <f t="shared" si="293"/>
        <v>0</v>
      </c>
      <c r="AB561" s="29">
        <f t="shared" si="294"/>
        <v>0</v>
      </c>
      <c r="AC561" s="25">
        <f t="shared" si="295"/>
        <v>0</v>
      </c>
      <c r="AD561" s="29">
        <f t="shared" si="296"/>
        <v>0</v>
      </c>
      <c r="AE561" s="25">
        <f t="shared" si="305"/>
        <v>0</v>
      </c>
      <c r="AF561" s="25">
        <f t="shared" si="297"/>
        <v>0</v>
      </c>
      <c r="AG561" s="25">
        <f>IF($A561&lt;0,0,IF(instatk="bs",(1.5+talSCallInstBon)*(MHavg+(ap+Z561-$Z$1)/APtoDPS*MHnorm+170)*(1+sa*0.1+0.04*opp+0.02*agg+Slayer4value-1),IF(instatk="hemo",Slayer4value*(MHavg+(ap+Z561-$Z$1)/APtoDPS*MHnorm)*(1.1+talSCallInstBon)+420*(1+raidcrit)*debuffon,IF(instatk="ss",(MHavg+(ap+Z561-$Z$1)/APtoDPS*MHnorm+98)*(1+sa*0.1+0.02*agg+Slayer4value-1),IF(instatk="v",(ohavg+(ap+Z561-$Z$1)/APtoDPS*OHnorm)*(1+sa*0.1)*(0.5+0.05*dws)+avipdam,Slayer4value*((1+0.04*opp)*(MHavg+101+(ap+Z561-$Z$1)/APtoDPS*MHnorm+(0.5+0.05*dws)*(ohavg+(ap+Z561-$Z$1)/APtoDPS*OHnorm)+101*(1+0.1*dws))*(1+0.5*IF(Talents!$O$18="Yes",1,0)))))))*(instactualhit+(1+((leth*0.06+2)-1)*(cfact-1))*instactualcrit)*fwfactor*AB561*instsec*(AF561/$AN$45))</f>
        <v>0</v>
      </c>
      <c r="AH561" s="25">
        <f t="shared" si="315"/>
        <v>0</v>
      </c>
      <c r="AI561" s="25">
        <f t="shared" si="316"/>
        <v>0</v>
      </c>
      <c r="AJ561" s="25">
        <f t="shared" si="317"/>
        <v>0</v>
      </c>
    </row>
    <row r="562" spans="1:36">
      <c r="A562">
        <f t="shared" si="298"/>
        <v>-1</v>
      </c>
      <c r="B562">
        <f t="shared" si="306"/>
        <v>6</v>
      </c>
      <c r="C562">
        <f t="shared" si="284"/>
        <v>300</v>
      </c>
      <c r="D562">
        <f t="shared" si="299"/>
        <v>0</v>
      </c>
      <c r="E562">
        <f t="shared" si="318"/>
        <v>5</v>
      </c>
      <c r="F562">
        <f t="shared" si="285"/>
        <v>360</v>
      </c>
      <c r="G562">
        <f t="shared" si="300"/>
        <v>0</v>
      </c>
      <c r="H562">
        <f t="shared" si="307"/>
        <v>4</v>
      </c>
      <c r="I562">
        <f t="shared" si="286"/>
        <v>360</v>
      </c>
      <c r="J562">
        <f t="shared" si="301"/>
        <v>0</v>
      </c>
      <c r="K562">
        <f t="shared" si="308"/>
        <v>3</v>
      </c>
      <c r="L562">
        <f t="shared" si="287"/>
        <v>360</v>
      </c>
      <c r="M562">
        <f t="shared" si="302"/>
        <v>0</v>
      </c>
      <c r="N562">
        <f t="shared" si="309"/>
        <v>2</v>
      </c>
      <c r="O562">
        <f t="shared" si="288"/>
        <v>300</v>
      </c>
      <c r="P562">
        <f t="shared" si="310"/>
        <v>0</v>
      </c>
      <c r="Q562">
        <f t="shared" si="311"/>
        <v>2</v>
      </c>
      <c r="R562">
        <f t="shared" si="289"/>
        <v>300</v>
      </c>
      <c r="S562">
        <f t="shared" si="312"/>
        <v>0</v>
      </c>
      <c r="T562">
        <f t="shared" si="313"/>
        <v>-1</v>
      </c>
      <c r="U562">
        <f t="shared" si="303"/>
        <v>1</v>
      </c>
      <c r="V562">
        <f t="shared" si="304"/>
        <v>1</v>
      </c>
      <c r="W562">
        <f t="shared" si="290"/>
        <v>0</v>
      </c>
      <c r="X562">
        <f t="shared" si="314"/>
        <v>0</v>
      </c>
      <c r="Y562">
        <f t="shared" si="291"/>
        <v>0</v>
      </c>
      <c r="Z562">
        <f t="shared" si="292"/>
        <v>0</v>
      </c>
      <c r="AA562">
        <f t="shared" si="293"/>
        <v>0</v>
      </c>
      <c r="AB562" s="29">
        <f t="shared" si="294"/>
        <v>0</v>
      </c>
      <c r="AC562" s="25">
        <f t="shared" si="295"/>
        <v>0</v>
      </c>
      <c r="AD562" s="29">
        <f t="shared" si="296"/>
        <v>0</v>
      </c>
      <c r="AE562" s="25">
        <f t="shared" si="305"/>
        <v>0</v>
      </c>
      <c r="AF562" s="25">
        <f t="shared" si="297"/>
        <v>0</v>
      </c>
      <c r="AG562" s="25">
        <f>IF($A562&lt;0,0,IF(instatk="bs",(1.5+talSCallInstBon)*(MHavg+(ap+Z562-$Z$1)/APtoDPS*MHnorm+170)*(1+sa*0.1+0.04*opp+0.02*agg+Slayer4value-1),IF(instatk="hemo",Slayer4value*(MHavg+(ap+Z562-$Z$1)/APtoDPS*MHnorm)*(1.1+talSCallInstBon)+420*(1+raidcrit)*debuffon,IF(instatk="ss",(MHavg+(ap+Z562-$Z$1)/APtoDPS*MHnorm+98)*(1+sa*0.1+0.02*agg+Slayer4value-1),IF(instatk="v",(ohavg+(ap+Z562-$Z$1)/APtoDPS*OHnorm)*(1+sa*0.1)*(0.5+0.05*dws)+avipdam,Slayer4value*((1+0.04*opp)*(MHavg+101+(ap+Z562-$Z$1)/APtoDPS*MHnorm+(0.5+0.05*dws)*(ohavg+(ap+Z562-$Z$1)/APtoDPS*OHnorm)+101*(1+0.1*dws))*(1+0.5*IF(Talents!$O$18="Yes",1,0)))))))*(instactualhit+(1+((leth*0.06+2)-1)*(cfact-1))*instactualcrit)*fwfactor*AB562*instsec*(AF562/$AN$45))</f>
        <v>0</v>
      </c>
      <c r="AH562" s="25">
        <f t="shared" si="315"/>
        <v>0</v>
      </c>
      <c r="AI562" s="25">
        <f t="shared" si="316"/>
        <v>0</v>
      </c>
      <c r="AJ562" s="25">
        <f t="shared" si="317"/>
        <v>0</v>
      </c>
    </row>
    <row r="563" spans="1:36">
      <c r="A563">
        <f t="shared" si="298"/>
        <v>-1</v>
      </c>
      <c r="B563">
        <f t="shared" si="306"/>
        <v>6</v>
      </c>
      <c r="C563">
        <f t="shared" si="284"/>
        <v>300</v>
      </c>
      <c r="D563">
        <f t="shared" si="299"/>
        <v>0</v>
      </c>
      <c r="E563">
        <f t="shared" si="318"/>
        <v>5</v>
      </c>
      <c r="F563">
        <f t="shared" si="285"/>
        <v>360</v>
      </c>
      <c r="G563">
        <f t="shared" si="300"/>
        <v>0</v>
      </c>
      <c r="H563">
        <f t="shared" si="307"/>
        <v>4</v>
      </c>
      <c r="I563">
        <f t="shared" si="286"/>
        <v>360</v>
      </c>
      <c r="J563">
        <f t="shared" si="301"/>
        <v>0</v>
      </c>
      <c r="K563">
        <f t="shared" si="308"/>
        <v>3</v>
      </c>
      <c r="L563">
        <f t="shared" si="287"/>
        <v>360</v>
      </c>
      <c r="M563">
        <f t="shared" si="302"/>
        <v>0</v>
      </c>
      <c r="N563">
        <f t="shared" si="309"/>
        <v>2</v>
      </c>
      <c r="O563">
        <f t="shared" si="288"/>
        <v>300</v>
      </c>
      <c r="P563">
        <f t="shared" si="310"/>
        <v>0</v>
      </c>
      <c r="Q563">
        <f t="shared" si="311"/>
        <v>2</v>
      </c>
      <c r="R563">
        <f t="shared" si="289"/>
        <v>300</v>
      </c>
      <c r="S563">
        <f t="shared" si="312"/>
        <v>0</v>
      </c>
      <c r="T563">
        <f t="shared" si="313"/>
        <v>-1</v>
      </c>
      <c r="U563">
        <f t="shared" si="303"/>
        <v>1</v>
      </c>
      <c r="V563">
        <f t="shared" si="304"/>
        <v>1</v>
      </c>
      <c r="W563">
        <f t="shared" si="290"/>
        <v>0</v>
      </c>
      <c r="X563">
        <f t="shared" si="314"/>
        <v>0</v>
      </c>
      <c r="Y563">
        <f t="shared" si="291"/>
        <v>0</v>
      </c>
      <c r="Z563">
        <f t="shared" si="292"/>
        <v>0</v>
      </c>
      <c r="AA563">
        <f t="shared" si="293"/>
        <v>0</v>
      </c>
      <c r="AB563" s="29">
        <f t="shared" si="294"/>
        <v>0</v>
      </c>
      <c r="AC563" s="25">
        <f t="shared" si="295"/>
        <v>0</v>
      </c>
      <c r="AD563" s="29">
        <f t="shared" si="296"/>
        <v>0</v>
      </c>
      <c r="AE563" s="25">
        <f t="shared" si="305"/>
        <v>0</v>
      </c>
      <c r="AF563" s="25">
        <f t="shared" si="297"/>
        <v>0</v>
      </c>
      <c r="AG563" s="25">
        <f>IF($A563&lt;0,0,IF(instatk="bs",(1.5+talSCallInstBon)*(MHavg+(ap+Z563-$Z$1)/APtoDPS*MHnorm+170)*(1+sa*0.1+0.04*opp+0.02*agg+Slayer4value-1),IF(instatk="hemo",Slayer4value*(MHavg+(ap+Z563-$Z$1)/APtoDPS*MHnorm)*(1.1+talSCallInstBon)+420*(1+raidcrit)*debuffon,IF(instatk="ss",(MHavg+(ap+Z563-$Z$1)/APtoDPS*MHnorm+98)*(1+sa*0.1+0.02*agg+Slayer4value-1),IF(instatk="v",(ohavg+(ap+Z563-$Z$1)/APtoDPS*OHnorm)*(1+sa*0.1)*(0.5+0.05*dws)+avipdam,Slayer4value*((1+0.04*opp)*(MHavg+101+(ap+Z563-$Z$1)/APtoDPS*MHnorm+(0.5+0.05*dws)*(ohavg+(ap+Z563-$Z$1)/APtoDPS*OHnorm)+101*(1+0.1*dws))*(1+0.5*IF(Talents!$O$18="Yes",1,0)))))))*(instactualhit+(1+((leth*0.06+2)-1)*(cfact-1))*instactualcrit)*fwfactor*AB563*instsec*(AF563/$AN$45))</f>
        <v>0</v>
      </c>
      <c r="AH563" s="25">
        <f t="shared" si="315"/>
        <v>0</v>
      </c>
      <c r="AI563" s="25">
        <f t="shared" si="316"/>
        <v>0</v>
      </c>
      <c r="AJ563" s="25">
        <f t="shared" si="317"/>
        <v>0</v>
      </c>
    </row>
    <row r="564" spans="1:36">
      <c r="A564">
        <f t="shared" si="298"/>
        <v>-1</v>
      </c>
      <c r="B564">
        <f t="shared" si="306"/>
        <v>6</v>
      </c>
      <c r="C564">
        <f t="shared" si="284"/>
        <v>300</v>
      </c>
      <c r="D564">
        <f t="shared" si="299"/>
        <v>0</v>
      </c>
      <c r="E564">
        <f t="shared" si="318"/>
        <v>5</v>
      </c>
      <c r="F564">
        <f t="shared" si="285"/>
        <v>360</v>
      </c>
      <c r="G564">
        <f t="shared" si="300"/>
        <v>0</v>
      </c>
      <c r="H564">
        <f t="shared" si="307"/>
        <v>4</v>
      </c>
      <c r="I564">
        <f t="shared" si="286"/>
        <v>360</v>
      </c>
      <c r="J564">
        <f t="shared" si="301"/>
        <v>0</v>
      </c>
      <c r="K564">
        <f t="shared" si="308"/>
        <v>3</v>
      </c>
      <c r="L564">
        <f t="shared" si="287"/>
        <v>360</v>
      </c>
      <c r="M564">
        <f t="shared" si="302"/>
        <v>0</v>
      </c>
      <c r="N564">
        <f t="shared" si="309"/>
        <v>2</v>
      </c>
      <c r="O564">
        <f t="shared" si="288"/>
        <v>300</v>
      </c>
      <c r="P564">
        <f t="shared" si="310"/>
        <v>0</v>
      </c>
      <c r="Q564">
        <f t="shared" si="311"/>
        <v>2</v>
      </c>
      <c r="R564">
        <f t="shared" si="289"/>
        <v>300</v>
      </c>
      <c r="S564">
        <f t="shared" si="312"/>
        <v>0</v>
      </c>
      <c r="T564">
        <f t="shared" si="313"/>
        <v>-1</v>
      </c>
      <c r="U564">
        <f t="shared" si="303"/>
        <v>1</v>
      </c>
      <c r="V564">
        <f t="shared" si="304"/>
        <v>1</v>
      </c>
      <c r="W564">
        <f t="shared" si="290"/>
        <v>0</v>
      </c>
      <c r="X564">
        <f t="shared" si="314"/>
        <v>0</v>
      </c>
      <c r="Y564">
        <f t="shared" si="291"/>
        <v>0</v>
      </c>
      <c r="Z564">
        <f t="shared" si="292"/>
        <v>0</v>
      </c>
      <c r="AA564">
        <f t="shared" si="293"/>
        <v>0</v>
      </c>
      <c r="AB564" s="29">
        <f t="shared" si="294"/>
        <v>0</v>
      </c>
      <c r="AC564" s="25">
        <f t="shared" si="295"/>
        <v>0</v>
      </c>
      <c r="AD564" s="29">
        <f t="shared" si="296"/>
        <v>0</v>
      </c>
      <c r="AE564" s="25">
        <f t="shared" si="305"/>
        <v>0</v>
      </c>
      <c r="AF564" s="25">
        <f t="shared" si="297"/>
        <v>0</v>
      </c>
      <c r="AG564" s="25">
        <f>IF($A564&lt;0,0,IF(instatk="bs",(1.5+talSCallInstBon)*(MHavg+(ap+Z564-$Z$1)/APtoDPS*MHnorm+170)*(1+sa*0.1+0.04*opp+0.02*agg+Slayer4value-1),IF(instatk="hemo",Slayer4value*(MHavg+(ap+Z564-$Z$1)/APtoDPS*MHnorm)*(1.1+talSCallInstBon)+420*(1+raidcrit)*debuffon,IF(instatk="ss",(MHavg+(ap+Z564-$Z$1)/APtoDPS*MHnorm+98)*(1+sa*0.1+0.02*agg+Slayer4value-1),IF(instatk="v",(ohavg+(ap+Z564-$Z$1)/APtoDPS*OHnorm)*(1+sa*0.1)*(0.5+0.05*dws)+avipdam,Slayer4value*((1+0.04*opp)*(MHavg+101+(ap+Z564-$Z$1)/APtoDPS*MHnorm+(0.5+0.05*dws)*(ohavg+(ap+Z564-$Z$1)/APtoDPS*OHnorm)+101*(1+0.1*dws))*(1+0.5*IF(Talents!$O$18="Yes",1,0)))))))*(instactualhit+(1+((leth*0.06+2)-1)*(cfact-1))*instactualcrit)*fwfactor*AB564*instsec*(AF564/$AN$45))</f>
        <v>0</v>
      </c>
      <c r="AH564" s="25">
        <f t="shared" si="315"/>
        <v>0</v>
      </c>
      <c r="AI564" s="25">
        <f t="shared" si="316"/>
        <v>0</v>
      </c>
      <c r="AJ564" s="25">
        <f t="shared" si="317"/>
        <v>0</v>
      </c>
    </row>
    <row r="565" spans="1:36">
      <c r="A565">
        <f t="shared" si="298"/>
        <v>-1</v>
      </c>
      <c r="B565">
        <f t="shared" si="306"/>
        <v>6</v>
      </c>
      <c r="C565">
        <f t="shared" si="284"/>
        <v>300</v>
      </c>
      <c r="D565">
        <f t="shared" si="299"/>
        <v>0</v>
      </c>
      <c r="E565">
        <f t="shared" si="318"/>
        <v>5</v>
      </c>
      <c r="F565">
        <f t="shared" si="285"/>
        <v>360</v>
      </c>
      <c r="G565">
        <f t="shared" si="300"/>
        <v>0</v>
      </c>
      <c r="H565">
        <f t="shared" si="307"/>
        <v>4</v>
      </c>
      <c r="I565">
        <f t="shared" si="286"/>
        <v>360</v>
      </c>
      <c r="J565">
        <f t="shared" si="301"/>
        <v>0</v>
      </c>
      <c r="K565">
        <f t="shared" si="308"/>
        <v>3</v>
      </c>
      <c r="L565">
        <f t="shared" si="287"/>
        <v>360</v>
      </c>
      <c r="M565">
        <f t="shared" si="302"/>
        <v>0</v>
      </c>
      <c r="N565">
        <f t="shared" si="309"/>
        <v>2</v>
      </c>
      <c r="O565">
        <f t="shared" si="288"/>
        <v>300</v>
      </c>
      <c r="P565">
        <f t="shared" si="310"/>
        <v>0</v>
      </c>
      <c r="Q565">
        <f t="shared" si="311"/>
        <v>2</v>
      </c>
      <c r="R565">
        <f t="shared" si="289"/>
        <v>300</v>
      </c>
      <c r="S565">
        <f t="shared" si="312"/>
        <v>0</v>
      </c>
      <c r="T565">
        <f t="shared" si="313"/>
        <v>-1</v>
      </c>
      <c r="U565">
        <f t="shared" si="303"/>
        <v>1</v>
      </c>
      <c r="V565">
        <f t="shared" si="304"/>
        <v>1</v>
      </c>
      <c r="W565">
        <f t="shared" si="290"/>
        <v>0</v>
      </c>
      <c r="X565">
        <f t="shared" si="314"/>
        <v>0</v>
      </c>
      <c r="Y565">
        <f t="shared" si="291"/>
        <v>0</v>
      </c>
      <c r="Z565">
        <f t="shared" si="292"/>
        <v>0</v>
      </c>
      <c r="AA565">
        <f t="shared" si="293"/>
        <v>0</v>
      </c>
      <c r="AB565" s="29">
        <f t="shared" si="294"/>
        <v>0</v>
      </c>
      <c r="AC565" s="25">
        <f t="shared" si="295"/>
        <v>0</v>
      </c>
      <c r="AD565" s="29">
        <f t="shared" si="296"/>
        <v>0</v>
      </c>
      <c r="AE565" s="25">
        <f t="shared" si="305"/>
        <v>0</v>
      </c>
      <c r="AF565" s="25">
        <f t="shared" si="297"/>
        <v>0</v>
      </c>
      <c r="AG565" s="25">
        <f>IF($A565&lt;0,0,IF(instatk="bs",(1.5+talSCallInstBon)*(MHavg+(ap+Z565-$Z$1)/APtoDPS*MHnorm+170)*(1+sa*0.1+0.04*opp+0.02*agg+Slayer4value-1),IF(instatk="hemo",Slayer4value*(MHavg+(ap+Z565-$Z$1)/APtoDPS*MHnorm)*(1.1+talSCallInstBon)+420*(1+raidcrit)*debuffon,IF(instatk="ss",(MHavg+(ap+Z565-$Z$1)/APtoDPS*MHnorm+98)*(1+sa*0.1+0.02*agg+Slayer4value-1),IF(instatk="v",(ohavg+(ap+Z565-$Z$1)/APtoDPS*OHnorm)*(1+sa*0.1)*(0.5+0.05*dws)+avipdam,Slayer4value*((1+0.04*opp)*(MHavg+101+(ap+Z565-$Z$1)/APtoDPS*MHnorm+(0.5+0.05*dws)*(ohavg+(ap+Z565-$Z$1)/APtoDPS*OHnorm)+101*(1+0.1*dws))*(1+0.5*IF(Talents!$O$18="Yes",1,0)))))))*(instactualhit+(1+((leth*0.06+2)-1)*(cfact-1))*instactualcrit)*fwfactor*AB565*instsec*(AF565/$AN$45))</f>
        <v>0</v>
      </c>
      <c r="AH565" s="25">
        <f t="shared" si="315"/>
        <v>0</v>
      </c>
      <c r="AI565" s="25">
        <f t="shared" si="316"/>
        <v>0</v>
      </c>
      <c r="AJ565" s="25">
        <f t="shared" si="317"/>
        <v>0</v>
      </c>
    </row>
    <row r="566" spans="1:36">
      <c r="A566">
        <f t="shared" si="298"/>
        <v>-1</v>
      </c>
      <c r="B566">
        <f t="shared" si="306"/>
        <v>6</v>
      </c>
      <c r="C566">
        <f t="shared" si="284"/>
        <v>300</v>
      </c>
      <c r="D566">
        <f t="shared" si="299"/>
        <v>0</v>
      </c>
      <c r="E566">
        <f t="shared" si="318"/>
        <v>5</v>
      </c>
      <c r="F566">
        <f t="shared" si="285"/>
        <v>360</v>
      </c>
      <c r="G566">
        <f t="shared" si="300"/>
        <v>0</v>
      </c>
      <c r="H566">
        <f t="shared" si="307"/>
        <v>4</v>
      </c>
      <c r="I566">
        <f t="shared" si="286"/>
        <v>360</v>
      </c>
      <c r="J566">
        <f t="shared" si="301"/>
        <v>0</v>
      </c>
      <c r="K566">
        <f t="shared" si="308"/>
        <v>3</v>
      </c>
      <c r="L566">
        <f t="shared" si="287"/>
        <v>360</v>
      </c>
      <c r="M566">
        <f t="shared" si="302"/>
        <v>0</v>
      </c>
      <c r="N566">
        <f t="shared" si="309"/>
        <v>2</v>
      </c>
      <c r="O566">
        <f t="shared" si="288"/>
        <v>300</v>
      </c>
      <c r="P566">
        <f t="shared" si="310"/>
        <v>0</v>
      </c>
      <c r="Q566">
        <f t="shared" si="311"/>
        <v>2</v>
      </c>
      <c r="R566">
        <f t="shared" si="289"/>
        <v>300</v>
      </c>
      <c r="S566">
        <f t="shared" si="312"/>
        <v>0</v>
      </c>
      <c r="T566">
        <f t="shared" si="313"/>
        <v>-1</v>
      </c>
      <c r="U566">
        <f t="shared" si="303"/>
        <v>1</v>
      </c>
      <c r="V566">
        <f t="shared" si="304"/>
        <v>1</v>
      </c>
      <c r="W566">
        <f t="shared" si="290"/>
        <v>0</v>
      </c>
      <c r="X566">
        <f t="shared" si="314"/>
        <v>0</v>
      </c>
      <c r="Y566">
        <f t="shared" si="291"/>
        <v>0</v>
      </c>
      <c r="Z566">
        <f t="shared" si="292"/>
        <v>0</v>
      </c>
      <c r="AA566">
        <f t="shared" si="293"/>
        <v>0</v>
      </c>
      <c r="AB566" s="29">
        <f t="shared" si="294"/>
        <v>0</v>
      </c>
      <c r="AC566" s="25">
        <f t="shared" si="295"/>
        <v>0</v>
      </c>
      <c r="AD566" s="29">
        <f t="shared" si="296"/>
        <v>0</v>
      </c>
      <c r="AE566" s="25">
        <f t="shared" si="305"/>
        <v>0</v>
      </c>
      <c r="AF566" s="25">
        <f t="shared" si="297"/>
        <v>0</v>
      </c>
      <c r="AG566" s="25">
        <f>IF($A566&lt;0,0,IF(instatk="bs",(1.5+talSCallInstBon)*(MHavg+(ap+Z566-$Z$1)/APtoDPS*MHnorm+170)*(1+sa*0.1+0.04*opp+0.02*agg+Slayer4value-1),IF(instatk="hemo",Slayer4value*(MHavg+(ap+Z566-$Z$1)/APtoDPS*MHnorm)*(1.1+talSCallInstBon)+420*(1+raidcrit)*debuffon,IF(instatk="ss",(MHavg+(ap+Z566-$Z$1)/APtoDPS*MHnorm+98)*(1+sa*0.1+0.02*agg+Slayer4value-1),IF(instatk="v",(ohavg+(ap+Z566-$Z$1)/APtoDPS*OHnorm)*(1+sa*0.1)*(0.5+0.05*dws)+avipdam,Slayer4value*((1+0.04*opp)*(MHavg+101+(ap+Z566-$Z$1)/APtoDPS*MHnorm+(0.5+0.05*dws)*(ohavg+(ap+Z566-$Z$1)/APtoDPS*OHnorm)+101*(1+0.1*dws))*(1+0.5*IF(Talents!$O$18="Yes",1,0)))))))*(instactualhit+(1+((leth*0.06+2)-1)*(cfact-1))*instactualcrit)*fwfactor*AB566*instsec*(AF566/$AN$45))</f>
        <v>0</v>
      </c>
      <c r="AH566" s="25">
        <f t="shared" si="315"/>
        <v>0</v>
      </c>
      <c r="AI566" s="25">
        <f t="shared" si="316"/>
        <v>0</v>
      </c>
      <c r="AJ566" s="25">
        <f t="shared" si="317"/>
        <v>0</v>
      </c>
    </row>
    <row r="567" spans="1:36">
      <c r="A567">
        <f t="shared" si="298"/>
        <v>-1</v>
      </c>
      <c r="B567">
        <f t="shared" si="306"/>
        <v>6</v>
      </c>
      <c r="C567">
        <f t="shared" si="284"/>
        <v>300</v>
      </c>
      <c r="D567">
        <f t="shared" si="299"/>
        <v>0</v>
      </c>
      <c r="E567">
        <f t="shared" si="318"/>
        <v>5</v>
      </c>
      <c r="F567">
        <f t="shared" si="285"/>
        <v>360</v>
      </c>
      <c r="G567">
        <f t="shared" si="300"/>
        <v>0</v>
      </c>
      <c r="H567">
        <f t="shared" si="307"/>
        <v>4</v>
      </c>
      <c r="I567">
        <f t="shared" si="286"/>
        <v>360</v>
      </c>
      <c r="J567">
        <f t="shared" si="301"/>
        <v>0</v>
      </c>
      <c r="K567">
        <f t="shared" si="308"/>
        <v>3</v>
      </c>
      <c r="L567">
        <f t="shared" si="287"/>
        <v>360</v>
      </c>
      <c r="M567">
        <f t="shared" si="302"/>
        <v>0</v>
      </c>
      <c r="N567">
        <f t="shared" si="309"/>
        <v>2</v>
      </c>
      <c r="O567">
        <f t="shared" si="288"/>
        <v>300</v>
      </c>
      <c r="P567">
        <f t="shared" si="310"/>
        <v>0</v>
      </c>
      <c r="Q567">
        <f t="shared" si="311"/>
        <v>2</v>
      </c>
      <c r="R567">
        <f t="shared" si="289"/>
        <v>300</v>
      </c>
      <c r="S567">
        <f t="shared" si="312"/>
        <v>0</v>
      </c>
      <c r="T567">
        <f t="shared" si="313"/>
        <v>-1</v>
      </c>
      <c r="U567">
        <f t="shared" si="303"/>
        <v>1</v>
      </c>
      <c r="V567">
        <f t="shared" si="304"/>
        <v>1</v>
      </c>
      <c r="W567">
        <f t="shared" si="290"/>
        <v>0</v>
      </c>
      <c r="X567">
        <f t="shared" si="314"/>
        <v>0</v>
      </c>
      <c r="Y567">
        <f t="shared" si="291"/>
        <v>0</v>
      </c>
      <c r="Z567">
        <f t="shared" si="292"/>
        <v>0</v>
      </c>
      <c r="AA567">
        <f t="shared" si="293"/>
        <v>0</v>
      </c>
      <c r="AB567" s="29">
        <f t="shared" si="294"/>
        <v>0</v>
      </c>
      <c r="AC567" s="25">
        <f t="shared" si="295"/>
        <v>0</v>
      </c>
      <c r="AD567" s="29">
        <f t="shared" si="296"/>
        <v>0</v>
      </c>
      <c r="AE567" s="25">
        <f t="shared" si="305"/>
        <v>0</v>
      </c>
      <c r="AF567" s="25">
        <f t="shared" si="297"/>
        <v>0</v>
      </c>
      <c r="AG567" s="25">
        <f>IF($A567&lt;0,0,IF(instatk="bs",(1.5+talSCallInstBon)*(MHavg+(ap+Z567-$Z$1)/APtoDPS*MHnorm+170)*(1+sa*0.1+0.04*opp+0.02*agg+Slayer4value-1),IF(instatk="hemo",Slayer4value*(MHavg+(ap+Z567-$Z$1)/APtoDPS*MHnorm)*(1.1+talSCallInstBon)+420*(1+raidcrit)*debuffon,IF(instatk="ss",(MHavg+(ap+Z567-$Z$1)/APtoDPS*MHnorm+98)*(1+sa*0.1+0.02*agg+Slayer4value-1),IF(instatk="v",(ohavg+(ap+Z567-$Z$1)/APtoDPS*OHnorm)*(1+sa*0.1)*(0.5+0.05*dws)+avipdam,Slayer4value*((1+0.04*opp)*(MHavg+101+(ap+Z567-$Z$1)/APtoDPS*MHnorm+(0.5+0.05*dws)*(ohavg+(ap+Z567-$Z$1)/APtoDPS*OHnorm)+101*(1+0.1*dws))*(1+0.5*IF(Talents!$O$18="Yes",1,0)))))))*(instactualhit+(1+((leth*0.06+2)-1)*(cfact-1))*instactualcrit)*fwfactor*AB567*instsec*(AF567/$AN$45))</f>
        <v>0</v>
      </c>
      <c r="AH567" s="25">
        <f t="shared" si="315"/>
        <v>0</v>
      </c>
      <c r="AI567" s="25">
        <f t="shared" si="316"/>
        <v>0</v>
      </c>
      <c r="AJ567" s="25">
        <f t="shared" si="317"/>
        <v>0</v>
      </c>
    </row>
    <row r="568" spans="1:36">
      <c r="A568">
        <f t="shared" si="298"/>
        <v>-1</v>
      </c>
      <c r="B568">
        <f t="shared" si="306"/>
        <v>6</v>
      </c>
      <c r="C568">
        <f t="shared" si="284"/>
        <v>300</v>
      </c>
      <c r="D568">
        <f t="shared" si="299"/>
        <v>0</v>
      </c>
      <c r="E568">
        <f t="shared" si="318"/>
        <v>5</v>
      </c>
      <c r="F568">
        <f t="shared" si="285"/>
        <v>360</v>
      </c>
      <c r="G568">
        <f t="shared" si="300"/>
        <v>0</v>
      </c>
      <c r="H568">
        <f t="shared" si="307"/>
        <v>4</v>
      </c>
      <c r="I568">
        <f t="shared" si="286"/>
        <v>360</v>
      </c>
      <c r="J568">
        <f t="shared" si="301"/>
        <v>0</v>
      </c>
      <c r="K568">
        <f t="shared" si="308"/>
        <v>3</v>
      </c>
      <c r="L568">
        <f t="shared" si="287"/>
        <v>360</v>
      </c>
      <c r="M568">
        <f t="shared" si="302"/>
        <v>0</v>
      </c>
      <c r="N568">
        <f t="shared" si="309"/>
        <v>2</v>
      </c>
      <c r="O568">
        <f t="shared" si="288"/>
        <v>300</v>
      </c>
      <c r="P568">
        <f t="shared" si="310"/>
        <v>0</v>
      </c>
      <c r="Q568">
        <f t="shared" si="311"/>
        <v>2</v>
      </c>
      <c r="R568">
        <f t="shared" si="289"/>
        <v>300</v>
      </c>
      <c r="S568">
        <f t="shared" si="312"/>
        <v>0</v>
      </c>
      <c r="T568">
        <f t="shared" si="313"/>
        <v>-1</v>
      </c>
      <c r="U568">
        <f t="shared" si="303"/>
        <v>1</v>
      </c>
      <c r="V568">
        <f t="shared" si="304"/>
        <v>1</v>
      </c>
      <c r="W568">
        <f t="shared" si="290"/>
        <v>0</v>
      </c>
      <c r="X568">
        <f t="shared" si="314"/>
        <v>0</v>
      </c>
      <c r="Y568">
        <f t="shared" si="291"/>
        <v>0</v>
      </c>
      <c r="Z568">
        <f t="shared" si="292"/>
        <v>0</v>
      </c>
      <c r="AA568">
        <f t="shared" si="293"/>
        <v>0</v>
      </c>
      <c r="AB568" s="29">
        <f t="shared" si="294"/>
        <v>0</v>
      </c>
      <c r="AC568" s="25">
        <f t="shared" si="295"/>
        <v>0</v>
      </c>
      <c r="AD568" s="29">
        <f t="shared" si="296"/>
        <v>0</v>
      </c>
      <c r="AE568" s="25">
        <f t="shared" si="305"/>
        <v>0</v>
      </c>
      <c r="AF568" s="25">
        <f t="shared" si="297"/>
        <v>0</v>
      </c>
      <c r="AG568" s="25">
        <f>IF($A568&lt;0,0,IF(instatk="bs",(1.5+talSCallInstBon)*(MHavg+(ap+Z568-$Z$1)/APtoDPS*MHnorm+170)*(1+sa*0.1+0.04*opp+0.02*agg+Slayer4value-1),IF(instatk="hemo",Slayer4value*(MHavg+(ap+Z568-$Z$1)/APtoDPS*MHnorm)*(1.1+talSCallInstBon)+420*(1+raidcrit)*debuffon,IF(instatk="ss",(MHavg+(ap+Z568-$Z$1)/APtoDPS*MHnorm+98)*(1+sa*0.1+0.02*agg+Slayer4value-1),IF(instatk="v",(ohavg+(ap+Z568-$Z$1)/APtoDPS*OHnorm)*(1+sa*0.1)*(0.5+0.05*dws)+avipdam,Slayer4value*((1+0.04*opp)*(MHavg+101+(ap+Z568-$Z$1)/APtoDPS*MHnorm+(0.5+0.05*dws)*(ohavg+(ap+Z568-$Z$1)/APtoDPS*OHnorm)+101*(1+0.1*dws))*(1+0.5*IF(Talents!$O$18="Yes",1,0)))))))*(instactualhit+(1+((leth*0.06+2)-1)*(cfact-1))*instactualcrit)*fwfactor*AB568*instsec*(AF568/$AN$45))</f>
        <v>0</v>
      </c>
      <c r="AH568" s="25">
        <f t="shared" si="315"/>
        <v>0</v>
      </c>
      <c r="AI568" s="25">
        <f t="shared" si="316"/>
        <v>0</v>
      </c>
      <c r="AJ568" s="25">
        <f t="shared" si="317"/>
        <v>0</v>
      </c>
    </row>
    <row r="569" spans="1:36">
      <c r="A569">
        <f t="shared" si="298"/>
        <v>-1</v>
      </c>
      <c r="B569">
        <f t="shared" si="306"/>
        <v>6</v>
      </c>
      <c r="C569">
        <f t="shared" si="284"/>
        <v>300</v>
      </c>
      <c r="D569">
        <f t="shared" si="299"/>
        <v>0</v>
      </c>
      <c r="E569">
        <f t="shared" si="318"/>
        <v>5</v>
      </c>
      <c r="F569">
        <f t="shared" si="285"/>
        <v>360</v>
      </c>
      <c r="G569">
        <f t="shared" si="300"/>
        <v>0</v>
      </c>
      <c r="H569">
        <f t="shared" si="307"/>
        <v>4</v>
      </c>
      <c r="I569">
        <f t="shared" si="286"/>
        <v>360</v>
      </c>
      <c r="J569">
        <f t="shared" si="301"/>
        <v>0</v>
      </c>
      <c r="K569">
        <f t="shared" si="308"/>
        <v>3</v>
      </c>
      <c r="L569">
        <f t="shared" si="287"/>
        <v>360</v>
      </c>
      <c r="M569">
        <f t="shared" si="302"/>
        <v>0</v>
      </c>
      <c r="N569">
        <f t="shared" si="309"/>
        <v>2</v>
      </c>
      <c r="O569">
        <f t="shared" si="288"/>
        <v>300</v>
      </c>
      <c r="P569">
        <f t="shared" si="310"/>
        <v>0</v>
      </c>
      <c r="Q569">
        <f t="shared" si="311"/>
        <v>2</v>
      </c>
      <c r="R569">
        <f t="shared" si="289"/>
        <v>300</v>
      </c>
      <c r="S569">
        <f t="shared" si="312"/>
        <v>0</v>
      </c>
      <c r="T569">
        <f t="shared" si="313"/>
        <v>-1</v>
      </c>
      <c r="U569">
        <f t="shared" si="303"/>
        <v>1</v>
      </c>
      <c r="V569">
        <f t="shared" si="304"/>
        <v>1</v>
      </c>
      <c r="W569">
        <f t="shared" si="290"/>
        <v>0</v>
      </c>
      <c r="X569">
        <f t="shared" si="314"/>
        <v>0</v>
      </c>
      <c r="Y569">
        <f t="shared" si="291"/>
        <v>0</v>
      </c>
      <c r="Z569">
        <f t="shared" si="292"/>
        <v>0</v>
      </c>
      <c r="AA569">
        <f t="shared" si="293"/>
        <v>0</v>
      </c>
      <c r="AB569" s="29">
        <f t="shared" si="294"/>
        <v>0</v>
      </c>
      <c r="AC569" s="25">
        <f t="shared" si="295"/>
        <v>0</v>
      </c>
      <c r="AD569" s="29">
        <f t="shared" si="296"/>
        <v>0</v>
      </c>
      <c r="AE569" s="25">
        <f t="shared" si="305"/>
        <v>0</v>
      </c>
      <c r="AF569" s="25">
        <f t="shared" si="297"/>
        <v>0</v>
      </c>
      <c r="AG569" s="25">
        <f>IF($A569&lt;0,0,IF(instatk="bs",(1.5+talSCallInstBon)*(MHavg+(ap+Z569-$Z$1)/APtoDPS*MHnorm+170)*(1+sa*0.1+0.04*opp+0.02*agg+Slayer4value-1),IF(instatk="hemo",Slayer4value*(MHavg+(ap+Z569-$Z$1)/APtoDPS*MHnorm)*(1.1+talSCallInstBon)+420*(1+raidcrit)*debuffon,IF(instatk="ss",(MHavg+(ap+Z569-$Z$1)/APtoDPS*MHnorm+98)*(1+sa*0.1+0.02*agg+Slayer4value-1),IF(instatk="v",(ohavg+(ap+Z569-$Z$1)/APtoDPS*OHnorm)*(1+sa*0.1)*(0.5+0.05*dws)+avipdam,Slayer4value*((1+0.04*opp)*(MHavg+101+(ap+Z569-$Z$1)/APtoDPS*MHnorm+(0.5+0.05*dws)*(ohavg+(ap+Z569-$Z$1)/APtoDPS*OHnorm)+101*(1+0.1*dws))*(1+0.5*IF(Talents!$O$18="Yes",1,0)))))))*(instactualhit+(1+((leth*0.06+2)-1)*(cfact-1))*instactualcrit)*fwfactor*AB569*instsec*(AF569/$AN$45))</f>
        <v>0</v>
      </c>
      <c r="AH569" s="25">
        <f t="shared" si="315"/>
        <v>0</v>
      </c>
      <c r="AI569" s="25">
        <f t="shared" si="316"/>
        <v>0</v>
      </c>
      <c r="AJ569" s="25">
        <f t="shared" si="317"/>
        <v>0</v>
      </c>
    </row>
    <row r="570" spans="1:36">
      <c r="A570">
        <f t="shared" si="298"/>
        <v>-1</v>
      </c>
      <c r="B570">
        <f t="shared" si="306"/>
        <v>6</v>
      </c>
      <c r="C570">
        <f t="shared" si="284"/>
        <v>300</v>
      </c>
      <c r="D570">
        <f t="shared" si="299"/>
        <v>0</v>
      </c>
      <c r="E570">
        <f t="shared" si="318"/>
        <v>5</v>
      </c>
      <c r="F570">
        <f t="shared" si="285"/>
        <v>360</v>
      </c>
      <c r="G570">
        <f t="shared" si="300"/>
        <v>0</v>
      </c>
      <c r="H570">
        <f t="shared" si="307"/>
        <v>4</v>
      </c>
      <c r="I570">
        <f t="shared" si="286"/>
        <v>360</v>
      </c>
      <c r="J570">
        <f t="shared" si="301"/>
        <v>0</v>
      </c>
      <c r="K570">
        <f t="shared" si="308"/>
        <v>3</v>
      </c>
      <c r="L570">
        <f t="shared" si="287"/>
        <v>360</v>
      </c>
      <c r="M570">
        <f t="shared" si="302"/>
        <v>0</v>
      </c>
      <c r="N570">
        <f t="shared" si="309"/>
        <v>2</v>
      </c>
      <c r="O570">
        <f t="shared" si="288"/>
        <v>300</v>
      </c>
      <c r="P570">
        <f t="shared" si="310"/>
        <v>0</v>
      </c>
      <c r="Q570">
        <f t="shared" si="311"/>
        <v>2</v>
      </c>
      <c r="R570">
        <f t="shared" si="289"/>
        <v>300</v>
      </c>
      <c r="S570">
        <f t="shared" si="312"/>
        <v>0</v>
      </c>
      <c r="T570">
        <f t="shared" si="313"/>
        <v>-1</v>
      </c>
      <c r="U570">
        <f t="shared" si="303"/>
        <v>1</v>
      </c>
      <c r="V570">
        <f t="shared" si="304"/>
        <v>1</v>
      </c>
      <c r="W570">
        <f t="shared" si="290"/>
        <v>0</v>
      </c>
      <c r="X570">
        <f t="shared" si="314"/>
        <v>0</v>
      </c>
      <c r="Y570">
        <f t="shared" si="291"/>
        <v>0</v>
      </c>
      <c r="Z570">
        <f t="shared" si="292"/>
        <v>0</v>
      </c>
      <c r="AA570">
        <f t="shared" si="293"/>
        <v>0</v>
      </c>
      <c r="AB570" s="29">
        <f t="shared" si="294"/>
        <v>0</v>
      </c>
      <c r="AC570" s="25">
        <f t="shared" si="295"/>
        <v>0</v>
      </c>
      <c r="AD570" s="29">
        <f t="shared" si="296"/>
        <v>0</v>
      </c>
      <c r="AE570" s="25">
        <f t="shared" si="305"/>
        <v>0</v>
      </c>
      <c r="AF570" s="25">
        <f t="shared" si="297"/>
        <v>0</v>
      </c>
      <c r="AG570" s="25">
        <f>IF($A570&lt;0,0,IF(instatk="bs",(1.5+talSCallInstBon)*(MHavg+(ap+Z570-$Z$1)/APtoDPS*MHnorm+170)*(1+sa*0.1+0.04*opp+0.02*agg+Slayer4value-1),IF(instatk="hemo",Slayer4value*(MHavg+(ap+Z570-$Z$1)/APtoDPS*MHnorm)*(1.1+talSCallInstBon)+420*(1+raidcrit)*debuffon,IF(instatk="ss",(MHavg+(ap+Z570-$Z$1)/APtoDPS*MHnorm+98)*(1+sa*0.1+0.02*agg+Slayer4value-1),IF(instatk="v",(ohavg+(ap+Z570-$Z$1)/APtoDPS*OHnorm)*(1+sa*0.1)*(0.5+0.05*dws)+avipdam,Slayer4value*((1+0.04*opp)*(MHavg+101+(ap+Z570-$Z$1)/APtoDPS*MHnorm+(0.5+0.05*dws)*(ohavg+(ap+Z570-$Z$1)/APtoDPS*OHnorm)+101*(1+0.1*dws))*(1+0.5*IF(Talents!$O$18="Yes",1,0)))))))*(instactualhit+(1+((leth*0.06+2)-1)*(cfact-1))*instactualcrit)*fwfactor*AB570*instsec*(AF570/$AN$45))</f>
        <v>0</v>
      </c>
      <c r="AH570" s="25">
        <f t="shared" si="315"/>
        <v>0</v>
      </c>
      <c r="AI570" s="25">
        <f t="shared" si="316"/>
        <v>0</v>
      </c>
      <c r="AJ570" s="25">
        <f t="shared" si="317"/>
        <v>0</v>
      </c>
    </row>
    <row r="571" spans="1:36">
      <c r="A571">
        <f t="shared" si="298"/>
        <v>-1</v>
      </c>
      <c r="B571">
        <f t="shared" si="306"/>
        <v>6</v>
      </c>
      <c r="C571">
        <f t="shared" si="284"/>
        <v>300</v>
      </c>
      <c r="D571">
        <f t="shared" si="299"/>
        <v>0</v>
      </c>
      <c r="E571">
        <f t="shared" si="318"/>
        <v>5</v>
      </c>
      <c r="F571">
        <f t="shared" si="285"/>
        <v>360</v>
      </c>
      <c r="G571">
        <f t="shared" si="300"/>
        <v>0</v>
      </c>
      <c r="H571">
        <f t="shared" si="307"/>
        <v>4</v>
      </c>
      <c r="I571">
        <f t="shared" si="286"/>
        <v>360</v>
      </c>
      <c r="J571">
        <f t="shared" si="301"/>
        <v>0</v>
      </c>
      <c r="K571">
        <f t="shared" si="308"/>
        <v>3</v>
      </c>
      <c r="L571">
        <f t="shared" si="287"/>
        <v>360</v>
      </c>
      <c r="M571">
        <f t="shared" si="302"/>
        <v>0</v>
      </c>
      <c r="N571">
        <f t="shared" si="309"/>
        <v>2</v>
      </c>
      <c r="O571">
        <f t="shared" si="288"/>
        <v>300</v>
      </c>
      <c r="P571">
        <f t="shared" si="310"/>
        <v>0</v>
      </c>
      <c r="Q571">
        <f t="shared" si="311"/>
        <v>2</v>
      </c>
      <c r="R571">
        <f t="shared" si="289"/>
        <v>300</v>
      </c>
      <c r="S571">
        <f t="shared" si="312"/>
        <v>0</v>
      </c>
      <c r="T571">
        <f t="shared" si="313"/>
        <v>-1</v>
      </c>
      <c r="U571">
        <f t="shared" si="303"/>
        <v>1</v>
      </c>
      <c r="V571">
        <f t="shared" si="304"/>
        <v>1</v>
      </c>
      <c r="W571">
        <f t="shared" si="290"/>
        <v>0</v>
      </c>
      <c r="X571">
        <f t="shared" si="314"/>
        <v>0</v>
      </c>
      <c r="Y571">
        <f t="shared" si="291"/>
        <v>0</v>
      </c>
      <c r="Z571">
        <f t="shared" si="292"/>
        <v>0</v>
      </c>
      <c r="AA571">
        <f t="shared" si="293"/>
        <v>0</v>
      </c>
      <c r="AB571" s="29">
        <f t="shared" si="294"/>
        <v>0</v>
      </c>
      <c r="AC571" s="25">
        <f t="shared" si="295"/>
        <v>0</v>
      </c>
      <c r="AD571" s="29">
        <f t="shared" si="296"/>
        <v>0</v>
      </c>
      <c r="AE571" s="25">
        <f t="shared" si="305"/>
        <v>0</v>
      </c>
      <c r="AF571" s="25">
        <f t="shared" si="297"/>
        <v>0</v>
      </c>
      <c r="AG571" s="25">
        <f>IF($A571&lt;0,0,IF(instatk="bs",(1.5+talSCallInstBon)*(MHavg+(ap+Z571-$Z$1)/APtoDPS*MHnorm+170)*(1+sa*0.1+0.04*opp+0.02*agg+Slayer4value-1),IF(instatk="hemo",Slayer4value*(MHavg+(ap+Z571-$Z$1)/APtoDPS*MHnorm)*(1.1+talSCallInstBon)+420*(1+raidcrit)*debuffon,IF(instatk="ss",(MHavg+(ap+Z571-$Z$1)/APtoDPS*MHnorm+98)*(1+sa*0.1+0.02*agg+Slayer4value-1),IF(instatk="v",(ohavg+(ap+Z571-$Z$1)/APtoDPS*OHnorm)*(1+sa*0.1)*(0.5+0.05*dws)+avipdam,Slayer4value*((1+0.04*opp)*(MHavg+101+(ap+Z571-$Z$1)/APtoDPS*MHnorm+(0.5+0.05*dws)*(ohavg+(ap+Z571-$Z$1)/APtoDPS*OHnorm)+101*(1+0.1*dws))*(1+0.5*IF(Talents!$O$18="Yes",1,0)))))))*(instactualhit+(1+((leth*0.06+2)-1)*(cfact-1))*instactualcrit)*fwfactor*AB571*instsec*(AF571/$AN$45))</f>
        <v>0</v>
      </c>
      <c r="AH571" s="25">
        <f t="shared" si="315"/>
        <v>0</v>
      </c>
      <c r="AI571" s="25">
        <f t="shared" si="316"/>
        <v>0</v>
      </c>
      <c r="AJ571" s="25">
        <f t="shared" si="317"/>
        <v>0</v>
      </c>
    </row>
    <row r="572" spans="1:36">
      <c r="A572">
        <f t="shared" si="298"/>
        <v>-1</v>
      </c>
      <c r="B572">
        <f t="shared" si="306"/>
        <v>6</v>
      </c>
      <c r="C572">
        <f t="shared" si="284"/>
        <v>300</v>
      </c>
      <c r="D572">
        <f t="shared" si="299"/>
        <v>0</v>
      </c>
      <c r="E572">
        <f t="shared" si="318"/>
        <v>5</v>
      </c>
      <c r="F572">
        <f t="shared" si="285"/>
        <v>360</v>
      </c>
      <c r="G572">
        <f t="shared" si="300"/>
        <v>0</v>
      </c>
      <c r="H572">
        <f t="shared" si="307"/>
        <v>4</v>
      </c>
      <c r="I572">
        <f t="shared" si="286"/>
        <v>360</v>
      </c>
      <c r="J572">
        <f t="shared" si="301"/>
        <v>0</v>
      </c>
      <c r="K572">
        <f t="shared" si="308"/>
        <v>3</v>
      </c>
      <c r="L572">
        <f t="shared" si="287"/>
        <v>360</v>
      </c>
      <c r="M572">
        <f t="shared" si="302"/>
        <v>0</v>
      </c>
      <c r="N572">
        <f t="shared" si="309"/>
        <v>2</v>
      </c>
      <c r="O572">
        <f t="shared" si="288"/>
        <v>300</v>
      </c>
      <c r="P572">
        <f t="shared" si="310"/>
        <v>0</v>
      </c>
      <c r="Q572">
        <f t="shared" si="311"/>
        <v>2</v>
      </c>
      <c r="R572">
        <f t="shared" si="289"/>
        <v>300</v>
      </c>
      <c r="S572">
        <f t="shared" si="312"/>
        <v>0</v>
      </c>
      <c r="T572">
        <f t="shared" si="313"/>
        <v>-1</v>
      </c>
      <c r="U572">
        <f t="shared" si="303"/>
        <v>1</v>
      </c>
      <c r="V572">
        <f t="shared" si="304"/>
        <v>1</v>
      </c>
      <c r="W572">
        <f t="shared" si="290"/>
        <v>0</v>
      </c>
      <c r="X572">
        <f t="shared" si="314"/>
        <v>0</v>
      </c>
      <c r="Y572">
        <f t="shared" si="291"/>
        <v>0</v>
      </c>
      <c r="Z572">
        <f t="shared" si="292"/>
        <v>0</v>
      </c>
      <c r="AA572">
        <f t="shared" si="293"/>
        <v>0</v>
      </c>
      <c r="AB572" s="29">
        <f t="shared" si="294"/>
        <v>0</v>
      </c>
      <c r="AC572" s="25">
        <f t="shared" si="295"/>
        <v>0</v>
      </c>
      <c r="AD572" s="29">
        <f t="shared" si="296"/>
        <v>0</v>
      </c>
      <c r="AE572" s="25">
        <f t="shared" si="305"/>
        <v>0</v>
      </c>
      <c r="AF572" s="25">
        <f t="shared" si="297"/>
        <v>0</v>
      </c>
      <c r="AG572" s="25">
        <f>IF($A572&lt;0,0,IF(instatk="bs",(1.5+talSCallInstBon)*(MHavg+(ap+Z572-$Z$1)/APtoDPS*MHnorm+170)*(1+sa*0.1+0.04*opp+0.02*agg+Slayer4value-1),IF(instatk="hemo",Slayer4value*(MHavg+(ap+Z572-$Z$1)/APtoDPS*MHnorm)*(1.1+talSCallInstBon)+420*(1+raidcrit)*debuffon,IF(instatk="ss",(MHavg+(ap+Z572-$Z$1)/APtoDPS*MHnorm+98)*(1+sa*0.1+0.02*agg+Slayer4value-1),IF(instatk="v",(ohavg+(ap+Z572-$Z$1)/APtoDPS*OHnorm)*(1+sa*0.1)*(0.5+0.05*dws)+avipdam,Slayer4value*((1+0.04*opp)*(MHavg+101+(ap+Z572-$Z$1)/APtoDPS*MHnorm+(0.5+0.05*dws)*(ohavg+(ap+Z572-$Z$1)/APtoDPS*OHnorm)+101*(1+0.1*dws))*(1+0.5*IF(Talents!$O$18="Yes",1,0)))))))*(instactualhit+(1+((leth*0.06+2)-1)*(cfact-1))*instactualcrit)*fwfactor*AB572*instsec*(AF572/$AN$45))</f>
        <v>0</v>
      </c>
      <c r="AH572" s="25">
        <f t="shared" si="315"/>
        <v>0</v>
      </c>
      <c r="AI572" s="25">
        <f t="shared" si="316"/>
        <v>0</v>
      </c>
      <c r="AJ572" s="25">
        <f t="shared" si="317"/>
        <v>0</v>
      </c>
    </row>
    <row r="573" spans="1:36">
      <c r="A573">
        <f t="shared" si="298"/>
        <v>-1</v>
      </c>
      <c r="B573">
        <f t="shared" si="306"/>
        <v>6</v>
      </c>
      <c r="C573">
        <f t="shared" si="284"/>
        <v>300</v>
      </c>
      <c r="D573">
        <f t="shared" si="299"/>
        <v>0</v>
      </c>
      <c r="E573">
        <f t="shared" si="318"/>
        <v>5</v>
      </c>
      <c r="F573">
        <f t="shared" si="285"/>
        <v>360</v>
      </c>
      <c r="G573">
        <f t="shared" si="300"/>
        <v>0</v>
      </c>
      <c r="H573">
        <f t="shared" si="307"/>
        <v>4</v>
      </c>
      <c r="I573">
        <f t="shared" si="286"/>
        <v>360</v>
      </c>
      <c r="J573">
        <f t="shared" si="301"/>
        <v>0</v>
      </c>
      <c r="K573">
        <f t="shared" si="308"/>
        <v>3</v>
      </c>
      <c r="L573">
        <f t="shared" si="287"/>
        <v>360</v>
      </c>
      <c r="M573">
        <f t="shared" si="302"/>
        <v>0</v>
      </c>
      <c r="N573">
        <f t="shared" si="309"/>
        <v>2</v>
      </c>
      <c r="O573">
        <f t="shared" si="288"/>
        <v>300</v>
      </c>
      <c r="P573">
        <f t="shared" si="310"/>
        <v>0</v>
      </c>
      <c r="Q573">
        <f t="shared" si="311"/>
        <v>2</v>
      </c>
      <c r="R573">
        <f t="shared" si="289"/>
        <v>300</v>
      </c>
      <c r="S573">
        <f t="shared" si="312"/>
        <v>0</v>
      </c>
      <c r="T573">
        <f t="shared" si="313"/>
        <v>-1</v>
      </c>
      <c r="U573">
        <f t="shared" si="303"/>
        <v>1</v>
      </c>
      <c r="V573">
        <f t="shared" si="304"/>
        <v>1</v>
      </c>
      <c r="W573">
        <f t="shared" si="290"/>
        <v>0</v>
      </c>
      <c r="X573">
        <f t="shared" si="314"/>
        <v>0</v>
      </c>
      <c r="Y573">
        <f t="shared" si="291"/>
        <v>0</v>
      </c>
      <c r="Z573">
        <f t="shared" si="292"/>
        <v>0</v>
      </c>
      <c r="AA573">
        <f t="shared" si="293"/>
        <v>0</v>
      </c>
      <c r="AB573" s="29">
        <f t="shared" si="294"/>
        <v>0</v>
      </c>
      <c r="AC573" s="25">
        <f t="shared" si="295"/>
        <v>0</v>
      </c>
      <c r="AD573" s="29">
        <f t="shared" si="296"/>
        <v>0</v>
      </c>
      <c r="AE573" s="25">
        <f t="shared" si="305"/>
        <v>0</v>
      </c>
      <c r="AF573" s="25">
        <f t="shared" si="297"/>
        <v>0</v>
      </c>
      <c r="AG573" s="25">
        <f>IF($A573&lt;0,0,IF(instatk="bs",(1.5+talSCallInstBon)*(MHavg+(ap+Z573-$Z$1)/APtoDPS*MHnorm+170)*(1+sa*0.1+0.04*opp+0.02*agg+Slayer4value-1),IF(instatk="hemo",Slayer4value*(MHavg+(ap+Z573-$Z$1)/APtoDPS*MHnorm)*(1.1+talSCallInstBon)+420*(1+raidcrit)*debuffon,IF(instatk="ss",(MHavg+(ap+Z573-$Z$1)/APtoDPS*MHnorm+98)*(1+sa*0.1+0.02*agg+Slayer4value-1),IF(instatk="v",(ohavg+(ap+Z573-$Z$1)/APtoDPS*OHnorm)*(1+sa*0.1)*(0.5+0.05*dws)+avipdam,Slayer4value*((1+0.04*opp)*(MHavg+101+(ap+Z573-$Z$1)/APtoDPS*MHnorm+(0.5+0.05*dws)*(ohavg+(ap+Z573-$Z$1)/APtoDPS*OHnorm)+101*(1+0.1*dws))*(1+0.5*IF(Talents!$O$18="Yes",1,0)))))))*(instactualhit+(1+((leth*0.06+2)-1)*(cfact-1))*instactualcrit)*fwfactor*AB573*instsec*(AF573/$AN$45))</f>
        <v>0</v>
      </c>
      <c r="AH573" s="25">
        <f t="shared" si="315"/>
        <v>0</v>
      </c>
      <c r="AI573" s="25">
        <f t="shared" si="316"/>
        <v>0</v>
      </c>
      <c r="AJ573" s="25">
        <f t="shared" si="317"/>
        <v>0</v>
      </c>
    </row>
    <row r="574" spans="1:36">
      <c r="A574">
        <f t="shared" si="298"/>
        <v>-1</v>
      </c>
      <c r="B574">
        <f t="shared" si="306"/>
        <v>6</v>
      </c>
      <c r="C574">
        <f t="shared" si="284"/>
        <v>300</v>
      </c>
      <c r="D574">
        <f t="shared" si="299"/>
        <v>0</v>
      </c>
      <c r="E574">
        <f t="shared" si="318"/>
        <v>5</v>
      </c>
      <c r="F574">
        <f t="shared" si="285"/>
        <v>360</v>
      </c>
      <c r="G574">
        <f t="shared" si="300"/>
        <v>0</v>
      </c>
      <c r="H574">
        <f t="shared" si="307"/>
        <v>4</v>
      </c>
      <c r="I574">
        <f t="shared" si="286"/>
        <v>360</v>
      </c>
      <c r="J574">
        <f t="shared" si="301"/>
        <v>0</v>
      </c>
      <c r="K574">
        <f t="shared" si="308"/>
        <v>3</v>
      </c>
      <c r="L574">
        <f t="shared" si="287"/>
        <v>360</v>
      </c>
      <c r="M574">
        <f t="shared" si="302"/>
        <v>0</v>
      </c>
      <c r="N574">
        <f t="shared" si="309"/>
        <v>2</v>
      </c>
      <c r="O574">
        <f t="shared" si="288"/>
        <v>300</v>
      </c>
      <c r="P574">
        <f t="shared" si="310"/>
        <v>0</v>
      </c>
      <c r="Q574">
        <f t="shared" si="311"/>
        <v>2</v>
      </c>
      <c r="R574">
        <f t="shared" si="289"/>
        <v>300</v>
      </c>
      <c r="S574">
        <f t="shared" si="312"/>
        <v>0</v>
      </c>
      <c r="T574">
        <f t="shared" si="313"/>
        <v>-1</v>
      </c>
      <c r="U574">
        <f t="shared" si="303"/>
        <v>1</v>
      </c>
      <c r="V574">
        <f t="shared" si="304"/>
        <v>1</v>
      </c>
      <c r="W574">
        <f t="shared" si="290"/>
        <v>0</v>
      </c>
      <c r="X574">
        <f t="shared" si="314"/>
        <v>0</v>
      </c>
      <c r="Y574">
        <f t="shared" si="291"/>
        <v>0</v>
      </c>
      <c r="Z574">
        <f t="shared" si="292"/>
        <v>0</v>
      </c>
      <c r="AA574">
        <f t="shared" si="293"/>
        <v>0</v>
      </c>
      <c r="AB574" s="29">
        <f t="shared" si="294"/>
        <v>0</v>
      </c>
      <c r="AC574" s="25">
        <f t="shared" si="295"/>
        <v>0</v>
      </c>
      <c r="AD574" s="29">
        <f t="shared" si="296"/>
        <v>0</v>
      </c>
      <c r="AE574" s="25">
        <f t="shared" si="305"/>
        <v>0</v>
      </c>
      <c r="AF574" s="25">
        <f t="shared" si="297"/>
        <v>0</v>
      </c>
      <c r="AG574" s="25">
        <f>IF($A574&lt;0,0,IF(instatk="bs",(1.5+talSCallInstBon)*(MHavg+(ap+Z574-$Z$1)/APtoDPS*MHnorm+170)*(1+sa*0.1+0.04*opp+0.02*agg+Slayer4value-1),IF(instatk="hemo",Slayer4value*(MHavg+(ap+Z574-$Z$1)/APtoDPS*MHnorm)*(1.1+talSCallInstBon)+420*(1+raidcrit)*debuffon,IF(instatk="ss",(MHavg+(ap+Z574-$Z$1)/APtoDPS*MHnorm+98)*(1+sa*0.1+0.02*agg+Slayer4value-1),IF(instatk="v",(ohavg+(ap+Z574-$Z$1)/APtoDPS*OHnorm)*(1+sa*0.1)*(0.5+0.05*dws)+avipdam,Slayer4value*((1+0.04*opp)*(MHavg+101+(ap+Z574-$Z$1)/APtoDPS*MHnorm+(0.5+0.05*dws)*(ohavg+(ap+Z574-$Z$1)/APtoDPS*OHnorm)+101*(1+0.1*dws))*(1+0.5*IF(Talents!$O$18="Yes",1,0)))))))*(instactualhit+(1+((leth*0.06+2)-1)*(cfact-1))*instactualcrit)*fwfactor*AB574*instsec*(AF574/$AN$45))</f>
        <v>0</v>
      </c>
      <c r="AH574" s="25">
        <f t="shared" si="315"/>
        <v>0</v>
      </c>
      <c r="AI574" s="25">
        <f t="shared" si="316"/>
        <v>0</v>
      </c>
      <c r="AJ574" s="25">
        <f t="shared" si="317"/>
        <v>0</v>
      </c>
    </row>
    <row r="575" spans="1:36">
      <c r="A575">
        <f t="shared" si="298"/>
        <v>-1</v>
      </c>
      <c r="B575">
        <f t="shared" si="306"/>
        <v>6</v>
      </c>
      <c r="C575">
        <f t="shared" si="284"/>
        <v>300</v>
      </c>
      <c r="D575">
        <f t="shared" si="299"/>
        <v>0</v>
      </c>
      <c r="E575">
        <f t="shared" si="318"/>
        <v>5</v>
      </c>
      <c r="F575">
        <f t="shared" si="285"/>
        <v>360</v>
      </c>
      <c r="G575">
        <f t="shared" si="300"/>
        <v>0</v>
      </c>
      <c r="H575">
        <f t="shared" si="307"/>
        <v>4</v>
      </c>
      <c r="I575">
        <f t="shared" si="286"/>
        <v>360</v>
      </c>
      <c r="J575">
        <f t="shared" si="301"/>
        <v>0</v>
      </c>
      <c r="K575">
        <f t="shared" si="308"/>
        <v>3</v>
      </c>
      <c r="L575">
        <f t="shared" si="287"/>
        <v>360</v>
      </c>
      <c r="M575">
        <f t="shared" si="302"/>
        <v>0</v>
      </c>
      <c r="N575">
        <f t="shared" si="309"/>
        <v>2</v>
      </c>
      <c r="O575">
        <f t="shared" si="288"/>
        <v>300</v>
      </c>
      <c r="P575">
        <f t="shared" si="310"/>
        <v>0</v>
      </c>
      <c r="Q575">
        <f t="shared" si="311"/>
        <v>2</v>
      </c>
      <c r="R575">
        <f t="shared" si="289"/>
        <v>300</v>
      </c>
      <c r="S575">
        <f t="shared" si="312"/>
        <v>0</v>
      </c>
      <c r="T575">
        <f t="shared" si="313"/>
        <v>-1</v>
      </c>
      <c r="U575">
        <f t="shared" si="303"/>
        <v>1</v>
      </c>
      <c r="V575">
        <f t="shared" si="304"/>
        <v>1</v>
      </c>
      <c r="W575">
        <f t="shared" si="290"/>
        <v>0</v>
      </c>
      <c r="X575">
        <f t="shared" si="314"/>
        <v>0</v>
      </c>
      <c r="Y575">
        <f t="shared" si="291"/>
        <v>0</v>
      </c>
      <c r="Z575">
        <f t="shared" si="292"/>
        <v>0</v>
      </c>
      <c r="AA575">
        <f t="shared" si="293"/>
        <v>0</v>
      </c>
      <c r="AB575" s="29">
        <f t="shared" si="294"/>
        <v>0</v>
      </c>
      <c r="AC575" s="25">
        <f t="shared" si="295"/>
        <v>0</v>
      </c>
      <c r="AD575" s="29">
        <f t="shared" si="296"/>
        <v>0</v>
      </c>
      <c r="AE575" s="25">
        <f t="shared" si="305"/>
        <v>0</v>
      </c>
      <c r="AF575" s="25">
        <f t="shared" si="297"/>
        <v>0</v>
      </c>
      <c r="AG575" s="25">
        <f>IF($A575&lt;0,0,IF(instatk="bs",(1.5+talSCallInstBon)*(MHavg+(ap+Z575-$Z$1)/APtoDPS*MHnorm+170)*(1+sa*0.1+0.04*opp+0.02*agg+Slayer4value-1),IF(instatk="hemo",Slayer4value*(MHavg+(ap+Z575-$Z$1)/APtoDPS*MHnorm)*(1.1+talSCallInstBon)+420*(1+raidcrit)*debuffon,IF(instatk="ss",(MHavg+(ap+Z575-$Z$1)/APtoDPS*MHnorm+98)*(1+sa*0.1+0.02*agg+Slayer4value-1),IF(instatk="v",(ohavg+(ap+Z575-$Z$1)/APtoDPS*OHnorm)*(1+sa*0.1)*(0.5+0.05*dws)+avipdam,Slayer4value*((1+0.04*opp)*(MHavg+101+(ap+Z575-$Z$1)/APtoDPS*MHnorm+(0.5+0.05*dws)*(ohavg+(ap+Z575-$Z$1)/APtoDPS*OHnorm)+101*(1+0.1*dws))*(1+0.5*IF(Talents!$O$18="Yes",1,0)))))))*(instactualhit+(1+((leth*0.06+2)-1)*(cfact-1))*instactualcrit)*fwfactor*AB575*instsec*(AF575/$AN$45))</f>
        <v>0</v>
      </c>
      <c r="AH575" s="25">
        <f t="shared" si="315"/>
        <v>0</v>
      </c>
      <c r="AI575" s="25">
        <f t="shared" si="316"/>
        <v>0</v>
      </c>
      <c r="AJ575" s="25">
        <f t="shared" si="317"/>
        <v>0</v>
      </c>
    </row>
    <row r="576" spans="1:36">
      <c r="A576">
        <f t="shared" si="298"/>
        <v>-1</v>
      </c>
      <c r="B576">
        <f t="shared" si="306"/>
        <v>6</v>
      </c>
      <c r="C576">
        <f t="shared" si="284"/>
        <v>300</v>
      </c>
      <c r="D576">
        <f t="shared" si="299"/>
        <v>0</v>
      </c>
      <c r="E576">
        <f t="shared" si="318"/>
        <v>5</v>
      </c>
      <c r="F576">
        <f t="shared" si="285"/>
        <v>360</v>
      </c>
      <c r="G576">
        <f t="shared" si="300"/>
        <v>0</v>
      </c>
      <c r="H576">
        <f t="shared" si="307"/>
        <v>4</v>
      </c>
      <c r="I576">
        <f t="shared" si="286"/>
        <v>360</v>
      </c>
      <c r="J576">
        <f t="shared" si="301"/>
        <v>0</v>
      </c>
      <c r="K576">
        <f t="shared" si="308"/>
        <v>3</v>
      </c>
      <c r="L576">
        <f t="shared" si="287"/>
        <v>360</v>
      </c>
      <c r="M576">
        <f t="shared" si="302"/>
        <v>0</v>
      </c>
      <c r="N576">
        <f t="shared" si="309"/>
        <v>2</v>
      </c>
      <c r="O576">
        <f t="shared" si="288"/>
        <v>300</v>
      </c>
      <c r="P576">
        <f t="shared" si="310"/>
        <v>0</v>
      </c>
      <c r="Q576">
        <f t="shared" si="311"/>
        <v>2</v>
      </c>
      <c r="R576">
        <f t="shared" si="289"/>
        <v>300</v>
      </c>
      <c r="S576">
        <f t="shared" si="312"/>
        <v>0</v>
      </c>
      <c r="T576">
        <f t="shared" si="313"/>
        <v>-1</v>
      </c>
      <c r="U576">
        <f t="shared" si="303"/>
        <v>1</v>
      </c>
      <c r="V576">
        <f t="shared" si="304"/>
        <v>1</v>
      </c>
      <c r="W576">
        <f t="shared" si="290"/>
        <v>0</v>
      </c>
      <c r="X576">
        <f t="shared" si="314"/>
        <v>0</v>
      </c>
      <c r="Y576">
        <f t="shared" si="291"/>
        <v>0</v>
      </c>
      <c r="Z576">
        <f t="shared" si="292"/>
        <v>0</v>
      </c>
      <c r="AA576">
        <f t="shared" si="293"/>
        <v>0</v>
      </c>
      <c r="AB576" s="29">
        <f t="shared" si="294"/>
        <v>0</v>
      </c>
      <c r="AC576" s="25">
        <f t="shared" si="295"/>
        <v>0</v>
      </c>
      <c r="AD576" s="29">
        <f t="shared" si="296"/>
        <v>0</v>
      </c>
      <c r="AE576" s="25">
        <f t="shared" si="305"/>
        <v>0</v>
      </c>
      <c r="AF576" s="25">
        <f t="shared" si="297"/>
        <v>0</v>
      </c>
      <c r="AG576" s="25">
        <f>IF($A576&lt;0,0,IF(instatk="bs",(1.5+talSCallInstBon)*(MHavg+(ap+Z576-$Z$1)/APtoDPS*MHnorm+170)*(1+sa*0.1+0.04*opp+0.02*agg+Slayer4value-1),IF(instatk="hemo",Slayer4value*(MHavg+(ap+Z576-$Z$1)/APtoDPS*MHnorm)*(1.1+talSCallInstBon)+420*(1+raidcrit)*debuffon,IF(instatk="ss",(MHavg+(ap+Z576-$Z$1)/APtoDPS*MHnorm+98)*(1+sa*0.1+0.02*agg+Slayer4value-1),IF(instatk="v",(ohavg+(ap+Z576-$Z$1)/APtoDPS*OHnorm)*(1+sa*0.1)*(0.5+0.05*dws)+avipdam,Slayer4value*((1+0.04*opp)*(MHavg+101+(ap+Z576-$Z$1)/APtoDPS*MHnorm+(0.5+0.05*dws)*(ohavg+(ap+Z576-$Z$1)/APtoDPS*OHnorm)+101*(1+0.1*dws))*(1+0.5*IF(Talents!$O$18="Yes",1,0)))))))*(instactualhit+(1+((leth*0.06+2)-1)*(cfact-1))*instactualcrit)*fwfactor*AB576*instsec*(AF576/$AN$45))</f>
        <v>0</v>
      </c>
      <c r="AH576" s="25">
        <f t="shared" si="315"/>
        <v>0</v>
      </c>
      <c r="AI576" s="25">
        <f t="shared" si="316"/>
        <v>0</v>
      </c>
      <c r="AJ576" s="25">
        <f t="shared" si="317"/>
        <v>0</v>
      </c>
    </row>
    <row r="577" spans="1:36">
      <c r="A577">
        <f t="shared" si="298"/>
        <v>-1</v>
      </c>
      <c r="B577">
        <f t="shared" si="306"/>
        <v>6</v>
      </c>
      <c r="C577">
        <f t="shared" si="284"/>
        <v>300</v>
      </c>
      <c r="D577">
        <f t="shared" si="299"/>
        <v>0</v>
      </c>
      <c r="E577">
        <f t="shared" si="318"/>
        <v>5</v>
      </c>
      <c r="F577">
        <f t="shared" si="285"/>
        <v>360</v>
      </c>
      <c r="G577">
        <f t="shared" si="300"/>
        <v>0</v>
      </c>
      <c r="H577">
        <f t="shared" si="307"/>
        <v>4</v>
      </c>
      <c r="I577">
        <f t="shared" si="286"/>
        <v>360</v>
      </c>
      <c r="J577">
        <f t="shared" si="301"/>
        <v>0</v>
      </c>
      <c r="K577">
        <f t="shared" si="308"/>
        <v>3</v>
      </c>
      <c r="L577">
        <f t="shared" si="287"/>
        <v>360</v>
      </c>
      <c r="M577">
        <f t="shared" si="302"/>
        <v>0</v>
      </c>
      <c r="N577">
        <f t="shared" si="309"/>
        <v>2</v>
      </c>
      <c r="O577">
        <f t="shared" si="288"/>
        <v>300</v>
      </c>
      <c r="P577">
        <f t="shared" si="310"/>
        <v>0</v>
      </c>
      <c r="Q577">
        <f t="shared" si="311"/>
        <v>2</v>
      </c>
      <c r="R577">
        <f t="shared" si="289"/>
        <v>300</v>
      </c>
      <c r="S577">
        <f t="shared" si="312"/>
        <v>0</v>
      </c>
      <c r="T577">
        <f t="shared" si="313"/>
        <v>-1</v>
      </c>
      <c r="U577">
        <f t="shared" si="303"/>
        <v>1</v>
      </c>
      <c r="V577">
        <f t="shared" si="304"/>
        <v>1</v>
      </c>
      <c r="W577">
        <f t="shared" si="290"/>
        <v>0</v>
      </c>
      <c r="X577">
        <f t="shared" si="314"/>
        <v>0</v>
      </c>
      <c r="Y577">
        <f t="shared" si="291"/>
        <v>0</v>
      </c>
      <c r="Z577">
        <f t="shared" si="292"/>
        <v>0</v>
      </c>
      <c r="AA577">
        <f t="shared" si="293"/>
        <v>0</v>
      </c>
      <c r="AB577" s="29">
        <f t="shared" si="294"/>
        <v>0</v>
      </c>
      <c r="AC577" s="25">
        <f t="shared" si="295"/>
        <v>0</v>
      </c>
      <c r="AD577" s="29">
        <f t="shared" si="296"/>
        <v>0</v>
      </c>
      <c r="AE577" s="25">
        <f t="shared" si="305"/>
        <v>0</v>
      </c>
      <c r="AF577" s="25">
        <f t="shared" si="297"/>
        <v>0</v>
      </c>
      <c r="AG577" s="25">
        <f>IF($A577&lt;0,0,IF(instatk="bs",(1.5+talSCallInstBon)*(MHavg+(ap+Z577-$Z$1)/APtoDPS*MHnorm+170)*(1+sa*0.1+0.04*opp+0.02*agg+Slayer4value-1),IF(instatk="hemo",Slayer4value*(MHavg+(ap+Z577-$Z$1)/APtoDPS*MHnorm)*(1.1+talSCallInstBon)+420*(1+raidcrit)*debuffon,IF(instatk="ss",(MHavg+(ap+Z577-$Z$1)/APtoDPS*MHnorm+98)*(1+sa*0.1+0.02*agg+Slayer4value-1),IF(instatk="v",(ohavg+(ap+Z577-$Z$1)/APtoDPS*OHnorm)*(1+sa*0.1)*(0.5+0.05*dws)+avipdam,Slayer4value*((1+0.04*opp)*(MHavg+101+(ap+Z577-$Z$1)/APtoDPS*MHnorm+(0.5+0.05*dws)*(ohavg+(ap+Z577-$Z$1)/APtoDPS*OHnorm)+101*(1+0.1*dws))*(1+0.5*IF(Talents!$O$18="Yes",1,0)))))))*(instactualhit+(1+((leth*0.06+2)-1)*(cfact-1))*instactualcrit)*fwfactor*AB577*instsec*(AF577/$AN$45))</f>
        <v>0</v>
      </c>
      <c r="AH577" s="25">
        <f t="shared" si="315"/>
        <v>0</v>
      </c>
      <c r="AI577" s="25">
        <f t="shared" si="316"/>
        <v>0</v>
      </c>
      <c r="AJ577" s="25">
        <f t="shared" si="317"/>
        <v>0</v>
      </c>
    </row>
    <row r="578" spans="1:36">
      <c r="A578">
        <f t="shared" si="298"/>
        <v>-1</v>
      </c>
      <c r="B578">
        <f t="shared" si="306"/>
        <v>6</v>
      </c>
      <c r="C578">
        <f t="shared" si="284"/>
        <v>300</v>
      </c>
      <c r="D578">
        <f t="shared" si="299"/>
        <v>0</v>
      </c>
      <c r="E578">
        <f t="shared" si="318"/>
        <v>5</v>
      </c>
      <c r="F578">
        <f t="shared" si="285"/>
        <v>360</v>
      </c>
      <c r="G578">
        <f t="shared" si="300"/>
        <v>0</v>
      </c>
      <c r="H578">
        <f t="shared" si="307"/>
        <v>4</v>
      </c>
      <c r="I578">
        <f t="shared" si="286"/>
        <v>360</v>
      </c>
      <c r="J578">
        <f t="shared" si="301"/>
        <v>0</v>
      </c>
      <c r="K578">
        <f t="shared" si="308"/>
        <v>3</v>
      </c>
      <c r="L578">
        <f t="shared" si="287"/>
        <v>360</v>
      </c>
      <c r="M578">
        <f t="shared" si="302"/>
        <v>0</v>
      </c>
      <c r="N578">
        <f t="shared" si="309"/>
        <v>2</v>
      </c>
      <c r="O578">
        <f t="shared" si="288"/>
        <v>300</v>
      </c>
      <c r="P578">
        <f t="shared" si="310"/>
        <v>0</v>
      </c>
      <c r="Q578">
        <f t="shared" si="311"/>
        <v>2</v>
      </c>
      <c r="R578">
        <f t="shared" si="289"/>
        <v>300</v>
      </c>
      <c r="S578">
        <f t="shared" si="312"/>
        <v>0</v>
      </c>
      <c r="T578">
        <f t="shared" si="313"/>
        <v>-1</v>
      </c>
      <c r="U578">
        <f t="shared" si="303"/>
        <v>1</v>
      </c>
      <c r="V578">
        <f t="shared" si="304"/>
        <v>1</v>
      </c>
      <c r="W578">
        <f t="shared" si="290"/>
        <v>0</v>
      </c>
      <c r="X578">
        <f t="shared" si="314"/>
        <v>0</v>
      </c>
      <c r="Y578">
        <f t="shared" si="291"/>
        <v>0</v>
      </c>
      <c r="Z578">
        <f t="shared" si="292"/>
        <v>0</v>
      </c>
      <c r="AA578">
        <f t="shared" si="293"/>
        <v>0</v>
      </c>
      <c r="AB578" s="29">
        <f t="shared" si="294"/>
        <v>0</v>
      </c>
      <c r="AC578" s="25">
        <f t="shared" si="295"/>
        <v>0</v>
      </c>
      <c r="AD578" s="29">
        <f t="shared" si="296"/>
        <v>0</v>
      </c>
      <c r="AE578" s="25">
        <f t="shared" si="305"/>
        <v>0</v>
      </c>
      <c r="AF578" s="25">
        <f t="shared" si="297"/>
        <v>0</v>
      </c>
      <c r="AG578" s="25">
        <f>IF($A578&lt;0,0,IF(instatk="bs",(1.5+talSCallInstBon)*(MHavg+(ap+Z578-$Z$1)/APtoDPS*MHnorm+170)*(1+sa*0.1+0.04*opp+0.02*agg+Slayer4value-1),IF(instatk="hemo",Slayer4value*(MHavg+(ap+Z578-$Z$1)/APtoDPS*MHnorm)*(1.1+talSCallInstBon)+420*(1+raidcrit)*debuffon,IF(instatk="ss",(MHavg+(ap+Z578-$Z$1)/APtoDPS*MHnorm+98)*(1+sa*0.1+0.02*agg+Slayer4value-1),IF(instatk="v",(ohavg+(ap+Z578-$Z$1)/APtoDPS*OHnorm)*(1+sa*0.1)*(0.5+0.05*dws)+avipdam,Slayer4value*((1+0.04*opp)*(MHavg+101+(ap+Z578-$Z$1)/APtoDPS*MHnorm+(0.5+0.05*dws)*(ohavg+(ap+Z578-$Z$1)/APtoDPS*OHnorm)+101*(1+0.1*dws))*(1+0.5*IF(Talents!$O$18="Yes",1,0)))))))*(instactualhit+(1+((leth*0.06+2)-1)*(cfact-1))*instactualcrit)*fwfactor*AB578*instsec*(AF578/$AN$45))</f>
        <v>0</v>
      </c>
      <c r="AH578" s="25">
        <f t="shared" si="315"/>
        <v>0</v>
      </c>
      <c r="AI578" s="25">
        <f t="shared" si="316"/>
        <v>0</v>
      </c>
      <c r="AJ578" s="25">
        <f t="shared" si="317"/>
        <v>0</v>
      </c>
    </row>
    <row r="579" spans="1:36">
      <c r="A579">
        <f t="shared" si="298"/>
        <v>-1</v>
      </c>
      <c r="B579">
        <f t="shared" si="306"/>
        <v>6</v>
      </c>
      <c r="C579">
        <f t="shared" ref="C579:C602" si="319">IF(AND(cdspec60,cdspec60plus),CHOOSE($B579,cdspec601,cdspec602,cdspec603,cdspec604,cdspec605,cdspec606,cdspec607,cdspec608,cdspec609,cdspec6010),($B579-1)*60+IF(cdspec60,cdspec601,0))</f>
        <v>300</v>
      </c>
      <c r="D579">
        <f t="shared" si="299"/>
        <v>0</v>
      </c>
      <c r="E579">
        <f t="shared" si="318"/>
        <v>5</v>
      </c>
      <c r="F579">
        <f t="shared" ref="F579:F602" si="320">IF(AND(cdspec90,cdspec90plus),CHOOSE(E579,cdspec901,cdspec902,cdspec903,cdspec904,cdspec905,cdspec906),(E579-1)*IF(cdtreat90as120,120,90)+IF(cdspec90,cdspec901,0))</f>
        <v>360</v>
      </c>
      <c r="G579">
        <f t="shared" si="300"/>
        <v>0</v>
      </c>
      <c r="H579">
        <f t="shared" si="307"/>
        <v>4</v>
      </c>
      <c r="I579">
        <f t="shared" ref="I579:I602" si="321">IF(AND(cdspec120,cdspec120plus),CHOOSE(H579,cdspec1201,cdspec1202,cdspec1203,cdspec1204,cdspec1205),(H579-1)*120+IF(cdspec120,cdspec1201,0))</f>
        <v>360</v>
      </c>
      <c r="J579">
        <f t="shared" si="301"/>
        <v>0</v>
      </c>
      <c r="K579">
        <f t="shared" si="308"/>
        <v>3</v>
      </c>
      <c r="L579">
        <f t="shared" ref="L579:L602" si="322">IF(AND(cdspec180,cdspec180plus),CHOOSE(K579,cdspec1801,cdspec1802,cdspec1803,cdspec1804),(K579-1)*IF(cdtreat180as240,240,180)+IF(cdspec180,cdspec1801,0))</f>
        <v>360</v>
      </c>
      <c r="M579">
        <f t="shared" si="302"/>
        <v>0</v>
      </c>
      <c r="N579">
        <f t="shared" si="309"/>
        <v>2</v>
      </c>
      <c r="O579">
        <f t="shared" ref="O579:O602" si="323">IF(cdspecar,CHOOSE(N579,cdar1,cdar2),(N579-1)*300)</f>
        <v>300</v>
      </c>
      <c r="P579">
        <f t="shared" si="310"/>
        <v>0</v>
      </c>
      <c r="Q579">
        <f t="shared" si="311"/>
        <v>2</v>
      </c>
      <c r="R579">
        <f t="shared" ref="R579:R602" si="324">IF(cdspectea,CHOOSE(Q579,cdtea1,cdtea2),(Q579-1)*300)</f>
        <v>300</v>
      </c>
      <c r="S579">
        <f t="shared" si="312"/>
        <v>0</v>
      </c>
      <c r="T579">
        <f t="shared" si="313"/>
        <v>-1</v>
      </c>
      <c r="U579">
        <f t="shared" si="303"/>
        <v>1</v>
      </c>
      <c r="V579">
        <f t="shared" si="304"/>
        <v>1</v>
      </c>
      <c r="W579">
        <f t="shared" ref="W579:W602" si="325">IF(V579=0,-1,IF(cdspeclust,CHOOSE(V579,cdlust1,cdlust2,cdlust3,cdlust4,cdlust5,cdlust6,cdlust7,cdlust8,cdlust9,cdlust10,cdlust11,cdlust12,cdlust13,cdlust14,cdlust15),(V579-1)*120))</f>
        <v>0</v>
      </c>
      <c r="X579">
        <f t="shared" si="314"/>
        <v>0</v>
      </c>
      <c r="Y579">
        <f t="shared" ref="Y579:Y602" si="326">IF($A579&lt;0, 0, IF($J579=0, 0, $AO$16*($J579&lt;=$AT$16)-IF($AW$14, $AO$3*($J579&lt;=$AT$3)))+IF($U579=0, 0, $AO$3))</f>
        <v>0</v>
      </c>
      <c r="Z579">
        <f t="shared" ref="Z579:Z602" si="327">IF($A579&lt;0, 0, IF($D579=0, 0, $AP$6*($D579&lt;=$AT$6)-IF($AW$5, $AP$3*($D579&lt;=$AT$3)))+IF($G579=0, 0, ($AP$9+$AP$10+$AP$11+$AP$12)*($G579&lt;=$AT$9)-IF($AW$8, $AP$3*($G579&lt;=$AT$3)))+IF($J579=0, 0, ($AP$17+$AP$18+$AP$19+$AP$24)*($J579&lt;=$AT$17)+($AP$23+$AP$25+$AP$27)*($J579&lt;=$AT$23)+$AP$30*($J579&lt;=$AT$30)+$AP$21*ROUNDUP($J579/2,0)*($J579&lt;=$AT$21)-IF($AW$14, IF($AP$3=65,$AP$3*ROUNDUP($J579/2,0)*($J579&lt;=$AT$3),$AP$3*($J579&lt;=$AT$3))))+IF($M579=0, 0, $AP$34*($M579&lt;=$AT$34)-IF($AW$32, $AP$3*($M579&lt;=$AT$3)))+IF($U579=0, 0, IF($AP$3=65,$AP$3*ROUNDUP($U579/2,0),$AP$3)))</f>
        <v>0</v>
      </c>
      <c r="AA579">
        <f t="shared" ref="AA579:AA602" si="328">IF($A579&lt;0,0,IF($J579=0,0,$AQ$20*($J579&lt;=$AT$20)-IF($AW$14,$AQ$3*($J579&lt;=$AT$3)))+IF($M579=0,0,$AQ$33*($M579&lt;=$AT$33))+IF($U579=0,0,$AQ$3))</f>
        <v>0</v>
      </c>
      <c r="AB579" s="29">
        <f t="shared" ref="AB579:AB602" si="329">IF($A579&lt;0,0,1-MAX($AN$44-AA579,0)/(MAX($AN$44-AA579,0)+467.5*CharLevel-22167.5))</f>
        <v>0</v>
      </c>
      <c r="AC579" s="25">
        <f t="shared" ref="AC579:AC602" si="330">IF($A579&lt;0,0,$AN$43+IF($J579=0, 0, $AR$15*($J579&lt;=$AT$15)+$AR$22*($J579&lt;=$AT$22)+$AR$28*($J579&lt;=$AT$28)+$AR$29*($J579&lt;=$AT$29)-IF($AW$14, $AR$3*($J579&lt;=$AT$3))))</f>
        <v>0</v>
      </c>
      <c r="AD579" s="29">
        <f t="shared" ref="AD579:AD602" si="331">IF($A579&lt;0,0,(1+$AC579/(hasterate*100))*(1+$AS$26/100*AND($J579&gt;0,$J579&lt;=$AT$26))*(1+$AS$35/100*AND($M579&gt;0,$M579&lt;=$AT$35))*(1+0.3*($X579&gt;0)))</f>
        <v>0</v>
      </c>
      <c r="AE579" s="25">
        <f t="shared" si="305"/>
        <v>0</v>
      </c>
      <c r="AF579" s="25">
        <f t="shared" ref="AF579:AF602" si="332">MIN(instcost,AE579)</f>
        <v>0</v>
      </c>
      <c r="AG579" s="25">
        <f>IF($A579&lt;0,0,IF(instatk="bs",(1.5+talSCallInstBon)*(MHavg+(ap+Z579-$Z$1)/APtoDPS*MHnorm+170)*(1+sa*0.1+0.04*opp+0.02*agg+Slayer4value-1),IF(instatk="hemo",Slayer4value*(MHavg+(ap+Z579-$Z$1)/APtoDPS*MHnorm)*(1.1+talSCallInstBon)+420*(1+raidcrit)*debuffon,IF(instatk="ss",(MHavg+(ap+Z579-$Z$1)/APtoDPS*MHnorm+98)*(1+sa*0.1+0.02*agg+Slayer4value-1),IF(instatk="v",(ohavg+(ap+Z579-$Z$1)/APtoDPS*OHnorm)*(1+sa*0.1)*(0.5+0.05*dws)+avipdam,Slayer4value*((1+0.04*opp)*(MHavg+101+(ap+Z579-$Z$1)/APtoDPS*MHnorm+(0.5+0.05*dws)*(ohavg+(ap+Z579-$Z$1)/APtoDPS*OHnorm)+101*(1+0.1*dws))*(1+0.5*IF(Talents!$O$18="Yes",1,0)))))))*(instactualhit+(1+((leth*0.06+2)-1)*(cfact-1))*instactualcrit)*fwfactor*AB579*instsec*(AF579/$AN$45))</f>
        <v>0</v>
      </c>
      <c r="AH579" s="25">
        <f t="shared" si="315"/>
        <v>0</v>
      </c>
      <c r="AI579" s="25">
        <f t="shared" si="316"/>
        <v>0</v>
      </c>
      <c r="AJ579" s="25">
        <f t="shared" si="317"/>
        <v>0</v>
      </c>
    </row>
    <row r="580" spans="1:36">
      <c r="A580">
        <f t="shared" ref="A580:A602" si="333">IF(A579&lt;0,-1,IF(A579+1&gt;=time,-1,A579+1))</f>
        <v>-1</v>
      </c>
      <c r="B580">
        <f t="shared" si="306"/>
        <v>6</v>
      </c>
      <c r="C580">
        <f t="shared" si="319"/>
        <v>300</v>
      </c>
      <c r="D580">
        <f t="shared" ref="D580:D602" si="334">IF($A580=$C580,1,IF(AND($D579&gt;0,$D579&lt;30),$D579+1,0))</f>
        <v>0</v>
      </c>
      <c r="E580">
        <f t="shared" si="318"/>
        <v>5</v>
      </c>
      <c r="F580">
        <f t="shared" si="320"/>
        <v>360</v>
      </c>
      <c r="G580">
        <f t="shared" ref="G580:G602" si="335">IF($A580=F580,1,IF(AND(G579&gt;0,G579&lt;30),G579+1,0))</f>
        <v>0</v>
      </c>
      <c r="H580">
        <f t="shared" si="307"/>
        <v>4</v>
      </c>
      <c r="I580">
        <f t="shared" si="321"/>
        <v>360</v>
      </c>
      <c r="J580">
        <f t="shared" ref="J580:J602" si="336">IF($A580=I580,1,IF(AND(J579&gt;0,J579&lt;30),J579+1,0))</f>
        <v>0</v>
      </c>
      <c r="K580">
        <f t="shared" si="308"/>
        <v>3</v>
      </c>
      <c r="L580">
        <f t="shared" si="322"/>
        <v>360</v>
      </c>
      <c r="M580">
        <f t="shared" ref="M580:M602" si="337">IF($A580=L580,1,IF(AND(M579&gt;0,M579&lt;30),M579+1,0))</f>
        <v>0</v>
      </c>
      <c r="N580">
        <f t="shared" si="309"/>
        <v>2</v>
      </c>
      <c r="O580">
        <f t="shared" si="323"/>
        <v>300</v>
      </c>
      <c r="P580">
        <f t="shared" si="310"/>
        <v>0</v>
      </c>
      <c r="Q580">
        <f t="shared" si="311"/>
        <v>2</v>
      </c>
      <c r="R580">
        <f t="shared" si="324"/>
        <v>300</v>
      </c>
      <c r="S580">
        <f t="shared" si="312"/>
        <v>0</v>
      </c>
      <c r="T580">
        <f t="shared" si="313"/>
        <v>-1</v>
      </c>
      <c r="U580">
        <f t="shared" ref="U580:U602" si="338">IF($A580=T580,1,IF(AND(U579&gt;0,U579&lt;$AT$3),U579+1,0))</f>
        <v>1</v>
      </c>
      <c r="V580">
        <f t="shared" ref="V580:V602" si="339">MIN(IF(X579=1,V579+1,V579),blustcount)</f>
        <v>1</v>
      </c>
      <c r="W580">
        <f t="shared" si="325"/>
        <v>0</v>
      </c>
      <c r="X580">
        <f t="shared" si="314"/>
        <v>0</v>
      </c>
      <c r="Y580">
        <f t="shared" si="326"/>
        <v>0</v>
      </c>
      <c r="Z580">
        <f t="shared" si="327"/>
        <v>0</v>
      </c>
      <c r="AA580">
        <f t="shared" si="328"/>
        <v>0</v>
      </c>
      <c r="AB580" s="29">
        <f t="shared" si="329"/>
        <v>0</v>
      </c>
      <c r="AC580" s="25">
        <f t="shared" si="330"/>
        <v>0</v>
      </c>
      <c r="AD580" s="29">
        <f t="shared" si="331"/>
        <v>0</v>
      </c>
      <c r="AE580" s="25">
        <f t="shared" ref="AE580:AE602" si="340">IF($A580&lt;0,0,$AN$45+IF($P580&gt;0,$AN$37*$AL$37,0)+$S580*(60-IF(CharLevel&gt;60,(CharLevel-60)*2,0))*$AL$38+IF($J580=1,$AL$26*-25+IF($AL$39, 30, 0),0)+IF($M580=1,$AL$35*-10,0)+IF(AE579&gt;instcost,AE579-instcost,0))</f>
        <v>0</v>
      </c>
      <c r="AF580" s="25">
        <f t="shared" si="332"/>
        <v>0</v>
      </c>
      <c r="AG580" s="25">
        <f>IF($A580&lt;0,0,IF(instatk="bs",(1.5+talSCallInstBon)*(MHavg+(ap+Z580-$Z$1)/APtoDPS*MHnorm+170)*(1+sa*0.1+0.04*opp+0.02*agg+Slayer4value-1),IF(instatk="hemo",Slayer4value*(MHavg+(ap+Z580-$Z$1)/APtoDPS*MHnorm)*(1.1+talSCallInstBon)+420*(1+raidcrit)*debuffon,IF(instatk="ss",(MHavg+(ap+Z580-$Z$1)/APtoDPS*MHnorm+98)*(1+sa*0.1+0.02*agg+Slayer4value-1),IF(instatk="v",(ohavg+(ap+Z580-$Z$1)/APtoDPS*OHnorm)*(1+sa*0.1)*(0.5+0.05*dws)+avipdam,Slayer4value*((1+0.04*opp)*(MHavg+101+(ap+Z580-$Z$1)/APtoDPS*MHnorm+(0.5+0.05*dws)*(ohavg+(ap+Z580-$Z$1)/APtoDPS*OHnorm)+101*(1+0.1*dws))*(1+0.5*IF(Talents!$O$18="Yes",1,0)))))))*(instactualhit+(1+((leth*0.06+2)-1)*(cfact-1))*instactualcrit)*fwfactor*AB580*instsec*(AF580/$AN$45))</f>
        <v>0</v>
      </c>
      <c r="AH580" s="25">
        <f t="shared" si="315"/>
        <v>0</v>
      </c>
      <c r="AI580" s="25">
        <f t="shared" si="316"/>
        <v>0</v>
      </c>
      <c r="AJ580" s="25">
        <f t="shared" si="317"/>
        <v>0</v>
      </c>
    </row>
    <row r="581" spans="1:36">
      <c r="A581">
        <f t="shared" si="333"/>
        <v>-1</v>
      </c>
      <c r="B581">
        <f t="shared" ref="B581:B602" si="341">MIN(IF(D580=1,B580+1,B580),10)</f>
        <v>6</v>
      </c>
      <c r="C581">
        <f t="shared" si="319"/>
        <v>300</v>
      </c>
      <c r="D581">
        <f t="shared" si="334"/>
        <v>0</v>
      </c>
      <c r="E581">
        <f t="shared" si="318"/>
        <v>5</v>
      </c>
      <c r="F581">
        <f t="shared" si="320"/>
        <v>360</v>
      </c>
      <c r="G581">
        <f t="shared" si="335"/>
        <v>0</v>
      </c>
      <c r="H581">
        <f t="shared" ref="H581:H602" si="342">MIN(IF(J580=1,H580+1,H580),5)</f>
        <v>4</v>
      </c>
      <c r="I581">
        <f t="shared" si="321"/>
        <v>360</v>
      </c>
      <c r="J581">
        <f t="shared" si="336"/>
        <v>0</v>
      </c>
      <c r="K581">
        <f t="shared" ref="K581:K602" si="343">MIN(IF(M580=1,K580+1,K580),4)</f>
        <v>3</v>
      </c>
      <c r="L581">
        <f t="shared" si="322"/>
        <v>360</v>
      </c>
      <c r="M581">
        <f t="shared" si="337"/>
        <v>0</v>
      </c>
      <c r="N581">
        <f t="shared" ref="N581:N602" si="344">MIN(IF(P580=1,N580+1,N580),2)</f>
        <v>2</v>
      </c>
      <c r="O581">
        <f t="shared" si="323"/>
        <v>300</v>
      </c>
      <c r="P581">
        <f t="shared" ref="P581:P602" si="345">IF($A581=O581,1,IF(AND(P580&gt;0,P580&lt;15),P580+1,0))</f>
        <v>0</v>
      </c>
      <c r="Q581">
        <f t="shared" ref="Q581:Q602" si="346">MIN(IF(S580=1,Q580+1,Q580),2)</f>
        <v>2</v>
      </c>
      <c r="R581">
        <f t="shared" si="324"/>
        <v>300</v>
      </c>
      <c r="S581">
        <f t="shared" ref="S581:S602" si="347">IF($A581=R581,1,IF(AND(S580&gt;0,S580&lt;1),S580+1,0))</f>
        <v>0</v>
      </c>
      <c r="T581">
        <f t="shared" ref="T581:T602" si="348">IF($AU$3, IF(AND(T580&gt;IF($AV$5,C581,IF($AV$8,F581,IF($AV$14,I581,IF($AV$32,L581))))-$AT$3,T580&lt;IF($AV$5,C581,IF($AV$8,F581,IF($AV$14,I581,IF($AV$32,L581))))+$AU$3), IF($AV$5,C581,IF($AV$8,F581,IF($AV$14,I581,IF($AV$32,L581))))+$AU$3, T580)+IF(T580-A580=0, IF($AW$5,60,IF($AW$8,90,IF($AW$14,120,IF($AW$32,180))))), -1)</f>
        <v>-1</v>
      </c>
      <c r="U581">
        <f t="shared" si="338"/>
        <v>1</v>
      </c>
      <c r="V581">
        <f t="shared" si="339"/>
        <v>1</v>
      </c>
      <c r="W581">
        <f t="shared" si="325"/>
        <v>0</v>
      </c>
      <c r="X581">
        <f t="shared" ref="X581:X602" si="349">IF($A581=W581,1,IF(AND(X580&gt;0,X580&lt;40),X580+1,0))</f>
        <v>0</v>
      </c>
      <c r="Y581">
        <f t="shared" si="326"/>
        <v>0</v>
      </c>
      <c r="Z581">
        <f t="shared" si="327"/>
        <v>0</v>
      </c>
      <c r="AA581">
        <f t="shared" si="328"/>
        <v>0</v>
      </c>
      <c r="AB581" s="29">
        <f t="shared" si="329"/>
        <v>0</v>
      </c>
      <c r="AC581" s="25">
        <f t="shared" si="330"/>
        <v>0</v>
      </c>
      <c r="AD581" s="29">
        <f t="shared" si="331"/>
        <v>0</v>
      </c>
      <c r="AE581" s="25">
        <f t="shared" si="340"/>
        <v>0</v>
      </c>
      <c r="AF581" s="25">
        <f t="shared" si="332"/>
        <v>0</v>
      </c>
      <c r="AG581" s="25">
        <f>IF($A581&lt;0,0,IF(instatk="bs",(1.5+talSCallInstBon)*(MHavg+(ap+Z581-$Z$1)/APtoDPS*MHnorm+170)*(1+sa*0.1+0.04*opp+0.02*agg+Slayer4value-1),IF(instatk="hemo",Slayer4value*(MHavg+(ap+Z581-$Z$1)/APtoDPS*MHnorm)*(1.1+talSCallInstBon)+420*(1+raidcrit)*debuffon,IF(instatk="ss",(MHavg+(ap+Z581-$Z$1)/APtoDPS*MHnorm+98)*(1+sa*0.1+0.02*agg+Slayer4value-1),IF(instatk="v",(ohavg+(ap+Z581-$Z$1)/APtoDPS*OHnorm)*(1+sa*0.1)*(0.5+0.05*dws)+avipdam,Slayer4value*((1+0.04*opp)*(MHavg+101+(ap+Z581-$Z$1)/APtoDPS*MHnorm+(0.5+0.05*dws)*(ohavg+(ap+Z581-$Z$1)/APtoDPS*OHnorm)+101*(1+0.1*dws))*(1+0.5*IF(Talents!$O$18="Yes",1,0)))))))*(instactualhit+(1+((leth*0.06+2)-1)*(cfact-1))*instactualcrit)*fwfactor*AB581*instsec*(AF581/$AN$45))</f>
        <v>0</v>
      </c>
      <c r="AH581" s="25">
        <f t="shared" ref="AH581:AH602" si="350">IF(AH580-$AF581&lt;0,0,AH580-$AF581)</f>
        <v>0</v>
      </c>
      <c r="AI581" s="25">
        <f t="shared" ref="AI581:AI602" si="351">IF(AI580-AF581&lt;0,0,AI580-AF581)</f>
        <v>0</v>
      </c>
      <c r="AJ581" s="25">
        <f t="shared" ref="AJ581:AJ602" si="352">IF(AJ580-$AF581&lt;0,0,AJ580-$AF581)</f>
        <v>0</v>
      </c>
    </row>
    <row r="582" spans="1:36">
      <c r="A582">
        <f t="shared" si="333"/>
        <v>-1</v>
      </c>
      <c r="B582">
        <f t="shared" si="341"/>
        <v>6</v>
      </c>
      <c r="C582">
        <f t="shared" si="319"/>
        <v>300</v>
      </c>
      <c r="D582">
        <f t="shared" si="334"/>
        <v>0</v>
      </c>
      <c r="E582">
        <f t="shared" ref="E582:E602" si="353">MIN(IF(G581=1,E581+1,E581),6)</f>
        <v>5</v>
      </c>
      <c r="F582">
        <f t="shared" si="320"/>
        <v>360</v>
      </c>
      <c r="G582">
        <f t="shared" si="335"/>
        <v>0</v>
      </c>
      <c r="H582">
        <f t="shared" si="342"/>
        <v>4</v>
      </c>
      <c r="I582">
        <f t="shared" si="321"/>
        <v>360</v>
      </c>
      <c r="J582">
        <f t="shared" si="336"/>
        <v>0</v>
      </c>
      <c r="K582">
        <f t="shared" si="343"/>
        <v>3</v>
      </c>
      <c r="L582">
        <f t="shared" si="322"/>
        <v>360</v>
      </c>
      <c r="M582">
        <f t="shared" si="337"/>
        <v>0</v>
      </c>
      <c r="N582">
        <f t="shared" si="344"/>
        <v>2</v>
      </c>
      <c r="O582">
        <f t="shared" si="323"/>
        <v>300</v>
      </c>
      <c r="P582">
        <f t="shared" si="345"/>
        <v>0</v>
      </c>
      <c r="Q582">
        <f t="shared" si="346"/>
        <v>2</v>
      </c>
      <c r="R582">
        <f t="shared" si="324"/>
        <v>300</v>
      </c>
      <c r="S582">
        <f t="shared" si="347"/>
        <v>0</v>
      </c>
      <c r="T582">
        <f t="shared" si="348"/>
        <v>-1</v>
      </c>
      <c r="U582">
        <f t="shared" si="338"/>
        <v>1</v>
      </c>
      <c r="V582">
        <f t="shared" si="339"/>
        <v>1</v>
      </c>
      <c r="W582">
        <f t="shared" si="325"/>
        <v>0</v>
      </c>
      <c r="X582">
        <f t="shared" si="349"/>
        <v>0</v>
      </c>
      <c r="Y582">
        <f t="shared" si="326"/>
        <v>0</v>
      </c>
      <c r="Z582">
        <f t="shared" si="327"/>
        <v>0</v>
      </c>
      <c r="AA582">
        <f t="shared" si="328"/>
        <v>0</v>
      </c>
      <c r="AB582" s="29">
        <f t="shared" si="329"/>
        <v>0</v>
      </c>
      <c r="AC582" s="25">
        <f t="shared" si="330"/>
        <v>0</v>
      </c>
      <c r="AD582" s="29">
        <f t="shared" si="331"/>
        <v>0</v>
      </c>
      <c r="AE582" s="25">
        <f t="shared" si="340"/>
        <v>0</v>
      </c>
      <c r="AF582" s="25">
        <f t="shared" si="332"/>
        <v>0</v>
      </c>
      <c r="AG582" s="25">
        <f>IF($A582&lt;0,0,IF(instatk="bs",(1.5+talSCallInstBon)*(MHavg+(ap+Z582-$Z$1)/APtoDPS*MHnorm+170)*(1+sa*0.1+0.04*opp+0.02*agg+Slayer4value-1),IF(instatk="hemo",Slayer4value*(MHavg+(ap+Z582-$Z$1)/APtoDPS*MHnorm)*(1.1+talSCallInstBon)+420*(1+raidcrit)*debuffon,IF(instatk="ss",(MHavg+(ap+Z582-$Z$1)/APtoDPS*MHnorm+98)*(1+sa*0.1+0.02*agg+Slayer4value-1),IF(instatk="v",(ohavg+(ap+Z582-$Z$1)/APtoDPS*OHnorm)*(1+sa*0.1)*(0.5+0.05*dws)+avipdam,Slayer4value*((1+0.04*opp)*(MHavg+101+(ap+Z582-$Z$1)/APtoDPS*MHnorm+(0.5+0.05*dws)*(ohavg+(ap+Z582-$Z$1)/APtoDPS*OHnorm)+101*(1+0.1*dws))*(1+0.5*IF(Talents!$O$18="Yes",1,0)))))))*(instactualhit+(1+((leth*0.06+2)-1)*(cfact-1))*instactualcrit)*fwfactor*AB582*instsec*(AF582/$AN$45))</f>
        <v>0</v>
      </c>
      <c r="AH582" s="25">
        <f t="shared" si="350"/>
        <v>0</v>
      </c>
      <c r="AI582" s="25">
        <f t="shared" si="351"/>
        <v>0</v>
      </c>
      <c r="AJ582" s="25">
        <f t="shared" si="352"/>
        <v>0</v>
      </c>
    </row>
    <row r="583" spans="1:36">
      <c r="A583">
        <f t="shared" si="333"/>
        <v>-1</v>
      </c>
      <c r="B583">
        <f t="shared" si="341"/>
        <v>6</v>
      </c>
      <c r="C583">
        <f t="shared" si="319"/>
        <v>300</v>
      </c>
      <c r="D583">
        <f t="shared" si="334"/>
        <v>0</v>
      </c>
      <c r="E583">
        <f t="shared" si="353"/>
        <v>5</v>
      </c>
      <c r="F583">
        <f t="shared" si="320"/>
        <v>360</v>
      </c>
      <c r="G583">
        <f t="shared" si="335"/>
        <v>0</v>
      </c>
      <c r="H583">
        <f t="shared" si="342"/>
        <v>4</v>
      </c>
      <c r="I583">
        <f t="shared" si="321"/>
        <v>360</v>
      </c>
      <c r="J583">
        <f t="shared" si="336"/>
        <v>0</v>
      </c>
      <c r="K583">
        <f t="shared" si="343"/>
        <v>3</v>
      </c>
      <c r="L583">
        <f t="shared" si="322"/>
        <v>360</v>
      </c>
      <c r="M583">
        <f t="shared" si="337"/>
        <v>0</v>
      </c>
      <c r="N583">
        <f t="shared" si="344"/>
        <v>2</v>
      </c>
      <c r="O583">
        <f t="shared" si="323"/>
        <v>300</v>
      </c>
      <c r="P583">
        <f t="shared" si="345"/>
        <v>0</v>
      </c>
      <c r="Q583">
        <f t="shared" si="346"/>
        <v>2</v>
      </c>
      <c r="R583">
        <f t="shared" si="324"/>
        <v>300</v>
      </c>
      <c r="S583">
        <f t="shared" si="347"/>
        <v>0</v>
      </c>
      <c r="T583">
        <f t="shared" si="348"/>
        <v>-1</v>
      </c>
      <c r="U583">
        <f t="shared" si="338"/>
        <v>1</v>
      </c>
      <c r="V583">
        <f t="shared" si="339"/>
        <v>1</v>
      </c>
      <c r="W583">
        <f t="shared" si="325"/>
        <v>0</v>
      </c>
      <c r="X583">
        <f t="shared" si="349"/>
        <v>0</v>
      </c>
      <c r="Y583">
        <f t="shared" si="326"/>
        <v>0</v>
      </c>
      <c r="Z583">
        <f t="shared" si="327"/>
        <v>0</v>
      </c>
      <c r="AA583">
        <f t="shared" si="328"/>
        <v>0</v>
      </c>
      <c r="AB583" s="29">
        <f t="shared" si="329"/>
        <v>0</v>
      </c>
      <c r="AC583" s="25">
        <f t="shared" si="330"/>
        <v>0</v>
      </c>
      <c r="AD583" s="29">
        <f t="shared" si="331"/>
        <v>0</v>
      </c>
      <c r="AE583" s="25">
        <f t="shared" si="340"/>
        <v>0</v>
      </c>
      <c r="AF583" s="25">
        <f t="shared" si="332"/>
        <v>0</v>
      </c>
      <c r="AG583" s="25">
        <f>IF($A583&lt;0,0,IF(instatk="bs",(1.5+talSCallInstBon)*(MHavg+(ap+Z583-$Z$1)/APtoDPS*MHnorm+170)*(1+sa*0.1+0.04*opp+0.02*agg+Slayer4value-1),IF(instatk="hemo",Slayer4value*(MHavg+(ap+Z583-$Z$1)/APtoDPS*MHnorm)*(1.1+talSCallInstBon)+420*(1+raidcrit)*debuffon,IF(instatk="ss",(MHavg+(ap+Z583-$Z$1)/APtoDPS*MHnorm+98)*(1+sa*0.1+0.02*agg+Slayer4value-1),IF(instatk="v",(ohavg+(ap+Z583-$Z$1)/APtoDPS*OHnorm)*(1+sa*0.1)*(0.5+0.05*dws)+avipdam,Slayer4value*((1+0.04*opp)*(MHavg+101+(ap+Z583-$Z$1)/APtoDPS*MHnorm+(0.5+0.05*dws)*(ohavg+(ap+Z583-$Z$1)/APtoDPS*OHnorm)+101*(1+0.1*dws))*(1+0.5*IF(Talents!$O$18="Yes",1,0)))))))*(instactualhit+(1+((leth*0.06+2)-1)*(cfact-1))*instactualcrit)*fwfactor*AB583*instsec*(AF583/$AN$45))</f>
        <v>0</v>
      </c>
      <c r="AH583" s="25">
        <f t="shared" si="350"/>
        <v>0</v>
      </c>
      <c r="AI583" s="25">
        <f t="shared" si="351"/>
        <v>0</v>
      </c>
      <c r="AJ583" s="25">
        <f t="shared" si="352"/>
        <v>0</v>
      </c>
    </row>
    <row r="584" spans="1:36">
      <c r="A584">
        <f t="shared" si="333"/>
        <v>-1</v>
      </c>
      <c r="B584">
        <f t="shared" si="341"/>
        <v>6</v>
      </c>
      <c r="C584">
        <f t="shared" si="319"/>
        <v>300</v>
      </c>
      <c r="D584">
        <f t="shared" si="334"/>
        <v>0</v>
      </c>
      <c r="E584">
        <f t="shared" si="353"/>
        <v>5</v>
      </c>
      <c r="F584">
        <f t="shared" si="320"/>
        <v>360</v>
      </c>
      <c r="G584">
        <f t="shared" si="335"/>
        <v>0</v>
      </c>
      <c r="H584">
        <f t="shared" si="342"/>
        <v>4</v>
      </c>
      <c r="I584">
        <f t="shared" si="321"/>
        <v>360</v>
      </c>
      <c r="J584">
        <f t="shared" si="336"/>
        <v>0</v>
      </c>
      <c r="K584">
        <f t="shared" si="343"/>
        <v>3</v>
      </c>
      <c r="L584">
        <f t="shared" si="322"/>
        <v>360</v>
      </c>
      <c r="M584">
        <f t="shared" si="337"/>
        <v>0</v>
      </c>
      <c r="N584">
        <f t="shared" si="344"/>
        <v>2</v>
      </c>
      <c r="O584">
        <f t="shared" si="323"/>
        <v>300</v>
      </c>
      <c r="P584">
        <f t="shared" si="345"/>
        <v>0</v>
      </c>
      <c r="Q584">
        <f t="shared" si="346"/>
        <v>2</v>
      </c>
      <c r="R584">
        <f t="shared" si="324"/>
        <v>300</v>
      </c>
      <c r="S584">
        <f t="shared" si="347"/>
        <v>0</v>
      </c>
      <c r="T584">
        <f t="shared" si="348"/>
        <v>-1</v>
      </c>
      <c r="U584">
        <f t="shared" si="338"/>
        <v>1</v>
      </c>
      <c r="V584">
        <f t="shared" si="339"/>
        <v>1</v>
      </c>
      <c r="W584">
        <f t="shared" si="325"/>
        <v>0</v>
      </c>
      <c r="X584">
        <f t="shared" si="349"/>
        <v>0</v>
      </c>
      <c r="Y584">
        <f t="shared" si="326"/>
        <v>0</v>
      </c>
      <c r="Z584">
        <f t="shared" si="327"/>
        <v>0</v>
      </c>
      <c r="AA584">
        <f t="shared" si="328"/>
        <v>0</v>
      </c>
      <c r="AB584" s="29">
        <f t="shared" si="329"/>
        <v>0</v>
      </c>
      <c r="AC584" s="25">
        <f t="shared" si="330"/>
        <v>0</v>
      </c>
      <c r="AD584" s="29">
        <f t="shared" si="331"/>
        <v>0</v>
      </c>
      <c r="AE584" s="25">
        <f t="shared" si="340"/>
        <v>0</v>
      </c>
      <c r="AF584" s="25">
        <f t="shared" si="332"/>
        <v>0</v>
      </c>
      <c r="AG584" s="25">
        <f>IF($A584&lt;0,0,IF(instatk="bs",(1.5+talSCallInstBon)*(MHavg+(ap+Z584-$Z$1)/APtoDPS*MHnorm+170)*(1+sa*0.1+0.04*opp+0.02*agg+Slayer4value-1),IF(instatk="hemo",Slayer4value*(MHavg+(ap+Z584-$Z$1)/APtoDPS*MHnorm)*(1.1+talSCallInstBon)+420*(1+raidcrit)*debuffon,IF(instatk="ss",(MHavg+(ap+Z584-$Z$1)/APtoDPS*MHnorm+98)*(1+sa*0.1+0.02*agg+Slayer4value-1),IF(instatk="v",(ohavg+(ap+Z584-$Z$1)/APtoDPS*OHnorm)*(1+sa*0.1)*(0.5+0.05*dws)+avipdam,Slayer4value*((1+0.04*opp)*(MHavg+101+(ap+Z584-$Z$1)/APtoDPS*MHnorm+(0.5+0.05*dws)*(ohavg+(ap+Z584-$Z$1)/APtoDPS*OHnorm)+101*(1+0.1*dws))*(1+0.5*IF(Talents!$O$18="Yes",1,0)))))))*(instactualhit+(1+((leth*0.06+2)-1)*(cfact-1))*instactualcrit)*fwfactor*AB584*instsec*(AF584/$AN$45))</f>
        <v>0</v>
      </c>
      <c r="AH584" s="25">
        <f t="shared" si="350"/>
        <v>0</v>
      </c>
      <c r="AI584" s="25">
        <f t="shared" si="351"/>
        <v>0</v>
      </c>
      <c r="AJ584" s="25">
        <f t="shared" si="352"/>
        <v>0</v>
      </c>
    </row>
    <row r="585" spans="1:36">
      <c r="A585">
        <f t="shared" si="333"/>
        <v>-1</v>
      </c>
      <c r="B585">
        <f t="shared" si="341"/>
        <v>6</v>
      </c>
      <c r="C585">
        <f t="shared" si="319"/>
        <v>300</v>
      </c>
      <c r="D585">
        <f t="shared" si="334"/>
        <v>0</v>
      </c>
      <c r="E585">
        <f t="shared" si="353"/>
        <v>5</v>
      </c>
      <c r="F585">
        <f t="shared" si="320"/>
        <v>360</v>
      </c>
      <c r="G585">
        <f t="shared" si="335"/>
        <v>0</v>
      </c>
      <c r="H585">
        <f t="shared" si="342"/>
        <v>4</v>
      </c>
      <c r="I585">
        <f t="shared" si="321"/>
        <v>360</v>
      </c>
      <c r="J585">
        <f t="shared" si="336"/>
        <v>0</v>
      </c>
      <c r="K585">
        <f t="shared" si="343"/>
        <v>3</v>
      </c>
      <c r="L585">
        <f t="shared" si="322"/>
        <v>360</v>
      </c>
      <c r="M585">
        <f t="shared" si="337"/>
        <v>0</v>
      </c>
      <c r="N585">
        <f t="shared" si="344"/>
        <v>2</v>
      </c>
      <c r="O585">
        <f t="shared" si="323"/>
        <v>300</v>
      </c>
      <c r="P585">
        <f t="shared" si="345"/>
        <v>0</v>
      </c>
      <c r="Q585">
        <f t="shared" si="346"/>
        <v>2</v>
      </c>
      <c r="R585">
        <f t="shared" si="324"/>
        <v>300</v>
      </c>
      <c r="S585">
        <f t="shared" si="347"/>
        <v>0</v>
      </c>
      <c r="T585">
        <f t="shared" si="348"/>
        <v>-1</v>
      </c>
      <c r="U585">
        <f t="shared" si="338"/>
        <v>1</v>
      </c>
      <c r="V585">
        <f t="shared" si="339"/>
        <v>1</v>
      </c>
      <c r="W585">
        <f t="shared" si="325"/>
        <v>0</v>
      </c>
      <c r="X585">
        <f t="shared" si="349"/>
        <v>0</v>
      </c>
      <c r="Y585">
        <f t="shared" si="326"/>
        <v>0</v>
      </c>
      <c r="Z585">
        <f t="shared" si="327"/>
        <v>0</v>
      </c>
      <c r="AA585">
        <f t="shared" si="328"/>
        <v>0</v>
      </c>
      <c r="AB585" s="29">
        <f t="shared" si="329"/>
        <v>0</v>
      </c>
      <c r="AC585" s="25">
        <f t="shared" si="330"/>
        <v>0</v>
      </c>
      <c r="AD585" s="29">
        <f t="shared" si="331"/>
        <v>0</v>
      </c>
      <c r="AE585" s="25">
        <f t="shared" si="340"/>
        <v>0</v>
      </c>
      <c r="AF585" s="25">
        <f t="shared" si="332"/>
        <v>0</v>
      </c>
      <c r="AG585" s="25">
        <f>IF($A585&lt;0,0,IF(instatk="bs",(1.5+talSCallInstBon)*(MHavg+(ap+Z585-$Z$1)/APtoDPS*MHnorm+170)*(1+sa*0.1+0.04*opp+0.02*agg+Slayer4value-1),IF(instatk="hemo",Slayer4value*(MHavg+(ap+Z585-$Z$1)/APtoDPS*MHnorm)*(1.1+talSCallInstBon)+420*(1+raidcrit)*debuffon,IF(instatk="ss",(MHavg+(ap+Z585-$Z$1)/APtoDPS*MHnorm+98)*(1+sa*0.1+0.02*agg+Slayer4value-1),IF(instatk="v",(ohavg+(ap+Z585-$Z$1)/APtoDPS*OHnorm)*(1+sa*0.1)*(0.5+0.05*dws)+avipdam,Slayer4value*((1+0.04*opp)*(MHavg+101+(ap+Z585-$Z$1)/APtoDPS*MHnorm+(0.5+0.05*dws)*(ohavg+(ap+Z585-$Z$1)/APtoDPS*OHnorm)+101*(1+0.1*dws))*(1+0.5*IF(Talents!$O$18="Yes",1,0)))))))*(instactualhit+(1+((leth*0.06+2)-1)*(cfact-1))*instactualcrit)*fwfactor*AB585*instsec*(AF585/$AN$45))</f>
        <v>0</v>
      </c>
      <c r="AH585" s="25">
        <f t="shared" si="350"/>
        <v>0</v>
      </c>
      <c r="AI585" s="25">
        <f t="shared" si="351"/>
        <v>0</v>
      </c>
      <c r="AJ585" s="25">
        <f t="shared" si="352"/>
        <v>0</v>
      </c>
    </row>
    <row r="586" spans="1:36">
      <c r="A586">
        <f t="shared" si="333"/>
        <v>-1</v>
      </c>
      <c r="B586">
        <f t="shared" si="341"/>
        <v>6</v>
      </c>
      <c r="C586">
        <f t="shared" si="319"/>
        <v>300</v>
      </c>
      <c r="D586">
        <f t="shared" si="334"/>
        <v>0</v>
      </c>
      <c r="E586">
        <f t="shared" si="353"/>
        <v>5</v>
      </c>
      <c r="F586">
        <f t="shared" si="320"/>
        <v>360</v>
      </c>
      <c r="G586">
        <f t="shared" si="335"/>
        <v>0</v>
      </c>
      <c r="H586">
        <f t="shared" si="342"/>
        <v>4</v>
      </c>
      <c r="I586">
        <f t="shared" si="321"/>
        <v>360</v>
      </c>
      <c r="J586">
        <f t="shared" si="336"/>
        <v>0</v>
      </c>
      <c r="K586">
        <f t="shared" si="343"/>
        <v>3</v>
      </c>
      <c r="L586">
        <f t="shared" si="322"/>
        <v>360</v>
      </c>
      <c r="M586">
        <f t="shared" si="337"/>
        <v>0</v>
      </c>
      <c r="N586">
        <f t="shared" si="344"/>
        <v>2</v>
      </c>
      <c r="O586">
        <f t="shared" si="323"/>
        <v>300</v>
      </c>
      <c r="P586">
        <f t="shared" si="345"/>
        <v>0</v>
      </c>
      <c r="Q586">
        <f t="shared" si="346"/>
        <v>2</v>
      </c>
      <c r="R586">
        <f t="shared" si="324"/>
        <v>300</v>
      </c>
      <c r="S586">
        <f t="shared" si="347"/>
        <v>0</v>
      </c>
      <c r="T586">
        <f t="shared" si="348"/>
        <v>-1</v>
      </c>
      <c r="U586">
        <f t="shared" si="338"/>
        <v>1</v>
      </c>
      <c r="V586">
        <f t="shared" si="339"/>
        <v>1</v>
      </c>
      <c r="W586">
        <f t="shared" si="325"/>
        <v>0</v>
      </c>
      <c r="X586">
        <f t="shared" si="349"/>
        <v>0</v>
      </c>
      <c r="Y586">
        <f t="shared" si="326"/>
        <v>0</v>
      </c>
      <c r="Z586">
        <f t="shared" si="327"/>
        <v>0</v>
      </c>
      <c r="AA586">
        <f t="shared" si="328"/>
        <v>0</v>
      </c>
      <c r="AB586" s="29">
        <f t="shared" si="329"/>
        <v>0</v>
      </c>
      <c r="AC586" s="25">
        <f t="shared" si="330"/>
        <v>0</v>
      </c>
      <c r="AD586" s="29">
        <f t="shared" si="331"/>
        <v>0</v>
      </c>
      <c r="AE586" s="25">
        <f t="shared" si="340"/>
        <v>0</v>
      </c>
      <c r="AF586" s="25">
        <f t="shared" si="332"/>
        <v>0</v>
      </c>
      <c r="AG586" s="25">
        <f>IF($A586&lt;0,0,IF(instatk="bs",(1.5+talSCallInstBon)*(MHavg+(ap+Z586-$Z$1)/APtoDPS*MHnorm+170)*(1+sa*0.1+0.04*opp+0.02*agg+Slayer4value-1),IF(instatk="hemo",Slayer4value*(MHavg+(ap+Z586-$Z$1)/APtoDPS*MHnorm)*(1.1+talSCallInstBon)+420*(1+raidcrit)*debuffon,IF(instatk="ss",(MHavg+(ap+Z586-$Z$1)/APtoDPS*MHnorm+98)*(1+sa*0.1+0.02*agg+Slayer4value-1),IF(instatk="v",(ohavg+(ap+Z586-$Z$1)/APtoDPS*OHnorm)*(1+sa*0.1)*(0.5+0.05*dws)+avipdam,Slayer4value*((1+0.04*opp)*(MHavg+101+(ap+Z586-$Z$1)/APtoDPS*MHnorm+(0.5+0.05*dws)*(ohavg+(ap+Z586-$Z$1)/APtoDPS*OHnorm)+101*(1+0.1*dws))*(1+0.5*IF(Talents!$O$18="Yes",1,0)))))))*(instactualhit+(1+((leth*0.06+2)-1)*(cfact-1))*instactualcrit)*fwfactor*AB586*instsec*(AF586/$AN$45))</f>
        <v>0</v>
      </c>
      <c r="AH586" s="25">
        <f t="shared" si="350"/>
        <v>0</v>
      </c>
      <c r="AI586" s="25">
        <f t="shared" si="351"/>
        <v>0</v>
      </c>
      <c r="AJ586" s="25">
        <f t="shared" si="352"/>
        <v>0</v>
      </c>
    </row>
    <row r="587" spans="1:36">
      <c r="A587">
        <f t="shared" si="333"/>
        <v>-1</v>
      </c>
      <c r="B587">
        <f t="shared" si="341"/>
        <v>6</v>
      </c>
      <c r="C587">
        <f t="shared" si="319"/>
        <v>300</v>
      </c>
      <c r="D587">
        <f t="shared" si="334"/>
        <v>0</v>
      </c>
      <c r="E587">
        <f t="shared" si="353"/>
        <v>5</v>
      </c>
      <c r="F587">
        <f t="shared" si="320"/>
        <v>360</v>
      </c>
      <c r="G587">
        <f t="shared" si="335"/>
        <v>0</v>
      </c>
      <c r="H587">
        <f t="shared" si="342"/>
        <v>4</v>
      </c>
      <c r="I587">
        <f t="shared" si="321"/>
        <v>360</v>
      </c>
      <c r="J587">
        <f t="shared" si="336"/>
        <v>0</v>
      </c>
      <c r="K587">
        <f t="shared" si="343"/>
        <v>3</v>
      </c>
      <c r="L587">
        <f t="shared" si="322"/>
        <v>360</v>
      </c>
      <c r="M587">
        <f t="shared" si="337"/>
        <v>0</v>
      </c>
      <c r="N587">
        <f t="shared" si="344"/>
        <v>2</v>
      </c>
      <c r="O587">
        <f t="shared" si="323"/>
        <v>300</v>
      </c>
      <c r="P587">
        <f t="shared" si="345"/>
        <v>0</v>
      </c>
      <c r="Q587">
        <f t="shared" si="346"/>
        <v>2</v>
      </c>
      <c r="R587">
        <f t="shared" si="324"/>
        <v>300</v>
      </c>
      <c r="S587">
        <f t="shared" si="347"/>
        <v>0</v>
      </c>
      <c r="T587">
        <f t="shared" si="348"/>
        <v>-1</v>
      </c>
      <c r="U587">
        <f t="shared" si="338"/>
        <v>1</v>
      </c>
      <c r="V587">
        <f t="shared" si="339"/>
        <v>1</v>
      </c>
      <c r="W587">
        <f t="shared" si="325"/>
        <v>0</v>
      </c>
      <c r="X587">
        <f t="shared" si="349"/>
        <v>0</v>
      </c>
      <c r="Y587">
        <f t="shared" si="326"/>
        <v>0</v>
      </c>
      <c r="Z587">
        <f t="shared" si="327"/>
        <v>0</v>
      </c>
      <c r="AA587">
        <f t="shared" si="328"/>
        <v>0</v>
      </c>
      <c r="AB587" s="29">
        <f t="shared" si="329"/>
        <v>0</v>
      </c>
      <c r="AC587" s="25">
        <f t="shared" si="330"/>
        <v>0</v>
      </c>
      <c r="AD587" s="29">
        <f t="shared" si="331"/>
        <v>0</v>
      </c>
      <c r="AE587" s="25">
        <f t="shared" si="340"/>
        <v>0</v>
      </c>
      <c r="AF587" s="25">
        <f t="shared" si="332"/>
        <v>0</v>
      </c>
      <c r="AG587" s="25">
        <f>IF($A587&lt;0,0,IF(instatk="bs",(1.5+talSCallInstBon)*(MHavg+(ap+Z587-$Z$1)/APtoDPS*MHnorm+170)*(1+sa*0.1+0.04*opp+0.02*agg+Slayer4value-1),IF(instatk="hemo",Slayer4value*(MHavg+(ap+Z587-$Z$1)/APtoDPS*MHnorm)*(1.1+talSCallInstBon)+420*(1+raidcrit)*debuffon,IF(instatk="ss",(MHavg+(ap+Z587-$Z$1)/APtoDPS*MHnorm+98)*(1+sa*0.1+0.02*agg+Slayer4value-1),IF(instatk="v",(ohavg+(ap+Z587-$Z$1)/APtoDPS*OHnorm)*(1+sa*0.1)*(0.5+0.05*dws)+avipdam,Slayer4value*((1+0.04*opp)*(MHavg+101+(ap+Z587-$Z$1)/APtoDPS*MHnorm+(0.5+0.05*dws)*(ohavg+(ap+Z587-$Z$1)/APtoDPS*OHnorm)+101*(1+0.1*dws))*(1+0.5*IF(Talents!$O$18="Yes",1,0)))))))*(instactualhit+(1+((leth*0.06+2)-1)*(cfact-1))*instactualcrit)*fwfactor*AB587*instsec*(AF587/$AN$45))</f>
        <v>0</v>
      </c>
      <c r="AH587" s="25">
        <f t="shared" si="350"/>
        <v>0</v>
      </c>
      <c r="AI587" s="25">
        <f t="shared" si="351"/>
        <v>0</v>
      </c>
      <c r="AJ587" s="25">
        <f t="shared" si="352"/>
        <v>0</v>
      </c>
    </row>
    <row r="588" spans="1:36">
      <c r="A588">
        <f t="shared" si="333"/>
        <v>-1</v>
      </c>
      <c r="B588">
        <f t="shared" si="341"/>
        <v>6</v>
      </c>
      <c r="C588">
        <f t="shared" si="319"/>
        <v>300</v>
      </c>
      <c r="D588">
        <f t="shared" si="334"/>
        <v>0</v>
      </c>
      <c r="E588">
        <f t="shared" si="353"/>
        <v>5</v>
      </c>
      <c r="F588">
        <f t="shared" si="320"/>
        <v>360</v>
      </c>
      <c r="G588">
        <f t="shared" si="335"/>
        <v>0</v>
      </c>
      <c r="H588">
        <f t="shared" si="342"/>
        <v>4</v>
      </c>
      <c r="I588">
        <f t="shared" si="321"/>
        <v>360</v>
      </c>
      <c r="J588">
        <f t="shared" si="336"/>
        <v>0</v>
      </c>
      <c r="K588">
        <f t="shared" si="343"/>
        <v>3</v>
      </c>
      <c r="L588">
        <f t="shared" si="322"/>
        <v>360</v>
      </c>
      <c r="M588">
        <f t="shared" si="337"/>
        <v>0</v>
      </c>
      <c r="N588">
        <f t="shared" si="344"/>
        <v>2</v>
      </c>
      <c r="O588">
        <f t="shared" si="323"/>
        <v>300</v>
      </c>
      <c r="P588">
        <f t="shared" si="345"/>
        <v>0</v>
      </c>
      <c r="Q588">
        <f t="shared" si="346"/>
        <v>2</v>
      </c>
      <c r="R588">
        <f t="shared" si="324"/>
        <v>300</v>
      </c>
      <c r="S588">
        <f t="shared" si="347"/>
        <v>0</v>
      </c>
      <c r="T588">
        <f t="shared" si="348"/>
        <v>-1</v>
      </c>
      <c r="U588">
        <f t="shared" si="338"/>
        <v>1</v>
      </c>
      <c r="V588">
        <f t="shared" si="339"/>
        <v>1</v>
      </c>
      <c r="W588">
        <f t="shared" si="325"/>
        <v>0</v>
      </c>
      <c r="X588">
        <f t="shared" si="349"/>
        <v>0</v>
      </c>
      <c r="Y588">
        <f t="shared" si="326"/>
        <v>0</v>
      </c>
      <c r="Z588">
        <f t="shared" si="327"/>
        <v>0</v>
      </c>
      <c r="AA588">
        <f t="shared" si="328"/>
        <v>0</v>
      </c>
      <c r="AB588" s="29">
        <f t="shared" si="329"/>
        <v>0</v>
      </c>
      <c r="AC588" s="25">
        <f t="shared" si="330"/>
        <v>0</v>
      </c>
      <c r="AD588" s="29">
        <f t="shared" si="331"/>
        <v>0</v>
      </c>
      <c r="AE588" s="25">
        <f t="shared" si="340"/>
        <v>0</v>
      </c>
      <c r="AF588" s="25">
        <f t="shared" si="332"/>
        <v>0</v>
      </c>
      <c r="AG588" s="25">
        <f>IF($A588&lt;0,0,IF(instatk="bs",(1.5+talSCallInstBon)*(MHavg+(ap+Z588-$Z$1)/APtoDPS*MHnorm+170)*(1+sa*0.1+0.04*opp+0.02*agg+Slayer4value-1),IF(instatk="hemo",Slayer4value*(MHavg+(ap+Z588-$Z$1)/APtoDPS*MHnorm)*(1.1+talSCallInstBon)+420*(1+raidcrit)*debuffon,IF(instatk="ss",(MHavg+(ap+Z588-$Z$1)/APtoDPS*MHnorm+98)*(1+sa*0.1+0.02*agg+Slayer4value-1),IF(instatk="v",(ohavg+(ap+Z588-$Z$1)/APtoDPS*OHnorm)*(1+sa*0.1)*(0.5+0.05*dws)+avipdam,Slayer4value*((1+0.04*opp)*(MHavg+101+(ap+Z588-$Z$1)/APtoDPS*MHnorm+(0.5+0.05*dws)*(ohavg+(ap+Z588-$Z$1)/APtoDPS*OHnorm)+101*(1+0.1*dws))*(1+0.5*IF(Talents!$O$18="Yes",1,0)))))))*(instactualhit+(1+((leth*0.06+2)-1)*(cfact-1))*instactualcrit)*fwfactor*AB588*instsec*(AF588/$AN$45))</f>
        <v>0</v>
      </c>
      <c r="AH588" s="25">
        <f t="shared" si="350"/>
        <v>0</v>
      </c>
      <c r="AI588" s="25">
        <f t="shared" si="351"/>
        <v>0</v>
      </c>
      <c r="AJ588" s="25">
        <f t="shared" si="352"/>
        <v>0</v>
      </c>
    </row>
    <row r="589" spans="1:36">
      <c r="A589">
        <f t="shared" si="333"/>
        <v>-1</v>
      </c>
      <c r="B589">
        <f t="shared" si="341"/>
        <v>6</v>
      </c>
      <c r="C589">
        <f t="shared" si="319"/>
        <v>300</v>
      </c>
      <c r="D589">
        <f t="shared" si="334"/>
        <v>0</v>
      </c>
      <c r="E589">
        <f t="shared" si="353"/>
        <v>5</v>
      </c>
      <c r="F589">
        <f t="shared" si="320"/>
        <v>360</v>
      </c>
      <c r="G589">
        <f t="shared" si="335"/>
        <v>0</v>
      </c>
      <c r="H589">
        <f t="shared" si="342"/>
        <v>4</v>
      </c>
      <c r="I589">
        <f t="shared" si="321"/>
        <v>360</v>
      </c>
      <c r="J589">
        <f t="shared" si="336"/>
        <v>0</v>
      </c>
      <c r="K589">
        <f t="shared" si="343"/>
        <v>3</v>
      </c>
      <c r="L589">
        <f t="shared" si="322"/>
        <v>360</v>
      </c>
      <c r="M589">
        <f t="shared" si="337"/>
        <v>0</v>
      </c>
      <c r="N589">
        <f t="shared" si="344"/>
        <v>2</v>
      </c>
      <c r="O589">
        <f t="shared" si="323"/>
        <v>300</v>
      </c>
      <c r="P589">
        <f t="shared" si="345"/>
        <v>0</v>
      </c>
      <c r="Q589">
        <f t="shared" si="346"/>
        <v>2</v>
      </c>
      <c r="R589">
        <f t="shared" si="324"/>
        <v>300</v>
      </c>
      <c r="S589">
        <f t="shared" si="347"/>
        <v>0</v>
      </c>
      <c r="T589">
        <f t="shared" si="348"/>
        <v>-1</v>
      </c>
      <c r="U589">
        <f t="shared" si="338"/>
        <v>1</v>
      </c>
      <c r="V589">
        <f t="shared" si="339"/>
        <v>1</v>
      </c>
      <c r="W589">
        <f t="shared" si="325"/>
        <v>0</v>
      </c>
      <c r="X589">
        <f t="shared" si="349"/>
        <v>0</v>
      </c>
      <c r="Y589">
        <f t="shared" si="326"/>
        <v>0</v>
      </c>
      <c r="Z589">
        <f t="shared" si="327"/>
        <v>0</v>
      </c>
      <c r="AA589">
        <f t="shared" si="328"/>
        <v>0</v>
      </c>
      <c r="AB589" s="29">
        <f t="shared" si="329"/>
        <v>0</v>
      </c>
      <c r="AC589" s="25">
        <f t="shared" si="330"/>
        <v>0</v>
      </c>
      <c r="AD589" s="29">
        <f t="shared" si="331"/>
        <v>0</v>
      </c>
      <c r="AE589" s="25">
        <f t="shared" si="340"/>
        <v>0</v>
      </c>
      <c r="AF589" s="25">
        <f t="shared" si="332"/>
        <v>0</v>
      </c>
      <c r="AG589" s="25">
        <f>IF($A589&lt;0,0,IF(instatk="bs",(1.5+talSCallInstBon)*(MHavg+(ap+Z589-$Z$1)/APtoDPS*MHnorm+170)*(1+sa*0.1+0.04*opp+0.02*agg+Slayer4value-1),IF(instatk="hemo",Slayer4value*(MHavg+(ap+Z589-$Z$1)/APtoDPS*MHnorm)*(1.1+talSCallInstBon)+420*(1+raidcrit)*debuffon,IF(instatk="ss",(MHavg+(ap+Z589-$Z$1)/APtoDPS*MHnorm+98)*(1+sa*0.1+0.02*agg+Slayer4value-1),IF(instatk="v",(ohavg+(ap+Z589-$Z$1)/APtoDPS*OHnorm)*(1+sa*0.1)*(0.5+0.05*dws)+avipdam,Slayer4value*((1+0.04*opp)*(MHavg+101+(ap+Z589-$Z$1)/APtoDPS*MHnorm+(0.5+0.05*dws)*(ohavg+(ap+Z589-$Z$1)/APtoDPS*OHnorm)+101*(1+0.1*dws))*(1+0.5*IF(Talents!$O$18="Yes",1,0)))))))*(instactualhit+(1+((leth*0.06+2)-1)*(cfact-1))*instactualcrit)*fwfactor*AB589*instsec*(AF589/$AN$45))</f>
        <v>0</v>
      </c>
      <c r="AH589" s="25">
        <f t="shared" si="350"/>
        <v>0</v>
      </c>
      <c r="AI589" s="25">
        <f t="shared" si="351"/>
        <v>0</v>
      </c>
      <c r="AJ589" s="25">
        <f t="shared" si="352"/>
        <v>0</v>
      </c>
    </row>
    <row r="590" spans="1:36">
      <c r="A590">
        <f t="shared" si="333"/>
        <v>-1</v>
      </c>
      <c r="B590">
        <f t="shared" si="341"/>
        <v>6</v>
      </c>
      <c r="C590">
        <f t="shared" si="319"/>
        <v>300</v>
      </c>
      <c r="D590">
        <f t="shared" si="334"/>
        <v>0</v>
      </c>
      <c r="E590">
        <f t="shared" si="353"/>
        <v>5</v>
      </c>
      <c r="F590">
        <f t="shared" si="320"/>
        <v>360</v>
      </c>
      <c r="G590">
        <f t="shared" si="335"/>
        <v>0</v>
      </c>
      <c r="H590">
        <f t="shared" si="342"/>
        <v>4</v>
      </c>
      <c r="I590">
        <f t="shared" si="321"/>
        <v>360</v>
      </c>
      <c r="J590">
        <f t="shared" si="336"/>
        <v>0</v>
      </c>
      <c r="K590">
        <f t="shared" si="343"/>
        <v>3</v>
      </c>
      <c r="L590">
        <f t="shared" si="322"/>
        <v>360</v>
      </c>
      <c r="M590">
        <f t="shared" si="337"/>
        <v>0</v>
      </c>
      <c r="N590">
        <f t="shared" si="344"/>
        <v>2</v>
      </c>
      <c r="O590">
        <f t="shared" si="323"/>
        <v>300</v>
      </c>
      <c r="P590">
        <f t="shared" si="345"/>
        <v>0</v>
      </c>
      <c r="Q590">
        <f t="shared" si="346"/>
        <v>2</v>
      </c>
      <c r="R590">
        <f t="shared" si="324"/>
        <v>300</v>
      </c>
      <c r="S590">
        <f t="shared" si="347"/>
        <v>0</v>
      </c>
      <c r="T590">
        <f t="shared" si="348"/>
        <v>-1</v>
      </c>
      <c r="U590">
        <f t="shared" si="338"/>
        <v>1</v>
      </c>
      <c r="V590">
        <f t="shared" si="339"/>
        <v>1</v>
      </c>
      <c r="W590">
        <f t="shared" si="325"/>
        <v>0</v>
      </c>
      <c r="X590">
        <f t="shared" si="349"/>
        <v>0</v>
      </c>
      <c r="Y590">
        <f t="shared" si="326"/>
        <v>0</v>
      </c>
      <c r="Z590">
        <f t="shared" si="327"/>
        <v>0</v>
      </c>
      <c r="AA590">
        <f t="shared" si="328"/>
        <v>0</v>
      </c>
      <c r="AB590" s="29">
        <f t="shared" si="329"/>
        <v>0</v>
      </c>
      <c r="AC590" s="25">
        <f t="shared" si="330"/>
        <v>0</v>
      </c>
      <c r="AD590" s="29">
        <f t="shared" si="331"/>
        <v>0</v>
      </c>
      <c r="AE590" s="25">
        <f t="shared" si="340"/>
        <v>0</v>
      </c>
      <c r="AF590" s="25">
        <f t="shared" si="332"/>
        <v>0</v>
      </c>
      <c r="AG590" s="25">
        <f>IF($A590&lt;0,0,IF(instatk="bs",(1.5+talSCallInstBon)*(MHavg+(ap+Z590-$Z$1)/APtoDPS*MHnorm+170)*(1+sa*0.1+0.04*opp+0.02*agg+Slayer4value-1),IF(instatk="hemo",Slayer4value*(MHavg+(ap+Z590-$Z$1)/APtoDPS*MHnorm)*(1.1+talSCallInstBon)+420*(1+raidcrit)*debuffon,IF(instatk="ss",(MHavg+(ap+Z590-$Z$1)/APtoDPS*MHnorm+98)*(1+sa*0.1+0.02*agg+Slayer4value-1),IF(instatk="v",(ohavg+(ap+Z590-$Z$1)/APtoDPS*OHnorm)*(1+sa*0.1)*(0.5+0.05*dws)+avipdam,Slayer4value*((1+0.04*opp)*(MHavg+101+(ap+Z590-$Z$1)/APtoDPS*MHnorm+(0.5+0.05*dws)*(ohavg+(ap+Z590-$Z$1)/APtoDPS*OHnorm)+101*(1+0.1*dws))*(1+0.5*IF(Talents!$O$18="Yes",1,0)))))))*(instactualhit+(1+((leth*0.06+2)-1)*(cfact-1))*instactualcrit)*fwfactor*AB590*instsec*(AF590/$AN$45))</f>
        <v>0</v>
      </c>
      <c r="AH590" s="25">
        <f t="shared" si="350"/>
        <v>0</v>
      </c>
      <c r="AI590" s="25">
        <f t="shared" si="351"/>
        <v>0</v>
      </c>
      <c r="AJ590" s="25">
        <f t="shared" si="352"/>
        <v>0</v>
      </c>
    </row>
    <row r="591" spans="1:36">
      <c r="A591">
        <f t="shared" si="333"/>
        <v>-1</v>
      </c>
      <c r="B591">
        <f t="shared" si="341"/>
        <v>6</v>
      </c>
      <c r="C591">
        <f t="shared" si="319"/>
        <v>300</v>
      </c>
      <c r="D591">
        <f t="shared" si="334"/>
        <v>0</v>
      </c>
      <c r="E591">
        <f t="shared" si="353"/>
        <v>5</v>
      </c>
      <c r="F591">
        <f t="shared" si="320"/>
        <v>360</v>
      </c>
      <c r="G591">
        <f t="shared" si="335"/>
        <v>0</v>
      </c>
      <c r="H591">
        <f t="shared" si="342"/>
        <v>4</v>
      </c>
      <c r="I591">
        <f t="shared" si="321"/>
        <v>360</v>
      </c>
      <c r="J591">
        <f t="shared" si="336"/>
        <v>0</v>
      </c>
      <c r="K591">
        <f t="shared" si="343"/>
        <v>3</v>
      </c>
      <c r="L591">
        <f t="shared" si="322"/>
        <v>360</v>
      </c>
      <c r="M591">
        <f t="shared" si="337"/>
        <v>0</v>
      </c>
      <c r="N591">
        <f t="shared" si="344"/>
        <v>2</v>
      </c>
      <c r="O591">
        <f t="shared" si="323"/>
        <v>300</v>
      </c>
      <c r="P591">
        <f t="shared" si="345"/>
        <v>0</v>
      </c>
      <c r="Q591">
        <f t="shared" si="346"/>
        <v>2</v>
      </c>
      <c r="R591">
        <f t="shared" si="324"/>
        <v>300</v>
      </c>
      <c r="S591">
        <f t="shared" si="347"/>
        <v>0</v>
      </c>
      <c r="T591">
        <f t="shared" si="348"/>
        <v>-1</v>
      </c>
      <c r="U591">
        <f t="shared" si="338"/>
        <v>1</v>
      </c>
      <c r="V591">
        <f t="shared" si="339"/>
        <v>1</v>
      </c>
      <c r="W591">
        <f t="shared" si="325"/>
        <v>0</v>
      </c>
      <c r="X591">
        <f t="shared" si="349"/>
        <v>0</v>
      </c>
      <c r="Y591">
        <f t="shared" si="326"/>
        <v>0</v>
      </c>
      <c r="Z591">
        <f t="shared" si="327"/>
        <v>0</v>
      </c>
      <c r="AA591">
        <f t="shared" si="328"/>
        <v>0</v>
      </c>
      <c r="AB591" s="29">
        <f t="shared" si="329"/>
        <v>0</v>
      </c>
      <c r="AC591" s="25">
        <f t="shared" si="330"/>
        <v>0</v>
      </c>
      <c r="AD591" s="29">
        <f t="shared" si="331"/>
        <v>0</v>
      </c>
      <c r="AE591" s="25">
        <f t="shared" si="340"/>
        <v>0</v>
      </c>
      <c r="AF591" s="25">
        <f t="shared" si="332"/>
        <v>0</v>
      </c>
      <c r="AG591" s="25">
        <f>IF($A591&lt;0,0,IF(instatk="bs",(1.5+talSCallInstBon)*(MHavg+(ap+Z591-$Z$1)/APtoDPS*MHnorm+170)*(1+sa*0.1+0.04*opp+0.02*agg+Slayer4value-1),IF(instatk="hemo",Slayer4value*(MHavg+(ap+Z591-$Z$1)/APtoDPS*MHnorm)*(1.1+talSCallInstBon)+420*(1+raidcrit)*debuffon,IF(instatk="ss",(MHavg+(ap+Z591-$Z$1)/APtoDPS*MHnorm+98)*(1+sa*0.1+0.02*agg+Slayer4value-1),IF(instatk="v",(ohavg+(ap+Z591-$Z$1)/APtoDPS*OHnorm)*(1+sa*0.1)*(0.5+0.05*dws)+avipdam,Slayer4value*((1+0.04*opp)*(MHavg+101+(ap+Z591-$Z$1)/APtoDPS*MHnorm+(0.5+0.05*dws)*(ohavg+(ap+Z591-$Z$1)/APtoDPS*OHnorm)+101*(1+0.1*dws))*(1+0.5*IF(Talents!$O$18="Yes",1,0)))))))*(instactualhit+(1+((leth*0.06+2)-1)*(cfact-1))*instactualcrit)*fwfactor*AB591*instsec*(AF591/$AN$45))</f>
        <v>0</v>
      </c>
      <c r="AH591" s="25">
        <f t="shared" si="350"/>
        <v>0</v>
      </c>
      <c r="AI591" s="25">
        <f t="shared" si="351"/>
        <v>0</v>
      </c>
      <c r="AJ591" s="25">
        <f t="shared" si="352"/>
        <v>0</v>
      </c>
    </row>
    <row r="592" spans="1:36">
      <c r="A592">
        <f t="shared" si="333"/>
        <v>-1</v>
      </c>
      <c r="B592">
        <f t="shared" si="341"/>
        <v>6</v>
      </c>
      <c r="C592">
        <f t="shared" si="319"/>
        <v>300</v>
      </c>
      <c r="D592">
        <f t="shared" si="334"/>
        <v>0</v>
      </c>
      <c r="E592">
        <f t="shared" si="353"/>
        <v>5</v>
      </c>
      <c r="F592">
        <f t="shared" si="320"/>
        <v>360</v>
      </c>
      <c r="G592">
        <f t="shared" si="335"/>
        <v>0</v>
      </c>
      <c r="H592">
        <f t="shared" si="342"/>
        <v>4</v>
      </c>
      <c r="I592">
        <f t="shared" si="321"/>
        <v>360</v>
      </c>
      <c r="J592">
        <f t="shared" si="336"/>
        <v>0</v>
      </c>
      <c r="K592">
        <f t="shared" si="343"/>
        <v>3</v>
      </c>
      <c r="L592">
        <f t="shared" si="322"/>
        <v>360</v>
      </c>
      <c r="M592">
        <f t="shared" si="337"/>
        <v>0</v>
      </c>
      <c r="N592">
        <f t="shared" si="344"/>
        <v>2</v>
      </c>
      <c r="O592">
        <f t="shared" si="323"/>
        <v>300</v>
      </c>
      <c r="P592">
        <f t="shared" si="345"/>
        <v>0</v>
      </c>
      <c r="Q592">
        <f t="shared" si="346"/>
        <v>2</v>
      </c>
      <c r="R592">
        <f t="shared" si="324"/>
        <v>300</v>
      </c>
      <c r="S592">
        <f t="shared" si="347"/>
        <v>0</v>
      </c>
      <c r="T592">
        <f t="shared" si="348"/>
        <v>-1</v>
      </c>
      <c r="U592">
        <f t="shared" si="338"/>
        <v>1</v>
      </c>
      <c r="V592">
        <f t="shared" si="339"/>
        <v>1</v>
      </c>
      <c r="W592">
        <f t="shared" si="325"/>
        <v>0</v>
      </c>
      <c r="X592">
        <f t="shared" si="349"/>
        <v>0</v>
      </c>
      <c r="Y592">
        <f t="shared" si="326"/>
        <v>0</v>
      </c>
      <c r="Z592">
        <f t="shared" si="327"/>
        <v>0</v>
      </c>
      <c r="AA592">
        <f t="shared" si="328"/>
        <v>0</v>
      </c>
      <c r="AB592" s="29">
        <f t="shared" si="329"/>
        <v>0</v>
      </c>
      <c r="AC592" s="25">
        <f t="shared" si="330"/>
        <v>0</v>
      </c>
      <c r="AD592" s="29">
        <f t="shared" si="331"/>
        <v>0</v>
      </c>
      <c r="AE592" s="25">
        <f t="shared" si="340"/>
        <v>0</v>
      </c>
      <c r="AF592" s="25">
        <f t="shared" si="332"/>
        <v>0</v>
      </c>
      <c r="AG592" s="25">
        <f>IF($A592&lt;0,0,IF(instatk="bs",(1.5+talSCallInstBon)*(MHavg+(ap+Z592-$Z$1)/APtoDPS*MHnorm+170)*(1+sa*0.1+0.04*opp+0.02*agg+Slayer4value-1),IF(instatk="hemo",Slayer4value*(MHavg+(ap+Z592-$Z$1)/APtoDPS*MHnorm)*(1.1+talSCallInstBon)+420*(1+raidcrit)*debuffon,IF(instatk="ss",(MHavg+(ap+Z592-$Z$1)/APtoDPS*MHnorm+98)*(1+sa*0.1+0.02*agg+Slayer4value-1),IF(instatk="v",(ohavg+(ap+Z592-$Z$1)/APtoDPS*OHnorm)*(1+sa*0.1)*(0.5+0.05*dws)+avipdam,Slayer4value*((1+0.04*opp)*(MHavg+101+(ap+Z592-$Z$1)/APtoDPS*MHnorm+(0.5+0.05*dws)*(ohavg+(ap+Z592-$Z$1)/APtoDPS*OHnorm)+101*(1+0.1*dws))*(1+0.5*IF(Talents!$O$18="Yes",1,0)))))))*(instactualhit+(1+((leth*0.06+2)-1)*(cfact-1))*instactualcrit)*fwfactor*AB592*instsec*(AF592/$AN$45))</f>
        <v>0</v>
      </c>
      <c r="AH592" s="25">
        <f t="shared" si="350"/>
        <v>0</v>
      </c>
      <c r="AI592" s="25">
        <f t="shared" si="351"/>
        <v>0</v>
      </c>
      <c r="AJ592" s="25">
        <f t="shared" si="352"/>
        <v>0</v>
      </c>
    </row>
    <row r="593" spans="1:36">
      <c r="A593">
        <f t="shared" si="333"/>
        <v>-1</v>
      </c>
      <c r="B593">
        <f t="shared" si="341"/>
        <v>6</v>
      </c>
      <c r="C593">
        <f t="shared" si="319"/>
        <v>300</v>
      </c>
      <c r="D593">
        <f t="shared" si="334"/>
        <v>0</v>
      </c>
      <c r="E593">
        <f t="shared" si="353"/>
        <v>5</v>
      </c>
      <c r="F593">
        <f t="shared" si="320"/>
        <v>360</v>
      </c>
      <c r="G593">
        <f t="shared" si="335"/>
        <v>0</v>
      </c>
      <c r="H593">
        <f t="shared" si="342"/>
        <v>4</v>
      </c>
      <c r="I593">
        <f t="shared" si="321"/>
        <v>360</v>
      </c>
      <c r="J593">
        <f t="shared" si="336"/>
        <v>0</v>
      </c>
      <c r="K593">
        <f t="shared" si="343"/>
        <v>3</v>
      </c>
      <c r="L593">
        <f t="shared" si="322"/>
        <v>360</v>
      </c>
      <c r="M593">
        <f t="shared" si="337"/>
        <v>0</v>
      </c>
      <c r="N593">
        <f t="shared" si="344"/>
        <v>2</v>
      </c>
      <c r="O593">
        <f t="shared" si="323"/>
        <v>300</v>
      </c>
      <c r="P593">
        <f t="shared" si="345"/>
        <v>0</v>
      </c>
      <c r="Q593">
        <f t="shared" si="346"/>
        <v>2</v>
      </c>
      <c r="R593">
        <f t="shared" si="324"/>
        <v>300</v>
      </c>
      <c r="S593">
        <f t="shared" si="347"/>
        <v>0</v>
      </c>
      <c r="T593">
        <f t="shared" si="348"/>
        <v>-1</v>
      </c>
      <c r="U593">
        <f t="shared" si="338"/>
        <v>1</v>
      </c>
      <c r="V593">
        <f t="shared" si="339"/>
        <v>1</v>
      </c>
      <c r="W593">
        <f t="shared" si="325"/>
        <v>0</v>
      </c>
      <c r="X593">
        <f t="shared" si="349"/>
        <v>0</v>
      </c>
      <c r="Y593">
        <f t="shared" si="326"/>
        <v>0</v>
      </c>
      <c r="Z593">
        <f t="shared" si="327"/>
        <v>0</v>
      </c>
      <c r="AA593">
        <f t="shared" si="328"/>
        <v>0</v>
      </c>
      <c r="AB593" s="29">
        <f t="shared" si="329"/>
        <v>0</v>
      </c>
      <c r="AC593" s="25">
        <f t="shared" si="330"/>
        <v>0</v>
      </c>
      <c r="AD593" s="29">
        <f t="shared" si="331"/>
        <v>0</v>
      </c>
      <c r="AE593" s="25">
        <f t="shared" si="340"/>
        <v>0</v>
      </c>
      <c r="AF593" s="25">
        <f t="shared" si="332"/>
        <v>0</v>
      </c>
      <c r="AG593" s="25">
        <f>IF($A593&lt;0,0,IF(instatk="bs",(1.5+talSCallInstBon)*(MHavg+(ap+Z593-$Z$1)/APtoDPS*MHnorm+170)*(1+sa*0.1+0.04*opp+0.02*agg+Slayer4value-1),IF(instatk="hemo",Slayer4value*(MHavg+(ap+Z593-$Z$1)/APtoDPS*MHnorm)*(1.1+talSCallInstBon)+420*(1+raidcrit)*debuffon,IF(instatk="ss",(MHavg+(ap+Z593-$Z$1)/APtoDPS*MHnorm+98)*(1+sa*0.1+0.02*agg+Slayer4value-1),IF(instatk="v",(ohavg+(ap+Z593-$Z$1)/APtoDPS*OHnorm)*(1+sa*0.1)*(0.5+0.05*dws)+avipdam,Slayer4value*((1+0.04*opp)*(MHavg+101+(ap+Z593-$Z$1)/APtoDPS*MHnorm+(0.5+0.05*dws)*(ohavg+(ap+Z593-$Z$1)/APtoDPS*OHnorm)+101*(1+0.1*dws))*(1+0.5*IF(Talents!$O$18="Yes",1,0)))))))*(instactualhit+(1+((leth*0.06+2)-1)*(cfact-1))*instactualcrit)*fwfactor*AB593*instsec*(AF593/$AN$45))</f>
        <v>0</v>
      </c>
      <c r="AH593" s="25">
        <f t="shared" si="350"/>
        <v>0</v>
      </c>
      <c r="AI593" s="25">
        <f t="shared" si="351"/>
        <v>0</v>
      </c>
      <c r="AJ593" s="25">
        <f t="shared" si="352"/>
        <v>0</v>
      </c>
    </row>
    <row r="594" spans="1:36">
      <c r="A594">
        <f t="shared" si="333"/>
        <v>-1</v>
      </c>
      <c r="B594">
        <f t="shared" si="341"/>
        <v>6</v>
      </c>
      <c r="C594">
        <f t="shared" si="319"/>
        <v>300</v>
      </c>
      <c r="D594">
        <f t="shared" si="334"/>
        <v>0</v>
      </c>
      <c r="E594">
        <f t="shared" si="353"/>
        <v>5</v>
      </c>
      <c r="F594">
        <f t="shared" si="320"/>
        <v>360</v>
      </c>
      <c r="G594">
        <f t="shared" si="335"/>
        <v>0</v>
      </c>
      <c r="H594">
        <f t="shared" si="342"/>
        <v>4</v>
      </c>
      <c r="I594">
        <f t="shared" si="321"/>
        <v>360</v>
      </c>
      <c r="J594">
        <f t="shared" si="336"/>
        <v>0</v>
      </c>
      <c r="K594">
        <f t="shared" si="343"/>
        <v>3</v>
      </c>
      <c r="L594">
        <f t="shared" si="322"/>
        <v>360</v>
      </c>
      <c r="M594">
        <f t="shared" si="337"/>
        <v>0</v>
      </c>
      <c r="N594">
        <f t="shared" si="344"/>
        <v>2</v>
      </c>
      <c r="O594">
        <f t="shared" si="323"/>
        <v>300</v>
      </c>
      <c r="P594">
        <f t="shared" si="345"/>
        <v>0</v>
      </c>
      <c r="Q594">
        <f t="shared" si="346"/>
        <v>2</v>
      </c>
      <c r="R594">
        <f t="shared" si="324"/>
        <v>300</v>
      </c>
      <c r="S594">
        <f t="shared" si="347"/>
        <v>0</v>
      </c>
      <c r="T594">
        <f t="shared" si="348"/>
        <v>-1</v>
      </c>
      <c r="U594">
        <f t="shared" si="338"/>
        <v>1</v>
      </c>
      <c r="V594">
        <f t="shared" si="339"/>
        <v>1</v>
      </c>
      <c r="W594">
        <f t="shared" si="325"/>
        <v>0</v>
      </c>
      <c r="X594">
        <f t="shared" si="349"/>
        <v>0</v>
      </c>
      <c r="Y594">
        <f t="shared" si="326"/>
        <v>0</v>
      </c>
      <c r="Z594">
        <f t="shared" si="327"/>
        <v>0</v>
      </c>
      <c r="AA594">
        <f t="shared" si="328"/>
        <v>0</v>
      </c>
      <c r="AB594" s="29">
        <f t="shared" si="329"/>
        <v>0</v>
      </c>
      <c r="AC594" s="25">
        <f t="shared" si="330"/>
        <v>0</v>
      </c>
      <c r="AD594" s="29">
        <f t="shared" si="331"/>
        <v>0</v>
      </c>
      <c r="AE594" s="25">
        <f t="shared" si="340"/>
        <v>0</v>
      </c>
      <c r="AF594" s="25">
        <f t="shared" si="332"/>
        <v>0</v>
      </c>
      <c r="AG594" s="25">
        <f>IF($A594&lt;0,0,IF(instatk="bs",(1.5+talSCallInstBon)*(MHavg+(ap+Z594-$Z$1)/APtoDPS*MHnorm+170)*(1+sa*0.1+0.04*opp+0.02*agg+Slayer4value-1),IF(instatk="hemo",Slayer4value*(MHavg+(ap+Z594-$Z$1)/APtoDPS*MHnorm)*(1.1+talSCallInstBon)+420*(1+raidcrit)*debuffon,IF(instatk="ss",(MHavg+(ap+Z594-$Z$1)/APtoDPS*MHnorm+98)*(1+sa*0.1+0.02*agg+Slayer4value-1),IF(instatk="v",(ohavg+(ap+Z594-$Z$1)/APtoDPS*OHnorm)*(1+sa*0.1)*(0.5+0.05*dws)+avipdam,Slayer4value*((1+0.04*opp)*(MHavg+101+(ap+Z594-$Z$1)/APtoDPS*MHnorm+(0.5+0.05*dws)*(ohavg+(ap+Z594-$Z$1)/APtoDPS*OHnorm)+101*(1+0.1*dws))*(1+0.5*IF(Talents!$O$18="Yes",1,0)))))))*(instactualhit+(1+((leth*0.06+2)-1)*(cfact-1))*instactualcrit)*fwfactor*AB594*instsec*(AF594/$AN$45))</f>
        <v>0</v>
      </c>
      <c r="AH594" s="25">
        <f t="shared" si="350"/>
        <v>0</v>
      </c>
      <c r="AI594" s="25">
        <f t="shared" si="351"/>
        <v>0</v>
      </c>
      <c r="AJ594" s="25">
        <f t="shared" si="352"/>
        <v>0</v>
      </c>
    </row>
    <row r="595" spans="1:36">
      <c r="A595">
        <f t="shared" si="333"/>
        <v>-1</v>
      </c>
      <c r="B595">
        <f t="shared" si="341"/>
        <v>6</v>
      </c>
      <c r="C595">
        <f t="shared" si="319"/>
        <v>300</v>
      </c>
      <c r="D595">
        <f t="shared" si="334"/>
        <v>0</v>
      </c>
      <c r="E595">
        <f t="shared" si="353"/>
        <v>5</v>
      </c>
      <c r="F595">
        <f t="shared" si="320"/>
        <v>360</v>
      </c>
      <c r="G595">
        <f t="shared" si="335"/>
        <v>0</v>
      </c>
      <c r="H595">
        <f t="shared" si="342"/>
        <v>4</v>
      </c>
      <c r="I595">
        <f t="shared" si="321"/>
        <v>360</v>
      </c>
      <c r="J595">
        <f t="shared" si="336"/>
        <v>0</v>
      </c>
      <c r="K595">
        <f t="shared" si="343"/>
        <v>3</v>
      </c>
      <c r="L595">
        <f t="shared" si="322"/>
        <v>360</v>
      </c>
      <c r="M595">
        <f t="shared" si="337"/>
        <v>0</v>
      </c>
      <c r="N595">
        <f t="shared" si="344"/>
        <v>2</v>
      </c>
      <c r="O595">
        <f t="shared" si="323"/>
        <v>300</v>
      </c>
      <c r="P595">
        <f t="shared" si="345"/>
        <v>0</v>
      </c>
      <c r="Q595">
        <f t="shared" si="346"/>
        <v>2</v>
      </c>
      <c r="R595">
        <f t="shared" si="324"/>
        <v>300</v>
      </c>
      <c r="S595">
        <f t="shared" si="347"/>
        <v>0</v>
      </c>
      <c r="T595">
        <f t="shared" si="348"/>
        <v>-1</v>
      </c>
      <c r="U595">
        <f t="shared" si="338"/>
        <v>1</v>
      </c>
      <c r="V595">
        <f t="shared" si="339"/>
        <v>1</v>
      </c>
      <c r="W595">
        <f t="shared" si="325"/>
        <v>0</v>
      </c>
      <c r="X595">
        <f t="shared" si="349"/>
        <v>0</v>
      </c>
      <c r="Y595">
        <f t="shared" si="326"/>
        <v>0</v>
      </c>
      <c r="Z595">
        <f t="shared" si="327"/>
        <v>0</v>
      </c>
      <c r="AA595">
        <f t="shared" si="328"/>
        <v>0</v>
      </c>
      <c r="AB595" s="29">
        <f t="shared" si="329"/>
        <v>0</v>
      </c>
      <c r="AC595" s="25">
        <f t="shared" si="330"/>
        <v>0</v>
      </c>
      <c r="AD595" s="29">
        <f t="shared" si="331"/>
        <v>0</v>
      </c>
      <c r="AE595" s="25">
        <f t="shared" si="340"/>
        <v>0</v>
      </c>
      <c r="AF595" s="25">
        <f t="shared" si="332"/>
        <v>0</v>
      </c>
      <c r="AG595" s="25">
        <f>IF($A595&lt;0,0,IF(instatk="bs",(1.5+talSCallInstBon)*(MHavg+(ap+Z595-$Z$1)/APtoDPS*MHnorm+170)*(1+sa*0.1+0.04*opp+0.02*agg+Slayer4value-1),IF(instatk="hemo",Slayer4value*(MHavg+(ap+Z595-$Z$1)/APtoDPS*MHnorm)*(1.1+talSCallInstBon)+420*(1+raidcrit)*debuffon,IF(instatk="ss",(MHavg+(ap+Z595-$Z$1)/APtoDPS*MHnorm+98)*(1+sa*0.1+0.02*agg+Slayer4value-1),IF(instatk="v",(ohavg+(ap+Z595-$Z$1)/APtoDPS*OHnorm)*(1+sa*0.1)*(0.5+0.05*dws)+avipdam,Slayer4value*((1+0.04*opp)*(MHavg+101+(ap+Z595-$Z$1)/APtoDPS*MHnorm+(0.5+0.05*dws)*(ohavg+(ap+Z595-$Z$1)/APtoDPS*OHnorm)+101*(1+0.1*dws))*(1+0.5*IF(Talents!$O$18="Yes",1,0)))))))*(instactualhit+(1+((leth*0.06+2)-1)*(cfact-1))*instactualcrit)*fwfactor*AB595*instsec*(AF595/$AN$45))</f>
        <v>0</v>
      </c>
      <c r="AH595" s="25">
        <f t="shared" si="350"/>
        <v>0</v>
      </c>
      <c r="AI595" s="25">
        <f t="shared" si="351"/>
        <v>0</v>
      </c>
      <c r="AJ595" s="25">
        <f t="shared" si="352"/>
        <v>0</v>
      </c>
    </row>
    <row r="596" spans="1:36">
      <c r="A596">
        <f t="shared" si="333"/>
        <v>-1</v>
      </c>
      <c r="B596">
        <f t="shared" si="341"/>
        <v>6</v>
      </c>
      <c r="C596">
        <f t="shared" si="319"/>
        <v>300</v>
      </c>
      <c r="D596">
        <f t="shared" si="334"/>
        <v>0</v>
      </c>
      <c r="E596">
        <f t="shared" si="353"/>
        <v>5</v>
      </c>
      <c r="F596">
        <f t="shared" si="320"/>
        <v>360</v>
      </c>
      <c r="G596">
        <f t="shared" si="335"/>
        <v>0</v>
      </c>
      <c r="H596">
        <f t="shared" si="342"/>
        <v>4</v>
      </c>
      <c r="I596">
        <f t="shared" si="321"/>
        <v>360</v>
      </c>
      <c r="J596">
        <f t="shared" si="336"/>
        <v>0</v>
      </c>
      <c r="K596">
        <f t="shared" si="343"/>
        <v>3</v>
      </c>
      <c r="L596">
        <f t="shared" si="322"/>
        <v>360</v>
      </c>
      <c r="M596">
        <f t="shared" si="337"/>
        <v>0</v>
      </c>
      <c r="N596">
        <f t="shared" si="344"/>
        <v>2</v>
      </c>
      <c r="O596">
        <f t="shared" si="323"/>
        <v>300</v>
      </c>
      <c r="P596">
        <f t="shared" si="345"/>
        <v>0</v>
      </c>
      <c r="Q596">
        <f t="shared" si="346"/>
        <v>2</v>
      </c>
      <c r="R596">
        <f t="shared" si="324"/>
        <v>300</v>
      </c>
      <c r="S596">
        <f t="shared" si="347"/>
        <v>0</v>
      </c>
      <c r="T596">
        <f t="shared" si="348"/>
        <v>-1</v>
      </c>
      <c r="U596">
        <f t="shared" si="338"/>
        <v>1</v>
      </c>
      <c r="V596">
        <f t="shared" si="339"/>
        <v>1</v>
      </c>
      <c r="W596">
        <f t="shared" si="325"/>
        <v>0</v>
      </c>
      <c r="X596">
        <f t="shared" si="349"/>
        <v>0</v>
      </c>
      <c r="Y596">
        <f t="shared" si="326"/>
        <v>0</v>
      </c>
      <c r="Z596">
        <f t="shared" si="327"/>
        <v>0</v>
      </c>
      <c r="AA596">
        <f t="shared" si="328"/>
        <v>0</v>
      </c>
      <c r="AB596" s="29">
        <f t="shared" si="329"/>
        <v>0</v>
      </c>
      <c r="AC596" s="25">
        <f t="shared" si="330"/>
        <v>0</v>
      </c>
      <c r="AD596" s="29">
        <f t="shared" si="331"/>
        <v>0</v>
      </c>
      <c r="AE596" s="25">
        <f t="shared" si="340"/>
        <v>0</v>
      </c>
      <c r="AF596" s="25">
        <f t="shared" si="332"/>
        <v>0</v>
      </c>
      <c r="AG596" s="25">
        <f>IF($A596&lt;0,0,IF(instatk="bs",(1.5+talSCallInstBon)*(MHavg+(ap+Z596-$Z$1)/APtoDPS*MHnorm+170)*(1+sa*0.1+0.04*opp+0.02*agg+Slayer4value-1),IF(instatk="hemo",Slayer4value*(MHavg+(ap+Z596-$Z$1)/APtoDPS*MHnorm)*(1.1+talSCallInstBon)+420*(1+raidcrit)*debuffon,IF(instatk="ss",(MHavg+(ap+Z596-$Z$1)/APtoDPS*MHnorm+98)*(1+sa*0.1+0.02*agg+Slayer4value-1),IF(instatk="v",(ohavg+(ap+Z596-$Z$1)/APtoDPS*OHnorm)*(1+sa*0.1)*(0.5+0.05*dws)+avipdam,Slayer4value*((1+0.04*opp)*(MHavg+101+(ap+Z596-$Z$1)/APtoDPS*MHnorm+(0.5+0.05*dws)*(ohavg+(ap+Z596-$Z$1)/APtoDPS*OHnorm)+101*(1+0.1*dws))*(1+0.5*IF(Talents!$O$18="Yes",1,0)))))))*(instactualhit+(1+((leth*0.06+2)-1)*(cfact-1))*instactualcrit)*fwfactor*AB596*instsec*(AF596/$AN$45))</f>
        <v>0</v>
      </c>
      <c r="AH596" s="25">
        <f t="shared" si="350"/>
        <v>0</v>
      </c>
      <c r="AI596" s="25">
        <f t="shared" si="351"/>
        <v>0</v>
      </c>
      <c r="AJ596" s="25">
        <f t="shared" si="352"/>
        <v>0</v>
      </c>
    </row>
    <row r="597" spans="1:36">
      <c r="A597">
        <f t="shared" si="333"/>
        <v>-1</v>
      </c>
      <c r="B597">
        <f t="shared" si="341"/>
        <v>6</v>
      </c>
      <c r="C597">
        <f t="shared" si="319"/>
        <v>300</v>
      </c>
      <c r="D597">
        <f t="shared" si="334"/>
        <v>0</v>
      </c>
      <c r="E597">
        <f t="shared" si="353"/>
        <v>5</v>
      </c>
      <c r="F597">
        <f t="shared" si="320"/>
        <v>360</v>
      </c>
      <c r="G597">
        <f t="shared" si="335"/>
        <v>0</v>
      </c>
      <c r="H597">
        <f t="shared" si="342"/>
        <v>4</v>
      </c>
      <c r="I597">
        <f t="shared" si="321"/>
        <v>360</v>
      </c>
      <c r="J597">
        <f t="shared" si="336"/>
        <v>0</v>
      </c>
      <c r="K597">
        <f t="shared" si="343"/>
        <v>3</v>
      </c>
      <c r="L597">
        <f t="shared" si="322"/>
        <v>360</v>
      </c>
      <c r="M597">
        <f t="shared" si="337"/>
        <v>0</v>
      </c>
      <c r="N597">
        <f t="shared" si="344"/>
        <v>2</v>
      </c>
      <c r="O597">
        <f t="shared" si="323"/>
        <v>300</v>
      </c>
      <c r="P597">
        <f t="shared" si="345"/>
        <v>0</v>
      </c>
      <c r="Q597">
        <f t="shared" si="346"/>
        <v>2</v>
      </c>
      <c r="R597">
        <f t="shared" si="324"/>
        <v>300</v>
      </c>
      <c r="S597">
        <f t="shared" si="347"/>
        <v>0</v>
      </c>
      <c r="T597">
        <f t="shared" si="348"/>
        <v>-1</v>
      </c>
      <c r="U597">
        <f t="shared" si="338"/>
        <v>1</v>
      </c>
      <c r="V597">
        <f t="shared" si="339"/>
        <v>1</v>
      </c>
      <c r="W597">
        <f t="shared" si="325"/>
        <v>0</v>
      </c>
      <c r="X597">
        <f t="shared" si="349"/>
        <v>0</v>
      </c>
      <c r="Y597">
        <f t="shared" si="326"/>
        <v>0</v>
      </c>
      <c r="Z597">
        <f t="shared" si="327"/>
        <v>0</v>
      </c>
      <c r="AA597">
        <f t="shared" si="328"/>
        <v>0</v>
      </c>
      <c r="AB597" s="29">
        <f t="shared" si="329"/>
        <v>0</v>
      </c>
      <c r="AC597" s="25">
        <f t="shared" si="330"/>
        <v>0</v>
      </c>
      <c r="AD597" s="29">
        <f t="shared" si="331"/>
        <v>0</v>
      </c>
      <c r="AE597" s="25">
        <f t="shared" si="340"/>
        <v>0</v>
      </c>
      <c r="AF597" s="25">
        <f t="shared" si="332"/>
        <v>0</v>
      </c>
      <c r="AG597" s="25">
        <f>IF($A597&lt;0,0,IF(instatk="bs",(1.5+talSCallInstBon)*(MHavg+(ap+Z597-$Z$1)/APtoDPS*MHnorm+170)*(1+sa*0.1+0.04*opp+0.02*agg+Slayer4value-1),IF(instatk="hemo",Slayer4value*(MHavg+(ap+Z597-$Z$1)/APtoDPS*MHnorm)*(1.1+talSCallInstBon)+420*(1+raidcrit)*debuffon,IF(instatk="ss",(MHavg+(ap+Z597-$Z$1)/APtoDPS*MHnorm+98)*(1+sa*0.1+0.02*agg+Slayer4value-1),IF(instatk="v",(ohavg+(ap+Z597-$Z$1)/APtoDPS*OHnorm)*(1+sa*0.1)*(0.5+0.05*dws)+avipdam,Slayer4value*((1+0.04*opp)*(MHavg+101+(ap+Z597-$Z$1)/APtoDPS*MHnorm+(0.5+0.05*dws)*(ohavg+(ap+Z597-$Z$1)/APtoDPS*OHnorm)+101*(1+0.1*dws))*(1+0.5*IF(Talents!$O$18="Yes",1,0)))))))*(instactualhit+(1+((leth*0.06+2)-1)*(cfact-1))*instactualcrit)*fwfactor*AB597*instsec*(AF597/$AN$45))</f>
        <v>0</v>
      </c>
      <c r="AH597" s="25">
        <f t="shared" si="350"/>
        <v>0</v>
      </c>
      <c r="AI597" s="25">
        <f t="shared" si="351"/>
        <v>0</v>
      </c>
      <c r="AJ597" s="25">
        <f t="shared" si="352"/>
        <v>0</v>
      </c>
    </row>
    <row r="598" spans="1:36">
      <c r="A598">
        <f t="shared" si="333"/>
        <v>-1</v>
      </c>
      <c r="B598">
        <f t="shared" si="341"/>
        <v>6</v>
      </c>
      <c r="C598">
        <f t="shared" si="319"/>
        <v>300</v>
      </c>
      <c r="D598">
        <f t="shared" si="334"/>
        <v>0</v>
      </c>
      <c r="E598">
        <f t="shared" si="353"/>
        <v>5</v>
      </c>
      <c r="F598">
        <f t="shared" si="320"/>
        <v>360</v>
      </c>
      <c r="G598">
        <f t="shared" si="335"/>
        <v>0</v>
      </c>
      <c r="H598">
        <f t="shared" si="342"/>
        <v>4</v>
      </c>
      <c r="I598">
        <f t="shared" si="321"/>
        <v>360</v>
      </c>
      <c r="J598">
        <f t="shared" si="336"/>
        <v>0</v>
      </c>
      <c r="K598">
        <f t="shared" si="343"/>
        <v>3</v>
      </c>
      <c r="L598">
        <f t="shared" si="322"/>
        <v>360</v>
      </c>
      <c r="M598">
        <f t="shared" si="337"/>
        <v>0</v>
      </c>
      <c r="N598">
        <f t="shared" si="344"/>
        <v>2</v>
      </c>
      <c r="O598">
        <f t="shared" si="323"/>
        <v>300</v>
      </c>
      <c r="P598">
        <f t="shared" si="345"/>
        <v>0</v>
      </c>
      <c r="Q598">
        <f t="shared" si="346"/>
        <v>2</v>
      </c>
      <c r="R598">
        <f t="shared" si="324"/>
        <v>300</v>
      </c>
      <c r="S598">
        <f t="shared" si="347"/>
        <v>0</v>
      </c>
      <c r="T598">
        <f t="shared" si="348"/>
        <v>-1</v>
      </c>
      <c r="U598">
        <f t="shared" si="338"/>
        <v>1</v>
      </c>
      <c r="V598">
        <f t="shared" si="339"/>
        <v>1</v>
      </c>
      <c r="W598">
        <f t="shared" si="325"/>
        <v>0</v>
      </c>
      <c r="X598">
        <f t="shared" si="349"/>
        <v>0</v>
      </c>
      <c r="Y598">
        <f t="shared" si="326"/>
        <v>0</v>
      </c>
      <c r="Z598">
        <f t="shared" si="327"/>
        <v>0</v>
      </c>
      <c r="AA598">
        <f t="shared" si="328"/>
        <v>0</v>
      </c>
      <c r="AB598" s="29">
        <f t="shared" si="329"/>
        <v>0</v>
      </c>
      <c r="AC598" s="25">
        <f t="shared" si="330"/>
        <v>0</v>
      </c>
      <c r="AD598" s="29">
        <f t="shared" si="331"/>
        <v>0</v>
      </c>
      <c r="AE598" s="25">
        <f t="shared" si="340"/>
        <v>0</v>
      </c>
      <c r="AF598" s="25">
        <f t="shared" si="332"/>
        <v>0</v>
      </c>
      <c r="AG598" s="25">
        <f>IF($A598&lt;0,0,IF(instatk="bs",(1.5+talSCallInstBon)*(MHavg+(ap+Z598-$Z$1)/APtoDPS*MHnorm+170)*(1+sa*0.1+0.04*opp+0.02*agg+Slayer4value-1),IF(instatk="hemo",Slayer4value*(MHavg+(ap+Z598-$Z$1)/APtoDPS*MHnorm)*(1.1+talSCallInstBon)+420*(1+raidcrit)*debuffon,IF(instatk="ss",(MHavg+(ap+Z598-$Z$1)/APtoDPS*MHnorm+98)*(1+sa*0.1+0.02*agg+Slayer4value-1),IF(instatk="v",(ohavg+(ap+Z598-$Z$1)/APtoDPS*OHnorm)*(1+sa*0.1)*(0.5+0.05*dws)+avipdam,Slayer4value*((1+0.04*opp)*(MHavg+101+(ap+Z598-$Z$1)/APtoDPS*MHnorm+(0.5+0.05*dws)*(ohavg+(ap+Z598-$Z$1)/APtoDPS*OHnorm)+101*(1+0.1*dws))*(1+0.5*IF(Talents!$O$18="Yes",1,0)))))))*(instactualhit+(1+((leth*0.06+2)-1)*(cfact-1))*instactualcrit)*fwfactor*AB598*instsec*(AF598/$AN$45))</f>
        <v>0</v>
      </c>
      <c r="AH598" s="25">
        <f t="shared" si="350"/>
        <v>0</v>
      </c>
      <c r="AI598" s="25">
        <f t="shared" si="351"/>
        <v>0</v>
      </c>
      <c r="AJ598" s="25">
        <f t="shared" si="352"/>
        <v>0</v>
      </c>
    </row>
    <row r="599" spans="1:36">
      <c r="A599">
        <f t="shared" si="333"/>
        <v>-1</v>
      </c>
      <c r="B599">
        <f t="shared" si="341"/>
        <v>6</v>
      </c>
      <c r="C599">
        <f t="shared" si="319"/>
        <v>300</v>
      </c>
      <c r="D599">
        <f t="shared" si="334"/>
        <v>0</v>
      </c>
      <c r="E599">
        <f t="shared" si="353"/>
        <v>5</v>
      </c>
      <c r="F599">
        <f t="shared" si="320"/>
        <v>360</v>
      </c>
      <c r="G599">
        <f t="shared" si="335"/>
        <v>0</v>
      </c>
      <c r="H599">
        <f t="shared" si="342"/>
        <v>4</v>
      </c>
      <c r="I599">
        <f t="shared" si="321"/>
        <v>360</v>
      </c>
      <c r="J599">
        <f t="shared" si="336"/>
        <v>0</v>
      </c>
      <c r="K599">
        <f t="shared" si="343"/>
        <v>3</v>
      </c>
      <c r="L599">
        <f t="shared" si="322"/>
        <v>360</v>
      </c>
      <c r="M599">
        <f t="shared" si="337"/>
        <v>0</v>
      </c>
      <c r="N599">
        <f t="shared" si="344"/>
        <v>2</v>
      </c>
      <c r="O599">
        <f t="shared" si="323"/>
        <v>300</v>
      </c>
      <c r="P599">
        <f t="shared" si="345"/>
        <v>0</v>
      </c>
      <c r="Q599">
        <f t="shared" si="346"/>
        <v>2</v>
      </c>
      <c r="R599">
        <f t="shared" si="324"/>
        <v>300</v>
      </c>
      <c r="S599">
        <f t="shared" si="347"/>
        <v>0</v>
      </c>
      <c r="T599">
        <f t="shared" si="348"/>
        <v>-1</v>
      </c>
      <c r="U599">
        <f t="shared" si="338"/>
        <v>1</v>
      </c>
      <c r="V599">
        <f t="shared" si="339"/>
        <v>1</v>
      </c>
      <c r="W599">
        <f t="shared" si="325"/>
        <v>0</v>
      </c>
      <c r="X599">
        <f t="shared" si="349"/>
        <v>0</v>
      </c>
      <c r="Y599">
        <f t="shared" si="326"/>
        <v>0</v>
      </c>
      <c r="Z599">
        <f t="shared" si="327"/>
        <v>0</v>
      </c>
      <c r="AA599">
        <f t="shared" si="328"/>
        <v>0</v>
      </c>
      <c r="AB599" s="29">
        <f t="shared" si="329"/>
        <v>0</v>
      </c>
      <c r="AC599" s="25">
        <f t="shared" si="330"/>
        <v>0</v>
      </c>
      <c r="AD599" s="29">
        <f t="shared" si="331"/>
        <v>0</v>
      </c>
      <c r="AE599" s="25">
        <f t="shared" si="340"/>
        <v>0</v>
      </c>
      <c r="AF599" s="25">
        <f t="shared" si="332"/>
        <v>0</v>
      </c>
      <c r="AG599" s="25">
        <f>IF($A599&lt;0,0,IF(instatk="bs",(1.5+talSCallInstBon)*(MHavg+(ap+Z599-$Z$1)/APtoDPS*MHnorm+170)*(1+sa*0.1+0.04*opp+0.02*agg+Slayer4value-1),IF(instatk="hemo",Slayer4value*(MHavg+(ap+Z599-$Z$1)/APtoDPS*MHnorm)*(1.1+talSCallInstBon)+420*(1+raidcrit)*debuffon,IF(instatk="ss",(MHavg+(ap+Z599-$Z$1)/APtoDPS*MHnorm+98)*(1+sa*0.1+0.02*agg+Slayer4value-1),IF(instatk="v",(ohavg+(ap+Z599-$Z$1)/APtoDPS*OHnorm)*(1+sa*0.1)*(0.5+0.05*dws)+avipdam,Slayer4value*((1+0.04*opp)*(MHavg+101+(ap+Z599-$Z$1)/APtoDPS*MHnorm+(0.5+0.05*dws)*(ohavg+(ap+Z599-$Z$1)/APtoDPS*OHnorm)+101*(1+0.1*dws))*(1+0.5*IF(Talents!$O$18="Yes",1,0)))))))*(instactualhit+(1+((leth*0.06+2)-1)*(cfact-1))*instactualcrit)*fwfactor*AB599*instsec*(AF599/$AN$45))</f>
        <v>0</v>
      </c>
      <c r="AH599" s="25">
        <f t="shared" si="350"/>
        <v>0</v>
      </c>
      <c r="AI599" s="25">
        <f t="shared" si="351"/>
        <v>0</v>
      </c>
      <c r="AJ599" s="25">
        <f t="shared" si="352"/>
        <v>0</v>
      </c>
    </row>
    <row r="600" spans="1:36">
      <c r="A600">
        <f t="shared" si="333"/>
        <v>-1</v>
      </c>
      <c r="B600">
        <f t="shared" si="341"/>
        <v>6</v>
      </c>
      <c r="C600">
        <f t="shared" si="319"/>
        <v>300</v>
      </c>
      <c r="D600">
        <f t="shared" si="334"/>
        <v>0</v>
      </c>
      <c r="E600">
        <f t="shared" si="353"/>
        <v>5</v>
      </c>
      <c r="F600">
        <f t="shared" si="320"/>
        <v>360</v>
      </c>
      <c r="G600">
        <f t="shared" si="335"/>
        <v>0</v>
      </c>
      <c r="H600">
        <f t="shared" si="342"/>
        <v>4</v>
      </c>
      <c r="I600">
        <f t="shared" si="321"/>
        <v>360</v>
      </c>
      <c r="J600">
        <f t="shared" si="336"/>
        <v>0</v>
      </c>
      <c r="K600">
        <f t="shared" si="343"/>
        <v>3</v>
      </c>
      <c r="L600">
        <f t="shared" si="322"/>
        <v>360</v>
      </c>
      <c r="M600">
        <f t="shared" si="337"/>
        <v>0</v>
      </c>
      <c r="N600">
        <f t="shared" si="344"/>
        <v>2</v>
      </c>
      <c r="O600">
        <f t="shared" si="323"/>
        <v>300</v>
      </c>
      <c r="P600">
        <f t="shared" si="345"/>
        <v>0</v>
      </c>
      <c r="Q600">
        <f t="shared" si="346"/>
        <v>2</v>
      </c>
      <c r="R600">
        <f t="shared" si="324"/>
        <v>300</v>
      </c>
      <c r="S600">
        <f t="shared" si="347"/>
        <v>0</v>
      </c>
      <c r="T600">
        <f t="shared" si="348"/>
        <v>-1</v>
      </c>
      <c r="U600">
        <f t="shared" si="338"/>
        <v>1</v>
      </c>
      <c r="V600">
        <f t="shared" si="339"/>
        <v>1</v>
      </c>
      <c r="W600">
        <f t="shared" si="325"/>
        <v>0</v>
      </c>
      <c r="X600">
        <f t="shared" si="349"/>
        <v>0</v>
      </c>
      <c r="Y600">
        <f t="shared" si="326"/>
        <v>0</v>
      </c>
      <c r="Z600">
        <f t="shared" si="327"/>
        <v>0</v>
      </c>
      <c r="AA600">
        <f t="shared" si="328"/>
        <v>0</v>
      </c>
      <c r="AB600" s="29">
        <f t="shared" si="329"/>
        <v>0</v>
      </c>
      <c r="AC600" s="25">
        <f t="shared" si="330"/>
        <v>0</v>
      </c>
      <c r="AD600" s="29">
        <f t="shared" si="331"/>
        <v>0</v>
      </c>
      <c r="AE600" s="25">
        <f t="shared" si="340"/>
        <v>0</v>
      </c>
      <c r="AF600" s="25">
        <f t="shared" si="332"/>
        <v>0</v>
      </c>
      <c r="AG600" s="25">
        <f>IF($A600&lt;0,0,IF(instatk="bs",(1.5+talSCallInstBon)*(MHavg+(ap+Z600-$Z$1)/APtoDPS*MHnorm+170)*(1+sa*0.1+0.04*opp+0.02*agg+Slayer4value-1),IF(instatk="hemo",Slayer4value*(MHavg+(ap+Z600-$Z$1)/APtoDPS*MHnorm)*(1.1+talSCallInstBon)+420*(1+raidcrit)*debuffon,IF(instatk="ss",(MHavg+(ap+Z600-$Z$1)/APtoDPS*MHnorm+98)*(1+sa*0.1+0.02*agg+Slayer4value-1),IF(instatk="v",(ohavg+(ap+Z600-$Z$1)/APtoDPS*OHnorm)*(1+sa*0.1)*(0.5+0.05*dws)+avipdam,Slayer4value*((1+0.04*opp)*(MHavg+101+(ap+Z600-$Z$1)/APtoDPS*MHnorm+(0.5+0.05*dws)*(ohavg+(ap+Z600-$Z$1)/APtoDPS*OHnorm)+101*(1+0.1*dws))*(1+0.5*IF(Talents!$O$18="Yes",1,0)))))))*(instactualhit+(1+((leth*0.06+2)-1)*(cfact-1))*instactualcrit)*fwfactor*AB600*instsec*(AF600/$AN$45))</f>
        <v>0</v>
      </c>
      <c r="AH600" s="25">
        <f t="shared" si="350"/>
        <v>0</v>
      </c>
      <c r="AI600" s="25">
        <f t="shared" si="351"/>
        <v>0</v>
      </c>
      <c r="AJ600" s="25">
        <f t="shared" si="352"/>
        <v>0</v>
      </c>
    </row>
    <row r="601" spans="1:36">
      <c r="A601">
        <f t="shared" si="333"/>
        <v>-1</v>
      </c>
      <c r="B601">
        <f t="shared" si="341"/>
        <v>6</v>
      </c>
      <c r="C601">
        <f t="shared" si="319"/>
        <v>300</v>
      </c>
      <c r="D601">
        <f t="shared" si="334"/>
        <v>0</v>
      </c>
      <c r="E601">
        <f t="shared" si="353"/>
        <v>5</v>
      </c>
      <c r="F601">
        <f t="shared" si="320"/>
        <v>360</v>
      </c>
      <c r="G601">
        <f t="shared" si="335"/>
        <v>0</v>
      </c>
      <c r="H601">
        <f t="shared" si="342"/>
        <v>4</v>
      </c>
      <c r="I601">
        <f t="shared" si="321"/>
        <v>360</v>
      </c>
      <c r="J601">
        <f t="shared" si="336"/>
        <v>0</v>
      </c>
      <c r="K601">
        <f t="shared" si="343"/>
        <v>3</v>
      </c>
      <c r="L601">
        <f t="shared" si="322"/>
        <v>360</v>
      </c>
      <c r="M601">
        <f t="shared" si="337"/>
        <v>0</v>
      </c>
      <c r="N601">
        <f t="shared" si="344"/>
        <v>2</v>
      </c>
      <c r="O601">
        <f t="shared" si="323"/>
        <v>300</v>
      </c>
      <c r="P601">
        <f t="shared" si="345"/>
        <v>0</v>
      </c>
      <c r="Q601">
        <f t="shared" si="346"/>
        <v>2</v>
      </c>
      <c r="R601">
        <f t="shared" si="324"/>
        <v>300</v>
      </c>
      <c r="S601">
        <f t="shared" si="347"/>
        <v>0</v>
      </c>
      <c r="T601">
        <f t="shared" si="348"/>
        <v>-1</v>
      </c>
      <c r="U601">
        <f t="shared" si="338"/>
        <v>1</v>
      </c>
      <c r="V601">
        <f t="shared" si="339"/>
        <v>1</v>
      </c>
      <c r="W601">
        <f t="shared" si="325"/>
        <v>0</v>
      </c>
      <c r="X601">
        <f t="shared" si="349"/>
        <v>0</v>
      </c>
      <c r="Y601">
        <f t="shared" si="326"/>
        <v>0</v>
      </c>
      <c r="Z601">
        <f t="shared" si="327"/>
        <v>0</v>
      </c>
      <c r="AA601">
        <f t="shared" si="328"/>
        <v>0</v>
      </c>
      <c r="AB601" s="29">
        <f t="shared" si="329"/>
        <v>0</v>
      </c>
      <c r="AC601" s="25">
        <f t="shared" si="330"/>
        <v>0</v>
      </c>
      <c r="AD601" s="29">
        <f t="shared" si="331"/>
        <v>0</v>
      </c>
      <c r="AE601" s="25">
        <f t="shared" si="340"/>
        <v>0</v>
      </c>
      <c r="AF601" s="25">
        <f t="shared" si="332"/>
        <v>0</v>
      </c>
      <c r="AG601" s="25">
        <f>IF($A601&lt;0,0,IF(instatk="bs",(1.5+talSCallInstBon)*(MHavg+(ap+Z601-$Z$1)/APtoDPS*MHnorm+170)*(1+sa*0.1+0.04*opp+0.02*agg+Slayer4value-1),IF(instatk="hemo",Slayer4value*(MHavg+(ap+Z601-$Z$1)/APtoDPS*MHnorm)*(1.1+talSCallInstBon)+420*(1+raidcrit)*debuffon,IF(instatk="ss",(MHavg+(ap+Z601-$Z$1)/APtoDPS*MHnorm+98)*(1+sa*0.1+0.02*agg+Slayer4value-1),IF(instatk="v",(ohavg+(ap+Z601-$Z$1)/APtoDPS*OHnorm)*(1+sa*0.1)*(0.5+0.05*dws)+avipdam,Slayer4value*((1+0.04*opp)*(MHavg+101+(ap+Z601-$Z$1)/APtoDPS*MHnorm+(0.5+0.05*dws)*(ohavg+(ap+Z601-$Z$1)/APtoDPS*OHnorm)+101*(1+0.1*dws))*(1+0.5*IF(Talents!$O$18="Yes",1,0)))))))*(instactualhit+(1+((leth*0.06+2)-1)*(cfact-1))*instactualcrit)*fwfactor*AB601*instsec*(AF601/$AN$45))</f>
        <v>0</v>
      </c>
      <c r="AH601" s="25">
        <f t="shared" si="350"/>
        <v>0</v>
      </c>
      <c r="AI601" s="25">
        <f t="shared" si="351"/>
        <v>0</v>
      </c>
      <c r="AJ601" s="25">
        <f t="shared" si="352"/>
        <v>0</v>
      </c>
    </row>
    <row r="602" spans="1:36">
      <c r="A602" s="64">
        <f t="shared" si="333"/>
        <v>-1</v>
      </c>
      <c r="B602" s="64">
        <f t="shared" si="341"/>
        <v>6</v>
      </c>
      <c r="C602" s="64">
        <f t="shared" si="319"/>
        <v>300</v>
      </c>
      <c r="D602" s="64">
        <f t="shared" si="334"/>
        <v>0</v>
      </c>
      <c r="E602">
        <f t="shared" si="353"/>
        <v>5</v>
      </c>
      <c r="F602" s="64">
        <f t="shared" si="320"/>
        <v>360</v>
      </c>
      <c r="G602" s="64">
        <f t="shared" si="335"/>
        <v>0</v>
      </c>
      <c r="H602">
        <f t="shared" si="342"/>
        <v>4</v>
      </c>
      <c r="I602" s="64">
        <f t="shared" si="321"/>
        <v>360</v>
      </c>
      <c r="J602" s="64">
        <f t="shared" si="336"/>
        <v>0</v>
      </c>
      <c r="K602">
        <f t="shared" si="343"/>
        <v>3</v>
      </c>
      <c r="L602" s="64">
        <f t="shared" si="322"/>
        <v>360</v>
      </c>
      <c r="M602" s="64">
        <f t="shared" si="337"/>
        <v>0</v>
      </c>
      <c r="N602">
        <f t="shared" si="344"/>
        <v>2</v>
      </c>
      <c r="O602" s="64">
        <f t="shared" si="323"/>
        <v>300</v>
      </c>
      <c r="P602" s="64">
        <f t="shared" si="345"/>
        <v>0</v>
      </c>
      <c r="Q602">
        <f t="shared" si="346"/>
        <v>2</v>
      </c>
      <c r="R602" s="64">
        <f t="shared" si="324"/>
        <v>300</v>
      </c>
      <c r="S602" s="64">
        <f t="shared" si="347"/>
        <v>0</v>
      </c>
      <c r="T602">
        <f t="shared" si="348"/>
        <v>-1</v>
      </c>
      <c r="U602" s="64">
        <f t="shared" si="338"/>
        <v>1</v>
      </c>
      <c r="V602" s="64">
        <f t="shared" si="339"/>
        <v>1</v>
      </c>
      <c r="W602" s="64">
        <f t="shared" si="325"/>
        <v>0</v>
      </c>
      <c r="X602" s="64">
        <f t="shared" si="349"/>
        <v>0</v>
      </c>
      <c r="Y602" s="64">
        <f t="shared" si="326"/>
        <v>0</v>
      </c>
      <c r="Z602" s="64">
        <f t="shared" si="327"/>
        <v>0</v>
      </c>
      <c r="AA602" s="64">
        <f t="shared" si="328"/>
        <v>0</v>
      </c>
      <c r="AB602" s="1312">
        <f t="shared" si="329"/>
        <v>0</v>
      </c>
      <c r="AC602" s="104">
        <f t="shared" si="330"/>
        <v>0</v>
      </c>
      <c r="AD602" s="1312">
        <f t="shared" si="331"/>
        <v>0</v>
      </c>
      <c r="AE602" s="25">
        <f t="shared" si="340"/>
        <v>0</v>
      </c>
      <c r="AF602" s="104">
        <f t="shared" si="332"/>
        <v>0</v>
      </c>
      <c r="AG602" s="25">
        <f>IF($A602&lt;0,0,IF(instatk="bs",(1.5+talSCallInstBon)*(MHavg+(ap+Z602-$Z$1)/APtoDPS*MHnorm+170)*(1+sa*0.1+0.04*opp+0.02*agg+Slayer4value-1),IF(instatk="hemo",Slayer4value*(MHavg+(ap+Z602-$Z$1)/APtoDPS*MHnorm)*(1.1+talSCallInstBon)+420*(1+raidcrit)*debuffon,IF(instatk="ss",(MHavg+(ap+Z602-$Z$1)/APtoDPS*MHnorm+98)*(1+sa*0.1+0.02*agg+Slayer4value-1),IF(instatk="v",(ohavg+(ap+Z602-$Z$1)/APtoDPS*OHnorm)*(1+sa*0.1)*(0.5+0.05*dws)+avipdam,Slayer4value*((1+0.04*opp)*(MHavg+101+(ap+Z602-$Z$1)/APtoDPS*MHnorm+(0.5+0.05*dws)*(ohavg+(ap+Z602-$Z$1)/APtoDPS*OHnorm)+101*(1+0.1*dws))*(1+0.5*IF(Talents!$O$18="Yes",1,0)))))))*(instactualhit+(1+((leth*0.06+2)-1)*(cfact-1))*instactualcrit)*fwfactor*AB602*instsec*(AF602/$AN$45))</f>
        <v>0</v>
      </c>
      <c r="AH602" s="104">
        <f t="shared" si="350"/>
        <v>0</v>
      </c>
      <c r="AI602" s="104">
        <f t="shared" si="351"/>
        <v>0</v>
      </c>
      <c r="AJ602" s="104">
        <f t="shared" si="352"/>
        <v>0</v>
      </c>
    </row>
    <row r="603" spans="1:36">
      <c r="A603" s="901"/>
      <c r="B603" s="901"/>
      <c r="C603" s="901"/>
      <c r="D603" s="902">
        <f>COUNTIF(D3:D602,"=1")</f>
        <v>5</v>
      </c>
      <c r="E603" s="901"/>
      <c r="F603" s="901"/>
      <c r="G603" s="902">
        <f>COUNTIF(G3:G602,"=1")</f>
        <v>4</v>
      </c>
      <c r="H603" s="901"/>
      <c r="I603" s="901"/>
      <c r="J603" s="902">
        <f>COUNTIF(J3:J602,"=1")</f>
        <v>3</v>
      </c>
      <c r="K603" s="901"/>
      <c r="L603" s="901"/>
      <c r="M603" s="902">
        <f>COUNTIF(M3:M602,"=1")</f>
        <v>2</v>
      </c>
      <c r="N603" s="901"/>
      <c r="O603" s="901"/>
      <c r="P603" s="902">
        <f>COUNTIF(P3:P602, "&gt;0")</f>
        <v>15</v>
      </c>
      <c r="Q603" s="901"/>
      <c r="R603" s="901"/>
      <c r="S603" s="902">
        <f>COUNTIF(S3:S602,"=1")</f>
        <v>1</v>
      </c>
      <c r="T603" s="901"/>
      <c r="U603" s="901"/>
      <c r="V603" s="901"/>
      <c r="W603" s="901"/>
      <c r="X603" s="901"/>
      <c r="Y603" s="901"/>
      <c r="Z603" s="901"/>
      <c r="AA603" s="901"/>
      <c r="AB603" s="903"/>
      <c r="AC603" s="904"/>
      <c r="AD603" s="903"/>
      <c r="AE603" s="904"/>
      <c r="AF603" s="904"/>
      <c r="AG603" s="904"/>
      <c r="AH603" s="904"/>
      <c r="AI603" s="904"/>
      <c r="AJ603" s="904"/>
    </row>
    <row r="604" spans="1:36">
      <c r="P604" s="197">
        <f>COUNTIF(P3:P602,"=1")</f>
        <v>1</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D123"/>
  <sheetViews>
    <sheetView topLeftCell="A106" workbookViewId="0">
      <selection activeCell="B124" sqref="B124"/>
    </sheetView>
  </sheetViews>
  <sheetFormatPr defaultRowHeight="11.25"/>
  <cols>
    <col min="1" max="1" width="18.42578125" style="6" customWidth="1"/>
    <col min="2" max="2" width="9.28515625" style="120" customWidth="1"/>
    <col min="3" max="3" width="7.85546875" style="6" customWidth="1"/>
    <col min="4" max="4" width="12" style="6" customWidth="1"/>
    <col min="5" max="16384" width="9.140625" style="6"/>
  </cols>
  <sheetData>
    <row r="1" spans="1:4">
      <c r="A1" s="6" t="s">
        <v>732</v>
      </c>
      <c r="B1" s="120">
        <v>14</v>
      </c>
      <c r="C1" s="6" t="s">
        <v>733</v>
      </c>
    </row>
    <row r="2" spans="1:4">
      <c r="A2" s="6" t="s">
        <v>2045</v>
      </c>
      <c r="B2" s="372">
        <f>MAX(5%+0.5%*(BossLevel-CharLevel),0%)</f>
        <v>6.5000000000000002E-2</v>
      </c>
      <c r="C2" s="871"/>
    </row>
    <row r="3" spans="1:4">
      <c r="A3" s="6" t="s">
        <v>398</v>
      </c>
      <c r="B3" s="372">
        <f>MAX(5%+0.5%*(BossLevel-CharLevel)+IF((BossLevel-CharLevel)&gt;2,7.5%,0%))</f>
        <v>0.14000000000000001</v>
      </c>
    </row>
    <row r="4" spans="1:4">
      <c r="A4" s="6" t="s">
        <v>2049</v>
      </c>
      <c r="B4" s="372">
        <f>100%-MAX((BossLevel-CharLevel)*10%-5%,5%)</f>
        <v>0.75</v>
      </c>
      <c r="C4" s="325"/>
      <c r="D4" s="325"/>
    </row>
    <row r="5" spans="1:4">
      <c r="A5" s="6" t="s">
        <v>2048</v>
      </c>
      <c r="B5" s="372">
        <f>MAX((BossLevel+1-CharLevel)*6%,0%)</f>
        <v>0.24</v>
      </c>
      <c r="D5" s="325"/>
    </row>
    <row r="6" spans="1:4">
      <c r="A6" s="6" t="s">
        <v>2044</v>
      </c>
      <c r="B6" s="372">
        <f>19%+MAX(IF(BossLevel*5-CharLevel*5&gt;10, 5%+(BossLevel*5-CharLevel*5)*0.2%, 5%+(BossLevel*5-CharLevel*5)*0.1%), 0%)</f>
        <v>0.27</v>
      </c>
    </row>
    <row r="7" spans="1:4">
      <c r="A7" s="6" t="s">
        <v>2046</v>
      </c>
      <c r="B7" s="121">
        <f>Talents!O15</f>
        <v>73</v>
      </c>
      <c r="D7" s="325"/>
    </row>
    <row r="8" spans="1:4">
      <c r="A8" s="6" t="s">
        <v>2047</v>
      </c>
      <c r="B8" s="121">
        <f>Talents!O14</f>
        <v>70</v>
      </c>
      <c r="D8" s="325"/>
    </row>
    <row r="9" spans="1:4">
      <c r="A9" s="6" t="s">
        <v>734</v>
      </c>
      <c r="B9" s="654">
        <f>MHavg</f>
        <v>211</v>
      </c>
      <c r="C9" s="6" t="s">
        <v>735</v>
      </c>
      <c r="D9" s="325"/>
    </row>
    <row r="10" spans="1:4">
      <c r="A10" s="6" t="s">
        <v>736</v>
      </c>
      <c r="B10" s="218">
        <f>MHspd</f>
        <v>2.6</v>
      </c>
      <c r="C10" s="6" t="s">
        <v>737</v>
      </c>
      <c r="D10" s="325"/>
    </row>
    <row r="11" spans="1:4">
      <c r="A11" s="6" t="s">
        <v>740</v>
      </c>
      <c r="B11" s="654">
        <f>ohavg</f>
        <v>100.5</v>
      </c>
      <c r="C11" s="6" t="s">
        <v>738</v>
      </c>
      <c r="D11" s="325"/>
    </row>
    <row r="12" spans="1:4">
      <c r="A12" s="6" t="s">
        <v>741</v>
      </c>
      <c r="B12" s="218">
        <f>ohspd</f>
        <v>1.4</v>
      </c>
      <c r="C12" s="6" t="s">
        <v>739</v>
      </c>
      <c r="D12" s="325"/>
    </row>
    <row r="13" spans="1:4">
      <c r="A13" s="6" t="s">
        <v>2050</v>
      </c>
      <c r="B13" s="372">
        <f>50%+50%*talDWSpec*talDWSpecRate</f>
        <v>0.75</v>
      </c>
      <c r="D13" s="325"/>
    </row>
    <row r="14" spans="1:4">
      <c r="A14" s="6" t="s">
        <v>639</v>
      </c>
      <c r="B14" s="1362">
        <v>2.4</v>
      </c>
      <c r="C14" s="6" t="s">
        <v>836</v>
      </c>
      <c r="D14" s="325"/>
    </row>
    <row r="15" spans="1:4">
      <c r="A15" s="6" t="s">
        <v>638</v>
      </c>
      <c r="B15" s="1362">
        <v>1.7</v>
      </c>
      <c r="C15" s="6" t="s">
        <v>837</v>
      </c>
      <c r="D15" s="325"/>
    </row>
    <row r="16" spans="1:4">
      <c r="A16" s="6" t="s">
        <v>111</v>
      </c>
      <c r="B16" s="1362">
        <f>IF(mhtype="Dagger",NormDag,NormWeap)</f>
        <v>2.4</v>
      </c>
      <c r="D16" s="325"/>
    </row>
    <row r="17" spans="1:4">
      <c r="A17" s="6" t="s">
        <v>112</v>
      </c>
      <c r="B17" s="1362">
        <f>IF(ohtype="Dagger",NormDag,NormWeap)</f>
        <v>2.4</v>
      </c>
      <c r="D17" s="325"/>
    </row>
    <row r="18" spans="1:4" s="219" customFormat="1">
      <c r="A18" s="219" t="s">
        <v>3041</v>
      </c>
      <c r="B18" s="237"/>
    </row>
    <row r="19" spans="1:4" s="222" customFormat="1">
      <c r="A19" s="222" t="s">
        <v>619</v>
      </c>
      <c r="B19" s="1363">
        <f>nextstat2!$E$11</f>
        <v>0.3930630284412473</v>
      </c>
    </row>
    <row r="20" spans="1:4">
      <c r="A20" s="6" t="s">
        <v>620</v>
      </c>
      <c r="B20" s="218">
        <f>nextstat2!$E$4</f>
        <v>0.8272128693349714</v>
      </c>
    </row>
    <row r="21" spans="1:4">
      <c r="A21" s="6" t="s">
        <v>621</v>
      </c>
      <c r="B21" s="218">
        <f>nextstat2!$E$3</f>
        <v>0.3573300258551626</v>
      </c>
    </row>
    <row r="22" spans="1:4">
      <c r="A22" s="6" t="s">
        <v>1403</v>
      </c>
      <c r="B22" s="218">
        <f>nextstat2!$E$5</f>
        <v>0.68579630550948423</v>
      </c>
    </row>
    <row r="23" spans="1:4">
      <c r="A23" s="6" t="s">
        <v>1404</v>
      </c>
      <c r="B23" s="218">
        <f>nextstat2!$E$6</f>
        <v>5.5500314671271553</v>
      </c>
    </row>
    <row r="24" spans="1:4">
      <c r="A24" s="6" t="s">
        <v>1405</v>
      </c>
      <c r="B24" s="218">
        <f>nextstat2!$E$7</f>
        <v>3.6713847390201408</v>
      </c>
    </row>
    <row r="25" spans="1:4">
      <c r="A25" s="6" t="s">
        <v>1406</v>
      </c>
      <c r="B25" s="218">
        <f>nextstat2!$E$8</f>
        <v>0.12290860133657588</v>
      </c>
    </row>
    <row r="26" spans="1:4">
      <c r="A26" s="6" t="s">
        <v>1407</v>
      </c>
      <c r="B26" s="218">
        <f>nextstat2!$E$9</f>
        <v>1.1786101463294472</v>
      </c>
    </row>
    <row r="27" spans="1:4" s="219" customFormat="1">
      <c r="A27" s="219" t="s">
        <v>1591</v>
      </c>
      <c r="B27" s="237"/>
    </row>
    <row r="28" spans="1:4" s="219" customFormat="1">
      <c r="A28" s="219" t="s">
        <v>175</v>
      </c>
      <c r="B28" s="237"/>
    </row>
    <row r="29" spans="1:4">
      <c r="A29" s="6" t="s">
        <v>169</v>
      </c>
      <c r="B29" s="120">
        <v>1</v>
      </c>
    </row>
    <row r="30" spans="1:4">
      <c r="A30" s="6" t="s">
        <v>2791</v>
      </c>
      <c r="B30" s="120">
        <v>2</v>
      </c>
    </row>
    <row r="31" spans="1:4">
      <c r="A31" s="6" t="s">
        <v>167</v>
      </c>
      <c r="B31" s="120">
        <v>3</v>
      </c>
    </row>
    <row r="32" spans="1:4">
      <c r="A32" s="6" t="s">
        <v>168</v>
      </c>
      <c r="B32" s="120">
        <v>4</v>
      </c>
    </row>
    <row r="33" spans="1:2">
      <c r="A33" s="6" t="s">
        <v>170</v>
      </c>
      <c r="B33" s="120">
        <v>5</v>
      </c>
    </row>
    <row r="34" spans="1:2">
      <c r="A34" s="6" t="s">
        <v>171</v>
      </c>
      <c r="B34" s="120">
        <v>6</v>
      </c>
    </row>
    <row r="35" spans="1:2">
      <c r="A35" s="6" t="s">
        <v>172</v>
      </c>
      <c r="B35" s="120">
        <v>7</v>
      </c>
    </row>
    <row r="36" spans="1:2">
      <c r="A36" s="6" t="s">
        <v>173</v>
      </c>
      <c r="B36" s="120">
        <v>8</v>
      </c>
    </row>
    <row r="37" spans="1:2">
      <c r="A37" s="6" t="s">
        <v>174</v>
      </c>
      <c r="B37" s="120">
        <v>9</v>
      </c>
    </row>
    <row r="38" spans="1:2">
      <c r="A38" s="6" t="s">
        <v>176</v>
      </c>
      <c r="B38" s="120">
        <v>10</v>
      </c>
    </row>
    <row r="39" spans="1:2">
      <c r="A39" s="6" t="s">
        <v>177</v>
      </c>
      <c r="B39" s="120">
        <v>11</v>
      </c>
    </row>
    <row r="40" spans="1:2">
      <c r="A40" s="6" t="s">
        <v>178</v>
      </c>
      <c r="B40" s="120">
        <v>12</v>
      </c>
    </row>
    <row r="41" spans="1:2">
      <c r="A41" s="6" t="s">
        <v>179</v>
      </c>
      <c r="B41" s="120">
        <v>13</v>
      </c>
    </row>
    <row r="42" spans="1:2">
      <c r="A42" s="6" t="s">
        <v>180</v>
      </c>
      <c r="B42" s="120">
        <v>14</v>
      </c>
    </row>
    <row r="43" spans="1:2">
      <c r="A43" s="6" t="s">
        <v>1586</v>
      </c>
      <c r="B43" s="120">
        <v>15</v>
      </c>
    </row>
    <row r="44" spans="1:2">
      <c r="A44" s="6" t="s">
        <v>1590</v>
      </c>
      <c r="B44" s="120">
        <v>16</v>
      </c>
    </row>
    <row r="45" spans="1:2">
      <c r="A45" s="6" t="s">
        <v>1588</v>
      </c>
      <c r="B45" s="120">
        <v>17</v>
      </c>
    </row>
    <row r="46" spans="1:2">
      <c r="A46" s="6" t="s">
        <v>1589</v>
      </c>
      <c r="B46" s="120">
        <v>18</v>
      </c>
    </row>
    <row r="47" spans="1:2">
      <c r="A47" s="6" t="s">
        <v>1587</v>
      </c>
      <c r="B47" s="120">
        <v>19</v>
      </c>
    </row>
    <row r="48" spans="1:2">
      <c r="A48" s="6" t="s">
        <v>2792</v>
      </c>
      <c r="B48" s="120">
        <v>20</v>
      </c>
    </row>
    <row r="49" spans="1:3">
      <c r="A49" s="6" t="s">
        <v>2793</v>
      </c>
      <c r="B49" s="120">
        <v>21</v>
      </c>
    </row>
    <row r="50" spans="1:3">
      <c r="A50" s="6" t="s">
        <v>2794</v>
      </c>
      <c r="B50" s="120">
        <v>22</v>
      </c>
    </row>
    <row r="51" spans="1:3">
      <c r="A51" s="6" t="s">
        <v>2796</v>
      </c>
      <c r="B51" s="120">
        <v>23</v>
      </c>
    </row>
    <row r="52" spans="1:3">
      <c r="A52" s="6" t="s">
        <v>2795</v>
      </c>
      <c r="B52" s="120">
        <v>25</v>
      </c>
    </row>
    <row r="53" spans="1:3" s="219" customFormat="1">
      <c r="A53" s="219" t="s">
        <v>2220</v>
      </c>
      <c r="B53" s="237"/>
    </row>
    <row r="54" spans="1:3" s="219" customFormat="1">
      <c r="B54" s="237"/>
    </row>
    <row r="55" spans="1:3">
      <c r="A55" s="6" t="s">
        <v>263</v>
      </c>
      <c r="B55" s="120" t="b">
        <f>SetTB2p</f>
        <v>0</v>
      </c>
    </row>
    <row r="56" spans="1:3" s="222" customFormat="1">
      <c r="A56" s="222" t="s">
        <v>1167</v>
      </c>
      <c r="B56" s="1364" t="b">
        <f>stSL4P</f>
        <v>0</v>
      </c>
    </row>
    <row r="57" spans="1:3">
      <c r="A57" s="6" t="s">
        <v>1168</v>
      </c>
      <c r="B57" s="338">
        <f>IF(stSL4P,6%,0)</f>
        <v>0</v>
      </c>
      <c r="C57" s="6" t="s">
        <v>636</v>
      </c>
    </row>
    <row r="58" spans="1:3" s="219" customFormat="1">
      <c r="A58" s="219" t="s">
        <v>838</v>
      </c>
      <c r="B58" s="237"/>
    </row>
    <row r="59" spans="1:3" s="219" customFormat="1">
      <c r="B59" s="237"/>
    </row>
    <row r="60" spans="1:3">
      <c r="A60" s="6" t="s">
        <v>1155</v>
      </c>
      <c r="B60" s="338">
        <f>150%+tlSCinst</f>
        <v>1.5</v>
      </c>
      <c r="C60" s="6" t="s">
        <v>2038</v>
      </c>
    </row>
    <row r="61" spans="1:3">
      <c r="A61" s="6" t="s">
        <v>1156</v>
      </c>
      <c r="B61" s="120">
        <f>1+tlSAfac+tlAGGfac+tlAGGfac+stSL4pbn</f>
        <v>1.2200000000000002</v>
      </c>
      <c r="C61" s="6" t="s">
        <v>1172</v>
      </c>
    </row>
    <row r="62" spans="1:3">
      <c r="A62" s="6" t="s">
        <v>1157</v>
      </c>
      <c r="B62" s="120">
        <v>170</v>
      </c>
    </row>
    <row r="63" spans="1:3" s="329" customFormat="1">
      <c r="A63" s="329" t="s">
        <v>1173</v>
      </c>
      <c r="B63" s="1365">
        <f>$B$61*$B$60</f>
        <v>1.8300000000000003</v>
      </c>
      <c r="C63" s="329" t="s">
        <v>1174</v>
      </c>
    </row>
    <row r="64" spans="1:3">
      <c r="A64" s="6" t="s">
        <v>1175</v>
      </c>
      <c r="B64" s="338">
        <f>110%+tlSCinst</f>
        <v>1.1000000000000001</v>
      </c>
      <c r="C64" s="6" t="s">
        <v>642</v>
      </c>
    </row>
    <row r="65" spans="1:3">
      <c r="A65" s="6" t="s">
        <v>637</v>
      </c>
      <c r="B65" s="120">
        <f>1+stSL4pbn</f>
        <v>1</v>
      </c>
      <c r="C65" s="6" t="s">
        <v>643</v>
      </c>
    </row>
    <row r="66" spans="1:3">
      <c r="A66" s="6" t="s">
        <v>640</v>
      </c>
      <c r="B66" s="120">
        <f>$B$64*$B$65</f>
        <v>1.1000000000000001</v>
      </c>
      <c r="C66" s="6" t="s">
        <v>641</v>
      </c>
    </row>
    <row r="67" spans="1:3" s="219" customFormat="1">
      <c r="A67" s="219" t="s">
        <v>1898</v>
      </c>
      <c r="B67" s="237"/>
    </row>
    <row r="68" spans="1:3" s="219" customFormat="1">
      <c r="B68" s="237"/>
    </row>
    <row r="69" spans="1:3">
      <c r="A69" s="6" t="s">
        <v>1244</v>
      </c>
      <c r="B69" s="120">
        <f>tlSwS</f>
        <v>5</v>
      </c>
      <c r="C69" s="6" t="s">
        <v>1245</v>
      </c>
    </row>
    <row r="70" spans="1:3">
      <c r="A70" s="6" t="s">
        <v>1247</v>
      </c>
      <c r="B70" s="338">
        <v>0.01</v>
      </c>
    </row>
    <row r="71" spans="1:3">
      <c r="A71" s="6" t="s">
        <v>1248</v>
      </c>
      <c r="B71" s="338">
        <f>tlSwS*$B$70</f>
        <v>0.05</v>
      </c>
      <c r="C71" s="6" t="s">
        <v>1246</v>
      </c>
    </row>
    <row r="72" spans="1:3">
      <c r="A72" s="6" t="s">
        <v>1249</v>
      </c>
      <c r="B72" s="338" t="b">
        <f>(mhtype="Sword")</f>
        <v>1</v>
      </c>
      <c r="C72" s="6" t="s">
        <v>1098</v>
      </c>
    </row>
    <row r="73" spans="1:3">
      <c r="A73" s="6" t="s">
        <v>1097</v>
      </c>
      <c r="B73" s="338" t="b">
        <f>(ohtype="Sword")</f>
        <v>1</v>
      </c>
      <c r="C73" s="6" t="s">
        <v>1099</v>
      </c>
    </row>
    <row r="74" spans="1:3" s="222" customFormat="1">
      <c r="A74" s="222" t="s">
        <v>2051</v>
      </c>
      <c r="B74" s="1364">
        <f>talDWSpec</f>
        <v>5</v>
      </c>
    </row>
    <row r="75" spans="1:3">
      <c r="A75" s="6" t="s">
        <v>2052</v>
      </c>
      <c r="B75" s="338">
        <v>0.1</v>
      </c>
    </row>
    <row r="76" spans="1:3" s="222" customFormat="1">
      <c r="A76" s="222" t="s">
        <v>1164</v>
      </c>
      <c r="B76" s="1364">
        <f>tlSC</f>
        <v>0</v>
      </c>
    </row>
    <row r="77" spans="1:3">
      <c r="A77" s="6" t="s">
        <v>1161</v>
      </c>
      <c r="B77" s="338">
        <v>0.01</v>
      </c>
      <c r="C77" s="6" t="s">
        <v>1162</v>
      </c>
    </row>
    <row r="78" spans="1:3">
      <c r="A78" s="6" t="s">
        <v>1152</v>
      </c>
      <c r="B78" s="338">
        <f>3%</f>
        <v>0.03</v>
      </c>
    </row>
    <row r="79" spans="1:3">
      <c r="A79" s="6" t="s">
        <v>1153</v>
      </c>
      <c r="B79" s="338">
        <f>tlSC*$B$77</f>
        <v>0</v>
      </c>
    </row>
    <row r="80" spans="1:3">
      <c r="A80" s="6" t="s">
        <v>1154</v>
      </c>
      <c r="B80" s="338">
        <f>tlSC*$B$78</f>
        <v>0</v>
      </c>
    </row>
    <row r="81" spans="1:3" s="222" customFormat="1">
      <c r="A81" s="222" t="s">
        <v>2035</v>
      </c>
      <c r="B81" s="1364">
        <f>tlMurder</f>
        <v>2</v>
      </c>
    </row>
    <row r="82" spans="1:3">
      <c r="A82" s="6" t="s">
        <v>2036</v>
      </c>
      <c r="B82" s="338">
        <v>0.01</v>
      </c>
      <c r="C82" s="6" t="s">
        <v>1160</v>
      </c>
    </row>
    <row r="83" spans="1:3" s="329" customFormat="1">
      <c r="A83" s="329" t="s">
        <v>2037</v>
      </c>
      <c r="B83" s="1366">
        <f>IF(OR(mobtype="Any",mobtype="Beast",mobtype="Dragonkin",mobtype="Giant",mobtype="Humanoid"),100%+tlMurder*$B$82,100%)</f>
        <v>1.02</v>
      </c>
    </row>
    <row r="84" spans="1:3">
      <c r="A84" s="6" t="s">
        <v>1158</v>
      </c>
      <c r="B84" s="120">
        <f>tlSA</f>
        <v>1</v>
      </c>
    </row>
    <row r="85" spans="1:3">
      <c r="A85" s="6" t="s">
        <v>2036</v>
      </c>
      <c r="B85" s="338">
        <v>0.1</v>
      </c>
    </row>
    <row r="86" spans="1:3" s="329" customFormat="1">
      <c r="A86" s="329" t="s">
        <v>1171</v>
      </c>
      <c r="B86" s="1365">
        <f>tlSA*$B$85</f>
        <v>0.1</v>
      </c>
    </row>
    <row r="87" spans="1:3">
      <c r="A87" s="6" t="s">
        <v>1159</v>
      </c>
      <c r="B87" s="120">
        <f>tlOPP</f>
        <v>0</v>
      </c>
    </row>
    <row r="88" spans="1:3">
      <c r="A88" s="6" t="s">
        <v>2036</v>
      </c>
      <c r="B88" s="338">
        <v>0.04</v>
      </c>
      <c r="C88" s="6" t="s">
        <v>1163</v>
      </c>
    </row>
    <row r="89" spans="1:3" s="329" customFormat="1">
      <c r="A89" s="329" t="s">
        <v>1170</v>
      </c>
      <c r="B89" s="1365">
        <f>tlOPP*$B$88</f>
        <v>0</v>
      </c>
    </row>
    <row r="90" spans="1:3">
      <c r="A90" s="6" t="s">
        <v>1165</v>
      </c>
      <c r="B90" s="120">
        <f>tlAGG</f>
        <v>3</v>
      </c>
    </row>
    <row r="91" spans="1:3">
      <c r="A91" s="6" t="s">
        <v>2036</v>
      </c>
      <c r="B91" s="338">
        <v>0.02</v>
      </c>
      <c r="C91" s="6" t="s">
        <v>1166</v>
      </c>
    </row>
    <row r="92" spans="1:3" s="329" customFormat="1">
      <c r="A92" s="329" t="s">
        <v>1169</v>
      </c>
      <c r="B92" s="1365">
        <f>tlAGG*$B$91</f>
        <v>0.06</v>
      </c>
    </row>
    <row r="93" spans="1:3">
      <c r="A93" s="6" t="s">
        <v>1317</v>
      </c>
      <c r="B93" s="120">
        <f>1+0.02*Talents!I31</f>
        <v>1</v>
      </c>
    </row>
    <row r="94" spans="1:3">
      <c r="A94" s="6" t="s">
        <v>2157</v>
      </c>
      <c r="B94" s="120">
        <f>1+0.03*Talents!I36</f>
        <v>1</v>
      </c>
    </row>
    <row r="95" spans="1:3">
      <c r="A95" s="6" t="s">
        <v>1318</v>
      </c>
      <c r="B95" s="120">
        <f>IF(Talents!F15=0,0,IF(Talents!F15=1,3,5))</f>
        <v>5</v>
      </c>
    </row>
    <row r="96" spans="1:3">
      <c r="A96" s="6" t="s">
        <v>1319</v>
      </c>
      <c r="B96" s="120">
        <f>Talents!C30/5</f>
        <v>0</v>
      </c>
    </row>
    <row r="97" spans="1:4">
      <c r="A97" s="6" t="s">
        <v>745</v>
      </c>
      <c r="B97" s="120">
        <f>Talents!C29*0.4</f>
        <v>0</v>
      </c>
    </row>
    <row r="98" spans="1:4">
      <c r="A98" s="6" t="s">
        <v>1359</v>
      </c>
      <c r="B98" s="120" t="b">
        <f>Talents!C27=1</f>
        <v>0</v>
      </c>
    </row>
    <row r="99" spans="1:4">
      <c r="A99" s="6" t="s">
        <v>1320</v>
      </c>
      <c r="B99" s="120">
        <f>Talents!C19*0.1</f>
        <v>0</v>
      </c>
    </row>
    <row r="100" spans="1:4">
      <c r="A100" s="6" t="s">
        <v>957</v>
      </c>
      <c r="B100" s="120">
        <f>IF(Talents!$N$24,10%*Talents!I28*Talents!$O$24,IF(Talents!$O$23="Always &lt;35%",10%*Talents!I28,IF(Talents!$O$23="Off",0%,10%*Talents!I28*35%)))</f>
        <v>0</v>
      </c>
    </row>
    <row r="101" spans="1:4">
      <c r="A101" s="6" t="s">
        <v>958</v>
      </c>
      <c r="B101" s="120">
        <f>IF(Talents!$O$25="Yes",1,0)</f>
        <v>1</v>
      </c>
    </row>
    <row r="102" spans="1:4">
      <c r="A102" s="6" t="s">
        <v>1185</v>
      </c>
      <c r="B102" s="120">
        <f>IF(AND(Talents!$O$26="Yes",Talents!$I$29&gt;0,Talents!$I$21&gt;0),1,0)</f>
        <v>0</v>
      </c>
    </row>
    <row r="103" spans="1:4">
      <c r="A103" s="6" t="s">
        <v>756</v>
      </c>
      <c r="B103" s="120">
        <f>(1+Talents!C36/50)</f>
        <v>1</v>
      </c>
    </row>
    <row r="104" spans="1:4">
      <c r="A104" s="6" t="s">
        <v>3146</v>
      </c>
      <c r="B104" s="120">
        <f>(Talents!$C$23*0.04+1)</f>
        <v>1.1200000000000001</v>
      </c>
    </row>
    <row r="105" spans="1:4" s="219" customFormat="1">
      <c r="A105" s="219" t="s">
        <v>1357</v>
      </c>
      <c r="B105" s="237"/>
    </row>
    <row r="106" spans="1:4" s="219" customFormat="1">
      <c r="B106" s="237"/>
    </row>
    <row r="107" spans="1:4">
      <c r="A107" s="6" t="s">
        <v>2169</v>
      </c>
      <c r="B107" s="372">
        <f>2.6/60</f>
        <v>4.3333333333333335E-2</v>
      </c>
      <c r="D107" s="6" t="s">
        <v>2174</v>
      </c>
    </row>
    <row r="108" spans="1:4">
      <c r="A108" s="6" t="s">
        <v>2170</v>
      </c>
      <c r="B108" s="120" t="b">
        <f>(mh="Blinkstrike")</f>
        <v>1</v>
      </c>
      <c r="D108" s="6" t="s">
        <v>2173</v>
      </c>
    </row>
    <row r="109" spans="1:4">
      <c r="A109" s="6" t="s">
        <v>2171</v>
      </c>
      <c r="B109" s="120" t="b">
        <f>(oh="Blinkstrike")</f>
        <v>0</v>
      </c>
      <c r="D109" s="6" t="s">
        <v>2172</v>
      </c>
    </row>
    <row r="110" spans="1:4">
      <c r="A110" s="6" t="s">
        <v>2981</v>
      </c>
      <c r="B110" s="372">
        <f>IF(OR(trinket1="Hand of Justice",trinket2="Hand of Justice"),Optimize!C60,0%)</f>
        <v>0</v>
      </c>
      <c r="C110" s="325"/>
      <c r="D110" s="1357"/>
    </row>
    <row r="111" spans="1:4" s="479" customFormat="1">
      <c r="A111" s="479" t="s">
        <v>74</v>
      </c>
      <c r="B111" s="1367"/>
    </row>
    <row r="112" spans="1:4">
      <c r="A112" s="6" t="s">
        <v>3135</v>
      </c>
      <c r="B112" s="120" t="b">
        <f>Talents!O18="Yes"</f>
        <v>1</v>
      </c>
    </row>
    <row r="113" spans="1:2">
      <c r="A113" s="6" t="s">
        <v>3136</v>
      </c>
      <c r="B113" s="120" t="b">
        <f>Talents!O17="Yes"</f>
        <v>1</v>
      </c>
    </row>
    <row r="114" spans="1:2">
      <c r="A114" s="6" t="s">
        <v>3137</v>
      </c>
      <c r="B114" s="120" t="b">
        <f>FALSE</f>
        <v>0</v>
      </c>
    </row>
    <row r="115" spans="1:2">
      <c r="A115" s="6" t="s">
        <v>3138</v>
      </c>
      <c r="B115" s="338">
        <f>Talents!O33</f>
        <v>1</v>
      </c>
    </row>
    <row r="116" spans="1:2">
      <c r="A116" s="6" t="s">
        <v>1026</v>
      </c>
      <c r="B116" s="120">
        <f>Talents!O35</f>
        <v>300</v>
      </c>
    </row>
    <row r="117" spans="1:2" ht="11.25" customHeight="1">
      <c r="A117" s="6" t="s">
        <v>3139</v>
      </c>
      <c r="B117" s="120" t="b">
        <f>Talents!O19="Yes"</f>
        <v>0</v>
      </c>
    </row>
    <row r="118" spans="1:2">
      <c r="A118" s="6" t="s">
        <v>3140</v>
      </c>
      <c r="B118" s="120">
        <f>Talents!O34</f>
        <v>1</v>
      </c>
    </row>
    <row r="119" spans="1:2">
      <c r="A119" s="6" t="s">
        <v>3141</v>
      </c>
      <c r="B119" s="114">
        <f>Talents!O20</f>
        <v>7685</v>
      </c>
    </row>
    <row r="120" spans="1:2" ht="11.25" customHeight="1">
      <c r="A120" s="6" t="s">
        <v>3145</v>
      </c>
      <c r="B120" s="6" t="b">
        <f>Talents!O29="Yes"</f>
        <v>0</v>
      </c>
    </row>
    <row r="121" spans="1:2">
      <c r="A121" s="6" t="s">
        <v>3163</v>
      </c>
      <c r="B121" s="120" t="b">
        <f>Talents!O36="No"</f>
        <v>1</v>
      </c>
    </row>
    <row r="122" spans="1:2">
      <c r="A122" s="6" t="s">
        <v>3193</v>
      </c>
      <c r="B122" s="120" t="b">
        <f>Talents!O31="Yes"</f>
        <v>0</v>
      </c>
    </row>
    <row r="123" spans="1:2">
      <c r="A123" s="6" t="s">
        <v>3196</v>
      </c>
      <c r="B123" s="120">
        <f>IF(AND(forceea,Talents!O32&gt;0),Talents!O32,0)</f>
        <v>0</v>
      </c>
    </row>
  </sheetData>
  <phoneticPr fontId="2" type="noConversion"/>
  <pageMargins left="0.75" right="0.75" top="1" bottom="1" header="0.5" footer="0.5"/>
  <pageSetup orientation="portrait" horizontalDpi="1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BCAB7-2925-48B1-A013-3A8169BE7371}">
  <sheetPr codeName="Sheet13"/>
  <dimension ref="A1:AU68"/>
  <sheetViews>
    <sheetView workbookViewId="0">
      <selection activeCell="AI30" sqref="AI30"/>
    </sheetView>
  </sheetViews>
  <sheetFormatPr defaultColWidth="7.140625" defaultRowHeight="11.25"/>
  <cols>
    <col min="1" max="1" width="7.42578125" style="142" customWidth="1"/>
    <col min="2" max="2" width="6.7109375" style="120" customWidth="1"/>
    <col min="3" max="3" width="5.7109375" style="120" customWidth="1"/>
    <col min="4" max="5" width="5.7109375" style="120" bestFit="1" customWidth="1"/>
    <col min="6" max="6" width="1" style="120" customWidth="1"/>
    <col min="7" max="12" width="5.7109375" style="120" bestFit="1" customWidth="1"/>
    <col min="13" max="13" width="0.85546875" style="120" customWidth="1"/>
    <col min="14" max="15" width="5.7109375" style="120" bestFit="1" customWidth="1"/>
    <col min="16" max="16" width="9.85546875" style="120" bestFit="1" customWidth="1"/>
    <col min="17" max="17" width="4" style="120" bestFit="1" customWidth="1"/>
    <col min="18" max="18" width="5.140625" style="120" bestFit="1" customWidth="1"/>
    <col min="19" max="19" width="3.28515625" style="120" bestFit="1" customWidth="1"/>
    <col min="20" max="20" width="3.5703125" style="120" bestFit="1" customWidth="1"/>
    <col min="21" max="21" width="3.42578125" style="120" bestFit="1" customWidth="1"/>
    <col min="22" max="22" width="3.85546875" style="120" bestFit="1" customWidth="1"/>
    <col min="23" max="23" width="3" style="120" bestFit="1" customWidth="1"/>
    <col min="24" max="24" width="3.140625" style="120" bestFit="1" customWidth="1"/>
    <col min="25" max="25" width="4" style="120" bestFit="1" customWidth="1"/>
    <col min="26" max="26" width="9.140625" style="120" bestFit="1" customWidth="1"/>
    <col min="27" max="27" width="7.42578125" style="120" bestFit="1" customWidth="1"/>
    <col min="28" max="28" width="7" style="120" bestFit="1" customWidth="1"/>
    <col min="29" max="29" width="6.140625" style="120" bestFit="1" customWidth="1"/>
    <col min="30" max="30" width="4.42578125" style="120" bestFit="1" customWidth="1"/>
    <col min="31" max="31" width="6.7109375" style="120" bestFit="1" customWidth="1"/>
    <col min="32" max="32" width="7.140625" style="120"/>
    <col min="33" max="33" width="6" style="120" bestFit="1" customWidth="1"/>
    <col min="34" max="34" width="7.85546875" style="120" bestFit="1" customWidth="1"/>
    <col min="35" max="35" width="5.85546875" style="120" bestFit="1" customWidth="1"/>
    <col min="36" max="36" width="7.28515625" style="120" bestFit="1" customWidth="1"/>
    <col min="37" max="37" width="3.85546875" style="120" bestFit="1" customWidth="1"/>
    <col min="38" max="38" width="3" style="120" bestFit="1" customWidth="1"/>
    <col min="39" max="39" width="3.140625" style="120" bestFit="1" customWidth="1"/>
    <col min="40" max="40" width="4" style="120" bestFit="1" customWidth="1"/>
    <col min="41" max="41" width="6" style="120" bestFit="1" customWidth="1"/>
    <col min="42" max="42" width="7.42578125" style="120" bestFit="1" customWidth="1"/>
    <col min="43" max="43" width="7" style="120" bestFit="1" customWidth="1"/>
    <col min="44" max="44" width="6.140625" style="120" bestFit="1" customWidth="1"/>
    <col min="45" max="45" width="4.42578125" style="120" bestFit="1" customWidth="1"/>
    <col min="46" max="46" width="5.42578125" style="120" bestFit="1" customWidth="1"/>
    <col min="47" max="47" width="6.42578125" style="120" bestFit="1" customWidth="1"/>
    <col min="48" max="16384" width="7.140625" style="120"/>
  </cols>
  <sheetData>
    <row r="1" spans="1:47" ht="12" thickBot="1">
      <c r="P1" s="863" t="s">
        <v>2433</v>
      </c>
      <c r="Q1" s="864" t="s">
        <v>2434</v>
      </c>
      <c r="R1" s="864" t="s">
        <v>2435</v>
      </c>
      <c r="S1" s="864" t="s">
        <v>1214</v>
      </c>
      <c r="T1" s="864" t="s">
        <v>1215</v>
      </c>
      <c r="U1" s="864" t="s">
        <v>1216</v>
      </c>
      <c r="V1" s="864" t="s">
        <v>2140</v>
      </c>
      <c r="W1" s="864" t="s">
        <v>2139</v>
      </c>
      <c r="X1" s="864" t="s">
        <v>768</v>
      </c>
      <c r="Y1" s="864" t="s">
        <v>264</v>
      </c>
      <c r="Z1" s="864" t="s">
        <v>2436</v>
      </c>
      <c r="AA1" s="864" t="s">
        <v>2432</v>
      </c>
      <c r="AB1" s="864" t="s">
        <v>2431</v>
      </c>
      <c r="AC1" s="864" t="s">
        <v>2430</v>
      </c>
      <c r="AD1" s="864" t="s">
        <v>2429</v>
      </c>
      <c r="AE1" s="865" t="s">
        <v>2437</v>
      </c>
      <c r="AG1" s="1336" t="s">
        <v>3089</v>
      </c>
      <c r="AH1" s="864" t="s">
        <v>767</v>
      </c>
      <c r="AI1" s="864" t="s">
        <v>765</v>
      </c>
      <c r="AJ1" s="864" t="s">
        <v>773</v>
      </c>
      <c r="AK1" s="864" t="s">
        <v>2140</v>
      </c>
      <c r="AL1" s="864" t="s">
        <v>2139</v>
      </c>
      <c r="AM1" s="864" t="s">
        <v>768</v>
      </c>
      <c r="AN1" s="864" t="s">
        <v>1217</v>
      </c>
      <c r="AO1" s="864" t="s">
        <v>2144</v>
      </c>
      <c r="AP1" s="864" t="s">
        <v>2432</v>
      </c>
      <c r="AQ1" s="864" t="s">
        <v>2431</v>
      </c>
      <c r="AR1" s="864" t="s">
        <v>2430</v>
      </c>
      <c r="AS1" s="864" t="s">
        <v>2429</v>
      </c>
      <c r="AT1" s="864" t="s">
        <v>1218</v>
      </c>
      <c r="AU1" s="865" t="s">
        <v>1219</v>
      </c>
    </row>
    <row r="2" spans="1:47">
      <c r="B2" s="120" t="s">
        <v>2438</v>
      </c>
      <c r="C2" s="120" t="s">
        <v>54</v>
      </c>
      <c r="D2" s="120" t="s">
        <v>55</v>
      </c>
      <c r="E2" s="120" t="s">
        <v>56</v>
      </c>
      <c r="AG2" s="1333" t="s">
        <v>1066</v>
      </c>
      <c r="AH2" s="769"/>
      <c r="AI2" s="769"/>
      <c r="AJ2" s="769"/>
      <c r="AK2" s="769"/>
      <c r="AL2" s="769"/>
      <c r="AM2" s="769">
        <v>4</v>
      </c>
      <c r="AN2" s="769"/>
      <c r="AO2" s="769"/>
      <c r="AP2" s="769"/>
      <c r="AQ2" s="769"/>
      <c r="AR2" s="769"/>
      <c r="AS2" s="769"/>
      <c r="AT2" s="769"/>
      <c r="AU2" s="1334"/>
    </row>
    <row r="3" spans="1:47">
      <c r="A3" s="142" t="s">
        <v>57</v>
      </c>
      <c r="B3" s="120" t="str">
        <f>'Gear &amp; Buffs'!R10</f>
        <v>0 0 0</v>
      </c>
      <c r="C3" s="120" t="str">
        <f>IF(MID(B3,1,1)="1","R ",IF(MID(B3,1,1)="2","R R ",IF(MID(B3,1,1)="3","R R R","")))&amp;""&amp;IF(MID(B3,3,1)="1","Y ",IF(MID(B3,3,1)="2","Y Y ",IF(MID(B3,3,1)="3","Y Y Y","")))&amp;""&amp;IF(MID(B3,5,1)="1","B ",IF(MID(B3,5,1)="2","B B ",IF(MID(B3,5,1)="3","B B B","")))</f>
        <v/>
      </c>
      <c r="D3" s="120">
        <f>MID(B3,1,1)+MID(B3,3,1)+MID(B3,5,1)</f>
        <v>0</v>
      </c>
      <c r="G3" s="120">
        <f>IF($D3=3, AND(OR(AND(MID($C3,1,1)="R", $C4), AND(MID($C3,1,1)="Y", $D4), AND(MID($C3,1,1)="B", $E4)),
OR(AND(MID($C3,3,1)="R", $C5), AND(MID($C3,3,1)="Y", $D5), AND(MID($C3,3,1)="B", $E5)),
OR(AND(MID($C3,5,1)="R", $C6), AND(MID($C3,5,1)="Y", $D6), AND(MID($C3,5,1)="B", $E6))),0)</f>
        <v>0</v>
      </c>
      <c r="H3" s="120">
        <f>IF($D3=3, AND(OR(AND(MID($C3,1,1)="R", $C4), AND(MID($C3,1,1)="Y", $D4), AND(MID($C3,1,1)="B", $E4)),
OR(AND(MID($C3,3,1)="R", $C6), AND(MID($C3,3,1)="Y", $D6), AND(MID($C3,3,1)="B", $E6)),
OR(AND(MID($C3,5,1)="R", $C5), AND(MID($C3,5,1)="Y", $D5), AND(MID($C3,5,1)="B", $E5))),0)</f>
        <v>0</v>
      </c>
      <c r="I3" s="120">
        <f>IF($D3=3, AND(OR(AND(MID($C3,1,1)="R", $C5), AND(MID($C3,1,1)="Y", $D5), AND(MID($C3,1,1)="B", $E5)),
OR(AND(MID($C3,3,1)="R", $C4), AND(MID($C3,3,1)="Y", $D4), AND(MID($C3,3,1)="B", $E4)),
OR(AND(MID($C3,5,1)="R", $C6), AND(MID($C3,5,1)="Y", $D6), AND(MID($C3,5,1)="B", $E6))),0)</f>
        <v>0</v>
      </c>
      <c r="J3" s="120">
        <f>IF($D3=3, AND(OR(AND(MID($C3,1,1)="R", $C5), AND(MID($C3,1,1)="Y", $D5), AND(MID($C3,1,1)="B", $E5)),
OR(AND(MID($C3,3,1)="R", $C6), AND(MID($C3,3,1)="Y", $D6), AND(MID($C3,3,1)="B", $E6)),
OR(AND(MID($C3,5,1)="R", $C4), AND(MID($C3,5,1)="Y", $D4), AND(MID($C3,5,1)="B", $E4))),0)</f>
        <v>0</v>
      </c>
      <c r="K3" s="120">
        <f>IF($D3=3, AND(OR(AND(MID($C3,1,1)="R", $C6), AND(MID($C3,1,1)="Y", $D6), AND(MID($C3,1,1)="B", $E6)),
OR(AND(MID($C3,3,1)="R", $C4), AND(MID($C3,3,1)="Y", $D4), AND(MID($C3,3,1)="B", $E4)),
OR(AND(MID($C3,5,1)="R", $C5), AND(MID($C3,5,1)="Y", $D5), AND(MID($C3,5,1)="B", $E5))),0)</f>
        <v>0</v>
      </c>
      <c r="L3" s="120">
        <f>IF($D3=3, AND(OR(AND(MID($C3,1,1)="R", $C6), AND(MID($C3,1,1)="Y", $D6), AND(MID($C3,1,1)="B", $E6)),
OR(AND(MID($C3,3,1)="R", $C5), AND(MID($C3,3,1)="Y", $D5), AND(MID($C3,3,1)="B", $E5)),
OR(AND(MID($C3,5,1)="R", $C4), AND(MID($C3,5,1)="Y", $D4), AND(MID($C3,5,1)="B", $E4))),0)</f>
        <v>0</v>
      </c>
      <c r="N3" s="120" t="b">
        <f>OR(G3:L3)</f>
        <v>0</v>
      </c>
      <c r="O3" s="120" t="b">
        <f>OR(N3:N5)</f>
        <v>0</v>
      </c>
      <c r="P3" s="120" t="str">
        <f>IF(O3,VLOOKUP('Gear &amp; Buffs'!$B$10,MHWeaponStats,18,FALSE),"0000")</f>
        <v>0000</v>
      </c>
      <c r="Q3" s="120" t="str">
        <f>MID(P3,1,2)</f>
        <v>00</v>
      </c>
      <c r="R3" s="120">
        <f>MID(P3,4,2)+0</f>
        <v>0</v>
      </c>
      <c r="S3" s="120">
        <f>IF($Q3="sr",$R3,0)</f>
        <v>0</v>
      </c>
      <c r="T3" s="120">
        <f>IF($Q3="ag",$R3,0)</f>
        <v>0</v>
      </c>
      <c r="U3" s="120">
        <f>IF($Q3="st",$R3,0)</f>
        <v>0</v>
      </c>
      <c r="V3" s="120">
        <f>IF($Q3="cr",$R3,0)</f>
        <v>0</v>
      </c>
      <c r="W3" s="120">
        <f>IF($Q3="ht",$R3,0)</f>
        <v>0</v>
      </c>
      <c r="X3" s="120">
        <f>IF($Q3="ap",$R3,0)</f>
        <v>0</v>
      </c>
      <c r="Y3" s="120">
        <f>IF($Q3="do",$R3,0)</f>
        <v>0</v>
      </c>
      <c r="Z3" s="120">
        <f>IF($Q3="rs",$R3,0)</f>
        <v>0</v>
      </c>
      <c r="AA3" s="120">
        <f>IF($Q3="da",$R3,0)</f>
        <v>0</v>
      </c>
      <c r="AB3" s="120">
        <f>IF($Q3="sw",$R3,0)</f>
        <v>0</v>
      </c>
      <c r="AC3" s="120">
        <f>IF($Q3="ma",$R3,0)</f>
        <v>0</v>
      </c>
      <c r="AD3" s="120">
        <f>IF($Q3="fi",$R3,0)</f>
        <v>0</v>
      </c>
      <c r="AE3" s="120">
        <f>IF($Q3="hs",$R3,0)</f>
        <v>0</v>
      </c>
      <c r="AG3" s="1333" t="s">
        <v>1465</v>
      </c>
      <c r="AH3" s="769"/>
      <c r="AI3" s="769"/>
      <c r="AJ3" s="769"/>
      <c r="AK3" s="769"/>
      <c r="AL3" s="769"/>
      <c r="AM3" s="769">
        <v>6</v>
      </c>
      <c r="AN3" s="769"/>
      <c r="AO3" s="769"/>
      <c r="AP3" s="769"/>
      <c r="AQ3" s="769"/>
      <c r="AR3" s="769"/>
      <c r="AS3" s="769"/>
      <c r="AT3" s="769"/>
      <c r="AU3" s="1334"/>
    </row>
    <row r="4" spans="1:47">
      <c r="B4" s="120">
        <f>'Gear &amp; Buffs'!R13</f>
        <v>0</v>
      </c>
      <c r="C4" s="218" t="b">
        <f>MID(B4,1,1)="1"</f>
        <v>0</v>
      </c>
      <c r="D4" s="218" t="b">
        <f>MID(B4,3,1)="1"</f>
        <v>0</v>
      </c>
      <c r="E4" s="218" t="b">
        <f>MID(B4,5,1)="1"</f>
        <v>0</v>
      </c>
      <c r="G4" s="120">
        <f>IF($D3=2, AND(OR(AND(MID($C3,1,1)="R", $C4), AND(MID($C3,1,1)="Y", $D4), AND(MID($C3,1,1)="B", $E4)),
OR(AND(MID($C3,3,1)="R", $C5), AND(MID($C3,3,1)="Y", $D5), AND(MID($C3,3,1)="B", $E5))),0)</f>
        <v>0</v>
      </c>
      <c r="H4" s="120">
        <f>IF($D3=2, AND(OR(AND(MID($C3,1,1)="R", $C5), AND(MID($C3,1,1)="Y", $D5), AND(MID($C3,1,1)="B", $E5)),
OR(AND(MID($C3,3,1)="R", $C4), AND(MID($C3,3,1)="Y", $D4), AND(MID($C3,3,1)="B", $E4))),0)</f>
        <v>0</v>
      </c>
      <c r="N4" s="120" t="b">
        <f>OR(G4:H4)</f>
        <v>0</v>
      </c>
      <c r="AG4" s="1333" t="s">
        <v>1065</v>
      </c>
      <c r="AH4" s="769"/>
      <c r="AI4" s="769"/>
      <c r="AJ4" s="769"/>
      <c r="AK4" s="769"/>
      <c r="AL4" s="769"/>
      <c r="AM4" s="769">
        <v>8</v>
      </c>
      <c r="AN4" s="769"/>
      <c r="AO4" s="769"/>
      <c r="AP4" s="769"/>
      <c r="AQ4" s="769"/>
      <c r="AR4" s="769"/>
      <c r="AS4" s="769"/>
      <c r="AT4" s="769"/>
      <c r="AU4" s="1334"/>
    </row>
    <row r="5" spans="1:47">
      <c r="B5" s="120">
        <f>'Gear &amp; Buffs'!R14</f>
        <v>0</v>
      </c>
      <c r="C5" s="218" t="b">
        <f>MID(B5,1,1)="1"</f>
        <v>0</v>
      </c>
      <c r="D5" s="218" t="b">
        <f>MID(B5,3,1)="1"</f>
        <v>0</v>
      </c>
      <c r="E5" s="218" t="b">
        <f>MID(B5,5,1)="1"</f>
        <v>0</v>
      </c>
      <c r="G5" s="120">
        <f>IF($D3=1, OR(AND(MID($C3,1,1)="R", $C4), AND(MID($C3,1,1)="Y", $D4), AND(MID($C3,1,1)="B", $E4)),0)</f>
        <v>0</v>
      </c>
      <c r="N5" s="120" t="b">
        <f>OR(G5)</f>
        <v>0</v>
      </c>
      <c r="AG5" s="1333" t="s">
        <v>13</v>
      </c>
      <c r="AH5" s="769"/>
      <c r="AI5" s="769"/>
      <c r="AJ5" s="769"/>
      <c r="AK5" s="769"/>
      <c r="AL5" s="769"/>
      <c r="AM5" s="769"/>
      <c r="AN5" s="769"/>
      <c r="AO5" s="769"/>
      <c r="AP5" s="769"/>
      <c r="AQ5" s="769"/>
      <c r="AR5" s="769"/>
      <c r="AS5" s="769"/>
      <c r="AT5" s="769">
        <v>4</v>
      </c>
      <c r="AU5" s="1334"/>
    </row>
    <row r="6" spans="1:47">
      <c r="B6" s="120">
        <f>'Gear &amp; Buffs'!R15</f>
        <v>0</v>
      </c>
      <c r="C6" s="218" t="b">
        <f>MID(B6,1,1)="1"</f>
        <v>0</v>
      </c>
      <c r="D6" s="218" t="b">
        <f>MID(B6,3,1)="1"</f>
        <v>0</v>
      </c>
      <c r="E6" s="218" t="b">
        <f>MID(B6,5,1)="1"</f>
        <v>0</v>
      </c>
      <c r="AG6" s="1333" t="s">
        <v>1022</v>
      </c>
      <c r="AH6" s="769"/>
      <c r="AI6" s="769"/>
      <c r="AJ6" s="769"/>
      <c r="AK6" s="769"/>
      <c r="AL6" s="769">
        <v>2</v>
      </c>
      <c r="AM6" s="769"/>
      <c r="AN6" s="769"/>
      <c r="AO6" s="769"/>
      <c r="AP6" s="769"/>
      <c r="AQ6" s="769"/>
      <c r="AR6" s="769"/>
      <c r="AS6" s="769"/>
      <c r="AT6" s="769"/>
      <c r="AU6" s="1334"/>
    </row>
    <row r="7" spans="1:47">
      <c r="A7" s="142" t="s">
        <v>58</v>
      </c>
      <c r="B7" s="120" t="str">
        <f>'Gear &amp; Buffs'!R16</f>
        <v>0 0 0</v>
      </c>
      <c r="C7" s="120" t="str">
        <f>IF(MID(B7,1,1)="1","R ",IF(MID(B7,1,1)="2","R R ",IF(MID(B7,1,1)="3","R R R","")))&amp;""&amp;IF(MID(B7,3,1)="1","Y ",IF(MID(B7,3,1)="2","Y Y ",IF(MID(B7,3,1)="3","Y Y Y","")))&amp;""&amp;IF(MID(B7,5,1)="1","B ",IF(MID(B7,5,1)="2","B B ",IF(MID(B7,5,1)="3","B B B","")))</f>
        <v/>
      </c>
      <c r="D7" s="120">
        <f>MID(B7,1,1)+MID(B7,3,1)+MID(B7,5,1)</f>
        <v>0</v>
      </c>
      <c r="G7" s="120">
        <f>IF($D7=3, AND(OR(AND(MID($C7,1,1)="R", $C8), AND(MID($C7,1,1)="Y", $D8), AND(MID($C7,1,1)="B", $E8)),
OR(AND(MID($C7,3,1)="R", $C9), AND(MID($C7,3,1)="Y", $D9), AND(MID($C7,3,1)="B", $E9)),
OR(AND(MID($C7,5,1)="R", $C10), AND(MID($C7,5,1)="Y", $D10), AND(MID($C7,5,1)="B", $E10))),0)</f>
        <v>0</v>
      </c>
      <c r="H7" s="120">
        <f>IF($D7=3, AND(OR(AND(MID($C7,1,1)="R", $C8), AND(MID($C7,1,1)="Y", $D8), AND(MID($C7,1,1)="B", $E8)),
OR(AND(MID($C7,3,1)="R", $C10), AND(MID($C7,3,1)="Y", $D10), AND(MID($C7,3,1)="B", $E10)),
OR(AND(MID($C7,5,1)="R", $C9), AND(MID($C7,5,1)="Y", $D9), AND(MID($C7,5,1)="B", $E9))),0)</f>
        <v>0</v>
      </c>
      <c r="I7" s="120">
        <f>IF($D7=3, AND(OR(AND(MID($C7,1,1)="R", $C9), AND(MID($C7,1,1)="Y", $D9), AND(MID($C7,1,1)="B", $E9)),
OR(AND(MID($C7,3,1)="R", $C8), AND(MID($C7,3,1)="Y", $D8), AND(MID($C7,3,1)="B", $E8)),
OR(AND(MID($C7,5,1)="R", $C10), AND(MID($C7,5,1)="Y", $D10), AND(MID($C7,5,1)="B", $E10))),0)</f>
        <v>0</v>
      </c>
      <c r="J7" s="120">
        <f>IF($D7=3, AND(OR(AND(MID($C7,1,1)="R", $C9), AND(MID($C7,1,1)="Y", $D9), AND(MID($C7,1,1)="B", $E9)),
OR(AND(MID($C7,3,1)="R", $C10), AND(MID($C7,3,1)="Y", $D10), AND(MID($C7,3,1)="B", $E10)),
OR(AND(MID($C7,5,1)="R", $C8), AND(MID($C7,5,1)="Y", $D8), AND(MID($C7,5,1)="B", $E8))),0)</f>
        <v>0</v>
      </c>
      <c r="K7" s="120">
        <f>IF($D7=3, AND(OR(AND(MID($C7,1,1)="R", $C10), AND(MID($C7,1,1)="Y", $D10), AND(MID($C7,1,1)="B", $E10)),
OR(AND(MID($C7,3,1)="R", $C8), AND(MID($C7,3,1)="Y", $D8), AND(MID($C7,3,1)="B", $E8)),
OR(AND(MID($C7,5,1)="R", $C9), AND(MID($C7,5,1)="Y", $D9), AND(MID($C7,5,1)="B", $E9))),0)</f>
        <v>0</v>
      </c>
      <c r="L7" s="120">
        <f>IF($D7=3, AND(OR(AND(MID($C7,1,1)="R", $C10), AND(MID($C7,1,1)="Y", $D10), AND(MID($C7,1,1)="B", $E10)),
OR(AND(MID($C7,3,1)="R", $C9), AND(MID($C7,3,1)="Y", $D9), AND(MID($C7,3,1)="B", $E9)),
OR(AND(MID($C7,5,1)="R", $C8), AND(MID($C7,5,1)="Y", $D8), AND(MID($C7,5,1)="B", $E8))),0)</f>
        <v>0</v>
      </c>
      <c r="N7" s="120" t="b">
        <f>OR(G7:L7)</f>
        <v>0</v>
      </c>
      <c r="O7" s="120" t="b">
        <f>OR(N7:N9)</f>
        <v>0</v>
      </c>
      <c r="P7" s="120" t="str">
        <f>IF(O7,VLOOKUP('Gear &amp; Buffs'!$B$16,OHWeaponStats,18,FALSE),"0000")</f>
        <v>0000</v>
      </c>
      <c r="Q7" s="120" t="str">
        <f>MID(P7,1,2)</f>
        <v>00</v>
      </c>
      <c r="R7" s="120">
        <f>MID(P7,4,2)+0</f>
        <v>0</v>
      </c>
      <c r="S7" s="120">
        <f>IF($Q7="sr",$R7,0)</f>
        <v>0</v>
      </c>
      <c r="T7" s="120">
        <f>IF($Q7="ag",$R7,0)</f>
        <v>0</v>
      </c>
      <c r="U7" s="120">
        <f>IF($Q7="st",$R7,0)</f>
        <v>0</v>
      </c>
      <c r="V7" s="120">
        <f>IF($Q7="cr",$R7,0)</f>
        <v>0</v>
      </c>
      <c r="W7" s="120">
        <f>IF($Q7="ht",$R7,0)</f>
        <v>0</v>
      </c>
      <c r="X7" s="120">
        <f>IF($Q7="ap",$R7,0)</f>
        <v>0</v>
      </c>
      <c r="Y7" s="120">
        <f>IF($Q7="do",$R7,0)</f>
        <v>0</v>
      </c>
      <c r="Z7" s="120">
        <f>IF($Q7="rs",$R7,0)</f>
        <v>0</v>
      </c>
      <c r="AA7" s="120">
        <f>IF($Q7="da",$R7,0)</f>
        <v>0</v>
      </c>
      <c r="AB7" s="120">
        <f>IF($Q7="sw",$R7,0)</f>
        <v>0</v>
      </c>
      <c r="AC7" s="120">
        <f>IF($Q7="ma",$R7,0)</f>
        <v>0</v>
      </c>
      <c r="AD7" s="120">
        <f>IF($Q7="fi",$R7,0)</f>
        <v>0</v>
      </c>
      <c r="AE7" s="120">
        <f>IF($Q7="hs",$R7,0)</f>
        <v>0</v>
      </c>
      <c r="AG7" s="1333" t="s">
        <v>1447</v>
      </c>
      <c r="AH7" s="769"/>
      <c r="AI7" s="769"/>
      <c r="AJ7" s="769"/>
      <c r="AK7" s="769"/>
      <c r="AL7" s="769">
        <v>3</v>
      </c>
      <c r="AM7" s="769"/>
      <c r="AN7" s="769"/>
      <c r="AO7" s="769"/>
      <c r="AP7" s="769"/>
      <c r="AQ7" s="769"/>
      <c r="AR7" s="769"/>
      <c r="AS7" s="769"/>
      <c r="AT7" s="769"/>
      <c r="AU7" s="1334"/>
    </row>
    <row r="8" spans="1:47">
      <c r="B8" s="120">
        <f>'Gear &amp; Buffs'!R19</f>
        <v>0</v>
      </c>
      <c r="C8" s="218" t="b">
        <f>MID(B8,1,1)="1"</f>
        <v>0</v>
      </c>
      <c r="D8" s="218" t="b">
        <f>MID(B8,3,1)="1"</f>
        <v>0</v>
      </c>
      <c r="E8" s="218" t="b">
        <f>MID(B8,5,1)="1"</f>
        <v>0</v>
      </c>
      <c r="G8" s="120">
        <f>IF($D7=2, AND(OR(AND(MID($C7,1,1)="R", $C8), AND(MID($C7,1,1)="Y", $D8), AND(MID($C7,1,1)="B", $E8)),
OR(AND(MID($C7,3,1)="R", $C9), AND(MID($C7,3,1)="Y", $D9), AND(MID($C7,3,1)="B", $E9))),0)</f>
        <v>0</v>
      </c>
      <c r="H8" s="120">
        <f>IF($D7=2, AND(OR(AND(MID($C7,1,1)="R", $C9), AND(MID($C7,1,1)="Y", $D9), AND(MID($C7,1,1)="B", $E9)),
OR(AND(MID($C7,3,1)="R", $C8), AND(MID($C7,3,1)="Y", $D8), AND(MID($C7,3,1)="B", $E8))),0)</f>
        <v>0</v>
      </c>
      <c r="N8" s="120" t="b">
        <f>OR(G8:H8)</f>
        <v>0</v>
      </c>
      <c r="AG8" s="1333" t="s">
        <v>2020</v>
      </c>
      <c r="AH8" s="769"/>
      <c r="AI8" s="769"/>
      <c r="AJ8" s="769"/>
      <c r="AK8" s="769"/>
      <c r="AL8" s="769">
        <v>4</v>
      </c>
      <c r="AM8" s="769"/>
      <c r="AN8" s="769"/>
      <c r="AO8" s="769"/>
      <c r="AP8" s="769"/>
      <c r="AQ8" s="769"/>
      <c r="AR8" s="769"/>
      <c r="AS8" s="769"/>
      <c r="AT8" s="769"/>
      <c r="AU8" s="1334"/>
    </row>
    <row r="9" spans="1:47">
      <c r="B9" s="120">
        <f>'Gear &amp; Buffs'!R20</f>
        <v>0</v>
      </c>
      <c r="C9" s="218" t="b">
        <f>MID(B9,1,1)="1"</f>
        <v>0</v>
      </c>
      <c r="D9" s="218" t="b">
        <f>MID(B9,3,1)="1"</f>
        <v>0</v>
      </c>
      <c r="E9" s="218" t="b">
        <f>MID(B9,5,1)="1"</f>
        <v>0</v>
      </c>
      <c r="G9" s="120">
        <f>IF($D7=1, OR(AND(MID($C7,1,1)="R", $C8), AND(MID($C7,1,1)="Y", $D8), AND(MID($C7,1,1)="B", $E8)),0)</f>
        <v>0</v>
      </c>
      <c r="N9" s="120" t="b">
        <f>OR(G9)</f>
        <v>0</v>
      </c>
      <c r="AG9" s="1333" t="s">
        <v>1463</v>
      </c>
      <c r="AH9" s="769"/>
      <c r="AI9" s="769">
        <v>2</v>
      </c>
      <c r="AJ9" s="769"/>
      <c r="AK9" s="769"/>
      <c r="AL9" s="769"/>
      <c r="AM9" s="769"/>
      <c r="AN9" s="769"/>
      <c r="AO9" s="769"/>
      <c r="AP9" s="769"/>
      <c r="AQ9" s="769"/>
      <c r="AR9" s="769"/>
      <c r="AS9" s="769"/>
      <c r="AT9" s="769"/>
      <c r="AU9" s="1334"/>
    </row>
    <row r="10" spans="1:47">
      <c r="B10" s="120">
        <f>'Gear &amp; Buffs'!R21</f>
        <v>0</v>
      </c>
      <c r="C10" s="218" t="b">
        <f>MID(B10,1,1)="1"</f>
        <v>0</v>
      </c>
      <c r="D10" s="218" t="b">
        <f>MID(B10,3,1)="1"</f>
        <v>0</v>
      </c>
      <c r="E10" s="218" t="b">
        <f>MID(B10,5,1)="1"</f>
        <v>0</v>
      </c>
      <c r="AG10" s="1333" t="s">
        <v>22</v>
      </c>
      <c r="AH10" s="769"/>
      <c r="AI10" s="769">
        <v>3</v>
      </c>
      <c r="AJ10" s="769"/>
      <c r="AK10" s="769"/>
      <c r="AL10" s="769"/>
      <c r="AM10" s="769"/>
      <c r="AN10" s="769"/>
      <c r="AO10" s="769"/>
      <c r="AP10" s="769"/>
      <c r="AQ10" s="769"/>
      <c r="AR10" s="769"/>
      <c r="AS10" s="769"/>
      <c r="AT10" s="769"/>
      <c r="AU10" s="1334"/>
    </row>
    <row r="11" spans="1:47">
      <c r="A11" s="142" t="s">
        <v>461</v>
      </c>
      <c r="B11" s="120" t="str">
        <f>'Gear &amp; Buffs'!R26</f>
        <v>1 0 0 1</v>
      </c>
      <c r="C11" s="120" t="str">
        <f>IF(MID(B11,1,1)="1","R ",IF(MID(B11,1,1)="2","R R ",IF(MID(B11,1,1)="3","R R R","")))&amp;""&amp;IF(MID(B11,3,1)="1","Y ",IF(MID(B11,3,1)="2","Y Y ",IF(MID(B11,3,1)="3","Y Y Y","")))&amp;""&amp;IF(MID(B11,5,1)="1","B ",IF(MID(B11,5,1)="2","B B ",IF(MID(B11,5,1)="3","B B B","")))</f>
        <v xml:space="preserve">R </v>
      </c>
      <c r="D11" s="120">
        <f>MID(B11,1,1)+MID(B11,3,1)+MID(B11,5,1)</f>
        <v>1</v>
      </c>
      <c r="G11" s="120">
        <f>IF($D11=3, AND(OR(AND(MID($C11,1,1)="R", $C13), AND(MID($C11,1,1)="Y", $D13), AND(MID($C11,1,1)="B", $E13)),
OR(AND(MID($C11,3,1)="R", $C14), AND(MID($C11,3,1)="Y", $D14), AND(MID($C11,3,1)="B", $E14)),
OR(AND(MID($C11,5,1)="R", $C15), AND(MID($C11,5,1)="Y", $D15), AND(MID($C11,5,1)="B", $E15))),0)</f>
        <v>0</v>
      </c>
      <c r="H11" s="120">
        <f>IF($D11=3, AND(OR(AND(MID($C11,1,1)="R", $C13), AND(MID($C11,1,1)="Y", $D13), AND(MID($C11,1,1)="B", $E13)),
OR(AND(MID($C11,3,1)="R", $C15), AND(MID($C11,3,1)="Y", $D14), AND(MID($C11,3,1)="B", $E15)),
OR(AND(MID($C11,5,1)="R", $C14), AND(MID($C11,5,1)="Y", $D15), AND(MID($C11,5,1)="B", $E14))),0)</f>
        <v>0</v>
      </c>
      <c r="I11" s="120">
        <f>IF($D11=3, AND(OR(AND(MID($C11,1,1)="R", $C14), AND(MID($C11,1,1)="Y", $D14), AND(MID($C11,1,1)="B", $E14)),
OR(AND(MID($C11,3,1)="R", $C13), AND(MID($C11,3,1)="Y", $D13), AND(MID($C11,3,1)="B", $E13)),
OR(AND(MID($C11,5,1)="R", $C15), AND(MID($C11,5,1)="Y", $D15), AND(MID($C11,5,1)="B", $E15))),0)</f>
        <v>0</v>
      </c>
      <c r="J11" s="120">
        <f>IF($D11=3, AND(OR(AND(MID($C11,1,1)="R", $C14), AND(MID($C11,1,1)="Y", $D14), AND(MID($C11,1,1)="B", $E14)),
OR(AND(MID($C11,3,1)="R", $C15), AND(MID($C11,3,1)="Y", $D15), AND(MID($C11,3,1)="B", $E15)),
OR(AND(MID($C11,5,1)="R", $C13), AND(MID($C11,5,1)="Y", $D13), AND(MID($C11,5,1)="B", $E13))),0)</f>
        <v>0</v>
      </c>
      <c r="K11" s="120">
        <f>IF($D11=3, AND(OR(AND(MID($C11,1,1)="R", $C15), AND(MID($C11,1,1)="Y", $D15), AND(MID($C11,1,1)="B", $E15)),
OR(AND(MID($C11,3,1)="R", $C13), AND(MID($C11,3,1)="Y", $D13), AND(MID($C11,3,1)="B", $E13)),
OR(AND(MID($C11,5,1)="R", $C14), AND(MID($C11,5,1)="Y", $D14), AND(MID($C11,5,1)="B", $E14))),0)</f>
        <v>0</v>
      </c>
      <c r="L11" s="120">
        <f>IF($D11=3, AND(OR(AND(MID($C11,1,1)="R", $C15), AND(MID($C11,1,1)="Y", $D15), AND(MID($C11,1,1)="B", $E15)),
OR(AND(MID($C11,3,1)="R", $C14), AND(MID($C11,3,1)="Y", $D14), AND(MID($C11,3,1)="B", $E14)),
OR(AND(MID($C11,5,1)="R", $C13), AND(MID($C11,5,1)="Y", $D13), AND(MID($C11,5,1)="B", $E13))),0)</f>
        <v>0</v>
      </c>
      <c r="N11" s="120" t="b">
        <f>OR(G11:L11)</f>
        <v>0</v>
      </c>
      <c r="O11" s="120" t="b">
        <f>AND(OR(N11:N13),B12)</f>
        <v>1</v>
      </c>
      <c r="P11" s="120" t="str">
        <f>IF(O11,VLOOKUP('Gear &amp; Buffs'!$B$26,HelmStats,18,FALSE),"0000")</f>
        <v>ag 4</v>
      </c>
      <c r="Q11" s="120" t="str">
        <f>MID(P11,1,2)</f>
        <v>ag</v>
      </c>
      <c r="R11" s="120">
        <f>MID(P11,4,2)+0</f>
        <v>4</v>
      </c>
      <c r="S11" s="120">
        <f>IF($Q11="sr",$R11,0)</f>
        <v>0</v>
      </c>
      <c r="T11" s="120">
        <f>IF($Q11="ag",$R11,0)</f>
        <v>4</v>
      </c>
      <c r="U11" s="120">
        <f>IF($Q11="st",$R11,0)</f>
        <v>0</v>
      </c>
      <c r="V11" s="120">
        <f>IF($Q11="cr",$R11,0)</f>
        <v>0</v>
      </c>
      <c r="W11" s="120">
        <f>IF($Q11="ht",$R11,0)</f>
        <v>0</v>
      </c>
      <c r="X11" s="120">
        <f>IF($Q11="ap",$R11,0)</f>
        <v>0</v>
      </c>
      <c r="Y11" s="120">
        <f>IF($Q11="do",$R11,0)</f>
        <v>0</v>
      </c>
      <c r="Z11" s="120">
        <f>IF($Q11="rs",$R11,0)</f>
        <v>0</v>
      </c>
      <c r="AA11" s="120">
        <f>IF($Q11="da",$R11,0)</f>
        <v>0</v>
      </c>
      <c r="AB11" s="120">
        <f>IF($Q11="sw",$R11,0)</f>
        <v>0</v>
      </c>
      <c r="AC11" s="120">
        <f>IF($Q11="ma",$R11,0)</f>
        <v>0</v>
      </c>
      <c r="AD11" s="120">
        <f>IF($Q11="fi",$R11,0)</f>
        <v>0</v>
      </c>
      <c r="AE11" s="120">
        <f>IF($Q11="hs",$R11,0)</f>
        <v>0</v>
      </c>
      <c r="AG11" s="1333" t="s">
        <v>1056</v>
      </c>
      <c r="AH11" s="769"/>
      <c r="AI11" s="769">
        <v>4</v>
      </c>
      <c r="AJ11" s="769"/>
      <c r="AK11" s="769"/>
      <c r="AL11" s="769"/>
      <c r="AM11" s="769"/>
      <c r="AN11" s="769"/>
      <c r="AO11" s="769"/>
      <c r="AP11" s="769"/>
      <c r="AQ11" s="769"/>
      <c r="AR11" s="769"/>
      <c r="AS11" s="769"/>
      <c r="AT11" s="769"/>
      <c r="AU11" s="1334"/>
    </row>
    <row r="12" spans="1:47">
      <c r="A12" s="142" t="s">
        <v>2439</v>
      </c>
      <c r="B12" s="120">
        <f>'Gear &amp; Buffs'!R28</f>
        <v>1</v>
      </c>
      <c r="C12" s="218"/>
      <c r="G12" s="120">
        <f>IF($D11=2, AND(OR(AND(MID($C11,1,1)="R", $C13), AND(MID($C11,1,1)="Y", $D13), AND(MID($C11,1,1)="B", $E13)),
OR(AND(MID($C11,3,1)="R", $C14), AND(MID($C11,3,1)="Y", $D14), AND(MID($C11,3,1)="B", $E14))),0)</f>
        <v>0</v>
      </c>
      <c r="H12" s="120">
        <f>IF($D11=2, AND(OR(AND(MID($C11,1,1)="R", $C14), AND(MID($C11,1,1)="Y", $D14), AND(MID($C11,1,1)="B", $E14)),
OR(AND(MID($C11,3,1)="R", $C13), AND(MID($C11,3,1)="Y", $D13), AND(MID($C11,3,1)="B", $E13))),0)</f>
        <v>0</v>
      </c>
      <c r="N12" s="120" t="b">
        <f>OR(G12:H12)</f>
        <v>0</v>
      </c>
      <c r="AG12" s="1333" t="s">
        <v>1473</v>
      </c>
      <c r="AH12" s="769"/>
      <c r="AI12" s="769"/>
      <c r="AJ12" s="769"/>
      <c r="AK12" s="769">
        <v>2</v>
      </c>
      <c r="AL12" s="769"/>
      <c r="AM12" s="769"/>
      <c r="AN12" s="769"/>
      <c r="AO12" s="769"/>
      <c r="AP12" s="769"/>
      <c r="AQ12" s="769"/>
      <c r="AR12" s="769"/>
      <c r="AS12" s="769"/>
      <c r="AT12" s="769"/>
      <c r="AU12" s="1334"/>
    </row>
    <row r="13" spans="1:47">
      <c r="B13" s="120" t="str">
        <f>'Gear &amp; Buffs'!R29</f>
        <v>1 1 0</v>
      </c>
      <c r="C13" s="218" t="b">
        <f>MID(B13,1,1)="1"</f>
        <v>1</v>
      </c>
      <c r="D13" s="218" t="b">
        <f>MID(B13,3,1)="1"</f>
        <v>1</v>
      </c>
      <c r="E13" s="218" t="b">
        <f>MID(B13,5,1)="1"</f>
        <v>0</v>
      </c>
      <c r="G13" s="120" t="b">
        <f>IF($D11=1, OR(AND(MID($C11,1,1)="R", $C13), AND(MID($C11,1,1)="Y", $D13), AND(MID($C11,1,1)="B", $E13)),0)</f>
        <v>1</v>
      </c>
      <c r="N13" s="120" t="b">
        <f>OR(G13)</f>
        <v>1</v>
      </c>
      <c r="AG13" s="1333" t="s">
        <v>1449</v>
      </c>
      <c r="AH13" s="769"/>
      <c r="AI13" s="769"/>
      <c r="AJ13" s="769"/>
      <c r="AK13" s="769">
        <v>3</v>
      </c>
      <c r="AL13" s="769"/>
      <c r="AM13" s="769"/>
      <c r="AN13" s="769"/>
      <c r="AO13" s="769"/>
      <c r="AP13" s="769"/>
      <c r="AQ13" s="769"/>
      <c r="AR13" s="769"/>
      <c r="AS13" s="769"/>
      <c r="AT13" s="769"/>
      <c r="AU13" s="1334"/>
    </row>
    <row r="14" spans="1:47">
      <c r="B14" s="120">
        <f>'Gear &amp; Buffs'!R30</f>
        <v>0</v>
      </c>
      <c r="C14" s="218" t="b">
        <f>MID(B14,1,1)="1"</f>
        <v>0</v>
      </c>
      <c r="D14" s="218" t="b">
        <f>MID(B14,3,1)="1"</f>
        <v>0</v>
      </c>
      <c r="E14" s="218" t="b">
        <f>MID(B14,5,1)="1"</f>
        <v>0</v>
      </c>
      <c r="AG14" s="1333" t="s">
        <v>817</v>
      </c>
      <c r="AH14" s="769"/>
      <c r="AI14" s="769"/>
      <c r="AJ14" s="769"/>
      <c r="AK14" s="769">
        <v>4</v>
      </c>
      <c r="AL14" s="769"/>
      <c r="AM14" s="769"/>
      <c r="AN14" s="769"/>
      <c r="AO14" s="769"/>
      <c r="AP14" s="769"/>
      <c r="AQ14" s="769"/>
      <c r="AR14" s="769"/>
      <c r="AS14" s="769"/>
      <c r="AT14" s="769"/>
      <c r="AU14" s="1334"/>
    </row>
    <row r="15" spans="1:47">
      <c r="B15" s="120">
        <f>'Gear &amp; Buffs'!R31</f>
        <v>0</v>
      </c>
      <c r="C15" s="218" t="b">
        <f>MID(B15,1,1)="1"</f>
        <v>0</v>
      </c>
      <c r="D15" s="218" t="b">
        <f>MID(B15,3,1)="1"</f>
        <v>0</v>
      </c>
      <c r="E15" s="218" t="b">
        <f>MID(B15,5,1)="1"</f>
        <v>0</v>
      </c>
      <c r="AG15" s="1333" t="s">
        <v>2428</v>
      </c>
      <c r="AH15" s="769">
        <v>2</v>
      </c>
      <c r="AI15" s="769"/>
      <c r="AJ15" s="769"/>
      <c r="AK15" s="769"/>
      <c r="AL15" s="769"/>
      <c r="AM15" s="769"/>
      <c r="AN15" s="769"/>
      <c r="AO15" s="769"/>
      <c r="AP15" s="769"/>
      <c r="AQ15" s="769"/>
      <c r="AR15" s="769"/>
      <c r="AS15" s="769"/>
      <c r="AT15" s="769"/>
      <c r="AU15" s="1334"/>
    </row>
    <row r="16" spans="1:47">
      <c r="A16" s="142" t="s">
        <v>437</v>
      </c>
      <c r="B16" s="120" t="str">
        <f>'Gear &amp; Buffs'!R32</f>
        <v>0 0 0</v>
      </c>
      <c r="C16" s="120" t="str">
        <f>IF(MID(B16,1,1)="1","R ",IF(MID(B16,1,1)="2","R R ",IF(MID(B16,1,1)="3","R R R","")))&amp;""&amp;IF(MID(B16,3,1)="1","Y ",IF(MID(B16,3,1)="2","Y Y ",IF(MID(B16,3,1)="3","Y Y Y","")))&amp;""&amp;IF(MID(B16,5,1)="1","B ",IF(MID(B16,5,1)="2","B B ",IF(MID(B16,5,1)="3","B B B","")))</f>
        <v/>
      </c>
      <c r="D16" s="120">
        <f>MID(B16,1,1)+MID(B16,3,1)+MID(B16,5,1)</f>
        <v>0</v>
      </c>
      <c r="G16" s="120">
        <f>IF($D16=1, OR(AND(MID($C16,1,1)="R", $C17), AND(MID($C16,1,1)="Y", $D17), AND(MID($C16,1,1)="B", $E17)),0)</f>
        <v>0</v>
      </c>
      <c r="O16" s="120" t="b">
        <f>OR(G16,G17,H17)</f>
        <v>0</v>
      </c>
      <c r="P16" s="120" t="str">
        <f>IF(O16,VLOOKUP('Gear &amp; Buffs'!$B$32,NeckStats,18,FALSE),"0000")</f>
        <v>0000</v>
      </c>
      <c r="Q16" s="120" t="str">
        <f>MID(P16,1,2)</f>
        <v>00</v>
      </c>
      <c r="R16" s="120">
        <f>MID(P16,4,2)+0</f>
        <v>0</v>
      </c>
      <c r="S16" s="120">
        <f>IF($Q16="sr",$R16,0)</f>
        <v>0</v>
      </c>
      <c r="T16" s="120">
        <f>IF($Q16="ag",$R16,0)</f>
        <v>0</v>
      </c>
      <c r="U16" s="120">
        <f>IF($Q16="st",$R16,0)</f>
        <v>0</v>
      </c>
      <c r="V16" s="120">
        <f>IF($Q16="cr",$R16,0)</f>
        <v>0</v>
      </c>
      <c r="W16" s="120">
        <f>IF($Q16="ht",$R16,0)</f>
        <v>0</v>
      </c>
      <c r="X16" s="120">
        <f>IF($Q16="ap",$R16,0)</f>
        <v>0</v>
      </c>
      <c r="Y16" s="120">
        <f>IF($Q16="do",$R16,0)</f>
        <v>0</v>
      </c>
      <c r="Z16" s="120">
        <f>IF($Q16="rs",$R16,0)</f>
        <v>0</v>
      </c>
      <c r="AA16" s="120">
        <f>IF($Q16="da",$R16,0)</f>
        <v>0</v>
      </c>
      <c r="AB16" s="120">
        <f>IF($Q16="sw",$R16,0)</f>
        <v>0</v>
      </c>
      <c r="AC16" s="120">
        <f>IF($Q16="ma",$R16,0)</f>
        <v>0</v>
      </c>
      <c r="AD16" s="120">
        <f>IF($Q16="fi",$R16,0)</f>
        <v>0</v>
      </c>
      <c r="AE16" s="120">
        <f>IF($Q16="hs",$R16,0)</f>
        <v>0</v>
      </c>
      <c r="AG16" s="1333" t="s">
        <v>2427</v>
      </c>
      <c r="AH16" s="769">
        <v>4</v>
      </c>
      <c r="AI16" s="769"/>
      <c r="AJ16" s="769"/>
      <c r="AK16" s="769"/>
      <c r="AL16" s="769"/>
      <c r="AM16" s="769"/>
      <c r="AN16" s="769"/>
      <c r="AO16" s="769"/>
      <c r="AP16" s="769"/>
      <c r="AQ16" s="769"/>
      <c r="AR16" s="769"/>
      <c r="AS16" s="769"/>
      <c r="AT16" s="769"/>
      <c r="AU16" s="1334"/>
    </row>
    <row r="17" spans="1:47">
      <c r="B17" s="120">
        <f>'Gear &amp; Buffs'!R33</f>
        <v>0</v>
      </c>
      <c r="C17" s="218" t="b">
        <f>MID(B17,1,1)="1"</f>
        <v>0</v>
      </c>
      <c r="D17" s="218" t="b">
        <f>MID(B17,3,1)="1"</f>
        <v>0</v>
      </c>
      <c r="E17" s="218" t="b">
        <f>MID(B17,5,1)="1"</f>
        <v>0</v>
      </c>
      <c r="G17" s="120">
        <f>IF($D16=2, AND(OR(AND(MID($C16,1,1)="R", $C17), AND(MID($C16,1,1)="Y", $D17), AND(MID($C16,1,1)="B", $E17)),
OR(AND(MID($C16,3,1)="R", $C18), AND(MID($C16,3,1)="Y", $D18), AND(MID($C16,3,1)="B", $E18))),0)</f>
        <v>0</v>
      </c>
      <c r="H17" s="120">
        <f>IF($D16=2, AND(OR(AND(MID($C16,1,1)="R", $C18), AND(MID($C16,1,1)="Y", $D18), AND(MID($C16,1,1)="B", $E18)),
OR(AND(MID($C16,3,1)="R", $C17), AND(MID($C16,3,1)="Y", $D17), AND(MID($C16,3,1)="B", $E17))),0)</f>
        <v>0</v>
      </c>
      <c r="AG17" s="1333" t="s">
        <v>1338</v>
      </c>
      <c r="AH17" s="769"/>
      <c r="AI17" s="769"/>
      <c r="AJ17" s="769">
        <v>3</v>
      </c>
      <c r="AK17" s="769"/>
      <c r="AL17" s="769"/>
      <c r="AM17" s="769"/>
      <c r="AN17" s="769"/>
      <c r="AO17" s="769"/>
      <c r="AP17" s="769"/>
      <c r="AQ17" s="769"/>
      <c r="AR17" s="769"/>
      <c r="AS17" s="769"/>
      <c r="AT17" s="769"/>
      <c r="AU17" s="1334"/>
    </row>
    <row r="18" spans="1:47">
      <c r="B18" s="120">
        <f>'Gear &amp; Buffs'!R34</f>
        <v>0</v>
      </c>
      <c r="C18" s="218" t="b">
        <f>MID(B18,1,1)="1"</f>
        <v>0</v>
      </c>
      <c r="D18" s="218" t="b">
        <f>MID(B18,3,1)="1"</f>
        <v>0</v>
      </c>
      <c r="E18" s="218" t="b">
        <f>MID(B18,5,1)="1"</f>
        <v>0</v>
      </c>
      <c r="AG18" s="1333" t="s">
        <v>1459</v>
      </c>
      <c r="AH18" s="769"/>
      <c r="AI18" s="769"/>
      <c r="AJ18" s="769">
        <v>4</v>
      </c>
      <c r="AK18" s="769"/>
      <c r="AL18" s="769"/>
      <c r="AM18" s="769"/>
      <c r="AN18" s="769"/>
      <c r="AO18" s="769"/>
      <c r="AP18" s="769"/>
      <c r="AQ18" s="769"/>
      <c r="AR18" s="769"/>
      <c r="AS18" s="769"/>
      <c r="AT18" s="769"/>
      <c r="AU18" s="1334"/>
    </row>
    <row r="19" spans="1:47">
      <c r="A19" s="142" t="s">
        <v>660</v>
      </c>
      <c r="B19" s="120" t="str">
        <f>'Gear &amp; Buffs'!R35</f>
        <v>1 1 0</v>
      </c>
      <c r="C19" s="120" t="str">
        <f>IF(MID(B19,1,1)="1","R ",IF(MID(B19,1,1)="2","R R ",IF(MID(B19,1,1)="3","R R R","")))&amp;""&amp;IF(MID(B19,3,1)="1","Y ",IF(MID(B19,3,1)="2","Y Y ",IF(MID(B19,3,1)="3","Y Y Y","")))&amp;""&amp;IF(MID(B19,5,1)="1","B ",IF(MID(B19,5,1)="2","B B ",IF(MID(B19,5,1)="3","B B B","")))</f>
        <v xml:space="preserve">R Y </v>
      </c>
      <c r="D19" s="120">
        <f>MID(B19,1,1)+MID(B19,3,1)+MID(B19,5,1)</f>
        <v>2</v>
      </c>
      <c r="AG19" s="1333" t="s">
        <v>1052</v>
      </c>
      <c r="AH19" s="769"/>
      <c r="AI19" s="769"/>
      <c r="AJ19" s="769">
        <v>6</v>
      </c>
      <c r="AK19" s="769"/>
      <c r="AL19" s="769"/>
      <c r="AM19" s="769"/>
      <c r="AN19" s="769"/>
      <c r="AO19" s="769"/>
      <c r="AP19" s="769"/>
      <c r="AQ19" s="769"/>
      <c r="AR19" s="769"/>
      <c r="AS19" s="769"/>
      <c r="AT19" s="769"/>
      <c r="AU19" s="1334"/>
    </row>
    <row r="20" spans="1:47">
      <c r="B20" s="120" t="str">
        <f>'Gear &amp; Buffs'!R37</f>
        <v>0 0 1</v>
      </c>
      <c r="C20" s="218" t="b">
        <f>MID(B20,1,1)="1"</f>
        <v>0</v>
      </c>
      <c r="D20" s="218" t="b">
        <f>MID(B20,3,1)="1"</f>
        <v>0</v>
      </c>
      <c r="E20" s="218" t="b">
        <f>MID(B20,5,1)="1"</f>
        <v>1</v>
      </c>
      <c r="G20" s="120" t="b">
        <f>IF($D19=2, AND(OR(AND(MID($C19,1,1)="R", $C20), AND(MID($C19,1,1)="Y", $D20), AND(MID($C19,1,1)="B", $E20)),
OR(AND(MID($C19,3,1)="R", $C21), AND(MID($C19,3,1)="Y", $D21), AND(MID($C19,3,1)="B", $E21))),0)</f>
        <v>0</v>
      </c>
      <c r="H20" s="120" t="b">
        <f>IF($D19=2, AND(OR(AND(MID($C19,1,1)="R", $C21), AND(MID($C19,1,1)="Y", $D21), AND(MID($C19,1,1)="B", $E21)),
OR(AND(MID($C19,3,1)="R", $C20), AND(MID($C19,3,1)="Y", $D20), AND(MID($C19,3,1)="B", $E20))),0)</f>
        <v>0</v>
      </c>
      <c r="O20" s="120" t="b">
        <f>OR(G20,H20,G21)</f>
        <v>0</v>
      </c>
      <c r="P20" s="120" t="str">
        <f>IF(O20,VLOOKUP('Gear &amp; Buffs'!$B$35,ShoulderStats,18,FALSE),"0000")</f>
        <v>0000</v>
      </c>
      <c r="Q20" s="120" t="str">
        <f>MID(P20,1,2)</f>
        <v>00</v>
      </c>
      <c r="R20" s="120">
        <f>MID(P20,4,2)+0</f>
        <v>0</v>
      </c>
      <c r="S20" s="120">
        <f>IF($Q20="sr",$R20,0)</f>
        <v>0</v>
      </c>
      <c r="T20" s="120">
        <f>IF($Q20="ag",$R20,0)</f>
        <v>0</v>
      </c>
      <c r="U20" s="120">
        <f>IF($Q20="st",$R20,0)</f>
        <v>0</v>
      </c>
      <c r="V20" s="120">
        <f>IF($Q20="cr",$R20,0)</f>
        <v>0</v>
      </c>
      <c r="W20" s="120">
        <f>IF($Q20="ht",$R20,0)</f>
        <v>0</v>
      </c>
      <c r="X20" s="120">
        <f>IF($Q20="ap",$R20,0)</f>
        <v>0</v>
      </c>
      <c r="Y20" s="120">
        <f>IF($Q20="do",$R20,0)</f>
        <v>0</v>
      </c>
      <c r="Z20" s="120">
        <f>IF($Q20="rs",$R20,0)</f>
        <v>0</v>
      </c>
      <c r="AA20" s="120">
        <f>IF($Q20="da",$R20,0)</f>
        <v>0</v>
      </c>
      <c r="AB20" s="120">
        <f>IF($Q20="sw",$R20,0)</f>
        <v>0</v>
      </c>
      <c r="AC20" s="120">
        <f>IF($Q20="ma",$R20,0)</f>
        <v>0</v>
      </c>
      <c r="AD20" s="120">
        <f>IF($Q20="fi",$R20,0)</f>
        <v>0</v>
      </c>
      <c r="AE20" s="120">
        <f>IF($Q20="hs",$R20,0)</f>
        <v>0</v>
      </c>
      <c r="AG20" s="1333" t="s">
        <v>1070</v>
      </c>
      <c r="AH20" s="769"/>
      <c r="AI20" s="769"/>
      <c r="AJ20" s="769"/>
      <c r="AK20" s="769"/>
      <c r="AL20" s="769"/>
      <c r="AM20" s="769"/>
      <c r="AN20" s="769">
        <v>2</v>
      </c>
      <c r="AO20" s="769"/>
      <c r="AP20" s="769"/>
      <c r="AQ20" s="769"/>
      <c r="AR20" s="769"/>
      <c r="AS20" s="769"/>
      <c r="AT20" s="769"/>
      <c r="AU20" s="1334"/>
    </row>
    <row r="21" spans="1:47">
      <c r="B21" s="120" t="str">
        <f>'Gear &amp; Buffs'!R38</f>
        <v>0 0 1</v>
      </c>
      <c r="C21" s="218" t="b">
        <f>MID(B21,1,1)="1"</f>
        <v>0</v>
      </c>
      <c r="D21" s="218" t="b">
        <f>MID(B21,3,1)="1"</f>
        <v>0</v>
      </c>
      <c r="E21" s="218" t="b">
        <f>MID(B21,5,1)="1"</f>
        <v>1</v>
      </c>
      <c r="G21" s="120">
        <f>IF($D19=1, OR(AND(MID($C19,1,1)="R", $C20), AND(MID($C19,1,1)="Y", $D20), AND(MID($C19,1,1)="B", $E20)),0)</f>
        <v>0</v>
      </c>
      <c r="AG21" s="1333" t="s">
        <v>1452</v>
      </c>
      <c r="AH21" s="769"/>
      <c r="AI21" s="769"/>
      <c r="AJ21" s="769"/>
      <c r="AK21" s="769"/>
      <c r="AL21" s="769"/>
      <c r="AM21" s="769"/>
      <c r="AN21" s="769">
        <v>3</v>
      </c>
      <c r="AO21" s="769"/>
      <c r="AP21" s="769"/>
      <c r="AQ21" s="769"/>
      <c r="AR21" s="769"/>
      <c r="AS21" s="769"/>
      <c r="AT21" s="769"/>
      <c r="AU21" s="1334"/>
    </row>
    <row r="22" spans="1:47">
      <c r="A22" s="142" t="s">
        <v>1124</v>
      </c>
      <c r="B22" s="120" t="str">
        <f>'Gear &amp; Buffs'!R42</f>
        <v>1 1 1</v>
      </c>
      <c r="C22" s="120" t="str">
        <f>IF(MID(B22,1,1)="1","R ",IF(MID(B22,1,1)="2","R R ",IF(MID(B22,1,1)="3","R R R","")))&amp;""&amp;IF(MID(B22,3,1)="1","Y ",IF(MID(B22,3,1)="2","Y Y ",IF(MID(B22,3,1)="3","Y Y Y","")))&amp;""&amp;IF(MID(B22,5,1)="1","B ",IF(MID(B22,5,1)="2","B B ",IF(MID(B22,5,1)="3","B B B","")))</f>
        <v xml:space="preserve">R Y B </v>
      </c>
      <c r="D22" s="120">
        <f>MID(B22,1,1)+MID(B22,3,1)+MID(B22,5,1)</f>
        <v>3</v>
      </c>
      <c r="G22" s="120" t="b">
        <f>IF($D22=3, AND(OR(AND(MID($C22,1,1)="R", $C23), AND(MID($C22,1,1)="Y", $D23), AND(MID($C22,1,1)="B", $E23)),
OR(AND(MID($C22,3,1)="R", $C24), AND(MID($C22,3,1)="Y", $D24), AND(MID($C22,3,1)="B", $E24)),
OR(AND(MID($C22,5,1)="R", $C25), AND(MID($C22,5,1)="Y", $D25), AND(MID($C22,5,1)="B", $E25))),0)</f>
        <v>0</v>
      </c>
      <c r="H22" s="120" t="b">
        <f>IF($D22=3, AND(OR(AND(MID($C22,1,1)="R", $C23), AND(MID($C22,1,1)="Y", $D23), AND(MID($C22,1,1)="B", $E23)),
OR(AND(MID($C22,3,1)="R", $C25), AND(MID($C22,3,1)="Y", $D25), AND(MID($C22,3,1)="B", $E25)),
OR(AND(MID($C22,5,1)="R", $C24), AND(MID($C22,5,1)="Y", $D24), AND(MID($C22,5,1)="B", $E24))),0)</f>
        <v>0</v>
      </c>
      <c r="I22" s="120" t="b">
        <f>IF($D22=3, AND(OR(AND(MID($C22,1,1)="R", $C24), AND(MID($C22,1,1)="Y", $D24), AND(MID($C22,1,1)="B", $E24)),
OR(AND(MID($C22,3,1)="R", $C23), AND(MID($C22,3,1)="Y", $D23), AND(MID($C22,3,1)="B", $E23)),
OR(AND(MID($C22,5,1)="R", $C25), AND(MID($C22,5,1)="Y", $D25), AND(MID($C22,5,1)="B", $E25))),0)</f>
        <v>0</v>
      </c>
      <c r="J22" s="120" t="b">
        <f>IF($D22=3, AND(OR(AND(MID($C22,1,1)="R", $C24), AND(MID($C22,1,1)="Y", $D24), AND(MID($C22,1,1)="B", $E24)),
OR(AND(MID($C22,3,1)="R", $C25), AND(MID($C22,3,1)="Y", $D25), AND(MID($C22,3,1)="B", $E25)),
OR(AND(MID($C22,5,1)="R", $C23), AND(MID($C22,5,1)="Y", $D23), AND(MID($C22,5,1)="B", $E23))),0)</f>
        <v>0</v>
      </c>
      <c r="K22" s="120" t="b">
        <f>IF($D22=3, AND(OR(AND(MID($C22,1,1)="R", $C25), AND(MID($C22,1,1)="Y", $D25), AND(MID($C22,1,1)="B", $E25)),
OR(AND(MID($C22,3,1)="R", $C23), AND(MID($C22,3,1)="Y", $D23), AND(MID($C22,3,1)="B", $E23)),
OR(AND(MID($C22,5,1)="R", $C24), AND(MID($C22,5,1)="Y", $D24), AND(MID($C22,5,1)="B", $E24))),0)</f>
        <v>0</v>
      </c>
      <c r="L22" s="120" t="b">
        <f>IF($D22=3, AND(OR(AND(MID($C22,1,1)="R", $C25), AND(MID($C22,1,1)="Y", $D25), AND(MID($C22,1,1)="B", $E25)),
OR(AND(MID($C22,3,1)="R", $C24), AND(MID($C22,3,1)="Y", $D24), AND(MID($C22,3,1)="B", $E24)),
OR(AND(MID($C22,5,1)="R", $C23), AND(MID($C22,5,1)="Y", $D23), AND(MID($C22,5,1)="B", $E23))),0)</f>
        <v>1</v>
      </c>
      <c r="N22" s="120" t="b">
        <f>OR(G22:L22)</f>
        <v>1</v>
      </c>
      <c r="O22" s="120" t="b">
        <f>OR(N22:N24)</f>
        <v>1</v>
      </c>
      <c r="P22" s="120" t="str">
        <f>IF(O22,VLOOKUP('Gear &amp; Buffs'!$B$42,ChestStats,18,FALSE),"0000")</f>
        <v>ag 4</v>
      </c>
      <c r="Q22" s="120" t="str">
        <f>MID(P22,1,2)</f>
        <v>ag</v>
      </c>
      <c r="R22" s="120">
        <f>MID(P22,4,2)+0</f>
        <v>4</v>
      </c>
      <c r="S22" s="120">
        <f>IF($Q22="sr",$R22,0)</f>
        <v>0</v>
      </c>
      <c r="T22" s="120">
        <f>IF($Q22="ag",$R22,0)</f>
        <v>4</v>
      </c>
      <c r="U22" s="120">
        <f>IF($Q22="st",$R22,0)</f>
        <v>0</v>
      </c>
      <c r="V22" s="120">
        <f>IF($Q22="cr",$R22,0)</f>
        <v>0</v>
      </c>
      <c r="W22" s="120">
        <f>IF($Q22="ht",$R22,0)</f>
        <v>0</v>
      </c>
      <c r="X22" s="120">
        <f>IF($Q22="ap",$R22,0)</f>
        <v>0</v>
      </c>
      <c r="Y22" s="120">
        <f>IF($Q22="do",$R22,0)</f>
        <v>0</v>
      </c>
      <c r="Z22" s="120">
        <f>IF($Q22="rs",$R22,0)</f>
        <v>0</v>
      </c>
      <c r="AA22" s="120">
        <f>IF($Q22="da",$R22,0)</f>
        <v>0</v>
      </c>
      <c r="AB22" s="120">
        <f>IF($Q22="sw",$R22,0)</f>
        <v>0</v>
      </c>
      <c r="AC22" s="120">
        <f>IF($Q22="ma",$R22,0)</f>
        <v>0</v>
      </c>
      <c r="AD22" s="120">
        <f>IF($Q22="fi",$R22,0)</f>
        <v>0</v>
      </c>
      <c r="AE22" s="120">
        <f>IF($Q22="hs",$R22,0)</f>
        <v>0</v>
      </c>
      <c r="AG22" s="1333" t="s">
        <v>1069</v>
      </c>
      <c r="AH22" s="769"/>
      <c r="AI22" s="769"/>
      <c r="AJ22" s="769"/>
      <c r="AK22" s="769"/>
      <c r="AL22" s="769"/>
      <c r="AM22" s="769"/>
      <c r="AN22" s="769">
        <v>4</v>
      </c>
      <c r="AO22" s="769"/>
      <c r="AP22" s="769"/>
      <c r="AQ22" s="769"/>
      <c r="AR22" s="769"/>
      <c r="AS22" s="769"/>
      <c r="AT22" s="769"/>
      <c r="AU22" s="1334"/>
    </row>
    <row r="23" spans="1:47">
      <c r="B23" s="120" t="str">
        <f>'Gear &amp; Buffs'!R44</f>
        <v>0 0 1</v>
      </c>
      <c r="C23" s="218" t="b">
        <f>MID(B23,1,1)="1"</f>
        <v>0</v>
      </c>
      <c r="D23" s="218" t="b">
        <f>MID(B23,3,1)="1"</f>
        <v>0</v>
      </c>
      <c r="E23" s="218" t="b">
        <f>MID(B23,5,1)="1"</f>
        <v>1</v>
      </c>
      <c r="G23" s="120">
        <f>IF($D22=2, AND(OR(AND(MID($C22,1,1)="R", $C23), AND(MID($C22,1,1)="Y", $D23), AND(MID($C22,1,1)="B", $E23)),
OR(AND(MID($C22,3,1)="R", $C24), AND(MID($C22,3,1)="Y", $D24), AND(MID($C22,3,1)="B", $E24))),0)</f>
        <v>0</v>
      </c>
      <c r="H23" s="120">
        <f>IF($D22=2, AND(OR(AND(MID($C22,1,1)="R", $C24), AND(MID($C22,1,1)="Y", $D24), AND(MID($C22,1,1)="B", $E24)),
OR(AND(MID($C22,3,1)="R", $C23), AND(MID($C22,3,1)="Y", $D23), AND(MID($C22,3,1)="B", $E23))),0)</f>
        <v>0</v>
      </c>
      <c r="N23" s="120" t="b">
        <f>OR(G23:H23)</f>
        <v>0</v>
      </c>
      <c r="AG23" s="1333" t="s">
        <v>1303</v>
      </c>
      <c r="AH23" s="769"/>
      <c r="AI23" s="769"/>
      <c r="AJ23" s="769"/>
      <c r="AK23" s="769"/>
      <c r="AL23" s="769"/>
      <c r="AM23" s="769"/>
      <c r="AN23" s="769"/>
      <c r="AO23" s="769">
        <v>2</v>
      </c>
      <c r="AP23" s="769"/>
      <c r="AQ23" s="769"/>
      <c r="AR23" s="769"/>
      <c r="AS23" s="769"/>
      <c r="AT23" s="769"/>
      <c r="AU23" s="1334"/>
    </row>
    <row r="24" spans="1:47">
      <c r="B24" s="120" t="str">
        <f>'Gear &amp; Buffs'!R45</f>
        <v>1 1 0</v>
      </c>
      <c r="C24" s="218" t="b">
        <f>MID(B24,1,1)="1"</f>
        <v>1</v>
      </c>
      <c r="D24" s="218" t="b">
        <f>MID(B24,3,1)="1"</f>
        <v>1</v>
      </c>
      <c r="E24" s="218" t="b">
        <f>MID(B24,5,1)="1"</f>
        <v>0</v>
      </c>
      <c r="G24" s="120">
        <f>IF($D22=1, OR(AND(MID($C22,1,1)="R", $C23), AND(MID($C22,1,1)="Y", $D23), AND(MID($C22,1,1)="B", $E23)),0)</f>
        <v>0</v>
      </c>
      <c r="N24" s="120" t="b">
        <f>OR(G24)</f>
        <v>0</v>
      </c>
      <c r="AG24" s="1333" t="s">
        <v>1455</v>
      </c>
      <c r="AH24" s="769"/>
      <c r="AI24" s="769"/>
      <c r="AJ24" s="769"/>
      <c r="AK24" s="769"/>
      <c r="AL24" s="769"/>
      <c r="AM24" s="769"/>
      <c r="AN24" s="769"/>
      <c r="AO24" s="769">
        <v>3</v>
      </c>
      <c r="AP24" s="769"/>
      <c r="AQ24" s="769"/>
      <c r="AR24" s="769"/>
      <c r="AS24" s="769"/>
      <c r="AT24" s="769"/>
      <c r="AU24" s="1334"/>
    </row>
    <row r="25" spans="1:47">
      <c r="B25" s="120" t="str">
        <f>'Gear &amp; Buffs'!R46</f>
        <v>1 0 1</v>
      </c>
      <c r="C25" s="218" t="b">
        <f>MID(B25,1,1)="1"</f>
        <v>1</v>
      </c>
      <c r="D25" s="218" t="b">
        <f>MID(B25,3,1)="1"</f>
        <v>0</v>
      </c>
      <c r="E25" s="218" t="b">
        <f>MID(B25,5,1)="1"</f>
        <v>1</v>
      </c>
      <c r="AG25" s="1333" t="s">
        <v>1072</v>
      </c>
      <c r="AH25" s="769"/>
      <c r="AI25" s="769"/>
      <c r="AJ25" s="769"/>
      <c r="AK25" s="769"/>
      <c r="AL25" s="769"/>
      <c r="AM25" s="769"/>
      <c r="AN25" s="769"/>
      <c r="AO25" s="769">
        <v>4</v>
      </c>
      <c r="AP25" s="769"/>
      <c r="AQ25" s="769"/>
      <c r="AR25" s="769"/>
      <c r="AS25" s="769"/>
      <c r="AT25" s="769"/>
      <c r="AU25" s="1334"/>
    </row>
    <row r="26" spans="1:47">
      <c r="A26" s="142" t="s">
        <v>59</v>
      </c>
      <c r="B26" s="120" t="str">
        <f>'Gear &amp; Buffs'!R47</f>
        <v>1 0 0</v>
      </c>
      <c r="C26" s="120" t="str">
        <f>IF(MID(B26,1,1)="1","R ",IF(MID(B26,1,1)="2","R R ",IF(MID(B26,1,1)="3","R R R","")))&amp;""&amp;IF(MID(B26,3,1)="1","Y ",IF(MID(B26,3,1)="2","Y Y ",IF(MID(B26,3,1)="3","Y Y Y","")))&amp;""&amp;IF(MID(B26,5,1)="1","B ",IF(MID(B26,5,1)="2","B B ",IF(MID(B26,5,1)="3","B B B","")))</f>
        <v xml:space="preserve">R </v>
      </c>
      <c r="D26" s="120">
        <f>MID(B26,1,1)+MID(B26,3,1)+MID(B26,5,1)</f>
        <v>1</v>
      </c>
      <c r="G26" s="120" t="b">
        <f>IF($D26=1, OR(AND(MID($C26,1,1)="R", $C27), AND(MID($C26,1,1)="Y", $D27), AND(MID($C26,1,1)="B", $E27)),0)</f>
        <v>0</v>
      </c>
      <c r="O26" s="120" t="b">
        <f>OR(G26)</f>
        <v>0</v>
      </c>
      <c r="P26" s="120" t="str">
        <f>IF(O26,VLOOKUP('Gear &amp; Buffs'!$B$47,BracersStats,18,FALSE),"0000")</f>
        <v>0000</v>
      </c>
      <c r="Q26" s="120" t="str">
        <f>MID(P26,1,2)</f>
        <v>00</v>
      </c>
      <c r="R26" s="120">
        <f>MID(P26,4,2)+0</f>
        <v>0</v>
      </c>
      <c r="S26" s="120">
        <f>IF($Q26="sr",$R26,0)</f>
        <v>0</v>
      </c>
      <c r="T26" s="120">
        <f>IF($Q26="ag",$R26,0)</f>
        <v>0</v>
      </c>
      <c r="U26" s="120">
        <f>IF($Q26="st",$R26,0)</f>
        <v>0</v>
      </c>
      <c r="V26" s="120">
        <f>IF($Q26="cr",$R26,0)</f>
        <v>0</v>
      </c>
      <c r="W26" s="120">
        <f>IF($Q26="ht",$R26,0)</f>
        <v>0</v>
      </c>
      <c r="X26" s="120">
        <f>IF($Q26="ap",$R26,0)</f>
        <v>0</v>
      </c>
      <c r="Y26" s="120">
        <f>IF($Q26="do",$R26,0)</f>
        <v>0</v>
      </c>
      <c r="Z26" s="120">
        <f>IF($Q26="rs",$R26,0)</f>
        <v>0</v>
      </c>
      <c r="AA26" s="120">
        <f>IF($Q26="da",$R26,0)</f>
        <v>0</v>
      </c>
      <c r="AB26" s="120">
        <f>IF($Q26="sw",$R26,0)</f>
        <v>0</v>
      </c>
      <c r="AC26" s="120">
        <f>IF($Q26="ma",$R26,0)</f>
        <v>0</v>
      </c>
      <c r="AD26" s="120">
        <f>IF($Q26="fi",$R26,0)</f>
        <v>0</v>
      </c>
      <c r="AE26" s="120">
        <f>IF($Q26="hs",$R26,0)</f>
        <v>0</v>
      </c>
      <c r="AG26" s="1333"/>
      <c r="AH26" s="769"/>
      <c r="AI26" s="769"/>
      <c r="AJ26" s="769"/>
      <c r="AK26" s="769"/>
      <c r="AL26" s="769"/>
      <c r="AM26" s="769"/>
      <c r="AN26" s="769"/>
      <c r="AO26" s="769"/>
      <c r="AP26" s="769"/>
      <c r="AQ26" s="769"/>
      <c r="AR26" s="769"/>
      <c r="AS26" s="769"/>
      <c r="AT26" s="769"/>
      <c r="AU26" s="1334"/>
    </row>
    <row r="27" spans="1:47">
      <c r="B27" s="120" t="str">
        <f>'Gear &amp; Buffs'!R49</f>
        <v>0 0 1</v>
      </c>
      <c r="C27" s="218" t="b">
        <f>MID(B27,1,1)="1"</f>
        <v>0</v>
      </c>
      <c r="D27" s="218" t="b">
        <f>MID(B27,3,1)="1"</f>
        <v>0</v>
      </c>
      <c r="E27" s="218" t="b">
        <f>MID(B27,5,1)="1"</f>
        <v>1</v>
      </c>
      <c r="AG27" s="1333">
        <v>0</v>
      </c>
      <c r="AH27" s="769"/>
      <c r="AI27" s="769"/>
      <c r="AJ27" s="769"/>
      <c r="AK27" s="769"/>
      <c r="AL27" s="769"/>
      <c r="AM27" s="769"/>
      <c r="AN27" s="769"/>
      <c r="AO27" s="769"/>
      <c r="AP27" s="769"/>
      <c r="AQ27" s="769"/>
      <c r="AR27" s="769"/>
      <c r="AS27" s="769"/>
      <c r="AT27" s="769"/>
      <c r="AU27" s="1334"/>
    </row>
    <row r="28" spans="1:47" ht="12" thickBot="1">
      <c r="A28" s="142" t="s">
        <v>2075</v>
      </c>
      <c r="B28" s="120" t="str">
        <f>'Gear &amp; Buffs'!R50</f>
        <v>1 0 1</v>
      </c>
      <c r="C28" s="120" t="str">
        <f>IF(MID(B28,1,1)="1","R ",IF(MID(B28,1,1)="2","R R ",IF(MID(B28,1,1)="3","R R R","")))&amp;""&amp;IF(MID(B28,3,1)="1","Y ",IF(MID(B28,3,1)="2","Y Y ",IF(MID(B28,3,1)="3","Y Y Y","")))&amp;""&amp;IF(MID(B28,5,1)="1","B ",IF(MID(B28,5,1)="2","B B ",IF(MID(B28,5,1)="3","B B B","")))</f>
        <v xml:space="preserve">R B </v>
      </c>
      <c r="D28" s="120">
        <f>MID(B28,1,1)+MID(B28,3,1)+MID(B28,5,1)</f>
        <v>2</v>
      </c>
      <c r="O28" s="120" t="b">
        <f>OR(G29,H29,G30)</f>
        <v>0</v>
      </c>
      <c r="P28" s="120" t="str">
        <f>IF(O28,VLOOKUP('Gear &amp; Buffs'!$B$50,GlovesStats,18,FALSE),"0000")</f>
        <v>0000</v>
      </c>
      <c r="Q28" s="120" t="str">
        <f>MID(P28,1,2)</f>
        <v>00</v>
      </c>
      <c r="R28" s="120">
        <f>MID(P28,4,2)+0</f>
        <v>0</v>
      </c>
      <c r="S28" s="120">
        <f>IF($Q28="sr",$R28,0)</f>
        <v>0</v>
      </c>
      <c r="T28" s="120">
        <f>IF($Q28="ag",$R28,0)</f>
        <v>0</v>
      </c>
      <c r="U28" s="120">
        <f>IF($Q28="st",$R28,0)</f>
        <v>0</v>
      </c>
      <c r="V28" s="120">
        <f>IF($Q28="cr",$R28,0)</f>
        <v>0</v>
      </c>
      <c r="W28" s="120">
        <f>IF($Q28="ht",$R28,0)</f>
        <v>0</v>
      </c>
      <c r="X28" s="120">
        <f>IF($Q28="ap",$R28,0)</f>
        <v>0</v>
      </c>
      <c r="Y28" s="120">
        <f>IF($Q28="do",$R28,0)</f>
        <v>0</v>
      </c>
      <c r="Z28" s="120">
        <f>IF($Q28="rs",$R28,0)</f>
        <v>0</v>
      </c>
      <c r="AA28" s="120">
        <f>IF($Q28="da",$R28,0)</f>
        <v>0</v>
      </c>
      <c r="AB28" s="120">
        <f>IF($Q28="sw",$R28,0)</f>
        <v>0</v>
      </c>
      <c r="AC28" s="120">
        <f>IF($Q28="ma",$R28,0)</f>
        <v>0</v>
      </c>
      <c r="AD28" s="120">
        <f>IF($Q28="fi",$R28,0)</f>
        <v>0</v>
      </c>
      <c r="AE28" s="120">
        <f>IF($Q28="hs",$R28,0)</f>
        <v>0</v>
      </c>
      <c r="AG28" s="1335" t="s">
        <v>1689</v>
      </c>
      <c r="AH28" s="858"/>
      <c r="AI28" s="858"/>
      <c r="AJ28" s="858"/>
      <c r="AK28" s="858"/>
      <c r="AL28" s="858"/>
      <c r="AM28" s="858"/>
      <c r="AN28" s="858"/>
      <c r="AO28" s="858"/>
      <c r="AP28" s="858"/>
      <c r="AQ28" s="858"/>
      <c r="AR28" s="858"/>
      <c r="AS28" s="858"/>
      <c r="AT28" s="858"/>
      <c r="AU28" s="859"/>
    </row>
    <row r="29" spans="1:47">
      <c r="B29" s="120" t="str">
        <f>'Gear &amp; Buffs'!R52</f>
        <v>0 0 1</v>
      </c>
      <c r="C29" s="218" t="b">
        <f>MID(B29,1,1)="1"</f>
        <v>0</v>
      </c>
      <c r="D29" s="218" t="b">
        <f>MID(B29,3,1)="1"</f>
        <v>0</v>
      </c>
      <c r="E29" s="218" t="b">
        <f>MID(B29,5,1)="1"</f>
        <v>1</v>
      </c>
      <c r="G29" s="120" t="b">
        <f>IF($D28=2, AND(OR(AND(MID($C28,1,1)="R", $C29), AND(MID($C28,1,1)="Y", $D29), AND(MID($C28,1,1)="B", $E29)),
OR(AND(MID($C28,3,1)="R", $C30), AND(MID($C28,3,1)="Y", $D30), AND(MID($C28,3,1)="B", $E30))),0)</f>
        <v>0</v>
      </c>
      <c r="H29" s="120" t="b">
        <f>IF($D28=2, AND(OR(AND(MID($C28,1,1)="R", $C30), AND(MID($C28,1,1)="Y", $D30), AND(MID($C28,1,1)="B", $E30)),
OR(AND(MID($C28,3,1)="R", $C29), AND(MID($C28,3,1)="Y", $D29), AND(MID($C28,3,1)="B", $E29))),0)</f>
        <v>0</v>
      </c>
    </row>
    <row r="30" spans="1:47">
      <c r="B30" s="120" t="str">
        <f>'Gear &amp; Buffs'!R53</f>
        <v>0 0 1</v>
      </c>
      <c r="C30" s="218" t="b">
        <f>MID(B30,1,1)="1"</f>
        <v>0</v>
      </c>
      <c r="D30" s="218" t="b">
        <f>MID(B30,3,1)="1"</f>
        <v>0</v>
      </c>
      <c r="E30" s="218" t="b">
        <f>MID(B30,5,1)="1"</f>
        <v>1</v>
      </c>
      <c r="G30" s="120">
        <f>IF($D28=1, OR(AND(MID($C28,1,1)="R", $C29), AND(MID($C28,1,1)="Y", $D29), AND(MID($C28,1,1)="B", $E29)),0)</f>
        <v>0</v>
      </c>
    </row>
    <row r="31" spans="1:47">
      <c r="A31" s="142" t="s">
        <v>2440</v>
      </c>
      <c r="B31" s="120" t="str">
        <f>'Gear &amp; Buffs'!R54</f>
        <v>0 0 0</v>
      </c>
      <c r="C31" s="120" t="str">
        <f>IF(MID(B31,1,1)="1","R ",IF(MID(B31,1,1)="2","R R ",IF(MID(B31,1,1)="3","R R R","")))&amp;""&amp;IF(MID(B31,3,1)="1","Y ",IF(MID(B31,3,1)="2","Y Y ",IF(MID(B31,3,1)="3","Y Y Y","")))&amp;""&amp;IF(MID(B31,5,1)="1","B ",IF(MID(B31,5,1)="2","B B ",IF(MID(B31,5,1)="3","B B B","")))</f>
        <v/>
      </c>
      <c r="D31" s="120">
        <f>MID(B31,1,1)+MID(B31,3,1)+MID(B31,5,1)</f>
        <v>0</v>
      </c>
      <c r="O31" s="120" t="b">
        <f>OR(G32,H32,G33)</f>
        <v>0</v>
      </c>
      <c r="P31" s="120" t="str">
        <f>IF(O31,VLOOKUP('Gear &amp; Buffs'!$B$54,BeltStats,18,FALSE),"0000")</f>
        <v>0000</v>
      </c>
      <c r="Q31" s="120" t="str">
        <f>MID(P31,1,2)</f>
        <v>00</v>
      </c>
      <c r="R31" s="120">
        <f>MID(P31,4,2)+0</f>
        <v>0</v>
      </c>
      <c r="S31" s="120">
        <f>IF($Q31="sr",$R31,0)</f>
        <v>0</v>
      </c>
      <c r="T31" s="120">
        <f>IF($Q31="ag",$R31,0)</f>
        <v>0</v>
      </c>
      <c r="U31" s="120">
        <f>IF($Q31="st",$R31,0)</f>
        <v>0</v>
      </c>
      <c r="V31" s="120">
        <f>IF($Q31="cr",$R31,0)</f>
        <v>0</v>
      </c>
      <c r="W31" s="120">
        <f>IF($Q31="ht",$R31,0)</f>
        <v>0</v>
      </c>
      <c r="X31" s="120">
        <f>IF($Q31="ap",$R31,0)</f>
        <v>0</v>
      </c>
      <c r="Y31" s="120">
        <f>IF($Q31="do",$R31,0)</f>
        <v>0</v>
      </c>
      <c r="Z31" s="120">
        <f>IF($Q31="rs",$R31,0)</f>
        <v>0</v>
      </c>
      <c r="AA31" s="120">
        <f>IF($Q31="da",$R31,0)</f>
        <v>0</v>
      </c>
      <c r="AB31" s="120">
        <f>IF($Q31="sw",$R31,0)</f>
        <v>0</v>
      </c>
      <c r="AC31" s="120">
        <f>IF($Q31="ma",$R31,0)</f>
        <v>0</v>
      </c>
      <c r="AD31" s="120">
        <f>IF($Q31="fi",$R31,0)</f>
        <v>0</v>
      </c>
      <c r="AE31" s="120">
        <f>IF($Q31="hs",$R31,0)</f>
        <v>0</v>
      </c>
    </row>
    <row r="32" spans="1:47">
      <c r="B32" s="120">
        <f>'Gear &amp; Buffs'!R55</f>
        <v>0</v>
      </c>
      <c r="C32" s="218" t="b">
        <f>MID(B32,1,1)="1"</f>
        <v>0</v>
      </c>
      <c r="D32" s="218" t="b">
        <f>MID(B32,3,1)="1"</f>
        <v>0</v>
      </c>
      <c r="E32" s="218" t="b">
        <f>MID(B32,5,1)="1"</f>
        <v>0</v>
      </c>
      <c r="G32" s="120">
        <f>IF($D31=2, AND(OR(AND(MID($C31,1,1)="R", $C32), AND(MID($C31,1,1)="Y", $D32), AND(MID($C31,1,1)="B", $E32)),
OR(AND(MID($C31,3,1)="R", $C33), AND(MID($C31,3,1)="Y", $D33), AND(MID($C31,3,1)="B", $E33))),0)</f>
        <v>0</v>
      </c>
      <c r="H32" s="120">
        <f>IF($D31=2, AND(OR(AND(MID($C31,1,1)="R", $C33), AND(MID($C31,1,1)="Y", $D33), AND(MID($C31,1,1)="B", $E33)),
OR(AND(MID($C31,3,1)="R", $C32), AND(MID($C31,3,1)="Y", $D32), AND(MID($C31,3,1)="B", $E32))),0)</f>
        <v>0</v>
      </c>
    </row>
    <row r="33" spans="1:31">
      <c r="B33" s="120">
        <f>'Gear &amp; Buffs'!R56</f>
        <v>0</v>
      </c>
      <c r="C33" s="218" t="b">
        <f>MID(B33,1,1)="1"</f>
        <v>0</v>
      </c>
      <c r="D33" s="218" t="b">
        <f>MID(B33,3,1)="1"</f>
        <v>0</v>
      </c>
      <c r="E33" s="218" t="b">
        <f>MID(B33,5,1)="1"</f>
        <v>0</v>
      </c>
      <c r="G33" s="120">
        <f>IF($D31=1, OR(AND(MID($C31,1,1)="R", $C32), AND(MID($C31,1,1)="Y", $D32), AND(MID($C31,1,1)="B", $E32)),0)</f>
        <v>0</v>
      </c>
    </row>
    <row r="34" spans="1:31">
      <c r="A34" s="142" t="s">
        <v>2080</v>
      </c>
      <c r="B34" s="120" t="str">
        <f>'Gear &amp; Buffs'!R57</f>
        <v>2 1 0</v>
      </c>
      <c r="C34" s="120" t="str">
        <f>IF(MID(B34,1,1)="1","R ",IF(MID(B34,1,1)="2","R R ",IF(MID(B34,1,1)="3","R R R","")))&amp;""&amp;IF(MID(B34,3,1)="1","Y ",IF(MID(B34,3,1)="2","Y Y ",IF(MID(B34,3,1)="3","Y Y Y","")))&amp;""&amp;IF(MID(B34,5,1)="1","B ",IF(MID(B34,5,1)="2","B B ",IF(MID(B34,5,1)="3","B B B","")))</f>
        <v xml:space="preserve">R R Y </v>
      </c>
      <c r="D34" s="120">
        <f>MID(B34,1,1)+MID(B34,3,1)+MID(B34,5,1)</f>
        <v>3</v>
      </c>
      <c r="G34" s="120" t="b">
        <f>IF($D34=3, AND(OR(AND(MID($C34,1,1)="R", $C35), AND(MID($C34,1,1)="Y", $D35), AND(MID($C34,1,1)="B", $E35)),
OR(AND(MID($C34,3,1)="R", $C36), AND(MID($C34,3,1)="Y", $D36), AND(MID($C34,3,1)="B", $E36)),
OR(AND(MID($C34,5,1)="R", $C37), AND(MID($C34,5,1)="Y", $D37), AND(MID($C34,5,1)="B", $E37))),0)</f>
        <v>0</v>
      </c>
      <c r="H34" s="120" t="b">
        <f>IF($D34=3, AND(OR(AND(MID($C34,1,1)="R", $C35), AND(MID($C34,1,1)="Y", $D35), AND(MID($C34,1,1)="B", $E35)),
OR(AND(MID($C34,3,1)="R", $C37), AND(MID($C34,3,1)="Y", $D37), AND(MID($C34,3,1)="B", $E37)),
OR(AND(MID($C34,5,1)="R", $C36), AND(MID($C34,5,1)="Y", $D36), AND(MID($C34,5,1)="B", $E36))),0)</f>
        <v>0</v>
      </c>
      <c r="I34" s="120" t="b">
        <f>IF($D34=3, AND(OR(AND(MID($C34,1,1)="R", $C36), AND(MID($C34,1,1)="Y", $D36), AND(MID($C34,1,1)="B", $E36)),
OR(AND(MID($C34,3,1)="R", $C35), AND(MID($C34,3,1)="Y", $D35), AND(MID($C34,3,1)="B", $E35)),
OR(AND(MID($C34,5,1)="R", $C37), AND(MID($C34,5,1)="Y", $D37), AND(MID($C34,5,1)="B", $E37))),0)</f>
        <v>0</v>
      </c>
      <c r="J34" s="120" t="b">
        <f>IF($D34=3, AND(OR(AND(MID($C34,1,1)="R", $C36), AND(MID($C34,1,1)="Y", $D36), AND(MID($C34,1,1)="B", $E36)),
OR(AND(MID($C34,3,1)="R", $C37), AND(MID($C34,3,1)="Y", $D37), AND(MID($C34,3,1)="B", $E37)),
OR(AND(MID($C34,5,1)="R", $C35), AND(MID($C34,5,1)="Y", $D35), AND(MID($C34,5,1)="B", $E35))),0)</f>
        <v>0</v>
      </c>
      <c r="K34" s="120" t="b">
        <f>IF($D34=3, AND(OR(AND(MID($C34,1,1)="R", $C37), AND(MID($C34,1,1)="Y", $D37), AND(MID($C34,1,1)="B", $E37)),
OR(AND(MID($C34,3,1)="R", $C35), AND(MID($C34,3,1)="Y", $D35), AND(MID($C34,3,1)="B", $E35)),
OR(AND(MID($C34,5,1)="R", $C36), AND(MID($C34,5,1)="Y", $D36), AND(MID($C34,5,1)="B", $E36))),0)</f>
        <v>0</v>
      </c>
      <c r="L34" s="120" t="b">
        <f>IF($D34=3, AND(OR(AND(MID($C34,1,1)="R", $C37), AND(MID($C34,1,1)="Y", $D37), AND(MID($C34,1,1)="B", $E37)),
OR(AND(MID($C34,3,1)="R", $C36), AND(MID($C34,3,1)="Y", $D36), AND(MID($C34,3,1)="B", $E36)),
OR(AND(MID($C34,5,1)="R", $C35), AND(MID($C34,5,1)="Y", $D35), AND(MID($C34,5,1)="B", $E35))),0)</f>
        <v>0</v>
      </c>
      <c r="N34" s="120" t="b">
        <f>OR(G34:L34)</f>
        <v>0</v>
      </c>
      <c r="O34" s="120" t="b">
        <f>OR(N34:N36)</f>
        <v>0</v>
      </c>
      <c r="P34" s="120" t="str">
        <f>IF(O34,VLOOKUP('Gear &amp; Buffs'!$B$57,LegsStats,18,FALSE),"0000")</f>
        <v>0000</v>
      </c>
      <c r="Q34" s="120" t="str">
        <f>MID(P34,1,2)</f>
        <v>00</v>
      </c>
      <c r="R34" s="120">
        <f>MID(P34,4,2)+0</f>
        <v>0</v>
      </c>
      <c r="S34" s="120">
        <f>IF($Q34="sr",$R34,0)</f>
        <v>0</v>
      </c>
      <c r="T34" s="120">
        <f>IF($Q34="ag",$R34,0)</f>
        <v>0</v>
      </c>
      <c r="U34" s="120">
        <f>IF($Q34="st",$R34,0)</f>
        <v>0</v>
      </c>
      <c r="V34" s="120">
        <f>IF($Q34="cr",$R34,0)</f>
        <v>0</v>
      </c>
      <c r="W34" s="120">
        <f>IF($Q34="ht",$R34,0)</f>
        <v>0</v>
      </c>
      <c r="X34" s="120">
        <f>IF($Q34="ap",$R34,0)</f>
        <v>0</v>
      </c>
      <c r="Y34" s="120">
        <f>IF($Q34="do",$R34,0)</f>
        <v>0</v>
      </c>
      <c r="Z34" s="120">
        <f>IF($Q34="rs",$R34,0)</f>
        <v>0</v>
      </c>
      <c r="AA34" s="120">
        <f>IF($Q34="da",$R34,0)</f>
        <v>0</v>
      </c>
      <c r="AB34" s="120">
        <f>IF($Q34="sw",$R34,0)</f>
        <v>0</v>
      </c>
      <c r="AC34" s="120">
        <f>IF($Q34="ma",$R34,0)</f>
        <v>0</v>
      </c>
      <c r="AD34" s="120">
        <f>IF($Q34="fi",$R34,0)</f>
        <v>0</v>
      </c>
      <c r="AE34" s="120">
        <f>IF($Q34="hs",$R34,0)</f>
        <v>0</v>
      </c>
    </row>
    <row r="35" spans="1:31">
      <c r="B35" s="120" t="str">
        <f>'Gear &amp; Buffs'!R59</f>
        <v>0 0 1</v>
      </c>
      <c r="C35" s="218" t="b">
        <f>MID(B35,1,1)="1"</f>
        <v>0</v>
      </c>
      <c r="D35" s="218" t="b">
        <f>MID(B35,3,1)="1"</f>
        <v>0</v>
      </c>
      <c r="E35" s="218" t="b">
        <f>MID(B35,5,1)="1"</f>
        <v>1</v>
      </c>
      <c r="G35" s="120">
        <f>IF($D34=2, AND(OR(AND(MID($C34,1,1)="R", $C35), AND(MID($C34,1,1)="Y", $D35), AND(MID($C34,1,1)="B", $E35)),
OR(AND(MID($C34,3,1)="R", $C36), AND(MID($C34,3,1)="Y", $D36), AND(MID($C34,3,1)="B", $E36))),0)</f>
        <v>0</v>
      </c>
      <c r="H35" s="120">
        <f>IF($D34=2, AND(OR(AND(MID($C34,1,1)="R", $C36), AND(MID($C34,1,1)="Y", $D36), AND(MID($C34,1,1)="B", $E36)),
OR(AND(MID($C34,3,1)="R", $C35), AND(MID($C34,3,1)="Y", $D35), AND(MID($C34,3,1)="B", $E35))),0)</f>
        <v>0</v>
      </c>
      <c r="N35" s="120" t="b">
        <f>OR(G35:H35)</f>
        <v>0</v>
      </c>
    </row>
    <row r="36" spans="1:31">
      <c r="B36" s="120" t="str">
        <f>'Gear &amp; Buffs'!R60</f>
        <v>0 0 1</v>
      </c>
      <c r="C36" s="218" t="b">
        <f>MID(B36,1,1)="1"</f>
        <v>0</v>
      </c>
      <c r="D36" s="218" t="b">
        <f>MID(B36,3,1)="1"</f>
        <v>0</v>
      </c>
      <c r="E36" s="218" t="b">
        <f>MID(B36,5,1)="1"</f>
        <v>1</v>
      </c>
      <c r="G36" s="120">
        <f>IF($D34=1, OR(AND(MID($C34,1,1)="R", $C35), AND(MID($C34,1,1)="Y", $D35), AND(MID($C34,1,1)="B", $E35)),0)</f>
        <v>0</v>
      </c>
      <c r="N36" s="120" t="b">
        <f>OR(G36)</f>
        <v>0</v>
      </c>
    </row>
    <row r="37" spans="1:31">
      <c r="B37" s="120" t="str">
        <f>'Gear &amp; Buffs'!R61</f>
        <v>0 0 1</v>
      </c>
      <c r="C37" s="218" t="b">
        <f>MID(B37,1,1)="1"</f>
        <v>0</v>
      </c>
      <c r="D37" s="218" t="b">
        <f>MID(B37,3,1)="1"</f>
        <v>0</v>
      </c>
      <c r="E37" s="218" t="b">
        <f>MID(B37,5,1)="1"</f>
        <v>1</v>
      </c>
    </row>
    <row r="38" spans="1:31">
      <c r="A38" s="142" t="s">
        <v>2441</v>
      </c>
      <c r="B38" s="120" t="str">
        <f>'Gear &amp; Buffs'!R62</f>
        <v>1 0 1</v>
      </c>
      <c r="C38" s="120" t="str">
        <f>IF(MID(B38,1,1)="1","R ",IF(MID(B38,1,1)="2","R R ",IF(MID(B38,1,1)="3","R R R","")))&amp;""&amp;IF(MID(B38,3,1)="1","Y ",IF(MID(B38,3,1)="2","Y Y ",IF(MID(B38,3,1)="3","Y Y Y","")))&amp;""&amp;IF(MID(B38,5,1)="1","B ",IF(MID(B38,5,1)="2","B B ",IF(MID(B38,5,1)="3","B B B","")))</f>
        <v xml:space="preserve">R B </v>
      </c>
      <c r="D38" s="120">
        <f>MID(B38,1,1)+MID(B38,3,1)+MID(B38,5,1)</f>
        <v>2</v>
      </c>
      <c r="O38" s="120" t="b">
        <f>OR(G39,H39,G40)</f>
        <v>1</v>
      </c>
      <c r="P38" s="120" t="str">
        <f>IF(O38,VLOOKUP('Gear &amp; Buffs'!$B$62,BootsStats,18,FALSE),"0000")</f>
        <v>ht 3</v>
      </c>
      <c r="Q38" s="120" t="str">
        <f>MID(P38,1,2)</f>
        <v>ht</v>
      </c>
      <c r="R38" s="120">
        <f>MID(P38,4,2)+0</f>
        <v>3</v>
      </c>
      <c r="S38" s="120">
        <f>IF($Q38="sr",$R38,0)</f>
        <v>0</v>
      </c>
      <c r="T38" s="120">
        <f>IF($Q38="ag",$R38,0)</f>
        <v>0</v>
      </c>
      <c r="U38" s="120">
        <f>IF($Q38="st",$R38,0)</f>
        <v>0</v>
      </c>
      <c r="V38" s="120">
        <f>IF($Q38="cr",$R38,0)</f>
        <v>0</v>
      </c>
      <c r="W38" s="120">
        <f>IF($Q38="ht",$R38,0)</f>
        <v>3</v>
      </c>
      <c r="X38" s="120">
        <f>IF($Q38="ap",$R38,0)</f>
        <v>0</v>
      </c>
      <c r="Y38" s="120">
        <f>IF($Q38="do",$R38,0)</f>
        <v>0</v>
      </c>
      <c r="Z38" s="120">
        <f>IF($Q38="rs",$R38,0)</f>
        <v>0</v>
      </c>
      <c r="AA38" s="120">
        <f>IF($Q38="da",$R38,0)</f>
        <v>0</v>
      </c>
      <c r="AB38" s="120">
        <f>IF($Q38="sw",$R38,0)</f>
        <v>0</v>
      </c>
      <c r="AC38" s="120">
        <f>IF($Q38="ma",$R38,0)</f>
        <v>0</v>
      </c>
      <c r="AD38" s="120">
        <f>IF($Q38="fi",$R38,0)</f>
        <v>0</v>
      </c>
      <c r="AE38" s="120">
        <f>IF($Q38="hs",$R38,0)</f>
        <v>0</v>
      </c>
    </row>
    <row r="39" spans="1:31">
      <c r="B39" s="120" t="str">
        <f>'Gear &amp; Buffs'!R64</f>
        <v>0 0 1</v>
      </c>
      <c r="C39" s="218" t="b">
        <f>MID(B39,1,1)="1"</f>
        <v>0</v>
      </c>
      <c r="D39" s="218" t="b">
        <f>MID(B39,3,1)="1"</f>
        <v>0</v>
      </c>
      <c r="E39" s="218" t="b">
        <f>MID(B39,5,1)="1"</f>
        <v>1</v>
      </c>
      <c r="G39" s="120" t="b">
        <f>IF($D38=2, AND(OR(AND(MID($C38,1,1)="R", $C39), AND(MID($C38,1,1)="Y", $D39), AND(MID($C38,1,1)="B", $E39)),
OR(AND(MID($C38,3,1)="R", $C40), AND(MID($C38,3,1)="Y", $D40), AND(MID($C38,3,1)="B", $E40))),0)</f>
        <v>0</v>
      </c>
      <c r="H39" s="120" t="b">
        <f>IF($D38=2, AND(OR(AND(MID($C38,1,1)="R", $C40), AND(MID($C38,1,1)="Y", $D40), AND(MID($C38,1,1)="B", $E40)),
OR(AND(MID($C38,3,1)="R", $C39), AND(MID($C38,3,1)="Y", $D39), AND(MID($C38,3,1)="B", $E39))),0)</f>
        <v>1</v>
      </c>
    </row>
    <row r="40" spans="1:31">
      <c r="B40" s="120" t="str">
        <f>'Gear &amp; Buffs'!R65</f>
        <v>1 0 1</v>
      </c>
      <c r="C40" s="218" t="b">
        <f>MID(B40,1,1)="1"</f>
        <v>1</v>
      </c>
      <c r="D40" s="218" t="b">
        <f>MID(B40,3,1)="1"</f>
        <v>0</v>
      </c>
      <c r="E40" s="218" t="b">
        <f>MID(B40,5,1)="1"</f>
        <v>1</v>
      </c>
      <c r="G40" s="120">
        <f>IF($D38=1, OR(AND(MID($C38,1,1)="R", $C39), AND(MID($C38,1,1)="Y", $D39), AND(MID($C38,1,1)="B", $E39)),0)</f>
        <v>0</v>
      </c>
    </row>
    <row r="41" spans="1:31">
      <c r="A41" s="142" t="s">
        <v>1117</v>
      </c>
      <c r="B41" s="120" t="str">
        <f>'Gear &amp; Buffs'!R39</f>
        <v>0 0 0</v>
      </c>
      <c r="C41" s="120" t="str">
        <f>IF(MID(B41,1,1)="1","R ",IF(MID(B41,1,1)="2","R R ",IF(MID(B41,1,1)="3","R R R","")))&amp;""&amp;IF(MID(B41,3,1)="1","Y ",IF(MID(B41,3,1)="2","Y Y ",IF(MID(B41,3,1)="3","Y Y Y","")))&amp;""&amp;IF(MID(B41,5,1)="1","B ",IF(MID(B41,5,1)="2","B B ",IF(MID(B41,5,1)="3","B B B","")))</f>
        <v/>
      </c>
      <c r="D41" s="120">
        <f>MID(B41,1,1)+MID(B41,3,1)+MID(B41,5,1)</f>
        <v>0</v>
      </c>
      <c r="E41" s="218"/>
      <c r="G41" s="120">
        <f>IF($D41=1, OR(AND(MID($C41,1,1)="R", $C42), AND(MID($C41,1,1)="Y", $D42), AND(MID($C41,1,1)="B", $E42)),0)</f>
        <v>0</v>
      </c>
      <c r="O41" s="120" t="b">
        <f>OR(G41)</f>
        <v>0</v>
      </c>
      <c r="P41" s="120" t="str">
        <f>IF(O41,VLOOKUP('Gear &amp; Buffs'!$B$39,BackStats,18,FALSE),"0000")</f>
        <v>0000</v>
      </c>
      <c r="Q41" s="120" t="str">
        <f>MID(P41,1,2)</f>
        <v>00</v>
      </c>
      <c r="R41" s="120">
        <f>MID(P41,4,2)+0</f>
        <v>0</v>
      </c>
      <c r="S41" s="120">
        <f>IF($Q41="sr",$R41,0)</f>
        <v>0</v>
      </c>
      <c r="T41" s="120">
        <f>IF($Q41="ag",$R41,0)</f>
        <v>0</v>
      </c>
      <c r="U41" s="120">
        <f>IF($Q41="st",$R41,0)</f>
        <v>0</v>
      </c>
      <c r="V41" s="120">
        <f>IF($Q41="cr",$R41,0)</f>
        <v>0</v>
      </c>
      <c r="W41" s="120">
        <f>IF($Q41="ht",$R41,0)</f>
        <v>0</v>
      </c>
      <c r="X41" s="120">
        <f>IF($Q41="ap",$R41,0)</f>
        <v>0</v>
      </c>
      <c r="Y41" s="120">
        <f>IF($Q41="do",$R41,0)</f>
        <v>0</v>
      </c>
      <c r="Z41" s="120">
        <f>IF($Q41="rs",$R41,0)</f>
        <v>0</v>
      </c>
      <c r="AA41" s="120">
        <f>IF($Q41="da",$R41,0)</f>
        <v>0</v>
      </c>
      <c r="AB41" s="120">
        <f>IF($Q41="sw",$R41,0)</f>
        <v>0</v>
      </c>
      <c r="AC41" s="120">
        <f>IF($Q41="ma",$R41,0)</f>
        <v>0</v>
      </c>
      <c r="AD41" s="120">
        <f>IF($Q41="fi",$R41,0)</f>
        <v>0</v>
      </c>
      <c r="AE41" s="120">
        <f>IF($Q41="hs",$R41,0)</f>
        <v>0</v>
      </c>
    </row>
    <row r="42" spans="1:31">
      <c r="B42" s="120">
        <f>'Gear &amp; Buffs'!R41</f>
        <v>0</v>
      </c>
      <c r="C42" s="218" t="b">
        <f>MID(B42,1,1)="1"</f>
        <v>0</v>
      </c>
      <c r="D42" s="218" t="b">
        <f>MID(B42,3,1)="1"</f>
        <v>0</v>
      </c>
      <c r="E42" s="218" t="b">
        <f>MID(B42,5,1)="1"</f>
        <v>0</v>
      </c>
    </row>
    <row r="43" spans="1:31">
      <c r="A43" s="142" t="s">
        <v>2208</v>
      </c>
      <c r="B43" s="120" t="str">
        <f>'Gear &amp; Buffs'!R22</f>
        <v>0 0 0</v>
      </c>
      <c r="C43" s="120" t="str">
        <f>IF(MID(B43,1,1)="1","R ",IF(MID(B43,1,1)="2","R R ",IF(MID(B43,1,1)="3","R R R","")))&amp;""&amp;IF(MID(B43,3,1)="1","Y ",IF(MID(B43,3,1)="2","Y Y ",IF(MID(B43,3,1)="3","Y Y Y","")))&amp;""&amp;IF(MID(B43,5,1)="1","B ",IF(MID(B43,5,1)="2","B B ",IF(MID(B43,5,1)="3","B B B","")))</f>
        <v/>
      </c>
      <c r="D43" s="120">
        <f>MID(B43,1,1)+MID(B43,3,1)+MID(B43,5,1)</f>
        <v>0</v>
      </c>
      <c r="E43" s="218"/>
      <c r="G43" s="120">
        <f>IF($D43=3, AND(OR(AND(MID($C43,1,1)="R", $C44), AND(MID($C43,1,1)="Y", $D44), AND(MID($C43,1,1)="B", $E44)),
OR(AND(MID($C43,3,1)="R", $C45), AND(MID($C43,3,1)="Y", $D45), AND(MID($C43,3,1)="B", $E45)),
OR(AND(MID($C43,5,1)="R", $C46), AND(MID($C43,5,1)="Y", $D46), AND(MID($C43,5,1)="B", $E46))),0)</f>
        <v>0</v>
      </c>
      <c r="H43" s="120">
        <f>IF($D43=3, AND(OR(AND(MID($C43,1,1)="R", $C44), AND(MID($C43,1,1)="Y", $D44), AND(MID($C43,1,1)="B", $E44)),
OR(AND(MID($C43,3,1)="R", $C46), AND(MID($C43,3,1)="Y", $D46), AND(MID($C43,3,1)="B", $E46)),
OR(AND(MID($C43,5,1)="R", $C45), AND(MID($C43,5,1)="Y", $D45), AND(MID($C43,5,1)="B", $E45))),0)</f>
        <v>0</v>
      </c>
      <c r="I43" s="120">
        <f>IF($D43=3, AND(OR(AND(MID($C43,1,1)="R", $C45), AND(MID($C43,1,1)="Y", $D45), AND(MID($C43,1,1)="B", $E45)),
OR(AND(MID($C43,3,1)="R", $C44), AND(MID($C43,3,1)="Y", $D44), AND(MID($C43,3,1)="B", $E44)),
OR(AND(MID($C43,5,1)="R", $C46), AND(MID($C43,5,1)="Y", $D46), AND(MID($C43,5,1)="B", $E46))),0)</f>
        <v>0</v>
      </c>
      <c r="J43" s="120">
        <f>IF($D43=3, AND(OR(AND(MID($C43,1,1)="R", $C45), AND(MID($C43,1,1)="Y", $D45), AND(MID($C43,1,1)="B", $E45)),
OR(AND(MID($C43,3,1)="R", $C46), AND(MID($C43,3,1)="Y", $D46), AND(MID($C43,3,1)="B", $E46)),
OR(AND(MID($C43,5,1)="R", $C44), AND(MID($C43,5,1)="Y", $D44), AND(MID($C43,5,1)="B", $E44))),0)</f>
        <v>0</v>
      </c>
      <c r="K43" s="120">
        <f>IF($D43=3, AND(OR(AND(MID($C43,1,1)="R", $C46), AND(MID($C43,1,1)="Y", $D46), AND(MID($C43,1,1)="B", $E46)),
OR(AND(MID($C43,3,1)="R", $C44), AND(MID($C43,3,1)="Y", $D44), AND(MID($C43,3,1)="B", $E44)),
OR(AND(MID($C43,5,1)="R", $C45), AND(MID($C43,5,1)="Y", $D45), AND(MID($C43,5,1)="B", $E45))),0)</f>
        <v>0</v>
      </c>
      <c r="L43" s="120">
        <f>IF($D43=3, AND(OR(AND(MID($C43,1,1)="R", $C46), AND(MID($C43,1,1)="Y", $D46), AND(MID($C43,1,1)="B", $E46)),
OR(AND(MID($C43,3,1)="R", $C45), AND(MID($C43,3,1)="Y", $D45), AND(MID($C43,3,1)="B", $E45)),
OR(AND(MID($C43,5,1)="R", $C44), AND(MID($C43,5,1)="Y", $D44), AND(MID($C43,5,1)="B", $E44))),0)</f>
        <v>0</v>
      </c>
      <c r="N43" s="120" t="b">
        <f>OR(G43:L43)</f>
        <v>0</v>
      </c>
      <c r="O43" s="120" t="b">
        <f>OR(N43:N45)</f>
        <v>0</v>
      </c>
      <c r="P43" s="120" t="str">
        <f>IF(O43,VLOOKUP('Gear &amp; Buffs'!$B$22,RangedStats,18,FALSE),"0000")</f>
        <v>0000</v>
      </c>
      <c r="Q43" s="120" t="str">
        <f>MID(P43,1,2)</f>
        <v>00</v>
      </c>
      <c r="R43" s="120">
        <f>MID(P43,4,2)+0</f>
        <v>0</v>
      </c>
      <c r="S43" s="120">
        <f>IF($Q43="sr",$R43,0)</f>
        <v>0</v>
      </c>
      <c r="T43" s="120">
        <f>IF($Q43="ag",$R43,0)</f>
        <v>0</v>
      </c>
      <c r="U43" s="120">
        <f>IF($Q43="st",$R43,0)</f>
        <v>0</v>
      </c>
      <c r="V43" s="120">
        <f>IF($Q43="cr",$R43,0)</f>
        <v>0</v>
      </c>
      <c r="W43" s="120">
        <f>IF($Q43="ht",$R43,0)</f>
        <v>0</v>
      </c>
      <c r="X43" s="120">
        <f>IF($Q43="ap",$R43,0)</f>
        <v>0</v>
      </c>
      <c r="Y43" s="120">
        <f>IF($Q43="do",$R43,0)</f>
        <v>0</v>
      </c>
      <c r="Z43" s="120">
        <f>IF($Q43="rs",$R43,0)</f>
        <v>0</v>
      </c>
      <c r="AA43" s="120">
        <f>IF($Q43="da",$R43,0)</f>
        <v>0</v>
      </c>
      <c r="AB43" s="120">
        <f>IF($Q43="sw",$R43,0)</f>
        <v>0</v>
      </c>
      <c r="AC43" s="120">
        <f>IF($Q43="ma",$R43,0)</f>
        <v>0</v>
      </c>
      <c r="AD43" s="120">
        <f>IF($Q43="fi",$R43,0)</f>
        <v>0</v>
      </c>
      <c r="AE43" s="120">
        <f>IF($Q43="hs",$R43,0)</f>
        <v>0</v>
      </c>
    </row>
    <row r="44" spans="1:31">
      <c r="B44" s="120">
        <f>'Gear &amp; Buffs'!R23</f>
        <v>0</v>
      </c>
      <c r="C44" s="218" t="b">
        <f>MID(B44,1,1)="1"</f>
        <v>0</v>
      </c>
      <c r="D44" s="218" t="b">
        <f>MID(B44,3,1)="1"</f>
        <v>0</v>
      </c>
      <c r="E44" s="218" t="b">
        <f>MID(B44,5,1)="1"</f>
        <v>0</v>
      </c>
      <c r="G44" s="120">
        <f>IF($D43=2, AND(OR(AND(MID($C43,1,1)="R", $C44), AND(MID($C43,1,1)="Y", $D44), AND(MID($C43,1,1)="B", $E44)),
OR(AND(MID($C43,3,1)="R", $C45), AND(MID($C43,3,1)="Y", $D45), AND(MID($C43,3,1)="B", $E45))),0)</f>
        <v>0</v>
      </c>
      <c r="H44" s="120">
        <f>IF($D43=2, AND(OR(AND(MID($C43,1,1)="R", $C45), AND(MID($C43,1,1)="Y", $D45), AND(MID($C43,1,1)="B", $E45)),
OR(AND(MID($C43,3,1)="R", $C44), AND(MID($C43,3,1)="Y", $D44), AND(MID($C43,3,1)="B", $E44))),0)</f>
        <v>0</v>
      </c>
      <c r="N44" s="120" t="b">
        <f>OR(G44:H44)</f>
        <v>0</v>
      </c>
    </row>
    <row r="45" spans="1:31">
      <c r="B45" s="120">
        <f>'Gear &amp; Buffs'!R24</f>
        <v>0</v>
      </c>
      <c r="C45" s="218" t="b">
        <f>MID(B45,1,1)="1"</f>
        <v>0</v>
      </c>
      <c r="D45" s="218" t="b">
        <f>MID(B45,3,1)="1"</f>
        <v>0</v>
      </c>
      <c r="E45" s="218" t="b">
        <f>MID(B45,5,1)="1"</f>
        <v>0</v>
      </c>
      <c r="G45" s="120">
        <f>IF($D43=1, OR(AND(MID($C43,1,1)="R", $C44), AND(MID($C43,1,1)="Y", $D44), AND(MID($C43,1,1)="B", $E44)),0)</f>
        <v>0</v>
      </c>
      <c r="N45" s="120" t="b">
        <f>OR(G45)</f>
        <v>0</v>
      </c>
    </row>
    <row r="46" spans="1:31" ht="12" thickBot="1">
      <c r="B46" s="120">
        <f>'Gear &amp; Buffs'!R25</f>
        <v>0</v>
      </c>
      <c r="C46" s="218" t="b">
        <f>MID(B46,1,1)="1"</f>
        <v>0</v>
      </c>
      <c r="D46" s="218" t="b">
        <f>MID(B46,3,1)="1"</f>
        <v>0</v>
      </c>
      <c r="E46" s="218" t="b">
        <f>MID(B46,5,1)="1"</f>
        <v>0</v>
      </c>
    </row>
    <row r="47" spans="1:31">
      <c r="C47" s="218"/>
      <c r="D47" s="218"/>
      <c r="E47" s="218"/>
      <c r="S47" s="860" t="s">
        <v>1214</v>
      </c>
      <c r="T47" s="861" t="s">
        <v>1215</v>
      </c>
      <c r="U47" s="861" t="s">
        <v>1216</v>
      </c>
      <c r="V47" s="861" t="s">
        <v>2140</v>
      </c>
      <c r="W47" s="861" t="s">
        <v>2139</v>
      </c>
      <c r="X47" s="861" t="s">
        <v>768</v>
      </c>
      <c r="Y47" s="861" t="s">
        <v>264</v>
      </c>
      <c r="Z47" s="861" t="s">
        <v>2436</v>
      </c>
      <c r="AA47" s="861" t="s">
        <v>2432</v>
      </c>
      <c r="AB47" s="861" t="s">
        <v>2431</v>
      </c>
      <c r="AC47" s="861" t="s">
        <v>2430</v>
      </c>
      <c r="AD47" s="861" t="s">
        <v>2429</v>
      </c>
      <c r="AE47" s="862" t="s">
        <v>2437</v>
      </c>
    </row>
    <row r="48" spans="1:31" ht="12" thickBot="1">
      <c r="S48" s="857">
        <f t="shared" ref="S48:AE48" si="0">SUM(S3:S43)</f>
        <v>0</v>
      </c>
      <c r="T48" s="858">
        <f t="shared" si="0"/>
        <v>8</v>
      </c>
      <c r="U48" s="858">
        <f t="shared" si="0"/>
        <v>0</v>
      </c>
      <c r="V48" s="858">
        <f t="shared" si="0"/>
        <v>0</v>
      </c>
      <c r="W48" s="858">
        <f t="shared" si="0"/>
        <v>3</v>
      </c>
      <c r="X48" s="858">
        <f t="shared" si="0"/>
        <v>0</v>
      </c>
      <c r="Y48" s="858">
        <f t="shared" si="0"/>
        <v>0</v>
      </c>
      <c r="Z48" s="858">
        <f t="shared" si="0"/>
        <v>0</v>
      </c>
      <c r="AA48" s="858">
        <f t="shared" si="0"/>
        <v>0</v>
      </c>
      <c r="AB48" s="858">
        <f t="shared" si="0"/>
        <v>0</v>
      </c>
      <c r="AC48" s="858">
        <f t="shared" si="0"/>
        <v>0</v>
      </c>
      <c r="AD48" s="858">
        <f t="shared" si="0"/>
        <v>0</v>
      </c>
      <c r="AE48" s="859">
        <f t="shared" si="0"/>
        <v>0</v>
      </c>
    </row>
    <row r="55" spans="2:3">
      <c r="B55" s="142" t="s">
        <v>2442</v>
      </c>
      <c r="C55" s="142"/>
    </row>
    <row r="56" spans="2:3">
      <c r="B56" s="120" t="s">
        <v>2443</v>
      </c>
      <c r="C56" s="142" t="s">
        <v>1362</v>
      </c>
    </row>
    <row r="57" spans="2:3">
      <c r="B57" s="120" t="s">
        <v>2444</v>
      </c>
      <c r="C57" s="142" t="s">
        <v>1361</v>
      </c>
    </row>
    <row r="58" spans="2:3">
      <c r="B58" s="120" t="s">
        <v>1754</v>
      </c>
      <c r="C58" s="142" t="s">
        <v>2445</v>
      </c>
    </row>
    <row r="59" spans="2:3">
      <c r="B59" s="120" t="s">
        <v>2446</v>
      </c>
      <c r="C59" s="142" t="s">
        <v>2447</v>
      </c>
    </row>
    <row r="60" spans="2:3">
      <c r="B60" s="120" t="s">
        <v>2448</v>
      </c>
      <c r="C60" s="142" t="s">
        <v>2449</v>
      </c>
    </row>
    <row r="61" spans="2:3">
      <c r="B61" s="120" t="s">
        <v>2450</v>
      </c>
      <c r="C61" s="142" t="s">
        <v>2451</v>
      </c>
    </row>
    <row r="62" spans="2:3">
      <c r="B62" s="120" t="s">
        <v>2452</v>
      </c>
      <c r="C62" s="142" t="s">
        <v>2453</v>
      </c>
    </row>
    <row r="63" spans="2:3">
      <c r="B63" s="120" t="s">
        <v>2454</v>
      </c>
      <c r="C63" s="142" t="s">
        <v>786</v>
      </c>
    </row>
    <row r="64" spans="2:3">
      <c r="B64" s="120" t="s">
        <v>2455</v>
      </c>
      <c r="C64" s="142" t="s">
        <v>2456</v>
      </c>
    </row>
    <row r="65" spans="2:3">
      <c r="B65" s="120" t="s">
        <v>2457</v>
      </c>
      <c r="C65" s="142" t="s">
        <v>2458</v>
      </c>
    </row>
    <row r="66" spans="2:3">
      <c r="B66" s="120" t="s">
        <v>2459</v>
      </c>
      <c r="C66" s="142" t="s">
        <v>2460</v>
      </c>
    </row>
    <row r="67" spans="2:3">
      <c r="B67" s="120" t="s">
        <v>2461</v>
      </c>
      <c r="C67" s="142" t="s">
        <v>2462</v>
      </c>
    </row>
    <row r="68" spans="2:3">
      <c r="B68" s="120" t="s">
        <v>2463</v>
      </c>
      <c r="C68" s="142" t="s">
        <v>1218</v>
      </c>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F117"/>
  <sheetViews>
    <sheetView topLeftCell="A70" workbookViewId="0">
      <selection activeCell="AB4" sqref="AB4"/>
    </sheetView>
  </sheetViews>
  <sheetFormatPr defaultColWidth="11.42578125" defaultRowHeight="11.25"/>
  <cols>
    <col min="1" max="1" width="36.5703125" style="6" bestFit="1" customWidth="1"/>
    <col min="2" max="2" width="6.42578125" style="120" bestFit="1" customWidth="1"/>
    <col min="3" max="3" width="2" style="120" bestFit="1" customWidth="1"/>
    <col min="4" max="4" width="3.28515625" style="120" bestFit="1" customWidth="1"/>
    <col min="5" max="5" width="3.5703125" style="120" bestFit="1" customWidth="1"/>
    <col min="6" max="6" width="3.140625" style="120" bestFit="1" customWidth="1"/>
    <col min="7" max="7" width="3.85546875" style="120" bestFit="1" customWidth="1"/>
    <col min="8" max="8" width="3" style="120" bestFit="1" customWidth="1"/>
    <col min="9" max="9" width="5.42578125" style="120" bestFit="1" customWidth="1"/>
    <col min="10" max="10" width="6.7109375" style="120" bestFit="1" customWidth="1"/>
    <col min="11" max="11" width="3.7109375" style="120" bestFit="1" customWidth="1"/>
    <col min="12" max="12" width="3.42578125" style="120" bestFit="1" customWidth="1"/>
    <col min="13" max="14" width="4" style="120" bestFit="1" customWidth="1"/>
    <col min="15" max="15" width="3.5703125" style="120" bestFit="1" customWidth="1"/>
    <col min="16" max="16" width="8.5703125" style="120" bestFit="1" customWidth="1"/>
    <col min="17" max="17" width="8" style="120" bestFit="1" customWidth="1"/>
    <col min="18" max="18" width="9.85546875" style="120" bestFit="1" customWidth="1"/>
    <col min="19" max="19" width="7.5703125" style="120" bestFit="1" customWidth="1"/>
    <col min="20" max="20" width="6.42578125" style="120" bestFit="1" customWidth="1"/>
    <col min="21" max="21" width="6.7109375" style="6" bestFit="1" customWidth="1"/>
    <col min="22" max="22" width="6.140625" style="120" bestFit="1" customWidth="1"/>
    <col min="23" max="23" width="3.5703125" style="129" bestFit="1" customWidth="1"/>
    <col min="24" max="24" width="5.42578125" style="120" bestFit="1" customWidth="1"/>
    <col min="25" max="25" width="36.5703125" style="6" bestFit="1" customWidth="1"/>
    <col min="26" max="26" width="8.85546875" style="6" bestFit="1" customWidth="1"/>
    <col min="27" max="27" width="3.5703125" style="120" bestFit="1" customWidth="1"/>
    <col min="28" max="28" width="33.28515625" style="6" bestFit="1" customWidth="1"/>
    <col min="29" max="16384" width="11.42578125" style="6"/>
  </cols>
  <sheetData>
    <row r="1" spans="1:32" ht="23.25" thickBot="1">
      <c r="A1" s="700" t="s">
        <v>164</v>
      </c>
      <c r="B1" s="700" t="s">
        <v>1934</v>
      </c>
      <c r="C1" s="700" t="s">
        <v>2798</v>
      </c>
      <c r="D1" s="700" t="s">
        <v>1214</v>
      </c>
      <c r="E1" s="700" t="s">
        <v>1215</v>
      </c>
      <c r="F1" s="700" t="s">
        <v>768</v>
      </c>
      <c r="G1" s="700" t="s">
        <v>2140</v>
      </c>
      <c r="H1" s="700" t="s">
        <v>2139</v>
      </c>
      <c r="I1" s="700" t="s">
        <v>771</v>
      </c>
      <c r="J1" s="700" t="s">
        <v>1219</v>
      </c>
      <c r="K1" s="700" t="s">
        <v>760</v>
      </c>
      <c r="L1" s="700" t="s">
        <v>1216</v>
      </c>
      <c r="M1" s="700" t="s">
        <v>264</v>
      </c>
      <c r="N1" s="700" t="s">
        <v>1217</v>
      </c>
      <c r="O1" s="700" t="s">
        <v>1287</v>
      </c>
      <c r="P1" s="700" t="s">
        <v>1046</v>
      </c>
      <c r="Q1" s="704" t="s">
        <v>1047</v>
      </c>
      <c r="R1" s="700" t="s">
        <v>265</v>
      </c>
      <c r="S1" s="700" t="s">
        <v>666</v>
      </c>
      <c r="T1" s="700" t="s">
        <v>728</v>
      </c>
      <c r="U1" s="700" t="s">
        <v>797</v>
      </c>
      <c r="V1" s="700" t="s">
        <v>53</v>
      </c>
      <c r="W1" s="700">
        <v>0</v>
      </c>
      <c r="X1" s="700" t="s">
        <v>1693</v>
      </c>
      <c r="Y1" s="700" t="s">
        <v>808</v>
      </c>
      <c r="Z1" s="700" t="s">
        <v>921</v>
      </c>
      <c r="AA1" s="700"/>
      <c r="AB1" s="700" t="s">
        <v>801</v>
      </c>
    </row>
    <row r="2" spans="1:32">
      <c r="A2" s="10" t="s">
        <v>2207</v>
      </c>
      <c r="B2" s="114"/>
      <c r="C2" s="114"/>
      <c r="D2" s="114"/>
      <c r="E2" s="114"/>
      <c r="F2" s="114"/>
      <c r="G2" s="114"/>
      <c r="H2" s="114"/>
      <c r="I2" s="114"/>
      <c r="K2" s="114"/>
      <c r="L2" s="114"/>
      <c r="M2" s="114"/>
      <c r="N2" s="114"/>
      <c r="O2" s="114"/>
      <c r="P2" s="114"/>
      <c r="Q2" s="114" t="s">
        <v>1033</v>
      </c>
      <c r="R2" s="251">
        <f>$D2*dpsStr+$E2*dpsAgi+$G2*dpsCrit+$H2*dpsHit+$F2*dpsAP+$I2*dpsHaste+$J2*dpsArmor+$K2*dpsExp</f>
        <v>0</v>
      </c>
      <c r="W2" s="870"/>
      <c r="AA2" s="738"/>
      <c r="AB2" s="714" t="s">
        <v>1689</v>
      </c>
    </row>
    <row r="3" spans="1:32">
      <c r="A3" s="10" t="str">
        <f>" "</f>
        <v xml:space="preserve"> </v>
      </c>
      <c r="B3" s="114"/>
      <c r="C3" s="114"/>
      <c r="D3" s="114"/>
      <c r="E3" s="114"/>
      <c r="F3" s="114"/>
      <c r="G3" s="114"/>
      <c r="H3" s="114"/>
      <c r="I3" s="114"/>
      <c r="K3" s="114"/>
      <c r="L3" s="114"/>
      <c r="M3" s="114"/>
      <c r="N3" s="114"/>
      <c r="O3" s="114"/>
      <c r="P3" s="114"/>
      <c r="Q3" s="114" t="s">
        <v>1033</v>
      </c>
      <c r="R3" s="251">
        <f t="shared" ref="R3:R93" si="0">$D3*dpsStr+$E3*dpsAgi+$G3*dpsCrit+$H3*dpsHit+$F3*dpsAP+$I3*dpsHaste+$J3*dpsArmor+$K3*dpsExp</f>
        <v>0</v>
      </c>
      <c r="W3" s="870"/>
      <c r="AA3" s="738"/>
      <c r="AB3" s="714" t="str">
        <f>" "</f>
        <v xml:space="preserve"> </v>
      </c>
    </row>
    <row r="4" spans="1:32">
      <c r="A4" s="252" t="s">
        <v>1034</v>
      </c>
      <c r="B4" s="253"/>
      <c r="C4" s="253">
        <v>1</v>
      </c>
      <c r="D4" s="253"/>
      <c r="E4" s="253"/>
      <c r="F4" s="253"/>
      <c r="G4" s="253"/>
      <c r="H4" s="253"/>
      <c r="I4" s="253"/>
      <c r="J4" s="254"/>
      <c r="K4" s="253"/>
      <c r="L4" s="253"/>
      <c r="M4" s="253"/>
      <c r="N4" s="253"/>
      <c r="O4" s="253"/>
      <c r="P4" s="253"/>
      <c r="Q4" s="253" t="s">
        <v>1035</v>
      </c>
      <c r="R4" s="255">
        <f t="shared" si="0"/>
        <v>0</v>
      </c>
      <c r="S4" s="253" t="s">
        <v>1689</v>
      </c>
      <c r="T4" s="253"/>
      <c r="U4" s="358" t="s">
        <v>1689</v>
      </c>
      <c r="V4" s="253"/>
      <c r="W4" s="870">
        <f>MAX(W$1:$W3)+1</f>
        <v>1</v>
      </c>
      <c r="X4" s="254">
        <f>SUMPRODUCT(('Gear &amp; Buffs'!$B$10:$B$71=A4)*('Gear &amp; Buffs'!$C$10:$C$71=TRUE))</f>
        <v>0</v>
      </c>
      <c r="Y4" s="256" t="b">
        <f t="shared" ref="Y4:Y86" si="1">IF(AND(T4="unique",X4&gt;0),TRUE,FALSE)</f>
        <v>0</v>
      </c>
      <c r="Z4" s="6" t="b">
        <v>0</v>
      </c>
      <c r="AA4" s="738">
        <v>1</v>
      </c>
      <c r="AB4" s="714" t="str">
        <f>IF(ISNA(INDEX($A$4:$A$105,MATCH(AA4,W$4:W$105,0))), "", INDEX($A$4:$A$105,MATCH(AA4,W$4:W$105,0)))</f>
        <v>(Red Gems)</v>
      </c>
      <c r="AF4" s="198"/>
    </row>
    <row r="5" spans="1:32">
      <c r="A5" s="252" t="s">
        <v>1694</v>
      </c>
      <c r="B5" s="253">
        <v>28362</v>
      </c>
      <c r="C5" s="253">
        <v>1</v>
      </c>
      <c r="D5" s="253"/>
      <c r="E5" s="253"/>
      <c r="F5" s="253">
        <v>20</v>
      </c>
      <c r="G5" s="253"/>
      <c r="H5" s="253"/>
      <c r="I5" s="253"/>
      <c r="J5" s="254"/>
      <c r="K5" s="253"/>
      <c r="L5" s="253"/>
      <c r="M5" s="253"/>
      <c r="N5" s="253"/>
      <c r="O5" s="253"/>
      <c r="P5" s="253"/>
      <c r="Q5" s="253" t="s">
        <v>1035</v>
      </c>
      <c r="R5" s="255">
        <f t="shared" si="0"/>
        <v>7.1466005171032521</v>
      </c>
      <c r="S5" s="253" t="s">
        <v>677</v>
      </c>
      <c r="T5" s="253" t="s">
        <v>728</v>
      </c>
      <c r="U5" s="261" t="s">
        <v>798</v>
      </c>
      <c r="V5" s="253"/>
      <c r="W5" s="870" t="str">
        <f>IF(AND(OR(IF(includep1,$C5&lt;=1), IF(includep2,$C5&lt;=2), IF(includep3,$C5&lt;=3), IF(includep4,$C5&lt;=4), IF(includep5,$C5&lt;=5)), OR(IF(includejewelcrafting,S5="JC"),IF(includeboe,S5="BoE"),IF(includepvp,S5="PvP"),IF(includequest,S5="Quest"),IF(includeheroic,S5="Heroic"),S5="none"),OR(IF(includegemcommon,U5="common"),IF(includegemrare,U5="rare"),IF(includegemepic,U5="epic"),IF(includejewelcrafting,S5="JC"),U5="none"),IF(NOT(Y5=TRUE),TRUE,FALSE),IF(incDef, TRUE, NOT(Z5))),MAX(W$1:$W4)+1,"")</f>
        <v/>
      </c>
      <c r="X5" s="254">
        <f>SUMPRODUCT(('Gear &amp; Buffs'!$B$10:$B$71=A5)*('Gear &amp; Buffs'!$C$10:$C$71=TRUE))</f>
        <v>0</v>
      </c>
      <c r="Y5" s="256" t="b">
        <f t="shared" si="1"/>
        <v>0</v>
      </c>
      <c r="Z5" s="6" t="b">
        <v>0</v>
      </c>
      <c r="AA5" s="738">
        <v>2</v>
      </c>
      <c r="AB5" s="714" t="str">
        <f t="shared" ref="AB5:AB70" si="2">IF(ISNA(INDEX($A$4:$A$105,MATCH(AA5,W$4:W$105,0))), "", INDEX($A$4:$A$105,MATCH(AA5,W$4:W$105,0)))</f>
        <v>Bright Living Ruby (16ap)</v>
      </c>
      <c r="AF5" s="198"/>
    </row>
    <row r="6" spans="1:32">
      <c r="A6" s="252" t="s">
        <v>1695</v>
      </c>
      <c r="B6" s="253">
        <v>28595</v>
      </c>
      <c r="C6" s="253">
        <v>1</v>
      </c>
      <c r="D6" s="253"/>
      <c r="E6" s="253"/>
      <c r="F6" s="253">
        <v>12</v>
      </c>
      <c r="G6" s="253"/>
      <c r="H6" s="253"/>
      <c r="I6" s="253"/>
      <c r="J6" s="254"/>
      <c r="K6" s="253"/>
      <c r="L6" s="253"/>
      <c r="M6" s="253"/>
      <c r="N6" s="253"/>
      <c r="O6" s="253"/>
      <c r="P6" s="253"/>
      <c r="Q6" s="253" t="s">
        <v>1035</v>
      </c>
      <c r="R6" s="255">
        <f t="shared" si="0"/>
        <v>4.2879603102619512</v>
      </c>
      <c r="S6" s="253" t="s">
        <v>674</v>
      </c>
      <c r="T6" s="253"/>
      <c r="U6" s="324" t="s">
        <v>800</v>
      </c>
      <c r="V6" s="253"/>
      <c r="W6" s="870" t="str">
        <f>IF(AND(OR(IF(includep1,$C6&lt;=1), IF(includep2,$C6&lt;=2), IF(includep3,$C6&lt;=3), IF(includep4,$C6&lt;=4), IF(includep5,$C6&lt;=5)), OR(IF(includejewelcrafting,S6="JC"),IF(includeboe,S6="BoE"),IF(includepvp,S6="PvP"),IF(includequest,S6="Quest"),IF(includeheroic,S6="Heroic"),S6="none"),OR(IF(includegemcommon,U6="common"),IF(includegemrare,U6="rare"),IF(includegemepic,U6="epic"),IF(includejewelcrafting,S6="JC"),U6="none"),IF(NOT(Y6=TRUE),TRUE,FALSE),IF(incDef, TRUE, NOT(Z6))),MAX(W$1:$W5)+1,"")</f>
        <v/>
      </c>
      <c r="X6" s="254">
        <f>SUMPRODUCT(('Gear &amp; Buffs'!$B$10:$B$71=A6)*('Gear &amp; Buffs'!$C$10:$C$71=TRUE))</f>
        <v>0</v>
      </c>
      <c r="Y6" s="256" t="b">
        <f t="shared" si="1"/>
        <v>0</v>
      </c>
      <c r="Z6" s="6" t="b">
        <v>0</v>
      </c>
      <c r="AA6" s="738">
        <v>3</v>
      </c>
      <c r="AB6" s="714" t="str">
        <f t="shared" si="2"/>
        <v>Delicate Living Ruby (8agi)</v>
      </c>
      <c r="AF6" s="198"/>
    </row>
    <row r="7" spans="1:32">
      <c r="A7" s="252" t="s">
        <v>1696</v>
      </c>
      <c r="B7" s="253">
        <v>32197</v>
      </c>
      <c r="C7" s="253">
        <v>3</v>
      </c>
      <c r="D7" s="253"/>
      <c r="E7" s="253"/>
      <c r="F7" s="253">
        <v>20</v>
      </c>
      <c r="G7" s="253"/>
      <c r="H7" s="253"/>
      <c r="I7" s="253"/>
      <c r="J7" s="254"/>
      <c r="K7" s="253"/>
      <c r="L7" s="253"/>
      <c r="M7" s="253"/>
      <c r="N7" s="253"/>
      <c r="O7" s="253"/>
      <c r="P7" s="253"/>
      <c r="Q7" s="253" t="s">
        <v>1035</v>
      </c>
      <c r="R7" s="255">
        <f t="shared" si="0"/>
        <v>7.1466005171032521</v>
      </c>
      <c r="S7" s="253" t="s">
        <v>674</v>
      </c>
      <c r="T7" s="253"/>
      <c r="U7" s="261" t="s">
        <v>798</v>
      </c>
      <c r="V7" s="253"/>
      <c r="W7" s="870" t="str">
        <f>IF(AND(OR(IF(includep1,$C7&lt;=1), IF(includep2,$C7&lt;=2), IF(includep3,$C7&lt;=3), IF(includep4,$C7&lt;=4), IF(includep5,$C7&lt;=5)), OR(IF(includejewelcrafting,S7="JC"),IF(includeboe,S7="BoE"),IF(includepvp,S7="PvP"),IF(includequest,S7="Quest"),IF(includeheroic,S7="Heroic"),S7="none"),OR(IF(includegemcommon,U7="common"),IF(includegemrare,U7="rare"),IF(includegemepic,U7="epic"),IF(includejewelcrafting,S7="JC"),U7="none"),IF(NOT(Y7=TRUE),TRUE,FALSE),IF(incDef, TRUE, NOT(Z7))),MAX(W$1:$W6)+1,"")</f>
        <v/>
      </c>
      <c r="X7" s="254">
        <f>SUMPRODUCT(('Gear &amp; Buffs'!$B$10:$B$71=A7)*('Gear &amp; Buffs'!$C$10:$C$71=TRUE))</f>
        <v>0</v>
      </c>
      <c r="Y7" s="256" t="b">
        <f t="shared" si="1"/>
        <v>0</v>
      </c>
      <c r="Z7" s="6" t="b">
        <v>0</v>
      </c>
      <c r="AA7" s="738">
        <v>4</v>
      </c>
      <c r="AB7" s="714" t="str">
        <f t="shared" si="2"/>
        <v>Mighty Blood Garnet (14ap) (H)</v>
      </c>
    </row>
    <row r="8" spans="1:32">
      <c r="A8" s="252" t="s">
        <v>809</v>
      </c>
      <c r="B8" s="253">
        <v>35487</v>
      </c>
      <c r="C8" s="253">
        <v>5</v>
      </c>
      <c r="D8" s="253"/>
      <c r="E8" s="253"/>
      <c r="F8" s="253">
        <v>20</v>
      </c>
      <c r="G8" s="253"/>
      <c r="H8" s="253"/>
      <c r="I8" s="253"/>
      <c r="J8" s="254"/>
      <c r="K8" s="253"/>
      <c r="L8" s="253"/>
      <c r="M8" s="253"/>
      <c r="N8" s="253"/>
      <c r="O8" s="253"/>
      <c r="P8" s="253"/>
      <c r="Q8" s="253" t="s">
        <v>1035</v>
      </c>
      <c r="R8" s="255">
        <f t="shared" si="0"/>
        <v>7.1466005171032521</v>
      </c>
      <c r="S8" s="253" t="s">
        <v>675</v>
      </c>
      <c r="T8" s="253"/>
      <c r="U8" s="261" t="s">
        <v>798</v>
      </c>
      <c r="V8" s="253"/>
      <c r="W8" s="870" t="str">
        <f>IF(AND(OR(IF(includep1,$C8&lt;=1), IF(includep2,$C8&lt;=2), IF(includep3,$C8&lt;=3), IF(includep4,$C8&lt;=4), IF(includep5,$C8&lt;=5)), OR(IF(includejewelcrafting,S8="JC"),IF(includeboe,S8="BoE"),IF(includepvp,S8="PvP"),IF(includequest,S8="Quest"),IF(includeheroic,S8="Heroic"),S8="none"),OR(IF(includegemcommon,U8="common"),IF(includegemrare,U8="rare"),IF(includegemepic,U8="epic"),IF(includejewelcrafting,S8="JC"),U8="none"),IF(NOT(Y8=TRUE),TRUE,FALSE),IF(incDef, TRUE, NOT(Z8))),MAX(W$1:$W7)+1,"")</f>
        <v/>
      </c>
      <c r="X8" s="254">
        <f>SUMPRODUCT(('Gear &amp; Buffs'!$B$10:$B$71=A8)*('Gear &amp; Buffs'!$C$10:$C$71=TRUE))</f>
        <v>0</v>
      </c>
      <c r="Y8" s="256" t="b">
        <f t="shared" si="1"/>
        <v>0</v>
      </c>
      <c r="Z8" s="6" t="b">
        <v>0</v>
      </c>
      <c r="AA8" s="738">
        <v>5</v>
      </c>
      <c r="AB8" s="714" t="str">
        <f t="shared" si="2"/>
        <v>Mighty Blood Garnet (14ap) (A)</v>
      </c>
    </row>
    <row r="9" spans="1:32">
      <c r="A9" s="252" t="s">
        <v>1697</v>
      </c>
      <c r="B9" s="253">
        <v>24031</v>
      </c>
      <c r="C9" s="253">
        <v>1</v>
      </c>
      <c r="D9" s="253"/>
      <c r="E9" s="253"/>
      <c r="F9" s="253">
        <v>16</v>
      </c>
      <c r="G9" s="253"/>
      <c r="H9" s="253"/>
      <c r="I9" s="253"/>
      <c r="J9" s="254"/>
      <c r="K9" s="253"/>
      <c r="L9" s="253"/>
      <c r="M9" s="253"/>
      <c r="N9" s="253"/>
      <c r="O9" s="253"/>
      <c r="P9" s="253"/>
      <c r="Q9" s="253" t="s">
        <v>1035</v>
      </c>
      <c r="R9" s="255">
        <f t="shared" si="0"/>
        <v>5.7172804136826016</v>
      </c>
      <c r="S9" s="253" t="s">
        <v>674</v>
      </c>
      <c r="T9" s="253"/>
      <c r="U9" s="323" t="s">
        <v>799</v>
      </c>
      <c r="V9" s="253"/>
      <c r="W9" s="870">
        <f>IF(AND(OR(IF(includep1,$C9&lt;=1), IF(includep2,$C9&lt;=2), IF(includep3,$C9&lt;=3), IF(includep4,$C9&lt;=4), IF(includep5,$C9&lt;=5)), OR(IF(includejewelcrafting,S9="JC"),IF(includeboe,S9="BoE"),IF(includepvp,S9="PvP"),IF(includequest,S9="Quest"),IF(includeheroic,S9="Heroic"),S9="none"),OR(IF(includegemcommon,U9="common"),IF(includegemrare,U9="rare"),IF(includegemepic,U9="epic"),IF(includejewelcrafting,S9="JC"),U9="none"),IF(NOT(Y9=TRUE),TRUE,FALSE),IF(incDef, TRUE, NOT(Z9))),MAX(W$1:$W8)+1,"")</f>
        <v>2</v>
      </c>
      <c r="X9" s="254">
        <f>SUMPRODUCT(('Gear &amp; Buffs'!$B$10:$B$71=A9)*('Gear &amp; Buffs'!$C$10:$C$71=TRUE))</f>
        <v>0</v>
      </c>
      <c r="Y9" s="256" t="b">
        <f t="shared" si="1"/>
        <v>0</v>
      </c>
      <c r="Z9" s="6" t="b">
        <v>0</v>
      </c>
      <c r="AA9" s="738">
        <v>6</v>
      </c>
      <c r="AB9" s="714" t="str">
        <f t="shared" si="2"/>
        <v xml:space="preserve"> </v>
      </c>
    </row>
    <row r="10" spans="1:32">
      <c r="A10" s="252" t="s">
        <v>1622</v>
      </c>
      <c r="B10" s="253">
        <v>33131</v>
      </c>
      <c r="C10" s="253">
        <v>3</v>
      </c>
      <c r="D10" s="253"/>
      <c r="E10" s="253"/>
      <c r="F10" s="253">
        <v>32</v>
      </c>
      <c r="G10" s="253"/>
      <c r="H10" s="253"/>
      <c r="I10" s="253"/>
      <c r="J10" s="254"/>
      <c r="K10" s="253"/>
      <c r="L10" s="253"/>
      <c r="M10" s="253"/>
      <c r="N10" s="253"/>
      <c r="O10" s="253"/>
      <c r="P10" s="253"/>
      <c r="Q10" s="253" t="s">
        <v>1035</v>
      </c>
      <c r="R10" s="255">
        <f t="shared" si="0"/>
        <v>11.434560827365203</v>
      </c>
      <c r="S10" s="253" t="s">
        <v>1556</v>
      </c>
      <c r="T10" s="253" t="s">
        <v>728</v>
      </c>
      <c r="U10" s="261" t="s">
        <v>798</v>
      </c>
      <c r="V10" s="253"/>
      <c r="W10" s="870" t="str">
        <f>IF(AND(OR(IF(includep1,$C10&lt;=1), IF(includep2,$C10&lt;=2), IF(includep3,$C10&lt;=3), IF(includep4,$C10&lt;=4), IF(includep5,$C10&lt;=5)), OR(IF(includejewelcrafting,S10="JC"),IF(includeboe,S10="BoE"),IF(includepvp,S10="PvP"),IF(includequest,S10="Quest"),IF(includeheroic,S10="Heroic"),S10="none"),OR(IF(includegemcommon,U10="common"),IF(includegemrare,U10="rare"),IF(includegemepic,U10="epic"),IF(includejewelcrafting,S10="JC"),U10="none"),IF(NOT(Y10=TRUE),TRUE,FALSE),IF(incDef, TRUE, NOT(Z10))),MAX(W$1:$W9)+1,"")</f>
        <v/>
      </c>
      <c r="X10" s="254">
        <f>SUMPRODUCT(('Gear &amp; Buffs'!$B$10:$B$71=A10)*('Gear &amp; Buffs'!$C$10:$C$71=TRUE))</f>
        <v>0</v>
      </c>
      <c r="Y10" s="256" t="b">
        <f t="shared" si="1"/>
        <v>0</v>
      </c>
      <c r="Z10" s="6" t="b">
        <v>0</v>
      </c>
      <c r="AA10" s="738">
        <v>7</v>
      </c>
      <c r="AB10" s="714" t="str">
        <f t="shared" si="2"/>
        <v>(Purple Gems)</v>
      </c>
    </row>
    <row r="11" spans="1:32">
      <c r="A11" s="252" t="s">
        <v>1698</v>
      </c>
      <c r="B11" s="253">
        <v>23097</v>
      </c>
      <c r="C11" s="253">
        <v>1</v>
      </c>
      <c r="D11" s="253"/>
      <c r="E11" s="253">
        <v>6</v>
      </c>
      <c r="F11" s="253"/>
      <c r="G11" s="253"/>
      <c r="H11" s="253"/>
      <c r="I11" s="253"/>
      <c r="J11" s="254"/>
      <c r="K11" s="253"/>
      <c r="L11" s="253"/>
      <c r="M11" s="253"/>
      <c r="N11" s="253"/>
      <c r="O11" s="253"/>
      <c r="P11" s="253"/>
      <c r="Q11" s="253" t="s">
        <v>1035</v>
      </c>
      <c r="R11" s="255">
        <f t="shared" si="0"/>
        <v>4.9632772160098284</v>
      </c>
      <c r="S11" s="253" t="s">
        <v>674</v>
      </c>
      <c r="T11" s="253"/>
      <c r="U11" s="324" t="s">
        <v>800</v>
      </c>
      <c r="V11" s="253"/>
      <c r="W11" s="870" t="str">
        <f>IF(AND(OR(IF(includep1,$C11&lt;=1), IF(includep2,$C11&lt;=2), IF(includep3,$C11&lt;=3), IF(includep4,$C11&lt;=4), IF(includep5,$C11&lt;=5)), OR(IF(includejewelcrafting,S11="JC"),IF(includeboe,S11="BoE"),IF(includepvp,S11="PvP"),IF(includequest,S11="Quest"),IF(includeheroic,S11="Heroic"),S11="none"),OR(IF(includegemcommon,U11="common"),IF(includegemrare,U11="rare"),IF(includegemepic,U11="epic"),IF(includejewelcrafting,S11="JC"),U11="none"),IF(NOT(Y11=TRUE),TRUE,FALSE),IF(incDef, TRUE, NOT(Z11))),MAX(W$1:$W10)+1,"")</f>
        <v/>
      </c>
      <c r="X11" s="254">
        <f>SUMPRODUCT(('Gear &amp; Buffs'!$B$10:$B$71=A11)*('Gear &amp; Buffs'!$C$10:$C$71=TRUE))</f>
        <v>0</v>
      </c>
      <c r="Y11" s="256" t="b">
        <f t="shared" si="1"/>
        <v>0</v>
      </c>
      <c r="Z11" s="6" t="b">
        <v>0</v>
      </c>
      <c r="AA11" s="738">
        <v>8</v>
      </c>
      <c r="AB11" s="714" t="str">
        <f t="shared" si="2"/>
        <v>Shifting Nightseye (4agi/6sta)</v>
      </c>
    </row>
    <row r="12" spans="1:32">
      <c r="A12" s="252" t="s">
        <v>1922</v>
      </c>
      <c r="B12" s="253">
        <v>32194</v>
      </c>
      <c r="C12" s="253">
        <v>3</v>
      </c>
      <c r="D12" s="253"/>
      <c r="E12" s="253">
        <v>10</v>
      </c>
      <c r="F12" s="253"/>
      <c r="G12" s="253"/>
      <c r="H12" s="253"/>
      <c r="I12" s="253"/>
      <c r="J12" s="254"/>
      <c r="K12" s="253"/>
      <c r="L12" s="253"/>
      <c r="M12" s="253"/>
      <c r="N12" s="253"/>
      <c r="O12" s="253"/>
      <c r="P12" s="253"/>
      <c r="Q12" s="253" t="s">
        <v>1035</v>
      </c>
      <c r="R12" s="255">
        <f t="shared" si="0"/>
        <v>8.272128693349714</v>
      </c>
      <c r="S12" s="253" t="s">
        <v>674</v>
      </c>
      <c r="T12" s="253"/>
      <c r="U12" s="261" t="s">
        <v>798</v>
      </c>
      <c r="V12" s="253"/>
      <c r="W12" s="870" t="str">
        <f>IF(AND(OR(IF(includep1,$C12&lt;=1), IF(includep2,$C12&lt;=2), IF(includep3,$C12&lt;=3), IF(includep4,$C12&lt;=4), IF(includep5,$C12&lt;=5)), OR(IF(includejewelcrafting,S12="JC"),IF(includeboe,S12="BoE"),IF(includepvp,S12="PvP"),IF(includequest,S12="Quest"),IF(includeheroic,S12="Heroic"),S12="none"),OR(IF(includegemcommon,U12="common"),IF(includegemrare,U12="rare"),IF(includegemepic,U12="epic"),IF(includejewelcrafting,S12="JC"),U12="none"),IF(NOT(Y12=TRUE),TRUE,FALSE),IF(incDef, TRUE, NOT(Z12))),MAX(W$1:$W11)+1,"")</f>
        <v/>
      </c>
      <c r="X12" s="254">
        <f>SUMPRODUCT(('Gear &amp; Buffs'!$B$10:$B$71=A12)*('Gear &amp; Buffs'!$C$10:$C$71=TRUE))</f>
        <v>0</v>
      </c>
      <c r="Y12" s="256" t="b">
        <f t="shared" si="1"/>
        <v>0</v>
      </c>
      <c r="Z12" s="6" t="b">
        <v>0</v>
      </c>
      <c r="AA12" s="738">
        <v>9</v>
      </c>
      <c r="AB12" s="714" t="str">
        <f t="shared" si="2"/>
        <v xml:space="preserve"> </v>
      </c>
    </row>
    <row r="13" spans="1:32">
      <c r="A13" s="252" t="s">
        <v>1923</v>
      </c>
      <c r="B13" s="253">
        <v>24028</v>
      </c>
      <c r="C13" s="253">
        <v>1</v>
      </c>
      <c r="D13" s="253"/>
      <c r="E13" s="253">
        <v>8</v>
      </c>
      <c r="F13" s="253"/>
      <c r="G13" s="253"/>
      <c r="H13" s="253"/>
      <c r="I13" s="253"/>
      <c r="J13" s="254"/>
      <c r="K13" s="253"/>
      <c r="L13" s="253"/>
      <c r="M13" s="253"/>
      <c r="N13" s="253"/>
      <c r="O13" s="253"/>
      <c r="P13" s="253"/>
      <c r="Q13" s="253" t="s">
        <v>1035</v>
      </c>
      <c r="R13" s="255">
        <f t="shared" si="0"/>
        <v>6.6177029546797712</v>
      </c>
      <c r="S13" s="253" t="s">
        <v>674</v>
      </c>
      <c r="T13" s="253"/>
      <c r="U13" s="323" t="s">
        <v>799</v>
      </c>
      <c r="V13" s="253"/>
      <c r="W13" s="870">
        <f>IF(AND(OR(IF(includep1,$C13&lt;=1), IF(includep2,$C13&lt;=2), IF(includep3,$C13&lt;=3), IF(includep4,$C13&lt;=4), IF(includep5,$C13&lt;=5)), OR(IF(includejewelcrafting,S13="JC"),IF(includeboe,S13="BoE"),IF(includepvp,S13="PvP"),IF(includequest,S13="Quest"),IF(includeheroic,S13="Heroic"),S13="none"),OR(IF(includegemcommon,U13="common"),IF(includegemrare,U13="rare"),IF(includegemepic,U13="epic"),IF(includejewelcrafting,S13="JC"),U13="none"),IF(NOT(Y13=TRUE),TRUE,FALSE),IF(incDef, TRUE, NOT(Z13))),MAX(W$1:$W12)+1,"")</f>
        <v>3</v>
      </c>
      <c r="X13" s="254">
        <f>SUMPRODUCT(('Gear &amp; Buffs'!$B$10:$B$71=A13)*('Gear &amp; Buffs'!$C$10:$C$71=TRUE))</f>
        <v>0</v>
      </c>
      <c r="Y13" s="256" t="b">
        <f t="shared" si="1"/>
        <v>0</v>
      </c>
      <c r="Z13" s="6" t="b">
        <v>0</v>
      </c>
      <c r="AA13" s="738">
        <v>10</v>
      </c>
      <c r="AB13" s="714" t="str">
        <f t="shared" si="2"/>
        <v>(Blue Gems)</v>
      </c>
    </row>
    <row r="14" spans="1:32">
      <c r="A14" s="252" t="s">
        <v>86</v>
      </c>
      <c r="B14" s="253">
        <v>32199</v>
      </c>
      <c r="C14" s="253">
        <v>3</v>
      </c>
      <c r="D14" s="253"/>
      <c r="E14" s="253"/>
      <c r="F14" s="253"/>
      <c r="G14" s="253"/>
      <c r="H14" s="253"/>
      <c r="I14" s="253"/>
      <c r="J14" s="254"/>
      <c r="K14" s="253"/>
      <c r="L14" s="253"/>
      <c r="M14" s="253"/>
      <c r="N14" s="253"/>
      <c r="O14" s="253"/>
      <c r="P14" s="253"/>
      <c r="Q14" s="253" t="s">
        <v>1035</v>
      </c>
      <c r="R14" s="255">
        <f t="shared" si="0"/>
        <v>0</v>
      </c>
      <c r="S14" s="253" t="s">
        <v>674</v>
      </c>
      <c r="T14" s="253"/>
      <c r="U14" s="261" t="s">
        <v>798</v>
      </c>
      <c r="V14" s="253">
        <v>10</v>
      </c>
      <c r="W14" s="870" t="str">
        <f>IF(AND(OR(IF(includep1,$C14&lt;=1), IF(includep2,$C14&lt;=2), IF(includep3,$C14&lt;=3), IF(includep4,$C14&lt;=4), IF(includep5,$C14&lt;=5)), OR(IF(includejewelcrafting,S14="JC"),IF(includeboe,S14="BoE"),IF(includepvp,S14="PvP"),IF(includequest,S14="Quest"),IF(includeheroic,S14="Heroic"),S14="none"),OR(IF(includegemcommon,U14="common"),IF(includegemrare,U14="rare"),IF(includegemepic,U14="epic"),IF(includejewelcrafting,S14="JC"),U14="none"),IF(NOT(Y14=TRUE),TRUE,FALSE),IF(incDef, TRUE, NOT(Z14))),MAX(W$1:$W13)+1,"")</f>
        <v/>
      </c>
      <c r="X14" s="254">
        <f>SUMPRODUCT(('Gear &amp; Buffs'!$B$10:$B$71=A14)*('Gear &amp; Buffs'!$C$10:$C$71=TRUE))</f>
        <v>0</v>
      </c>
      <c r="Y14" s="256" t="b">
        <f t="shared" si="1"/>
        <v>0</v>
      </c>
      <c r="Z14" s="6" t="b">
        <v>1</v>
      </c>
      <c r="AA14" s="738">
        <v>11</v>
      </c>
      <c r="AB14" s="714" t="str">
        <f t="shared" si="2"/>
        <v xml:space="preserve"> </v>
      </c>
    </row>
    <row r="15" spans="1:32">
      <c r="A15" s="252" t="s">
        <v>87</v>
      </c>
      <c r="B15" s="253">
        <v>24036</v>
      </c>
      <c r="C15" s="253">
        <v>1</v>
      </c>
      <c r="D15" s="253"/>
      <c r="E15" s="253"/>
      <c r="F15" s="253"/>
      <c r="G15" s="253"/>
      <c r="H15" s="253"/>
      <c r="I15" s="253"/>
      <c r="J15" s="254"/>
      <c r="K15" s="253"/>
      <c r="L15" s="253"/>
      <c r="M15" s="253"/>
      <c r="N15" s="253"/>
      <c r="O15" s="253"/>
      <c r="P15" s="253"/>
      <c r="Q15" s="253" t="s">
        <v>1035</v>
      </c>
      <c r="R15" s="255">
        <f t="shared" si="0"/>
        <v>0</v>
      </c>
      <c r="S15" s="253" t="s">
        <v>674</v>
      </c>
      <c r="T15" s="253"/>
      <c r="U15" s="323" t="s">
        <v>799</v>
      </c>
      <c r="V15" s="253">
        <v>8</v>
      </c>
      <c r="W15" s="870" t="str">
        <f>IF(AND(OR(IF(includep1,$C15&lt;=1), IF(includep2,$C15&lt;=2), IF(includep3,$C15&lt;=3), IF(includep4,$C15&lt;=4), IF(includep5,$C15&lt;=5)), OR(IF(includejewelcrafting,S15="JC"),IF(includeboe,S15="BoE"),IF(includepvp,S15="PvP"),IF(includequest,S15="Quest"),IF(includeheroic,S15="Heroic"),S15="none"),OR(IF(includegemcommon,U15="common"),IF(includegemrare,U15="rare"),IF(includegemepic,U15="epic"),IF(includejewelcrafting,S15="JC"),U15="none"),IF(NOT(Y15=TRUE),TRUE,FALSE),IF(incDef, TRUE, NOT(Z15))),MAX(W$1:$W14)+1,"")</f>
        <v/>
      </c>
      <c r="X15" s="254">
        <f>SUMPRODUCT(('Gear &amp; Buffs'!$B$10:$B$71=A15)*('Gear &amp; Buffs'!$C$10:$C$71=TRUE))</f>
        <v>0</v>
      </c>
      <c r="Y15" s="256" t="b">
        <f t="shared" si="1"/>
        <v>0</v>
      </c>
      <c r="Z15" s="6" t="b">
        <v>1</v>
      </c>
      <c r="AA15" s="738">
        <v>12</v>
      </c>
      <c r="AB15" s="714" t="str">
        <f t="shared" si="2"/>
        <v>(Green Gems)</v>
      </c>
    </row>
    <row r="16" spans="1:32">
      <c r="A16" s="252" t="s">
        <v>1208</v>
      </c>
      <c r="B16" s="253">
        <v>28360</v>
      </c>
      <c r="C16" s="253">
        <v>1</v>
      </c>
      <c r="D16" s="253"/>
      <c r="E16" s="253"/>
      <c r="F16" s="253">
        <v>14</v>
      </c>
      <c r="G16" s="253"/>
      <c r="H16" s="253"/>
      <c r="I16" s="253"/>
      <c r="J16" s="254"/>
      <c r="K16" s="253"/>
      <c r="L16" s="253"/>
      <c r="M16" s="253"/>
      <c r="N16" s="253"/>
      <c r="O16" s="253"/>
      <c r="P16" s="253"/>
      <c r="Q16" s="253" t="s">
        <v>1035</v>
      </c>
      <c r="R16" s="255">
        <f t="shared" si="0"/>
        <v>5.0026203619722764</v>
      </c>
      <c r="S16" s="253" t="s">
        <v>677</v>
      </c>
      <c r="T16" s="253" t="s">
        <v>728</v>
      </c>
      <c r="U16" s="323" t="s">
        <v>799</v>
      </c>
      <c r="V16" s="253"/>
      <c r="W16" s="870">
        <f>IF(AND(OR(IF(includep1,$C16&lt;=1), IF(includep2,$C16&lt;=2), IF(includep3,$C16&lt;=3), IF(includep4,$C16&lt;=4), IF(includep5,$C16&lt;=5)), OR(IF(includejewelcrafting,S16="JC"),IF(includeboe,S16="BoE"),IF(includepvp,S16="PvP"),IF(includequest,S16="Quest"),IF(includeheroic,S16="Heroic"),S16="none"),OR(IF(includegemcommon,U16="common"),IF(includegemrare,U16="rare"),IF(includegemepic,U16="epic"),IF(includejewelcrafting,S16="JC"),U16="none"),IF(NOT(Y16=TRUE),TRUE,FALSE),IF(incDef, TRUE, NOT(Z16))),MAX(W$1:$W15)+1,"")</f>
        <v>4</v>
      </c>
      <c r="X16" s="254">
        <f>SUMPRODUCT(('Gear &amp; Buffs'!$B$10:$B$71=A16)*('Gear &amp; Buffs'!$C$10:$C$71=TRUE))</f>
        <v>0</v>
      </c>
      <c r="Y16" s="256" t="b">
        <f t="shared" si="1"/>
        <v>0</v>
      </c>
      <c r="Z16" s="6" t="b">
        <v>0</v>
      </c>
      <c r="AA16" s="738">
        <v>13</v>
      </c>
      <c r="AB16" s="714" t="str">
        <f t="shared" si="2"/>
        <v>Barbed Deep Peridot (3sta/4crit) (H)</v>
      </c>
    </row>
    <row r="17" spans="1:28">
      <c r="A17" s="252" t="s">
        <v>604</v>
      </c>
      <c r="B17" s="253">
        <v>28361</v>
      </c>
      <c r="C17" s="253">
        <v>1</v>
      </c>
      <c r="D17" s="253"/>
      <c r="E17" s="253"/>
      <c r="F17" s="253">
        <v>14</v>
      </c>
      <c r="G17" s="253"/>
      <c r="H17" s="253"/>
      <c r="I17" s="253"/>
      <c r="J17" s="254"/>
      <c r="K17" s="253"/>
      <c r="L17" s="253"/>
      <c r="M17" s="253"/>
      <c r="N17" s="253"/>
      <c r="O17" s="253"/>
      <c r="P17" s="253"/>
      <c r="Q17" s="253" t="s">
        <v>1035</v>
      </c>
      <c r="R17" s="255">
        <f t="shared" si="0"/>
        <v>5.0026203619722764</v>
      </c>
      <c r="S17" s="253" t="s">
        <v>677</v>
      </c>
      <c r="T17" s="253" t="s">
        <v>728</v>
      </c>
      <c r="U17" s="323" t="s">
        <v>799</v>
      </c>
      <c r="V17" s="253"/>
      <c r="W17" s="870">
        <f>IF(AND(OR(IF(includep1,$C17&lt;=1), IF(includep2,$C17&lt;=2), IF(includep3,$C17&lt;=3), IF(includep4,$C17&lt;=4), IF(includep5,$C17&lt;=5)), OR(IF(includejewelcrafting,S17="JC"),IF(includeboe,S17="BoE"),IF(includepvp,S17="PvP"),IF(includequest,S17="Quest"),IF(includeheroic,S17="Heroic"),S17="none"),OR(IF(includegemcommon,U17="common"),IF(includegemrare,U17="rare"),IF(includegemepic,U17="epic"),IF(includejewelcrafting,S17="JC"),U17="none"),IF(NOT(Y17=TRUE),TRUE,FALSE),IF(incDef, TRUE, NOT(Z17))),MAX(W$1:$W16)+1,"")</f>
        <v>5</v>
      </c>
      <c r="X17" s="254">
        <f>SUMPRODUCT(('Gear &amp; Buffs'!$B$10:$B$71=A17)*('Gear &amp; Buffs'!$C$10:$C$71=TRUE))</f>
        <v>0</v>
      </c>
      <c r="Y17" s="256" t="b">
        <f t="shared" si="1"/>
        <v>0</v>
      </c>
      <c r="Z17" s="6" t="b">
        <v>0</v>
      </c>
      <c r="AA17" s="738">
        <v>14</v>
      </c>
      <c r="AB17" s="714" t="str">
        <f t="shared" si="2"/>
        <v>Barbed Deep Peridot (3sta/4crit) (A)</v>
      </c>
    </row>
    <row r="18" spans="1:28">
      <c r="A18" s="252" t="s">
        <v>454</v>
      </c>
      <c r="B18" s="253">
        <v>32198</v>
      </c>
      <c r="C18" s="253">
        <v>3</v>
      </c>
      <c r="D18" s="253"/>
      <c r="E18" s="253"/>
      <c r="F18" s="253"/>
      <c r="G18" s="253"/>
      <c r="H18" s="253"/>
      <c r="I18" s="253"/>
      <c r="J18" s="254"/>
      <c r="K18" s="253"/>
      <c r="L18" s="253"/>
      <c r="M18" s="253">
        <v>10</v>
      </c>
      <c r="N18" s="253"/>
      <c r="O18" s="253"/>
      <c r="P18" s="253"/>
      <c r="Q18" s="253" t="s">
        <v>1035</v>
      </c>
      <c r="R18" s="255">
        <f t="shared" si="0"/>
        <v>0</v>
      </c>
      <c r="S18" s="253" t="s">
        <v>674</v>
      </c>
      <c r="T18" s="253"/>
      <c r="U18" s="261" t="s">
        <v>798</v>
      </c>
      <c r="V18" s="253"/>
      <c r="W18" s="870" t="str">
        <f>IF(AND(OR(IF(includep1,$C18&lt;=1), IF(includep2,$C18&lt;=2), IF(includep3,$C18&lt;=3), IF(includep4,$C18&lt;=4), IF(includep5,$C18&lt;=5)), OR(IF(includejewelcrafting,S18="JC"),IF(includeboe,S18="BoE"),IF(includepvp,S18="PvP"),IF(includequest,S18="Quest"),IF(includeheroic,S18="Heroic"),S18="none"),OR(IF(includegemcommon,U18="common"),IF(includegemrare,U18="rare"),IF(includegemepic,U18="epic"),IF(includejewelcrafting,S18="JC"),U18="none"),IF(NOT(Y18=TRUE),TRUE,FALSE),IF(incDef, TRUE, NOT(Z18))),MAX(W$1:$W17)+1,"")</f>
        <v/>
      </c>
      <c r="X18" s="254">
        <f>SUMPRODUCT(('Gear &amp; Buffs'!$B$10:$B$71=A18)*('Gear &amp; Buffs'!$C$10:$C$71=TRUE))</f>
        <v>0</v>
      </c>
      <c r="Y18" s="256" t="b">
        <f t="shared" si="1"/>
        <v>0</v>
      </c>
      <c r="Z18" s="6" t="b">
        <v>1</v>
      </c>
      <c r="AA18" s="738">
        <v>15</v>
      </c>
      <c r="AB18" s="714" t="str">
        <f t="shared" si="2"/>
        <v>Jagged Talasite (6sta/4crit)</v>
      </c>
    </row>
    <row r="19" spans="1:28">
      <c r="A19" s="252" t="s">
        <v>455</v>
      </c>
      <c r="B19" s="253">
        <v>24032</v>
      </c>
      <c r="C19" s="253">
        <v>1</v>
      </c>
      <c r="D19" s="253"/>
      <c r="E19" s="253"/>
      <c r="F19" s="253"/>
      <c r="G19" s="253"/>
      <c r="H19" s="253"/>
      <c r="I19" s="253"/>
      <c r="J19" s="254"/>
      <c r="K19" s="253"/>
      <c r="L19" s="253"/>
      <c r="M19" s="253">
        <v>8</v>
      </c>
      <c r="N19" s="253"/>
      <c r="O19" s="253"/>
      <c r="P19" s="253"/>
      <c r="Q19" s="253" t="s">
        <v>1035</v>
      </c>
      <c r="R19" s="255">
        <f t="shared" si="0"/>
        <v>0</v>
      </c>
      <c r="S19" s="253" t="s">
        <v>674</v>
      </c>
      <c r="T19" s="253"/>
      <c r="U19" s="323" t="s">
        <v>799</v>
      </c>
      <c r="V19" s="253"/>
      <c r="W19" s="870" t="str">
        <f>IF(AND(OR(IF(includep1,$C19&lt;=1), IF(includep2,$C19&lt;=2), IF(includep3,$C19&lt;=3), IF(includep4,$C19&lt;=4), IF(includep5,$C19&lt;=5)), OR(IF(includejewelcrafting,S19="JC"),IF(includeboe,S19="BoE"),IF(includepvp,S19="PvP"),IF(includequest,S19="Quest"),IF(includeheroic,S19="Heroic"),S19="none"),OR(IF(includegemcommon,U19="common"),IF(includegemrare,U19="rare"),IF(includegemepic,U19="epic"),IF(includejewelcrafting,S19="JC"),U19="none"),IF(NOT(Y19=TRUE),TRUE,FALSE),IF(incDef, TRUE, NOT(Z19))),MAX(W$1:$W18)+1,"")</f>
        <v/>
      </c>
      <c r="X19" s="254">
        <f>SUMPRODUCT(('Gear &amp; Buffs'!$B$10:$B$71=A19)*('Gear &amp; Buffs'!$C$10:$C$71=TRUE))</f>
        <v>0</v>
      </c>
      <c r="Y19" s="256" t="b">
        <f t="shared" si="1"/>
        <v>0</v>
      </c>
      <c r="Z19" s="6" t="b">
        <v>1</v>
      </c>
      <c r="AA19" s="738">
        <v>16</v>
      </c>
      <c r="AB19" s="714" t="str">
        <f t="shared" si="2"/>
        <v xml:space="preserve"> </v>
      </c>
    </row>
    <row r="20" spans="1:28">
      <c r="A20" s="1351" t="str">
        <f>" "</f>
        <v xml:space="preserve"> </v>
      </c>
      <c r="B20" s="114"/>
      <c r="C20" s="114"/>
      <c r="D20" s="114"/>
      <c r="E20" s="114"/>
      <c r="F20" s="114"/>
      <c r="G20" s="114"/>
      <c r="H20" s="114"/>
      <c r="I20" s="114"/>
      <c r="K20" s="114"/>
      <c r="L20" s="114"/>
      <c r="M20" s="114"/>
      <c r="N20" s="114"/>
      <c r="O20" s="114"/>
      <c r="P20" s="114"/>
      <c r="Q20" s="114" t="s">
        <v>1033</v>
      </c>
      <c r="R20" s="251">
        <f t="shared" si="0"/>
        <v>0</v>
      </c>
      <c r="S20" s="120" t="s">
        <v>1689</v>
      </c>
      <c r="U20" s="6" t="s">
        <v>1689</v>
      </c>
      <c r="W20" s="870">
        <f>MAX(W$1:$W19)+1</f>
        <v>6</v>
      </c>
      <c r="X20" s="120">
        <f>SUMPRODUCT(('Gear &amp; Buffs'!$B$10:$B$71=A20)*('Gear &amp; Buffs'!$C$10:$C$71=TRUE))</f>
        <v>0</v>
      </c>
      <c r="Y20" s="6" t="b">
        <f t="shared" si="1"/>
        <v>0</v>
      </c>
      <c r="Z20" s="6" t="b">
        <v>0</v>
      </c>
      <c r="AA20" s="738">
        <v>17</v>
      </c>
      <c r="AB20" s="714" t="str">
        <f t="shared" si="2"/>
        <v>(Yellow Gems)</v>
      </c>
    </row>
    <row r="21" spans="1:28">
      <c r="A21" s="257" t="s">
        <v>1036</v>
      </c>
      <c r="B21" s="258"/>
      <c r="C21" s="258">
        <v>1</v>
      </c>
      <c r="D21" s="258"/>
      <c r="E21" s="258"/>
      <c r="F21" s="258"/>
      <c r="G21" s="258"/>
      <c r="H21" s="258"/>
      <c r="I21" s="258"/>
      <c r="J21" s="259"/>
      <c r="K21" s="258"/>
      <c r="L21" s="258"/>
      <c r="M21" s="258"/>
      <c r="N21" s="258"/>
      <c r="O21" s="258"/>
      <c r="P21" s="258"/>
      <c r="Q21" s="258" t="s">
        <v>1037</v>
      </c>
      <c r="R21" s="260">
        <f t="shared" si="0"/>
        <v>0</v>
      </c>
      <c r="S21" s="258" t="s">
        <v>1689</v>
      </c>
      <c r="T21" s="258"/>
      <c r="U21" s="358" t="s">
        <v>1689</v>
      </c>
      <c r="V21" s="258"/>
      <c r="W21" s="870">
        <f>MAX(W$1:$W20)+1</f>
        <v>7</v>
      </c>
      <c r="X21" s="259">
        <f>SUMPRODUCT(('Gear &amp; Buffs'!$B$10:$B$71=A21)*('Gear &amp; Buffs'!$C$10:$C$71=TRUE))</f>
        <v>0</v>
      </c>
      <c r="Y21" s="261" t="b">
        <f t="shared" si="1"/>
        <v>0</v>
      </c>
      <c r="Z21" s="6" t="b">
        <v>0</v>
      </c>
      <c r="AA21" s="738">
        <v>18</v>
      </c>
      <c r="AB21" s="714" t="str">
        <f t="shared" si="2"/>
        <v>Rigid Dawnstone (8hit)</v>
      </c>
    </row>
    <row r="22" spans="1:28">
      <c r="A22" s="257" t="s">
        <v>2286</v>
      </c>
      <c r="B22" s="258">
        <v>31863</v>
      </c>
      <c r="C22" s="258">
        <v>3</v>
      </c>
      <c r="D22" s="258"/>
      <c r="E22" s="258"/>
      <c r="F22" s="258">
        <v>8</v>
      </c>
      <c r="G22" s="258"/>
      <c r="H22" s="258"/>
      <c r="I22" s="258"/>
      <c r="J22" s="259"/>
      <c r="K22" s="258"/>
      <c r="L22" s="258">
        <v>6</v>
      </c>
      <c r="M22" s="258"/>
      <c r="N22" s="258"/>
      <c r="O22" s="258"/>
      <c r="P22" s="258"/>
      <c r="Q22" s="258" t="s">
        <v>1037</v>
      </c>
      <c r="R22" s="260">
        <f t="shared" si="0"/>
        <v>2.8586402068413008</v>
      </c>
      <c r="S22" s="258" t="s">
        <v>674</v>
      </c>
      <c r="T22" s="258"/>
      <c r="U22" s="323" t="s">
        <v>799</v>
      </c>
      <c r="V22" s="258"/>
      <c r="W22" s="870" t="str">
        <f>IF(AND(OR(IF(includep1,$C22&lt;=1), IF(includep2,$C22&lt;=2), IF(includep3,$C22&lt;=3), IF(includep4,$C22&lt;=4), IF(includep5,$C22&lt;=5)), OR(IF(includejewelcrafting,S22="JC"),IF(includeboe,S22="BoE"),IF(includepvp,S22="PvP"),IF(includequest,S22="Quest"),IF(includeheroic,S22="Heroic"),S22="none"),OR(IF(includegemcommon,U22="common"),IF(includegemrare,U22="rare"),IF(includegemepic,U22="epic"),IF(includejewelcrafting,S22="JC"),U22="none"),IF(NOT(Y22=TRUE),TRUE,FALSE),IF(incDef, TRUE, NOT(Z22))),MAX(W$1:$W21)+1,"")</f>
        <v/>
      </c>
      <c r="X22" s="259">
        <f>SUMPRODUCT(('Gear &amp; Buffs'!$B$10:$B$71=A22)*('Gear &amp; Buffs'!$C$10:$C$71=TRUE))</f>
        <v>0</v>
      </c>
      <c r="Y22" s="261" t="b">
        <f t="shared" si="1"/>
        <v>0</v>
      </c>
      <c r="Z22" s="6" t="b">
        <v>0</v>
      </c>
      <c r="AA22" s="738">
        <v>19</v>
      </c>
      <c r="AB22" s="714" t="str">
        <f t="shared" si="2"/>
        <v>Smooth Dawnstone (8crit)</v>
      </c>
    </row>
    <row r="23" spans="1:28">
      <c r="A23" s="257" t="s">
        <v>1496</v>
      </c>
      <c r="B23" s="258">
        <v>31862</v>
      </c>
      <c r="C23" s="258">
        <v>3</v>
      </c>
      <c r="D23" s="258"/>
      <c r="E23" s="258"/>
      <c r="F23" s="258">
        <v>6</v>
      </c>
      <c r="G23" s="258"/>
      <c r="H23" s="258"/>
      <c r="I23" s="258"/>
      <c r="J23" s="259"/>
      <c r="K23" s="258"/>
      <c r="L23" s="258">
        <v>4</v>
      </c>
      <c r="M23" s="258"/>
      <c r="N23" s="258"/>
      <c r="O23" s="258"/>
      <c r="P23" s="258"/>
      <c r="Q23" s="258" t="s">
        <v>1037</v>
      </c>
      <c r="R23" s="260">
        <f t="shared" si="0"/>
        <v>2.1439801551309756</v>
      </c>
      <c r="S23" s="258" t="s">
        <v>674</v>
      </c>
      <c r="T23" s="258"/>
      <c r="U23" s="324" t="s">
        <v>800</v>
      </c>
      <c r="V23" s="258"/>
      <c r="W23" s="870" t="str">
        <f>IF(AND(OR(IF(includep1,$C23&lt;=1), IF(includep2,$C23&lt;=2), IF(includep3,$C23&lt;=3), IF(includep4,$C23&lt;=4), IF(includep5,$C23&lt;=5)), OR(IF(includejewelcrafting,S23="JC"),IF(includeboe,S23="BoE"),IF(includepvp,S23="PvP"),IF(includequest,S23="Quest"),IF(includeheroic,S23="Heroic"),S23="none"),OR(IF(includegemcommon,U23="common"),IF(includegemrare,U23="rare"),IF(includegemepic,U23="epic"),IF(includejewelcrafting,S23="JC"),U23="none"),IF(NOT(Y23=TRUE),TRUE,FALSE),IF(incDef, TRUE, NOT(Z23))),MAX(W$1:$W22)+1,"")</f>
        <v/>
      </c>
      <c r="X23" s="259">
        <f>SUMPRODUCT(('Gear &amp; Buffs'!$B$10:$B$71=A23)*('Gear &amp; Buffs'!$C$10:$C$71=TRUE))</f>
        <v>0</v>
      </c>
      <c r="Y23" s="261" t="b">
        <f t="shared" si="1"/>
        <v>0</v>
      </c>
      <c r="Z23" s="6" t="b">
        <v>0</v>
      </c>
      <c r="AA23" s="738">
        <v>20</v>
      </c>
      <c r="AB23" s="714" t="str">
        <f t="shared" si="2"/>
        <v xml:space="preserve"> </v>
      </c>
    </row>
    <row r="24" spans="1:28">
      <c r="A24" s="257" t="s">
        <v>1718</v>
      </c>
      <c r="B24" s="258">
        <v>32213</v>
      </c>
      <c r="C24" s="258">
        <v>3</v>
      </c>
      <c r="D24" s="258"/>
      <c r="E24" s="258"/>
      <c r="F24" s="258">
        <v>10</v>
      </c>
      <c r="G24" s="258"/>
      <c r="H24" s="258"/>
      <c r="I24" s="258"/>
      <c r="J24" s="259"/>
      <c r="K24" s="258"/>
      <c r="L24" s="258">
        <v>7</v>
      </c>
      <c r="M24" s="258"/>
      <c r="N24" s="258"/>
      <c r="O24" s="258"/>
      <c r="P24" s="258"/>
      <c r="Q24" s="258" t="s">
        <v>1037</v>
      </c>
      <c r="R24" s="260">
        <f t="shared" si="0"/>
        <v>3.573300258551626</v>
      </c>
      <c r="S24" s="258" t="s">
        <v>674</v>
      </c>
      <c r="T24" s="258"/>
      <c r="U24" s="261" t="s">
        <v>798</v>
      </c>
      <c r="V24" s="258"/>
      <c r="W24" s="870" t="str">
        <f>IF(AND(OR(IF(includep1,$C24&lt;=1), IF(includep2,$C24&lt;=2), IF(includep3,$C24&lt;=3), IF(includep4,$C24&lt;=4), IF(includep5,$C24&lt;=5)), OR(IF(includejewelcrafting,S24="JC"),IF(includeboe,S24="BoE"),IF(includepvp,S24="PvP"),IF(includequest,S24="Quest"),IF(includeheroic,S24="Heroic"),S24="none"),OR(IF(includegemcommon,U24="common"),IF(includegemrare,U24="rare"),IF(includegemepic,U24="epic"),IF(includejewelcrafting,S24="JC"),U24="none"),IF(NOT(Y24=TRUE),TRUE,FALSE),IF(incDef, TRUE, NOT(Z24))),MAX(W$1:$W23)+1,"")</f>
        <v/>
      </c>
      <c r="X24" s="259">
        <f>SUMPRODUCT(('Gear &amp; Buffs'!$B$10:$B$71=A24)*('Gear &amp; Buffs'!$C$10:$C$71=TRUE))</f>
        <v>0</v>
      </c>
      <c r="Y24" s="261" t="b">
        <f t="shared" si="1"/>
        <v>0</v>
      </c>
      <c r="Z24" s="6" t="b">
        <v>0</v>
      </c>
      <c r="AA24" s="738">
        <v>21</v>
      </c>
      <c r="AB24" s="714" t="str">
        <f t="shared" si="2"/>
        <v>(Orange Gems)</v>
      </c>
    </row>
    <row r="25" spans="1:28">
      <c r="A25" s="257" t="s">
        <v>2287</v>
      </c>
      <c r="B25" s="258">
        <v>30574</v>
      </c>
      <c r="C25" s="258">
        <v>1</v>
      </c>
      <c r="D25" s="258"/>
      <c r="E25" s="258"/>
      <c r="F25" s="258">
        <v>10</v>
      </c>
      <c r="G25" s="258"/>
      <c r="H25" s="258"/>
      <c r="I25" s="258"/>
      <c r="J25" s="259"/>
      <c r="K25" s="258"/>
      <c r="L25" s="258">
        <v>6</v>
      </c>
      <c r="M25" s="258"/>
      <c r="N25" s="258"/>
      <c r="O25" s="258"/>
      <c r="P25" s="258"/>
      <c r="Q25" s="258" t="s">
        <v>1037</v>
      </c>
      <c r="R25" s="260">
        <f t="shared" si="0"/>
        <v>3.573300258551626</v>
      </c>
      <c r="S25" s="258" t="s">
        <v>691</v>
      </c>
      <c r="T25" s="258"/>
      <c r="U25" s="261" t="s">
        <v>798</v>
      </c>
      <c r="V25" s="258"/>
      <c r="W25" s="870" t="str">
        <f>IF(AND(OR(IF(includep1,$C25&lt;=1), IF(includep2,$C25&lt;=2), IF(includep3,$C25&lt;=3), IF(includep4,$C25&lt;=4), IF(includep5,$C25&lt;=5)), OR(IF(includejewelcrafting,S25="JC"),IF(includeboe,S25="BoE"),IF(includepvp,S25="PvP"),IF(includequest,S25="Quest"),IF(includeheroic,S25="Heroic"),S25="none"),OR(IF(includegemcommon,U25="common"),IF(includegemrare,U25="rare"),IF(includegemepic,U25="epic"),IF(includejewelcrafting,S25="JC"),U25="none"),IF(NOT(Y25=TRUE),TRUE,FALSE),IF(incDef, TRUE, NOT(Z25))),MAX(W$1:$W24)+1,"")</f>
        <v/>
      </c>
      <c r="X25" s="259">
        <f>SUMPRODUCT(('Gear &amp; Buffs'!$B$10:$B$71=A25)*('Gear &amp; Buffs'!$C$10:$C$71=TRUE))</f>
        <v>0</v>
      </c>
      <c r="Y25" s="261" t="b">
        <f t="shared" si="1"/>
        <v>0</v>
      </c>
      <c r="Z25" s="6" t="b">
        <v>0</v>
      </c>
      <c r="AA25" s="738">
        <v>22</v>
      </c>
      <c r="AB25" s="714" t="str">
        <f t="shared" si="2"/>
        <v>Glinting Noble Topaz (4agi/4hit)</v>
      </c>
    </row>
    <row r="26" spans="1:28">
      <c r="A26" s="257" t="s">
        <v>88</v>
      </c>
      <c r="B26" s="258">
        <v>30566</v>
      </c>
      <c r="C26" s="258">
        <v>1</v>
      </c>
      <c r="D26" s="258"/>
      <c r="E26" s="258"/>
      <c r="F26" s="258"/>
      <c r="G26" s="258"/>
      <c r="H26" s="258"/>
      <c r="I26" s="258"/>
      <c r="J26" s="259"/>
      <c r="K26" s="258"/>
      <c r="L26" s="258">
        <v>6</v>
      </c>
      <c r="M26" s="258"/>
      <c r="N26" s="258"/>
      <c r="O26" s="258"/>
      <c r="P26" s="258"/>
      <c r="Q26" s="258" t="s">
        <v>1037</v>
      </c>
      <c r="R26" s="260">
        <f t="shared" si="0"/>
        <v>0</v>
      </c>
      <c r="S26" s="258" t="s">
        <v>691</v>
      </c>
      <c r="T26" s="258"/>
      <c r="U26" s="261" t="s">
        <v>798</v>
      </c>
      <c r="V26" s="258">
        <v>5</v>
      </c>
      <c r="W26" s="870" t="str">
        <f>IF(AND(OR(IF(includep1,$C26&lt;=1), IF(includep2,$C26&lt;=2), IF(includep3,$C26&lt;=3), IF(includep4,$C26&lt;=4), IF(includep5,$C26&lt;=5)), OR(IF(includejewelcrafting,S26="JC"),IF(includeboe,S26="BoE"),IF(includepvp,S26="PvP"),IF(includequest,S26="Quest"),IF(includeheroic,S26="Heroic"),S26="none"),OR(IF(includegemcommon,U26="common"),IF(includegemrare,U26="rare"),IF(includegemepic,U26="epic"),IF(includejewelcrafting,S26="JC"),U26="none"),IF(NOT(Y26=TRUE),TRUE,FALSE),IF(incDef, TRUE, NOT(Z26))),MAX(W$1:$W25)+1,"")</f>
        <v/>
      </c>
      <c r="X26" s="259">
        <f>SUMPRODUCT(('Gear &amp; Buffs'!$B$10:$B$71=A26)*('Gear &amp; Buffs'!$C$10:$C$71=TRUE))</f>
        <v>0</v>
      </c>
      <c r="Y26" s="261" t="b">
        <f t="shared" si="1"/>
        <v>0</v>
      </c>
      <c r="Z26" s="6" t="b">
        <v>1</v>
      </c>
      <c r="AA26" s="738">
        <v>23</v>
      </c>
      <c r="AB26" s="714" t="str">
        <f t="shared" si="2"/>
        <v>Inscribed Noble Topaz (4str/4crit)</v>
      </c>
    </row>
    <row r="27" spans="1:28">
      <c r="A27" s="257" t="s">
        <v>2288</v>
      </c>
      <c r="B27" s="258">
        <v>31118</v>
      </c>
      <c r="C27" s="258">
        <v>1</v>
      </c>
      <c r="D27" s="258"/>
      <c r="E27" s="258"/>
      <c r="F27" s="258">
        <v>10</v>
      </c>
      <c r="G27" s="258"/>
      <c r="H27" s="258"/>
      <c r="I27" s="258"/>
      <c r="J27" s="259"/>
      <c r="K27" s="258"/>
      <c r="L27" s="258">
        <v>6</v>
      </c>
      <c r="M27" s="258"/>
      <c r="N27" s="258"/>
      <c r="O27" s="258"/>
      <c r="P27" s="258"/>
      <c r="Q27" s="258" t="s">
        <v>1037</v>
      </c>
      <c r="R27" s="260">
        <f t="shared" si="0"/>
        <v>3.573300258551626</v>
      </c>
      <c r="S27" s="258" t="s">
        <v>675</v>
      </c>
      <c r="T27" s="258"/>
      <c r="U27" s="261" t="s">
        <v>798</v>
      </c>
      <c r="V27" s="258"/>
      <c r="W27" s="870" t="str">
        <f>IF(AND(OR(IF(includep1,$C27&lt;=1), IF(includep2,$C27&lt;=2), IF(includep3,$C27&lt;=3), IF(includep4,$C27&lt;=4), IF(includep5,$C27&lt;=5)), OR(IF(includejewelcrafting,S27="JC"),IF(includeboe,S27="BoE"),IF(includepvp,S27="PvP"),IF(includequest,S27="Quest"),IF(includeheroic,S27="Heroic"),S27="none"),OR(IF(includegemcommon,U27="common"),IF(includegemrare,U27="rare"),IF(includegemepic,U27="epic"),IF(includejewelcrafting,S27="JC"),U27="none"),IF(NOT(Y27=TRUE),TRUE,FALSE),IF(incDef, TRUE, NOT(Z27))),MAX(W$1:$W26)+1,"")</f>
        <v/>
      </c>
      <c r="X27" s="259">
        <f>SUMPRODUCT(('Gear &amp; Buffs'!$B$10:$B$71=A27)*('Gear &amp; Buffs'!$C$10:$C$71=TRUE))</f>
        <v>0</v>
      </c>
      <c r="Y27" s="261" t="b">
        <f t="shared" si="1"/>
        <v>0</v>
      </c>
      <c r="Z27" s="6" t="b">
        <v>0</v>
      </c>
      <c r="AA27" s="738">
        <v>24</v>
      </c>
      <c r="AB27" s="714" t="str">
        <f t="shared" si="2"/>
        <v/>
      </c>
    </row>
    <row r="28" spans="1:28">
      <c r="A28" s="257" t="s">
        <v>81</v>
      </c>
      <c r="B28" s="258">
        <v>30563</v>
      </c>
      <c r="C28" s="258">
        <v>5</v>
      </c>
      <c r="D28" s="258"/>
      <c r="E28" s="258"/>
      <c r="F28" s="258"/>
      <c r="G28" s="258"/>
      <c r="H28" s="258"/>
      <c r="I28" s="258"/>
      <c r="J28" s="259"/>
      <c r="K28" s="258"/>
      <c r="L28" s="258">
        <v>6</v>
      </c>
      <c r="M28" s="258">
        <v>4</v>
      </c>
      <c r="N28" s="258"/>
      <c r="O28" s="258"/>
      <c r="P28" s="258"/>
      <c r="Q28" s="258" t="s">
        <v>1037</v>
      </c>
      <c r="R28" s="260">
        <f t="shared" si="0"/>
        <v>0</v>
      </c>
      <c r="S28" s="258" t="s">
        <v>691</v>
      </c>
      <c r="T28" s="258"/>
      <c r="U28" s="323" t="s">
        <v>799</v>
      </c>
      <c r="V28" s="258"/>
      <c r="W28" s="870" t="str">
        <f>IF(AND(OR(IF(includep1,$C28&lt;=1), IF(includep2,$C28&lt;=2), IF(includep3,$C28&lt;=3), IF(includep4,$C28&lt;=4), IF(includep5,$C28&lt;=5)), OR(IF(includejewelcrafting,S28="JC"),IF(includeboe,S28="BoE"),IF(includepvp,S28="PvP"),IF(includequest,S28="Quest"),IF(includeheroic,S28="Heroic"),S28="none"),OR(IF(includegemcommon,U28="common"),IF(includegemrare,U28="rare"),IF(includegemepic,U28="epic"),IF(includejewelcrafting,S28="JC"),U28="none"),IF(NOT(Y28=TRUE),TRUE,FALSE),IF(incDef, TRUE, NOT(Z28))),MAX(W$1:$W27)+1,"")</f>
        <v/>
      </c>
      <c r="X28" s="259">
        <f>SUMPRODUCT(('Gear &amp; Buffs'!$B$10:$B$71=A28)*('Gear &amp; Buffs'!$C$10:$C$71=TRUE))</f>
        <v>0</v>
      </c>
      <c r="Y28" s="261" t="b">
        <f t="shared" si="1"/>
        <v>0</v>
      </c>
      <c r="Z28" s="6" t="b">
        <v>1</v>
      </c>
      <c r="AA28" s="738">
        <v>25</v>
      </c>
      <c r="AB28" s="714" t="str">
        <f t="shared" si="2"/>
        <v/>
      </c>
    </row>
    <row r="29" spans="1:28">
      <c r="A29" s="257" t="s">
        <v>2289</v>
      </c>
      <c r="B29" s="258">
        <v>30563</v>
      </c>
      <c r="C29" s="258">
        <v>1</v>
      </c>
      <c r="D29" s="258"/>
      <c r="E29" s="258"/>
      <c r="F29" s="258"/>
      <c r="G29" s="258"/>
      <c r="H29" s="258"/>
      <c r="I29" s="258"/>
      <c r="J29" s="259"/>
      <c r="K29" s="258"/>
      <c r="L29" s="258">
        <v>6</v>
      </c>
      <c r="M29" s="258">
        <v>5</v>
      </c>
      <c r="N29" s="258"/>
      <c r="O29" s="258"/>
      <c r="P29" s="258"/>
      <c r="Q29" s="258" t="s">
        <v>1037</v>
      </c>
      <c r="R29" s="260">
        <f t="shared" si="0"/>
        <v>0</v>
      </c>
      <c r="S29" s="258" t="s">
        <v>691</v>
      </c>
      <c r="T29" s="258"/>
      <c r="U29" s="261" t="s">
        <v>798</v>
      </c>
      <c r="V29" s="258"/>
      <c r="W29" s="870" t="str">
        <f>IF(AND(OR(IF(includep1,$C29&lt;=1), IF(includep2,$C29&lt;=2), IF(includep3,$C29&lt;=3), IF(includep4,$C29&lt;=4), IF(includep5,$C29&lt;=5)), OR(IF(includejewelcrafting,S29="JC"),IF(includeboe,S29="BoE"),IF(includepvp,S29="PvP"),IF(includequest,S29="Quest"),IF(includeheroic,S29="Heroic"),S29="none"),OR(IF(includegemcommon,U29="common"),IF(includegemrare,U29="rare"),IF(includegemepic,U29="epic"),IF(includejewelcrafting,S29="JC"),U29="none"),IF(NOT(Y29=TRUE),TRUE,FALSE),IF(incDef, TRUE, NOT(Z29))),MAX(W$1:$W28)+1,"")</f>
        <v/>
      </c>
      <c r="X29" s="259">
        <f>SUMPRODUCT(('Gear &amp; Buffs'!$B$10:$B$71=A29)*('Gear &amp; Buffs'!$C$10:$C$71=TRUE))</f>
        <v>0</v>
      </c>
      <c r="Y29" s="261" t="b">
        <f t="shared" si="1"/>
        <v>0</v>
      </c>
      <c r="Z29" s="6" t="b">
        <v>1</v>
      </c>
      <c r="AA29" s="738">
        <v>26</v>
      </c>
      <c r="AB29" s="714" t="str">
        <f t="shared" si="2"/>
        <v/>
      </c>
    </row>
    <row r="30" spans="1:28">
      <c r="A30" s="257" t="s">
        <v>1979</v>
      </c>
      <c r="B30" s="258">
        <v>24055</v>
      </c>
      <c r="C30" s="258">
        <v>1</v>
      </c>
      <c r="D30" s="258"/>
      <c r="E30" s="258">
        <v>4</v>
      </c>
      <c r="F30" s="258"/>
      <c r="G30" s="258"/>
      <c r="H30" s="258"/>
      <c r="I30" s="258"/>
      <c r="J30" s="259"/>
      <c r="K30" s="258"/>
      <c r="L30" s="258">
        <v>6</v>
      </c>
      <c r="M30" s="258"/>
      <c r="N30" s="258"/>
      <c r="O30" s="258"/>
      <c r="P30" s="258"/>
      <c r="Q30" s="258" t="s">
        <v>1037</v>
      </c>
      <c r="R30" s="260">
        <f t="shared" si="0"/>
        <v>3.3088514773398856</v>
      </c>
      <c r="S30" s="258" t="s">
        <v>674</v>
      </c>
      <c r="T30" s="258"/>
      <c r="U30" s="323" t="s">
        <v>799</v>
      </c>
      <c r="V30" s="258"/>
      <c r="W30" s="870">
        <f>IF(AND(OR(IF(includep1,$C30&lt;=1), IF(includep2,$C30&lt;=2), IF(includep3,$C30&lt;=3), IF(includep4,$C30&lt;=4), IF(includep5,$C30&lt;=5)), OR(IF(includejewelcrafting,S30="JC"),IF(includeboe,S30="BoE"),IF(includepvp,S30="PvP"),IF(includequest,S30="Quest"),IF(includeheroic,S30="Heroic"),S30="none"),OR(IF(includegemcommon,U30="common"),IF(includegemrare,U30="rare"),IF(includegemepic,U30="epic"),IF(includejewelcrafting,S30="JC"),U30="none"),IF(NOT(Y30=TRUE),TRUE,FALSE),IF(incDef, TRUE, NOT(Z30))),MAX(W$1:$W29)+1,"")</f>
        <v>8</v>
      </c>
      <c r="X30" s="259">
        <f>SUMPRODUCT(('Gear &amp; Buffs'!$B$10:$B$71=A30)*('Gear &amp; Buffs'!$C$10:$C$71=TRUE))</f>
        <v>2</v>
      </c>
      <c r="Y30" s="261" t="b">
        <f t="shared" si="1"/>
        <v>0</v>
      </c>
      <c r="Z30" s="6" t="b">
        <v>0</v>
      </c>
      <c r="AA30" s="738">
        <v>27</v>
      </c>
      <c r="AB30" s="714" t="str">
        <f t="shared" si="2"/>
        <v/>
      </c>
    </row>
    <row r="31" spans="1:28">
      <c r="A31" s="257" t="s">
        <v>1980</v>
      </c>
      <c r="B31" s="258">
        <v>23110</v>
      </c>
      <c r="C31" s="258">
        <v>1</v>
      </c>
      <c r="D31" s="258"/>
      <c r="E31" s="258">
        <v>3</v>
      </c>
      <c r="F31" s="258"/>
      <c r="G31" s="258"/>
      <c r="H31" s="258"/>
      <c r="I31" s="258"/>
      <c r="J31" s="259"/>
      <c r="K31" s="258"/>
      <c r="L31" s="258">
        <v>4</v>
      </c>
      <c r="M31" s="258"/>
      <c r="N31" s="258"/>
      <c r="O31" s="258"/>
      <c r="P31" s="258"/>
      <c r="Q31" s="258" t="s">
        <v>1037</v>
      </c>
      <c r="R31" s="260">
        <f t="shared" si="0"/>
        <v>2.4816386080049142</v>
      </c>
      <c r="S31" s="258" t="s">
        <v>674</v>
      </c>
      <c r="T31" s="258"/>
      <c r="U31" s="324" t="s">
        <v>800</v>
      </c>
      <c r="V31" s="258"/>
      <c r="W31" s="870" t="str">
        <f>IF(AND(OR(IF(includep1,$C31&lt;=1), IF(includep2,$C31&lt;=2), IF(includep3,$C31&lt;=3), IF(includep4,$C31&lt;=4), IF(includep5,$C31&lt;=5)), OR(IF(includejewelcrafting,S31="JC"),IF(includeboe,S31="BoE"),IF(includepvp,S31="PvP"),IF(includequest,S31="Quest"),IF(includeheroic,S31="Heroic"),S31="none"),OR(IF(includegemcommon,U31="common"),IF(includegemrare,U31="rare"),IF(includegemepic,U31="epic"),IF(includejewelcrafting,S31="JC"),U31="none"),IF(NOT(Y31=TRUE),TRUE,FALSE),IF(incDef, TRUE, NOT(Z31))),MAX(W$1:$W30)+1,"")</f>
        <v/>
      </c>
      <c r="X31" s="259">
        <f>SUMPRODUCT(('Gear &amp; Buffs'!$B$10:$B$71=A31)*('Gear &amp; Buffs'!$C$10:$C$71=TRUE))</f>
        <v>0</v>
      </c>
      <c r="Y31" s="261" t="b">
        <f t="shared" si="1"/>
        <v>0</v>
      </c>
      <c r="Z31" s="6" t="b">
        <v>0</v>
      </c>
      <c r="AA31" s="738">
        <v>28</v>
      </c>
      <c r="AB31" s="714" t="str">
        <f t="shared" si="2"/>
        <v/>
      </c>
    </row>
    <row r="32" spans="1:28">
      <c r="A32" s="257" t="s">
        <v>1981</v>
      </c>
      <c r="B32" s="258">
        <v>32212</v>
      </c>
      <c r="C32" s="258">
        <v>3</v>
      </c>
      <c r="D32" s="258"/>
      <c r="E32" s="258">
        <v>5</v>
      </c>
      <c r="F32" s="258"/>
      <c r="G32" s="258"/>
      <c r="H32" s="258"/>
      <c r="I32" s="258"/>
      <c r="J32" s="259"/>
      <c r="K32" s="258"/>
      <c r="L32" s="258">
        <v>7</v>
      </c>
      <c r="M32" s="258"/>
      <c r="N32" s="258"/>
      <c r="O32" s="258"/>
      <c r="P32" s="258"/>
      <c r="Q32" s="258" t="s">
        <v>1037</v>
      </c>
      <c r="R32" s="260">
        <f t="shared" si="0"/>
        <v>4.136064346674857</v>
      </c>
      <c r="S32" s="258" t="s">
        <v>674</v>
      </c>
      <c r="T32" s="258"/>
      <c r="U32" s="261" t="s">
        <v>798</v>
      </c>
      <c r="V32" s="258"/>
      <c r="W32" s="870" t="str">
        <f>IF(AND(OR(IF(includep1,$C32&lt;=1), IF(includep2,$C32&lt;=2), IF(includep3,$C32&lt;=3), IF(includep4,$C32&lt;=4), IF(includep5,$C32&lt;=5)), OR(IF(includejewelcrafting,S32="JC"),IF(includeboe,S32="BoE"),IF(includepvp,S32="PvP"),IF(includequest,S32="Quest"),IF(includeheroic,S32="Heroic"),S32="none"),OR(IF(includegemcommon,U32="common"),IF(includegemrare,U32="rare"),IF(includegemepic,U32="epic"),IF(includejewelcrafting,S32="JC"),U32="none"),IF(NOT(Y32=TRUE),TRUE,FALSE),IF(incDef, TRUE, NOT(Z32))),MAX(W$1:$W31)+1,"")</f>
        <v/>
      </c>
      <c r="X32" s="259">
        <f>SUMPRODUCT(('Gear &amp; Buffs'!$B$10:$B$71=A32)*('Gear &amp; Buffs'!$C$10:$C$71=TRUE))</f>
        <v>0</v>
      </c>
      <c r="Y32" s="261" t="b">
        <f t="shared" si="1"/>
        <v>0</v>
      </c>
      <c r="Z32" s="6" t="b">
        <v>0</v>
      </c>
      <c r="AA32" s="738">
        <v>29</v>
      </c>
      <c r="AB32" s="714" t="str">
        <f t="shared" si="2"/>
        <v/>
      </c>
    </row>
    <row r="33" spans="1:28">
      <c r="A33" s="257" t="s">
        <v>1350</v>
      </c>
      <c r="B33" s="258">
        <v>30549</v>
      </c>
      <c r="C33" s="258">
        <v>1</v>
      </c>
      <c r="D33" s="258"/>
      <c r="E33" s="258">
        <v>5</v>
      </c>
      <c r="F33" s="258"/>
      <c r="G33" s="258"/>
      <c r="H33" s="258"/>
      <c r="I33" s="258"/>
      <c r="J33" s="259"/>
      <c r="K33" s="258"/>
      <c r="L33" s="258">
        <v>6</v>
      </c>
      <c r="M33" s="258"/>
      <c r="N33" s="258"/>
      <c r="O33" s="258"/>
      <c r="P33" s="258"/>
      <c r="Q33" s="258" t="s">
        <v>1037</v>
      </c>
      <c r="R33" s="260">
        <f t="shared" si="0"/>
        <v>4.136064346674857</v>
      </c>
      <c r="S33" s="258" t="s">
        <v>691</v>
      </c>
      <c r="T33" s="258"/>
      <c r="U33" s="261" t="s">
        <v>798</v>
      </c>
      <c r="V33" s="258"/>
      <c r="W33" s="870" t="str">
        <f>IF(AND(OR(IF(includep1,$C33&lt;=1), IF(includep2,$C33&lt;=2), IF(includep3,$C33&lt;=3), IF(includep4,$C33&lt;=4), IF(includep5,$C33&lt;=5)), OR(IF(includejewelcrafting,S33="JC"),IF(includeboe,S33="BoE"),IF(includepvp,S33="PvP"),IF(includequest,S33="Quest"),IF(includeheroic,S33="Heroic"),S33="none"),OR(IF(includegemcommon,U33="common"),IF(includegemrare,U33="rare"),IF(includegemepic,U33="epic"),IF(includejewelcrafting,S33="JC"),U33="none"),IF(NOT(Y33=TRUE),TRUE,FALSE),IF(incDef, TRUE, NOT(Z33))),MAX(W$1:$W32)+1,"")</f>
        <v/>
      </c>
      <c r="X33" s="259">
        <f>SUMPRODUCT(('Gear &amp; Buffs'!$B$10:$B$71=A33)*('Gear &amp; Buffs'!$C$10:$C$71=TRUE))</f>
        <v>0</v>
      </c>
      <c r="Y33" s="261" t="b">
        <f t="shared" si="1"/>
        <v>0</v>
      </c>
      <c r="Z33" s="6" t="b">
        <v>0</v>
      </c>
      <c r="AA33" s="738">
        <v>30</v>
      </c>
      <c r="AB33" s="714" t="str">
        <f t="shared" si="2"/>
        <v/>
      </c>
    </row>
    <row r="34" spans="1:28">
      <c r="A34" s="257" t="s">
        <v>80</v>
      </c>
      <c r="B34" s="258">
        <v>30546</v>
      </c>
      <c r="C34" s="258">
        <v>1</v>
      </c>
      <c r="D34" s="258">
        <v>5</v>
      </c>
      <c r="E34" s="258"/>
      <c r="F34" s="258"/>
      <c r="G34" s="258"/>
      <c r="H34" s="258"/>
      <c r="I34" s="258"/>
      <c r="J34" s="259"/>
      <c r="K34" s="258"/>
      <c r="L34" s="258">
        <v>6</v>
      </c>
      <c r="M34" s="258"/>
      <c r="N34" s="258"/>
      <c r="O34" s="258"/>
      <c r="P34" s="258"/>
      <c r="Q34" s="258" t="s">
        <v>1037</v>
      </c>
      <c r="R34" s="260">
        <f t="shared" si="0"/>
        <v>1.9653151422062365</v>
      </c>
      <c r="S34" s="258" t="s">
        <v>691</v>
      </c>
      <c r="T34" s="258"/>
      <c r="U34" s="261" t="s">
        <v>798</v>
      </c>
      <c r="V34" s="258"/>
      <c r="W34" s="870" t="str">
        <f>IF(AND(OR(IF(includep1,$C34&lt;=1), IF(includep2,$C34&lt;=2), IF(includep3,$C34&lt;=3), IF(includep4,$C34&lt;=4), IF(includep5,$C34&lt;=5)), OR(IF(includejewelcrafting,S34="JC"),IF(includeboe,S34="BoE"),IF(includepvp,S34="PvP"),IF(includequest,S34="Quest"),IF(includeheroic,S34="Heroic"),S34="none"),OR(IF(includegemcommon,U34="common"),IF(includegemrare,U34="rare"),IF(includegemepic,U34="epic"),IF(includejewelcrafting,S34="JC"),U34="none"),IF(NOT(Y34=TRUE),TRUE,FALSE),IF(incDef, TRUE, NOT(Z34))),MAX(W$1:$W33)+1,"")</f>
        <v/>
      </c>
      <c r="X34" s="259">
        <f>SUMPRODUCT(('Gear &amp; Buffs'!$B$10:$B$71=A34)*('Gear &amp; Buffs'!$C$10:$C$71=TRUE))</f>
        <v>0</v>
      </c>
      <c r="Y34" s="261" t="b">
        <f t="shared" si="1"/>
        <v>0</v>
      </c>
      <c r="Z34" s="6" t="b">
        <v>0</v>
      </c>
      <c r="AA34" s="738">
        <v>31</v>
      </c>
      <c r="AB34" s="714" t="str">
        <f t="shared" si="2"/>
        <v/>
      </c>
    </row>
    <row r="35" spans="1:28">
      <c r="A35" s="257" t="s">
        <v>1498</v>
      </c>
      <c r="B35" s="258">
        <v>32634</v>
      </c>
      <c r="C35" s="258">
        <v>3</v>
      </c>
      <c r="D35" s="258"/>
      <c r="E35" s="258"/>
      <c r="F35" s="258">
        <v>8</v>
      </c>
      <c r="G35" s="258"/>
      <c r="H35" s="258"/>
      <c r="I35" s="258"/>
      <c r="J35" s="259"/>
      <c r="K35" s="258"/>
      <c r="L35" s="258">
        <v>6</v>
      </c>
      <c r="M35" s="258"/>
      <c r="N35" s="258"/>
      <c r="O35" s="258"/>
      <c r="P35" s="258"/>
      <c r="Q35" s="258" t="s">
        <v>1037</v>
      </c>
      <c r="R35" s="260">
        <f t="shared" si="0"/>
        <v>2.8586402068413008</v>
      </c>
      <c r="S35" s="258" t="s">
        <v>675</v>
      </c>
      <c r="T35" s="258" t="s">
        <v>728</v>
      </c>
      <c r="U35" s="323" t="s">
        <v>799</v>
      </c>
      <c r="V35" s="258"/>
      <c r="W35" s="870" t="str">
        <f>IF(AND(OR(IF(includep1,$C35&lt;=1), IF(includep2,$C35&lt;=2), IF(includep3,$C35&lt;=3), IF(includep4,$C35&lt;=4), IF(includep5,$C35&lt;=5)), OR(IF(includejewelcrafting,S35="JC"),IF(includeboe,S35="BoE"),IF(includepvp,S35="PvP"),IF(includequest,S35="Quest"),IF(includeheroic,S35="Heroic"),S35="none"),OR(IF(includegemcommon,U35="common"),IF(includegemrare,U35="rare"),IF(includegemepic,U35="epic"),IF(includejewelcrafting,S35="JC"),U35="none"),IF(NOT(Y35=TRUE),TRUE,FALSE),IF(incDef, TRUE, NOT(Z35))),MAX(W$1:$W34)+1,"")</f>
        <v/>
      </c>
      <c r="X35" s="259">
        <f>SUMPRODUCT(('Gear &amp; Buffs'!$B$10:$B$71=A35)*('Gear &amp; Buffs'!$C$10:$C$71=TRUE))</f>
        <v>0</v>
      </c>
      <c r="Y35" s="261" t="b">
        <f t="shared" si="1"/>
        <v>0</v>
      </c>
      <c r="Z35" s="6" t="b">
        <v>0</v>
      </c>
      <c r="AA35" s="738">
        <v>32</v>
      </c>
      <c r="AB35" s="714" t="str">
        <f t="shared" si="2"/>
        <v/>
      </c>
    </row>
    <row r="36" spans="1:28">
      <c r="A36" s="10" t="str">
        <f>" "</f>
        <v xml:space="preserve"> </v>
      </c>
      <c r="B36" s="114"/>
      <c r="C36" s="114"/>
      <c r="D36" s="114"/>
      <c r="E36" s="114"/>
      <c r="F36" s="114"/>
      <c r="G36" s="114"/>
      <c r="H36" s="114"/>
      <c r="I36" s="114"/>
      <c r="K36" s="114"/>
      <c r="L36" s="114"/>
      <c r="M36" s="114"/>
      <c r="N36" s="114"/>
      <c r="O36" s="114"/>
      <c r="P36" s="114"/>
      <c r="Q36" s="114" t="s">
        <v>1033</v>
      </c>
      <c r="R36" s="251">
        <f t="shared" si="0"/>
        <v>0</v>
      </c>
      <c r="S36" s="120" t="s">
        <v>1689</v>
      </c>
      <c r="U36" s="6" t="s">
        <v>1689</v>
      </c>
      <c r="W36" s="870">
        <f>MAX(W$1:$W35)+1</f>
        <v>9</v>
      </c>
      <c r="X36" s="120">
        <f>SUMPRODUCT(('Gear &amp; Buffs'!$B$10:$B$71=A36)*('Gear &amp; Buffs'!$C$10:$C$71=TRUE))</f>
        <v>0</v>
      </c>
      <c r="Y36" s="6" t="b">
        <f t="shared" si="1"/>
        <v>0</v>
      </c>
      <c r="Z36" s="6" t="b">
        <v>0</v>
      </c>
      <c r="AA36" s="738">
        <v>33</v>
      </c>
      <c r="AB36" s="714" t="str">
        <f t="shared" si="2"/>
        <v/>
      </c>
    </row>
    <row r="37" spans="1:28">
      <c r="A37" s="262" t="s">
        <v>1038</v>
      </c>
      <c r="B37" s="263"/>
      <c r="C37" s="263">
        <v>1</v>
      </c>
      <c r="D37" s="263"/>
      <c r="E37" s="263"/>
      <c r="F37" s="263"/>
      <c r="G37" s="263"/>
      <c r="H37" s="263"/>
      <c r="I37" s="263"/>
      <c r="J37" s="264"/>
      <c r="K37" s="263"/>
      <c r="L37" s="263"/>
      <c r="M37" s="263"/>
      <c r="N37" s="263"/>
      <c r="O37" s="263"/>
      <c r="P37" s="263"/>
      <c r="Q37" s="263" t="s">
        <v>1039</v>
      </c>
      <c r="R37" s="265">
        <f t="shared" si="0"/>
        <v>0</v>
      </c>
      <c r="S37" s="263" t="s">
        <v>1689</v>
      </c>
      <c r="T37" s="263"/>
      <c r="U37" s="358" t="s">
        <v>1689</v>
      </c>
      <c r="V37" s="263"/>
      <c r="W37" s="870">
        <f>MAX(W$1:$W36)+1</f>
        <v>10</v>
      </c>
      <c r="X37" s="264">
        <f>SUMPRODUCT(('Gear &amp; Buffs'!$B$10:$B$71=A37)*('Gear &amp; Buffs'!$C$10:$C$71=TRUE))</f>
        <v>0</v>
      </c>
      <c r="Y37" s="266" t="b">
        <f t="shared" si="1"/>
        <v>0</v>
      </c>
      <c r="Z37" s="6" t="b">
        <v>0</v>
      </c>
      <c r="AA37" s="738">
        <v>34</v>
      </c>
      <c r="AB37" s="714" t="str">
        <f t="shared" si="2"/>
        <v/>
      </c>
    </row>
    <row r="38" spans="1:28">
      <c r="A38" s="262" t="s">
        <v>1495</v>
      </c>
      <c r="B38" s="263">
        <v>34256</v>
      </c>
      <c r="C38" s="263">
        <v>4</v>
      </c>
      <c r="D38" s="263"/>
      <c r="E38" s="263"/>
      <c r="F38" s="263"/>
      <c r="G38" s="263"/>
      <c r="H38" s="263"/>
      <c r="I38" s="263"/>
      <c r="J38" s="264"/>
      <c r="K38" s="263"/>
      <c r="L38" s="263">
        <v>15</v>
      </c>
      <c r="M38" s="263"/>
      <c r="N38" s="263"/>
      <c r="O38" s="263"/>
      <c r="P38" s="263"/>
      <c r="Q38" s="263" t="s">
        <v>1039</v>
      </c>
      <c r="R38" s="265">
        <f t="shared" si="0"/>
        <v>0</v>
      </c>
      <c r="S38" s="263" t="s">
        <v>675</v>
      </c>
      <c r="T38" s="263" t="s">
        <v>728</v>
      </c>
      <c r="U38" s="261" t="s">
        <v>798</v>
      </c>
      <c r="V38" s="263"/>
      <c r="W38" s="870" t="str">
        <f>IF(AND(OR(IF(includep1,$C38&lt;=1), IF(includep2,$C38&lt;=2), IF(includep3,$C38&lt;=3), IF(includep4,$C38&lt;=4), IF(includep5,$C38&lt;=5)), OR(IF(includejewelcrafting,S38="JC"),IF(includeboe,S38="BoE"),IF(includepvp,S38="PvP"),IF(includequest,S38="Quest"),IF(includeheroic,S38="Heroic"),S38="none"),OR(IF(includegemcommon,U38="common"),IF(includegemrare,U38="rare"),IF(includegemepic,U38="epic"),IF(includejewelcrafting,S38="JC"),U38="none"),IF(NOT(Y38=TRUE),TRUE,FALSE),IF(incDef, TRUE, NOT(Z38))),MAX(W$1:$W37)+1,"")</f>
        <v/>
      </c>
      <c r="X38" s="264">
        <f>SUMPRODUCT(('Gear &amp; Buffs'!$B$10:$B$71=A38)*('Gear &amp; Buffs'!$C$10:$C$71=TRUE))</f>
        <v>0</v>
      </c>
      <c r="Y38" s="266" t="b">
        <f t="shared" si="1"/>
        <v>0</v>
      </c>
      <c r="Z38" s="6" t="b">
        <v>1</v>
      </c>
      <c r="AA38" s="738">
        <v>35</v>
      </c>
      <c r="AB38" s="714" t="str">
        <f t="shared" si="2"/>
        <v/>
      </c>
    </row>
    <row r="39" spans="1:28">
      <c r="A39" s="262" t="s">
        <v>84</v>
      </c>
      <c r="B39" s="263">
        <v>34831</v>
      </c>
      <c r="C39" s="263">
        <v>5</v>
      </c>
      <c r="D39" s="263"/>
      <c r="E39" s="263"/>
      <c r="F39" s="263"/>
      <c r="G39" s="263"/>
      <c r="H39" s="263"/>
      <c r="I39" s="263"/>
      <c r="J39" s="264"/>
      <c r="K39" s="263"/>
      <c r="L39" s="263">
        <v>15</v>
      </c>
      <c r="M39" s="263"/>
      <c r="N39" s="263"/>
      <c r="O39" s="263"/>
      <c r="P39" s="263"/>
      <c r="Q39" s="263" t="s">
        <v>1039</v>
      </c>
      <c r="R39" s="265">
        <f t="shared" si="0"/>
        <v>0</v>
      </c>
      <c r="S39" s="263" t="s">
        <v>675</v>
      </c>
      <c r="T39" s="263" t="s">
        <v>728</v>
      </c>
      <c r="U39" s="323" t="s">
        <v>799</v>
      </c>
      <c r="V39" s="263"/>
      <c r="W39" s="870" t="str">
        <f>IF(AND(OR(IF(includep1,$C39&lt;=1), IF(includep2,$C39&lt;=2), IF(includep3,$C39&lt;=3), IF(includep4,$C39&lt;=4), IF(includep5,$C39&lt;=5)), OR(IF(includejewelcrafting,S39="JC"),IF(includeboe,S39="BoE"),IF(includepvp,S39="PvP"),IF(includequest,S39="Quest"),IF(includeheroic,S39="Heroic"),S39="none"),OR(IF(includegemcommon,U39="common"),IF(includegemrare,U39="rare"),IF(includegemepic,U39="epic"),IF(includejewelcrafting,S39="JC"),U39="none"),IF(NOT(Y39=TRUE),TRUE,FALSE),IF(incDef, TRUE, NOT(Z39))),MAX(W$1:$W38)+1,"")</f>
        <v/>
      </c>
      <c r="X39" s="264">
        <f>SUMPRODUCT(('Gear &amp; Buffs'!$B$10:$B$71=A39)*('Gear &amp; Buffs'!$C$10:$C$71=TRUE))</f>
        <v>0</v>
      </c>
      <c r="Y39" s="266" t="b">
        <f t="shared" si="1"/>
        <v>0</v>
      </c>
      <c r="Z39" s="6" t="b">
        <v>1</v>
      </c>
      <c r="AA39" s="738">
        <v>36</v>
      </c>
      <c r="AB39" s="714" t="str">
        <f t="shared" si="2"/>
        <v/>
      </c>
    </row>
    <row r="40" spans="1:28">
      <c r="A40" s="262" t="s">
        <v>2799</v>
      </c>
      <c r="B40" s="263">
        <v>33135</v>
      </c>
      <c r="C40" s="263">
        <v>3</v>
      </c>
      <c r="D40" s="263"/>
      <c r="E40" s="263"/>
      <c r="F40" s="263"/>
      <c r="G40" s="263"/>
      <c r="H40" s="263"/>
      <c r="I40" s="263"/>
      <c r="J40" s="264"/>
      <c r="K40" s="263"/>
      <c r="L40" s="263">
        <v>18</v>
      </c>
      <c r="M40" s="263"/>
      <c r="N40" s="263"/>
      <c r="O40" s="263"/>
      <c r="P40" s="263"/>
      <c r="Q40" s="263" t="s">
        <v>1039</v>
      </c>
      <c r="R40" s="265">
        <f t="shared" si="0"/>
        <v>0</v>
      </c>
      <c r="S40" s="263" t="s">
        <v>1556</v>
      </c>
      <c r="T40" s="263" t="s">
        <v>728</v>
      </c>
      <c r="U40" s="261" t="s">
        <v>798</v>
      </c>
      <c r="V40" s="263"/>
      <c r="W40" s="870" t="str">
        <f>IF(AND(OR(IF(includep1,$C40&lt;=1), IF(includep2,$C40&lt;=2), IF(includep3,$C40&lt;=3), IF(includep4,$C40&lt;=4), IF(includep5,$C40&lt;=5)), OR(IF(includejewelcrafting,S40="JC"),IF(includeboe,S40="BoE"),IF(includepvp,S40="PvP"),IF(includequest,S40="Quest"),IF(includeheroic,S40="Heroic"),S40="none"),OR(IF(includegemcommon,U40="common"),IF(includegemrare,U40="rare"),IF(includegemepic,U40="epic"),IF(includejewelcrafting,S40="JC"),U40="none"),IF(NOT(Y40=TRUE),TRUE,FALSE),IF(incDef, TRUE, NOT(Z40))),MAX(W$1:$W39)+1,"")</f>
        <v/>
      </c>
      <c r="X40" s="264">
        <f>SUMPRODUCT(('Gear &amp; Buffs'!$B$10:$B$71=A40)*('Gear &amp; Buffs'!$C$10:$C$71=TRUE))</f>
        <v>0</v>
      </c>
      <c r="Y40" s="266" t="b">
        <f t="shared" si="1"/>
        <v>0</v>
      </c>
      <c r="Z40" s="6" t="b">
        <v>1</v>
      </c>
      <c r="AA40" s="738">
        <v>37</v>
      </c>
      <c r="AB40" s="714" t="str">
        <f t="shared" si="2"/>
        <v/>
      </c>
    </row>
    <row r="41" spans="1:28">
      <c r="A41" s="262" t="s">
        <v>457</v>
      </c>
      <c r="B41" s="263">
        <v>23118</v>
      </c>
      <c r="C41" s="263">
        <v>1</v>
      </c>
      <c r="D41" s="263"/>
      <c r="E41" s="263"/>
      <c r="F41" s="263"/>
      <c r="G41" s="263"/>
      <c r="H41" s="263"/>
      <c r="I41" s="263"/>
      <c r="J41" s="264"/>
      <c r="K41" s="263"/>
      <c r="L41" s="263">
        <v>9</v>
      </c>
      <c r="M41" s="263"/>
      <c r="N41" s="263"/>
      <c r="O41" s="263"/>
      <c r="P41" s="263"/>
      <c r="Q41" s="263" t="s">
        <v>1039</v>
      </c>
      <c r="R41" s="265">
        <f t="shared" si="0"/>
        <v>0</v>
      </c>
      <c r="S41" s="263" t="s">
        <v>674</v>
      </c>
      <c r="T41" s="263"/>
      <c r="U41" s="324" t="s">
        <v>800</v>
      </c>
      <c r="V41" s="263"/>
      <c r="W41" s="870" t="str">
        <f>IF(AND(OR(IF(includep1,$C41&lt;=1), IF(includep2,$C41&lt;=2), IF(includep3,$C41&lt;=3), IF(includep4,$C41&lt;=4), IF(includep5,$C41&lt;=5)), OR(IF(includejewelcrafting,S41="JC"),IF(includeboe,S41="BoE"),IF(includepvp,S41="PvP"),IF(includequest,S41="Quest"),IF(includeheroic,S41="Heroic"),S41="none"),OR(IF(includegemcommon,U41="common"),IF(includegemrare,U41="rare"),IF(includegemepic,U41="epic"),IF(includejewelcrafting,S41="JC"),U41="none"),IF(NOT(Y41=TRUE),TRUE,FALSE),IF(incDef, TRUE, NOT(Z41))),MAX(W$1:$W40)+1,"")</f>
        <v/>
      </c>
      <c r="X41" s="264">
        <f>SUMPRODUCT(('Gear &amp; Buffs'!$B$10:$B$71=A41)*('Gear &amp; Buffs'!$C$10:$C$71=TRUE))</f>
        <v>0</v>
      </c>
      <c r="Y41" s="266" t="b">
        <f t="shared" si="1"/>
        <v>0</v>
      </c>
      <c r="Z41" s="6" t="b">
        <v>1</v>
      </c>
      <c r="AA41" s="738">
        <v>38</v>
      </c>
      <c r="AB41" s="714" t="str">
        <f t="shared" si="2"/>
        <v/>
      </c>
    </row>
    <row r="42" spans="1:28">
      <c r="A42" s="262" t="s">
        <v>1709</v>
      </c>
      <c r="B42" s="263">
        <v>32200</v>
      </c>
      <c r="C42" s="263">
        <v>3</v>
      </c>
      <c r="D42" s="263"/>
      <c r="E42" s="263"/>
      <c r="F42" s="263"/>
      <c r="G42" s="263"/>
      <c r="H42" s="263"/>
      <c r="I42" s="263"/>
      <c r="J42" s="264"/>
      <c r="K42" s="263"/>
      <c r="L42" s="263">
        <v>15</v>
      </c>
      <c r="M42" s="263"/>
      <c r="N42" s="263"/>
      <c r="O42" s="263"/>
      <c r="P42" s="263"/>
      <c r="Q42" s="263" t="s">
        <v>1039</v>
      </c>
      <c r="R42" s="265">
        <f t="shared" si="0"/>
        <v>0</v>
      </c>
      <c r="S42" s="263" t="s">
        <v>674</v>
      </c>
      <c r="T42" s="263"/>
      <c r="U42" s="261" t="s">
        <v>798</v>
      </c>
      <c r="V42" s="263"/>
      <c r="W42" s="870" t="str">
        <f>IF(AND(OR(IF(includep1,$C42&lt;=1), IF(includep2,$C42&lt;=2), IF(includep3,$C42&lt;=3), IF(includep4,$C42&lt;=4), IF(includep5,$C42&lt;=5)), OR(IF(includejewelcrafting,S42="JC"),IF(includeboe,S42="BoE"),IF(includepvp,S42="PvP"),IF(includequest,S42="Quest"),IF(includeheroic,S42="Heroic"),S42="none"),OR(IF(includegemcommon,U42="common"),IF(includegemrare,U42="rare"),IF(includegemepic,U42="epic"),IF(includejewelcrafting,S42="JC"),U42="none"),IF(NOT(Y42=TRUE),TRUE,FALSE),IF(incDef, TRUE, NOT(Z42))),MAX(W$1:$W41)+1,"")</f>
        <v/>
      </c>
      <c r="X42" s="264">
        <f>SUMPRODUCT(('Gear &amp; Buffs'!$B$10:$B$71=A42)*('Gear &amp; Buffs'!$C$10:$C$71=TRUE))</f>
        <v>0</v>
      </c>
      <c r="Y42" s="266" t="b">
        <f t="shared" si="1"/>
        <v>0</v>
      </c>
      <c r="Z42" s="6" t="b">
        <v>1</v>
      </c>
      <c r="AA42" s="738">
        <v>39</v>
      </c>
      <c r="AB42" s="714" t="str">
        <f t="shared" si="2"/>
        <v/>
      </c>
    </row>
    <row r="43" spans="1:28">
      <c r="A43" s="262" t="s">
        <v>1710</v>
      </c>
      <c r="B43" s="263">
        <v>24033</v>
      </c>
      <c r="C43" s="263">
        <v>1</v>
      </c>
      <c r="D43" s="263"/>
      <c r="E43" s="263"/>
      <c r="F43" s="263"/>
      <c r="G43" s="263"/>
      <c r="H43" s="263"/>
      <c r="I43" s="263"/>
      <c r="J43" s="264"/>
      <c r="K43" s="263"/>
      <c r="L43" s="263">
        <v>12</v>
      </c>
      <c r="M43" s="263"/>
      <c r="N43" s="263"/>
      <c r="O43" s="263"/>
      <c r="P43" s="263"/>
      <c r="Q43" s="263" t="s">
        <v>1039</v>
      </c>
      <c r="R43" s="265">
        <f t="shared" si="0"/>
        <v>0</v>
      </c>
      <c r="S43" s="263" t="s">
        <v>674</v>
      </c>
      <c r="T43" s="263"/>
      <c r="U43" s="323" t="s">
        <v>799</v>
      </c>
      <c r="V43" s="263"/>
      <c r="W43" s="870" t="str">
        <f>IF(AND(OR(IF(includep1,$C43&lt;=1), IF(includep2,$C43&lt;=2), IF(includep3,$C43&lt;=3), IF(includep4,$C43&lt;=4), IF(includep5,$C43&lt;=5)), OR(IF(includejewelcrafting,S43="JC"),IF(includeboe,S43="BoE"),IF(includepvp,S43="PvP"),IF(includequest,S43="Quest"),IF(includeheroic,S43="Heroic"),S43="none"),OR(IF(includegemcommon,U43="common"),IF(includegemrare,U43="rare"),IF(includegemepic,U43="epic"),IF(includejewelcrafting,S43="JC"),U43="none"),IF(NOT(Y43=TRUE),TRUE,FALSE),IF(incDef, TRUE, NOT(Z43))),MAX(W$1:$W42)+1,"")</f>
        <v/>
      </c>
      <c r="X43" s="264">
        <f>SUMPRODUCT(('Gear &amp; Buffs'!$B$10:$B$71=A43)*('Gear &amp; Buffs'!$C$10:$C$71=TRUE))</f>
        <v>0</v>
      </c>
      <c r="Y43" s="266" t="b">
        <f t="shared" si="1"/>
        <v>0</v>
      </c>
      <c r="Z43" s="6" t="b">
        <v>1</v>
      </c>
      <c r="AA43" s="738">
        <v>40</v>
      </c>
      <c r="AB43" s="714" t="str">
        <f t="shared" si="2"/>
        <v/>
      </c>
    </row>
    <row r="44" spans="1:28">
      <c r="A44" s="262" t="s">
        <v>2838</v>
      </c>
      <c r="B44" s="263">
        <v>32203</v>
      </c>
      <c r="C44" s="263">
        <v>3</v>
      </c>
      <c r="D44" s="263"/>
      <c r="E44" s="263"/>
      <c r="F44" s="263"/>
      <c r="G44" s="263"/>
      <c r="H44" s="263"/>
      <c r="I44" s="263"/>
      <c r="J44" s="264"/>
      <c r="K44" s="263"/>
      <c r="L44" s="263"/>
      <c r="M44" s="263"/>
      <c r="N44" s="263"/>
      <c r="O44" s="263"/>
      <c r="P44" s="263"/>
      <c r="Q44" s="263" t="s">
        <v>1039</v>
      </c>
      <c r="R44" s="265">
        <f t="shared" si="0"/>
        <v>0</v>
      </c>
      <c r="S44" s="263" t="s">
        <v>674</v>
      </c>
      <c r="T44" s="263"/>
      <c r="U44" s="261" t="s">
        <v>798</v>
      </c>
      <c r="V44" s="263"/>
      <c r="W44" s="870" t="str">
        <f>IF(AND(OR(IF(includep1,$C44&lt;=1), IF(includep2,$C44&lt;=2), IF(includep3,$C44&lt;=3), IF(includep4,$C44&lt;=4), IF(includep5,$C44&lt;=5)), OR(IF(includejewelcrafting,S44="JC"),IF(includeboe,S44="BoE"),IF(includepvp,S44="PvP"),IF(includequest,S44="Quest"),IF(includeheroic,S44="Heroic"),S44="none"),OR(IF(includegemcommon,U44="common"),IF(includegemrare,U44="rare"),IF(includegemepic,U44="epic"),IF(includejewelcrafting,S44="JC"),U44="none"),IF(NOT(Y44=TRUE),TRUE,FALSE),IF(incDef, TRUE, NOT(Z44))),MAX(W$1:$W43)+1,"")</f>
        <v/>
      </c>
      <c r="X44" s="264">
        <f>SUMPRODUCT(('Gear &amp; Buffs'!$B$10:$B$71=A44)*('Gear &amp; Buffs'!$C$10:$C$71=TRUE))</f>
        <v>0</v>
      </c>
      <c r="Y44" s="266" t="b">
        <f t="shared" ref="Y44:Y45" si="3">IF(AND(T44="unique",X44&gt;0),TRUE,FALSE)</f>
        <v>0</v>
      </c>
      <c r="Z44" s="6" t="b">
        <v>1</v>
      </c>
      <c r="AA44" s="738">
        <v>41</v>
      </c>
      <c r="AB44" s="714" t="str">
        <f t="shared" ref="AB44:AB45" si="4">IF(ISNA(INDEX($A$4:$A$105,MATCH(AA44,W$4:W$105,0))), "", INDEX($A$4:$A$105,MATCH(AA44,W$4:W$105,0)))</f>
        <v/>
      </c>
    </row>
    <row r="45" spans="1:28">
      <c r="A45" s="262" t="s">
        <v>2839</v>
      </c>
      <c r="B45" s="263">
        <v>24039</v>
      </c>
      <c r="C45" s="263">
        <v>1</v>
      </c>
      <c r="D45" s="263"/>
      <c r="E45" s="263"/>
      <c r="F45" s="263"/>
      <c r="G45" s="263"/>
      <c r="H45" s="263"/>
      <c r="I45" s="263"/>
      <c r="J45" s="264"/>
      <c r="K45" s="263"/>
      <c r="L45" s="263"/>
      <c r="M45" s="263"/>
      <c r="N45" s="263"/>
      <c r="O45" s="263"/>
      <c r="P45" s="263"/>
      <c r="Q45" s="263" t="s">
        <v>1039</v>
      </c>
      <c r="R45" s="265">
        <f t="shared" si="0"/>
        <v>0</v>
      </c>
      <c r="S45" s="263" t="s">
        <v>674</v>
      </c>
      <c r="T45" s="263"/>
      <c r="U45" s="323" t="s">
        <v>799</v>
      </c>
      <c r="V45" s="263"/>
      <c r="W45" s="870" t="str">
        <f>IF(AND(OR(IF(includep1,$C45&lt;=1), IF(includep2,$C45&lt;=2), IF(includep3,$C45&lt;=3), IF(includep4,$C45&lt;=4), IF(includep5,$C45&lt;=5)), OR(IF(includejewelcrafting,S45="JC"),IF(includeboe,S45="BoE"),IF(includepvp,S45="PvP"),IF(includequest,S45="Quest"),IF(includeheroic,S45="Heroic"),S45="none"),OR(IF(includegemcommon,U45="common"),IF(includegemrare,U45="rare"),IF(includegemepic,U45="epic"),IF(includejewelcrafting,S45="JC"),U45="none"),IF(NOT(Y45=TRUE),TRUE,FALSE),IF(incDef, TRUE, NOT(Z45))),MAX(W$1:$W44)+1,"")</f>
        <v/>
      </c>
      <c r="X45" s="264">
        <f>SUMPRODUCT(('Gear &amp; Buffs'!$B$10:$B$71=A45)*('Gear &amp; Buffs'!$C$10:$C$71=TRUE))</f>
        <v>0</v>
      </c>
      <c r="Y45" s="266" t="b">
        <f t="shared" si="3"/>
        <v>0</v>
      </c>
      <c r="Z45" s="6" t="b">
        <v>1</v>
      </c>
      <c r="AA45" s="738">
        <v>42</v>
      </c>
      <c r="AB45" s="714" t="str">
        <f t="shared" si="4"/>
        <v/>
      </c>
    </row>
    <row r="46" spans="1:28">
      <c r="A46" s="10" t="str">
        <f>" "</f>
        <v xml:space="preserve"> </v>
      </c>
      <c r="B46" s="114"/>
      <c r="C46" s="114">
        <v>1</v>
      </c>
      <c r="D46" s="114"/>
      <c r="E46" s="114"/>
      <c r="F46" s="114"/>
      <c r="G46" s="114"/>
      <c r="H46" s="114"/>
      <c r="I46" s="114"/>
      <c r="K46" s="114"/>
      <c r="L46" s="114"/>
      <c r="M46" s="114"/>
      <c r="N46" s="114"/>
      <c r="O46" s="114"/>
      <c r="P46" s="114"/>
      <c r="Q46" s="114" t="s">
        <v>1033</v>
      </c>
      <c r="R46" s="251">
        <f t="shared" si="0"/>
        <v>0</v>
      </c>
      <c r="S46" s="120" t="s">
        <v>1689</v>
      </c>
      <c r="U46" s="6" t="s">
        <v>1689</v>
      </c>
      <c r="W46" s="870">
        <f>MAX(W$1:$W45)+1</f>
        <v>11</v>
      </c>
      <c r="X46" s="120">
        <f>SUMPRODUCT(('Gear &amp; Buffs'!$B$10:$B$71=A46)*('Gear &amp; Buffs'!$C$10:$C$71=TRUE))</f>
        <v>0</v>
      </c>
      <c r="Y46" s="6" t="b">
        <f t="shared" si="1"/>
        <v>0</v>
      </c>
      <c r="Z46" s="6" t="b">
        <v>0</v>
      </c>
      <c r="AA46" s="738">
        <v>43</v>
      </c>
      <c r="AB46" s="714" t="str">
        <f t="shared" si="2"/>
        <v/>
      </c>
    </row>
    <row r="47" spans="1:28">
      <c r="A47" s="267" t="s">
        <v>1040</v>
      </c>
      <c r="B47" s="268"/>
      <c r="C47" s="268">
        <v>1</v>
      </c>
      <c r="D47" s="268"/>
      <c r="E47" s="268"/>
      <c r="F47" s="268"/>
      <c r="G47" s="268"/>
      <c r="H47" s="268"/>
      <c r="I47" s="268"/>
      <c r="J47" s="269"/>
      <c r="K47" s="268"/>
      <c r="L47" s="268"/>
      <c r="M47" s="268"/>
      <c r="N47" s="268"/>
      <c r="O47" s="268"/>
      <c r="P47" s="268"/>
      <c r="Q47" s="268" t="s">
        <v>1041</v>
      </c>
      <c r="R47" s="270">
        <f t="shared" si="0"/>
        <v>0</v>
      </c>
      <c r="S47" s="268" t="s">
        <v>1689</v>
      </c>
      <c r="T47" s="268"/>
      <c r="U47" s="358" t="s">
        <v>1689</v>
      </c>
      <c r="V47" s="268"/>
      <c r="W47" s="870">
        <f>MAX(W$1:$W46)+1</f>
        <v>12</v>
      </c>
      <c r="X47" s="269">
        <f>SUMPRODUCT(('Gear &amp; Buffs'!$B$10:$B$71=A47)*('Gear &amp; Buffs'!$C$10:$C$71=TRUE))</f>
        <v>0</v>
      </c>
      <c r="Y47" s="271" t="b">
        <f t="shared" si="1"/>
        <v>0</v>
      </c>
      <c r="Z47" s="6" t="b">
        <v>0</v>
      </c>
      <c r="AA47" s="738">
        <v>44</v>
      </c>
      <c r="AB47" s="714" t="str">
        <f t="shared" si="2"/>
        <v/>
      </c>
    </row>
    <row r="48" spans="1:28">
      <c r="A48" s="267" t="s">
        <v>605</v>
      </c>
      <c r="B48" s="268">
        <v>27786</v>
      </c>
      <c r="C48" s="268">
        <v>1</v>
      </c>
      <c r="D48" s="268"/>
      <c r="E48" s="268"/>
      <c r="F48" s="268"/>
      <c r="G48" s="268">
        <v>4</v>
      </c>
      <c r="H48" s="268"/>
      <c r="I48" s="268"/>
      <c r="J48" s="269"/>
      <c r="K48" s="268"/>
      <c r="L48" s="268">
        <v>3</v>
      </c>
      <c r="M48" s="268"/>
      <c r="N48" s="268"/>
      <c r="O48" s="268"/>
      <c r="P48" s="268"/>
      <c r="Q48" s="268" t="s">
        <v>1041</v>
      </c>
      <c r="R48" s="270">
        <f t="shared" si="0"/>
        <v>2.7431852220379369</v>
      </c>
      <c r="S48" s="268" t="s">
        <v>677</v>
      </c>
      <c r="T48" s="268" t="s">
        <v>728</v>
      </c>
      <c r="U48" s="323" t="s">
        <v>799</v>
      </c>
      <c r="V48" s="268"/>
      <c r="W48" s="870">
        <f>IF(AND(OR(IF(includep1,$C48&lt;=1), IF(includep2,$C48&lt;=2), IF(includep3,$C48&lt;=3), IF(includep4,$C48&lt;=4), IF(includep5,$C48&lt;=5)), OR(IF(includejewelcrafting,S48="JC"),IF(includeboe,S48="BoE"),IF(includepvp,S48="PvP"),IF(includequest,S48="Quest"),IF(includeheroic,S48="Heroic"),S48="none"),OR(IF(includegemcommon,U48="common"),IF(includegemrare,U48="rare"),IF(includegemepic,U48="epic"),IF(includejewelcrafting,S48="JC"),U48="none"),IF(NOT(Y48=TRUE),TRUE,FALSE),IF(incDef, TRUE, NOT(Z48))),MAX(W$1:$W47)+1,"")</f>
        <v>13</v>
      </c>
      <c r="X48" s="269">
        <f>SUMPRODUCT(('Gear &amp; Buffs'!$B$10:$B$71=A48)*('Gear &amp; Buffs'!$C$10:$C$71=TRUE))</f>
        <v>0</v>
      </c>
      <c r="Y48" s="271" t="b">
        <f t="shared" si="1"/>
        <v>0</v>
      </c>
      <c r="Z48" s="6" t="b">
        <v>0</v>
      </c>
      <c r="AA48" s="738">
        <v>45</v>
      </c>
      <c r="AB48" s="714" t="str">
        <f t="shared" si="2"/>
        <v/>
      </c>
    </row>
    <row r="49" spans="1:28">
      <c r="A49" s="267" t="s">
        <v>1493</v>
      </c>
      <c r="B49" s="268">
        <v>27809</v>
      </c>
      <c r="C49" s="268">
        <v>1</v>
      </c>
      <c r="D49" s="268"/>
      <c r="E49" s="268"/>
      <c r="F49" s="268"/>
      <c r="G49" s="268">
        <v>4</v>
      </c>
      <c r="H49" s="268"/>
      <c r="I49" s="268"/>
      <c r="J49" s="269"/>
      <c r="K49" s="268"/>
      <c r="L49" s="268">
        <v>3</v>
      </c>
      <c r="M49" s="268"/>
      <c r="N49" s="268"/>
      <c r="O49" s="268"/>
      <c r="P49" s="268"/>
      <c r="Q49" s="268" t="s">
        <v>1041</v>
      </c>
      <c r="R49" s="270">
        <f t="shared" si="0"/>
        <v>2.7431852220379369</v>
      </c>
      <c r="S49" s="268" t="s">
        <v>677</v>
      </c>
      <c r="T49" s="268" t="s">
        <v>728</v>
      </c>
      <c r="U49" s="323" t="s">
        <v>799</v>
      </c>
      <c r="V49" s="268"/>
      <c r="W49" s="870">
        <f>IF(AND(OR(IF(includep1,$C49&lt;=1), IF(includep2,$C49&lt;=2), IF(includep3,$C49&lt;=3), IF(includep4,$C49&lt;=4), IF(includep5,$C49&lt;=5)), OR(IF(includejewelcrafting,S49="JC"),IF(includeboe,S49="BoE"),IF(includepvp,S49="PvP"),IF(includequest,S49="Quest"),IF(includeheroic,S49="Heroic"),S49="none"),OR(IF(includegemcommon,U49="common"),IF(includegemrare,U49="rare"),IF(includegemepic,U49="epic"),IF(includejewelcrafting,S49="JC"),U49="none"),IF(NOT(Y49=TRUE),TRUE,FALSE),IF(incDef, TRUE, NOT(Z49))),MAX(W$1:$W48)+1,"")</f>
        <v>14</v>
      </c>
      <c r="X49" s="269">
        <f>SUMPRODUCT(('Gear &amp; Buffs'!$B$10:$B$71=A49)*('Gear &amp; Buffs'!$C$10:$C$71=TRUE))</f>
        <v>0</v>
      </c>
      <c r="Y49" s="271" t="b">
        <f t="shared" si="1"/>
        <v>0</v>
      </c>
      <c r="Z49" s="6" t="b">
        <v>0</v>
      </c>
      <c r="AA49" s="738">
        <v>46</v>
      </c>
      <c r="AB49" s="714" t="str">
        <f t="shared" si="2"/>
        <v/>
      </c>
    </row>
    <row r="50" spans="1:28">
      <c r="A50" s="267" t="s">
        <v>89</v>
      </c>
      <c r="B50" s="268">
        <v>30590</v>
      </c>
      <c r="C50" s="268">
        <v>1</v>
      </c>
      <c r="D50" s="268"/>
      <c r="E50" s="268"/>
      <c r="F50" s="268"/>
      <c r="G50" s="268"/>
      <c r="H50" s="268"/>
      <c r="I50" s="268"/>
      <c r="J50" s="269"/>
      <c r="K50" s="268"/>
      <c r="L50" s="268">
        <v>6</v>
      </c>
      <c r="M50" s="268"/>
      <c r="N50" s="268"/>
      <c r="O50" s="268">
        <v>5</v>
      </c>
      <c r="P50" s="268"/>
      <c r="Q50" s="268" t="s">
        <v>1041</v>
      </c>
      <c r="R50" s="270">
        <f t="shared" si="0"/>
        <v>0</v>
      </c>
      <c r="S50" s="268" t="s">
        <v>691</v>
      </c>
      <c r="T50" s="268"/>
      <c r="U50" s="261" t="s">
        <v>798</v>
      </c>
      <c r="V50" s="268"/>
      <c r="W50" s="870" t="str">
        <f>IF(AND(OR(IF(includep1,$C50&lt;=1), IF(includep2,$C50&lt;=2), IF(includep3,$C50&lt;=3), IF(includep4,$C50&lt;=4), IF(includep5,$C50&lt;=5)), OR(IF(includejewelcrafting,S50="JC"),IF(includeboe,S50="BoE"),IF(includepvp,S50="PvP"),IF(includequest,S50="Quest"),IF(includeheroic,S50="Heroic"),S50="none"),OR(IF(includegemcommon,U50="common"),IF(includegemrare,U50="rare"),IF(includegemepic,U50="epic"),IF(includejewelcrafting,S50="JC"),U50="none"),IF(NOT(Y50=TRUE),TRUE,FALSE),IF(incDef, TRUE, NOT(Z50))),MAX(W$1:$W49)+1,"")</f>
        <v/>
      </c>
      <c r="X50" s="269">
        <f>SUMPRODUCT(('Gear &amp; Buffs'!$B$10:$B$71=A50)*('Gear &amp; Buffs'!$C$10:$C$71=TRUE))</f>
        <v>0</v>
      </c>
      <c r="Y50" s="271" t="b">
        <f t="shared" si="1"/>
        <v>0</v>
      </c>
      <c r="Z50" s="6" t="b">
        <v>1</v>
      </c>
      <c r="AA50" s="738">
        <v>47</v>
      </c>
      <c r="AB50" s="714" t="str">
        <f t="shared" si="2"/>
        <v/>
      </c>
    </row>
    <row r="51" spans="1:28">
      <c r="A51" s="267" t="s">
        <v>1864</v>
      </c>
      <c r="B51" s="268">
        <v>23105</v>
      </c>
      <c r="C51" s="268">
        <v>1</v>
      </c>
      <c r="D51" s="268"/>
      <c r="E51" s="268"/>
      <c r="F51" s="268"/>
      <c r="G51" s="268"/>
      <c r="H51" s="268"/>
      <c r="I51" s="268"/>
      <c r="J51" s="269"/>
      <c r="K51" s="268"/>
      <c r="L51" s="268">
        <v>4</v>
      </c>
      <c r="M51" s="268"/>
      <c r="N51" s="268"/>
      <c r="O51" s="268">
        <v>3</v>
      </c>
      <c r="P51" s="268"/>
      <c r="Q51" s="268" t="s">
        <v>1041</v>
      </c>
      <c r="R51" s="270">
        <f t="shared" si="0"/>
        <v>0</v>
      </c>
      <c r="S51" s="268" t="s">
        <v>674</v>
      </c>
      <c r="T51" s="268"/>
      <c r="U51" s="324" t="s">
        <v>800</v>
      </c>
      <c r="V51" s="268"/>
      <c r="W51" s="870" t="str">
        <f>IF(AND(OR(IF(includep1,$C51&lt;=1), IF(includep2,$C51&lt;=2), IF(includep3,$C51&lt;=3), IF(includep4,$C51&lt;=4), IF(includep5,$C51&lt;=5)), OR(IF(includejewelcrafting,S51="JC"),IF(includeboe,S51="BoE"),IF(includepvp,S51="PvP"),IF(includequest,S51="Quest"),IF(includeheroic,S51="Heroic"),S51="none"),OR(IF(includegemcommon,U51="common"),IF(includegemrare,U51="rare"),IF(includegemepic,U51="epic"),IF(includejewelcrafting,S51="JC"),U51="none"),IF(NOT(Y51=TRUE),TRUE,FALSE),IF(incDef, TRUE, NOT(Z51))),MAX(W$1:$W50)+1,"")</f>
        <v/>
      </c>
      <c r="X51" s="269">
        <f>SUMPRODUCT(('Gear &amp; Buffs'!$B$10:$B$71=A51)*('Gear &amp; Buffs'!$C$10:$C$71=TRUE))</f>
        <v>0</v>
      </c>
      <c r="Y51" s="271" t="b">
        <f t="shared" si="1"/>
        <v>0</v>
      </c>
      <c r="Z51" s="6" t="b">
        <v>1</v>
      </c>
      <c r="AA51" s="738">
        <v>48</v>
      </c>
      <c r="AB51" s="714" t="str">
        <f t="shared" si="2"/>
        <v/>
      </c>
    </row>
    <row r="52" spans="1:28">
      <c r="A52" s="267" t="s">
        <v>1858</v>
      </c>
      <c r="B52" s="268">
        <v>32223</v>
      </c>
      <c r="C52" s="268">
        <v>3</v>
      </c>
      <c r="D52" s="268"/>
      <c r="E52" s="268"/>
      <c r="F52" s="268"/>
      <c r="G52" s="268"/>
      <c r="H52" s="268"/>
      <c r="I52" s="268"/>
      <c r="J52" s="269"/>
      <c r="K52" s="268"/>
      <c r="L52" s="268">
        <v>7</v>
      </c>
      <c r="M52" s="268"/>
      <c r="N52" s="268"/>
      <c r="O52" s="268">
        <v>5</v>
      </c>
      <c r="P52" s="268"/>
      <c r="Q52" s="268" t="s">
        <v>1041</v>
      </c>
      <c r="R52" s="270">
        <f t="shared" si="0"/>
        <v>0</v>
      </c>
      <c r="S52" s="268" t="s">
        <v>674</v>
      </c>
      <c r="T52" s="268"/>
      <c r="U52" s="261" t="s">
        <v>798</v>
      </c>
      <c r="V52" s="268"/>
      <c r="W52" s="870" t="str">
        <f>IF(AND(OR(IF(includep1,$C52&lt;=1), IF(includep2,$C52&lt;=2), IF(includep3,$C52&lt;=3), IF(includep4,$C52&lt;=4), IF(includep5,$C52&lt;=5)), OR(IF(includejewelcrafting,S52="JC"),IF(includeboe,S52="BoE"),IF(includepvp,S52="PvP"),IF(includequest,S52="Quest"),IF(includeheroic,S52="Heroic"),S52="none"),OR(IF(includegemcommon,U52="common"),IF(includegemrare,U52="rare"),IF(includegemepic,U52="epic"),IF(includejewelcrafting,S52="JC"),U52="none"),IF(NOT(Y52=TRUE),TRUE,FALSE),IF(incDef, TRUE, NOT(Z52))),MAX(W$1:$W51)+1,"")</f>
        <v/>
      </c>
      <c r="X52" s="269">
        <f>SUMPRODUCT(('Gear &amp; Buffs'!$B$10:$B$71=A52)*('Gear &amp; Buffs'!$C$10:$C$71=TRUE))</f>
        <v>0</v>
      </c>
      <c r="Y52" s="271" t="b">
        <f t="shared" si="1"/>
        <v>0</v>
      </c>
      <c r="Z52" s="6" t="b">
        <v>1</v>
      </c>
      <c r="AA52" s="738">
        <v>49</v>
      </c>
      <c r="AB52" s="714" t="str">
        <f t="shared" si="2"/>
        <v/>
      </c>
    </row>
    <row r="53" spans="1:28">
      <c r="A53" s="267" t="s">
        <v>1863</v>
      </c>
      <c r="B53" s="268">
        <v>24062</v>
      </c>
      <c r="C53" s="268">
        <v>1</v>
      </c>
      <c r="D53" s="268"/>
      <c r="E53" s="268"/>
      <c r="F53" s="268"/>
      <c r="G53" s="268"/>
      <c r="H53" s="268"/>
      <c r="I53" s="268"/>
      <c r="J53" s="269"/>
      <c r="K53" s="268"/>
      <c r="L53" s="268">
        <v>6</v>
      </c>
      <c r="M53" s="268"/>
      <c r="N53" s="268"/>
      <c r="O53" s="268">
        <v>4</v>
      </c>
      <c r="P53" s="268"/>
      <c r="Q53" s="268" t="s">
        <v>1041</v>
      </c>
      <c r="R53" s="270">
        <f t="shared" si="0"/>
        <v>0</v>
      </c>
      <c r="S53" s="268" t="s">
        <v>674</v>
      </c>
      <c r="T53" s="268"/>
      <c r="U53" s="323" t="s">
        <v>799</v>
      </c>
      <c r="V53" s="268"/>
      <c r="W53" s="870" t="str">
        <f>IF(AND(OR(IF(includep1,$C53&lt;=1), IF(includep2,$C53&lt;=2), IF(includep3,$C53&lt;=3), IF(includep4,$C53&lt;=4), IF(includep5,$C53&lt;=5)), OR(IF(includejewelcrafting,S53="JC"),IF(includeboe,S53="BoE"),IF(includepvp,S53="PvP"),IF(includequest,S53="Quest"),IF(includeheroic,S53="Heroic"),S53="none"),OR(IF(includegemcommon,U53="common"),IF(includegemrare,U53="rare"),IF(includegemepic,U53="epic"),IF(includejewelcrafting,S53="JC"),U53="none"),IF(NOT(Y53=TRUE),TRUE,FALSE),IF(incDef, TRUE, NOT(Z53))),MAX(W$1:$W52)+1,"")</f>
        <v/>
      </c>
      <c r="X53" s="269">
        <f>SUMPRODUCT(('Gear &amp; Buffs'!$B$10:$B$71=A53)*('Gear &amp; Buffs'!$C$10:$C$71=TRUE))</f>
        <v>0</v>
      </c>
      <c r="Y53" s="271" t="b">
        <f t="shared" si="1"/>
        <v>0</v>
      </c>
      <c r="Z53" s="6" t="b">
        <v>1</v>
      </c>
      <c r="AA53" s="738">
        <v>50</v>
      </c>
      <c r="AB53" s="714" t="str">
        <f t="shared" si="2"/>
        <v/>
      </c>
    </row>
    <row r="54" spans="1:28">
      <c r="A54" s="267" t="s">
        <v>1711</v>
      </c>
      <c r="B54" s="268">
        <v>30602</v>
      </c>
      <c r="C54" s="268">
        <v>1</v>
      </c>
      <c r="D54" s="268"/>
      <c r="E54" s="268"/>
      <c r="F54" s="268"/>
      <c r="G54" s="268">
        <v>5</v>
      </c>
      <c r="H54" s="268"/>
      <c r="I54" s="268"/>
      <c r="J54" s="269"/>
      <c r="K54" s="268"/>
      <c r="L54" s="268">
        <v>6</v>
      </c>
      <c r="M54" s="268"/>
      <c r="N54" s="268"/>
      <c r="O54" s="268"/>
      <c r="P54" s="268"/>
      <c r="Q54" s="268" t="s">
        <v>1041</v>
      </c>
      <c r="R54" s="270">
        <f t="shared" si="0"/>
        <v>3.4289815275474211</v>
      </c>
      <c r="S54" s="268" t="s">
        <v>691</v>
      </c>
      <c r="T54" s="268"/>
      <c r="U54" s="261" t="s">
        <v>798</v>
      </c>
      <c r="V54" s="268"/>
      <c r="W54" s="870" t="str">
        <f>IF(AND(OR(IF(includep1,$C54&lt;=1), IF(includep2,$C54&lt;=2), IF(includep3,$C54&lt;=3), IF(includep4,$C54&lt;=4), IF(includep5,$C54&lt;=5)), OR(IF(includejewelcrafting,S54="JC"),IF(includeboe,S54="BoE"),IF(includepvp,S54="PvP"),IF(includequest,S54="Quest"),IF(includeheroic,S54="Heroic"),S54="none"),OR(IF(includegemcommon,U54="common"),IF(includegemrare,U54="rare"),IF(includegemepic,U54="epic"),IF(includejewelcrafting,S54="JC"),U54="none"),IF(NOT(Y54=TRUE),TRUE,FALSE),IF(incDef, TRUE, NOT(Z54))),MAX(W$1:$W53)+1,"")</f>
        <v/>
      </c>
      <c r="X54" s="269">
        <f>SUMPRODUCT(('Gear &amp; Buffs'!$B$10:$B$71=A54)*('Gear &amp; Buffs'!$C$10:$C$71=TRUE))</f>
        <v>0</v>
      </c>
      <c r="Y54" s="271" t="b">
        <f t="shared" si="1"/>
        <v>0</v>
      </c>
      <c r="Z54" s="6" t="b">
        <v>0</v>
      </c>
      <c r="AA54" s="738">
        <v>51</v>
      </c>
      <c r="AB54" s="714" t="str">
        <f t="shared" si="2"/>
        <v/>
      </c>
    </row>
    <row r="55" spans="1:28">
      <c r="A55" s="267" t="s">
        <v>1712</v>
      </c>
      <c r="B55" s="268">
        <v>23104</v>
      </c>
      <c r="C55" s="268">
        <v>1</v>
      </c>
      <c r="D55" s="268"/>
      <c r="E55" s="268"/>
      <c r="F55" s="268"/>
      <c r="G55" s="268">
        <v>3</v>
      </c>
      <c r="H55" s="268"/>
      <c r="I55" s="268"/>
      <c r="J55" s="269"/>
      <c r="K55" s="268"/>
      <c r="L55" s="268">
        <v>4</v>
      </c>
      <c r="M55" s="268"/>
      <c r="N55" s="268"/>
      <c r="O55" s="268"/>
      <c r="P55" s="268"/>
      <c r="Q55" s="268" t="s">
        <v>1041</v>
      </c>
      <c r="R55" s="270">
        <f t="shared" si="0"/>
        <v>2.0573889165284527</v>
      </c>
      <c r="S55" s="268" t="s">
        <v>674</v>
      </c>
      <c r="T55" s="268"/>
      <c r="U55" s="324" t="s">
        <v>800</v>
      </c>
      <c r="V55" s="268"/>
      <c r="W55" s="870" t="str">
        <f>IF(AND(OR(IF(includep1,$C55&lt;=1), IF(includep2,$C55&lt;=2), IF(includep3,$C55&lt;=3), IF(includep4,$C55&lt;=4), IF(includep5,$C55&lt;=5)), OR(IF(includejewelcrafting,S55="JC"),IF(includeboe,S55="BoE"),IF(includepvp,S55="PvP"),IF(includequest,S55="Quest"),IF(includeheroic,S55="Heroic"),S55="none"),OR(IF(includegemcommon,U55="common"),IF(includegemrare,U55="rare"),IF(includegemepic,U55="epic"),IF(includejewelcrafting,S55="JC"),U55="none"),IF(NOT(Y55=TRUE),TRUE,FALSE),IF(incDef, TRUE, NOT(Z55))),MAX(W$1:$W54)+1,"")</f>
        <v/>
      </c>
      <c r="X55" s="269">
        <f>SUMPRODUCT(('Gear &amp; Buffs'!$B$10:$B$71=A55)*('Gear &amp; Buffs'!$C$10:$C$71=TRUE))</f>
        <v>0</v>
      </c>
      <c r="Y55" s="271" t="b">
        <f t="shared" si="1"/>
        <v>0</v>
      </c>
      <c r="Z55" s="6" t="b">
        <v>0</v>
      </c>
      <c r="AA55" s="738">
        <v>52</v>
      </c>
      <c r="AB55" s="714" t="str">
        <f t="shared" si="2"/>
        <v/>
      </c>
    </row>
    <row r="56" spans="1:28">
      <c r="A56" s="267" t="s">
        <v>1713</v>
      </c>
      <c r="B56" s="268">
        <v>32226</v>
      </c>
      <c r="C56" s="268">
        <v>3</v>
      </c>
      <c r="D56" s="268"/>
      <c r="E56" s="268"/>
      <c r="F56" s="268"/>
      <c r="G56" s="268">
        <v>5</v>
      </c>
      <c r="H56" s="268"/>
      <c r="I56" s="268"/>
      <c r="J56" s="269"/>
      <c r="K56" s="268"/>
      <c r="L56" s="268">
        <v>7</v>
      </c>
      <c r="M56" s="268"/>
      <c r="N56" s="268"/>
      <c r="O56" s="268"/>
      <c r="P56" s="268"/>
      <c r="Q56" s="268" t="s">
        <v>1041</v>
      </c>
      <c r="R56" s="270">
        <f t="shared" si="0"/>
        <v>3.4289815275474211</v>
      </c>
      <c r="S56" s="268" t="s">
        <v>674</v>
      </c>
      <c r="T56" s="268"/>
      <c r="U56" s="261" t="s">
        <v>798</v>
      </c>
      <c r="V56" s="268"/>
      <c r="W56" s="870" t="str">
        <f>IF(AND(OR(IF(includep1,$C56&lt;=1), IF(includep2,$C56&lt;=2), IF(includep3,$C56&lt;=3), IF(includep4,$C56&lt;=4), IF(includep5,$C56&lt;=5)), OR(IF(includejewelcrafting,S56="JC"),IF(includeboe,S56="BoE"),IF(includepvp,S56="PvP"),IF(includequest,S56="Quest"),IF(includeheroic,S56="Heroic"),S56="none"),OR(IF(includegemcommon,U56="common"),IF(includegemrare,U56="rare"),IF(includegemepic,U56="epic"),IF(includejewelcrafting,S56="JC"),U56="none"),IF(NOT(Y56=TRUE),TRUE,FALSE),IF(incDef, TRUE, NOT(Z56))),MAX(W$1:$W55)+1,"")</f>
        <v/>
      </c>
      <c r="X56" s="269">
        <f>SUMPRODUCT(('Gear &amp; Buffs'!$B$10:$B$71=A56)*('Gear &amp; Buffs'!$C$10:$C$71=TRUE))</f>
        <v>0</v>
      </c>
      <c r="Y56" s="271" t="b">
        <f t="shared" si="1"/>
        <v>0</v>
      </c>
      <c r="Z56" s="6" t="b">
        <v>0</v>
      </c>
      <c r="AA56" s="738">
        <v>53</v>
      </c>
      <c r="AB56" s="714" t="str">
        <f t="shared" si="2"/>
        <v/>
      </c>
    </row>
    <row r="57" spans="1:28">
      <c r="A57" s="267" t="s">
        <v>1714</v>
      </c>
      <c r="B57" s="268">
        <v>24067</v>
      </c>
      <c r="C57" s="268">
        <v>1</v>
      </c>
      <c r="D57" s="268"/>
      <c r="E57" s="268"/>
      <c r="F57" s="268"/>
      <c r="G57" s="268">
        <v>4</v>
      </c>
      <c r="H57" s="268"/>
      <c r="I57" s="268"/>
      <c r="J57" s="269"/>
      <c r="K57" s="268"/>
      <c r="L57" s="268">
        <v>6</v>
      </c>
      <c r="M57" s="268"/>
      <c r="N57" s="268"/>
      <c r="O57" s="268"/>
      <c r="P57" s="268"/>
      <c r="Q57" s="268" t="s">
        <v>1041</v>
      </c>
      <c r="R57" s="270">
        <f t="shared" si="0"/>
        <v>2.7431852220379369</v>
      </c>
      <c r="S57" s="268" t="s">
        <v>674</v>
      </c>
      <c r="T57" s="268"/>
      <c r="U57" s="323" t="s">
        <v>799</v>
      </c>
      <c r="V57" s="268"/>
      <c r="W57" s="870">
        <f>IF(AND(OR(IF(includep1,$C57&lt;=1), IF(includep2,$C57&lt;=2), IF(includep3,$C57&lt;=3), IF(includep4,$C57&lt;=4), IF(includep5,$C57&lt;=5)), OR(IF(includejewelcrafting,S57="JC"),IF(includeboe,S57="BoE"),IF(includepvp,S57="PvP"),IF(includequest,S57="Quest"),IF(includeheroic,S57="Heroic"),S57="none"),OR(IF(includegemcommon,U57="common"),IF(includegemrare,U57="rare"),IF(includegemepic,U57="epic"),IF(includejewelcrafting,S57="JC"),U57="none"),IF(NOT(Y57=TRUE),TRUE,FALSE),IF(incDef, TRUE, NOT(Z57))),MAX(W$1:$W56)+1,"")</f>
        <v>15</v>
      </c>
      <c r="X57" s="269">
        <f>SUMPRODUCT(('Gear &amp; Buffs'!$B$10:$B$71=A57)*('Gear &amp; Buffs'!$C$10:$C$71=TRUE))</f>
        <v>0</v>
      </c>
      <c r="Y57" s="271" t="b">
        <f t="shared" si="1"/>
        <v>0</v>
      </c>
      <c r="Z57" s="6" t="b">
        <v>0</v>
      </c>
      <c r="AA57" s="738">
        <v>54</v>
      </c>
      <c r="AB57" s="714" t="str">
        <f t="shared" si="2"/>
        <v/>
      </c>
    </row>
    <row r="58" spans="1:28">
      <c r="A58" s="267" t="s">
        <v>1715</v>
      </c>
      <c r="B58" s="268">
        <v>30592</v>
      </c>
      <c r="C58" s="268">
        <v>1</v>
      </c>
      <c r="D58" s="268"/>
      <c r="E58" s="268"/>
      <c r="F58" s="268"/>
      <c r="G58" s="268"/>
      <c r="H58" s="268"/>
      <c r="I58" s="268"/>
      <c r="J58" s="269"/>
      <c r="K58" s="268"/>
      <c r="L58" s="268">
        <v>6</v>
      </c>
      <c r="M58" s="268"/>
      <c r="N58" s="268">
        <v>5</v>
      </c>
      <c r="O58" s="268"/>
      <c r="P58" s="268"/>
      <c r="Q58" s="268" t="s">
        <v>1041</v>
      </c>
      <c r="R58" s="270">
        <f t="shared" si="0"/>
        <v>0</v>
      </c>
      <c r="S58" s="268" t="s">
        <v>691</v>
      </c>
      <c r="T58" s="268"/>
      <c r="U58" s="261" t="s">
        <v>798</v>
      </c>
      <c r="V58" s="268"/>
      <c r="W58" s="870" t="str">
        <f>IF(AND(OR(IF(includep1,$C58&lt;=1), IF(includep2,$C58&lt;=2), IF(includep3,$C58&lt;=3), IF(includep4,$C58&lt;=4), IF(includep5,$C58&lt;=5)), OR(IF(includejewelcrafting,S58="JC"),IF(includeboe,S58="BoE"),IF(includepvp,S58="PvP"),IF(includequest,S58="Quest"),IF(includeheroic,S58="Heroic"),S58="none"),OR(IF(includegemcommon,U58="common"),IF(includegemrare,U58="rare"),IF(includegemepic,U58="epic"),IF(includejewelcrafting,S58="JC"),U58="none"),IF(NOT(Y58=TRUE),TRUE,FALSE),IF(incDef, TRUE, NOT(Z58))),MAX(W$1:$W57)+1,"")</f>
        <v/>
      </c>
      <c r="X58" s="269">
        <f>SUMPRODUCT(('Gear &amp; Buffs'!$B$10:$B$71=A58)*('Gear &amp; Buffs'!$C$10:$C$71=TRUE))</f>
        <v>0</v>
      </c>
      <c r="Y58" s="271" t="b">
        <f t="shared" si="1"/>
        <v>0</v>
      </c>
      <c r="Z58" s="6" t="b">
        <v>1</v>
      </c>
      <c r="AA58" s="738">
        <v>55</v>
      </c>
      <c r="AB58" s="714" t="str">
        <f t="shared" si="2"/>
        <v/>
      </c>
    </row>
    <row r="59" spans="1:28">
      <c r="A59" s="267" t="s">
        <v>1859</v>
      </c>
      <c r="B59" s="268">
        <v>35758</v>
      </c>
      <c r="C59" s="268">
        <v>3</v>
      </c>
      <c r="D59" s="268"/>
      <c r="E59" s="268"/>
      <c r="F59" s="268"/>
      <c r="G59" s="268"/>
      <c r="H59" s="268"/>
      <c r="I59" s="268"/>
      <c r="J59" s="269"/>
      <c r="K59" s="268"/>
      <c r="L59" s="268">
        <v>7</v>
      </c>
      <c r="M59" s="268"/>
      <c r="N59" s="268">
        <v>5</v>
      </c>
      <c r="O59" s="268"/>
      <c r="P59" s="268"/>
      <c r="Q59" s="268" t="s">
        <v>1041</v>
      </c>
      <c r="R59" s="270">
        <f t="shared" si="0"/>
        <v>0</v>
      </c>
      <c r="S59" s="268" t="s">
        <v>674</v>
      </c>
      <c r="T59" s="268"/>
      <c r="U59" s="261" t="s">
        <v>798</v>
      </c>
      <c r="V59" s="268"/>
      <c r="W59" s="870" t="str">
        <f>IF(AND(OR(IF(includep1,$C59&lt;=1), IF(includep2,$C59&lt;=2), IF(includep3,$C59&lt;=3), IF(includep4,$C59&lt;=4), IF(includep5,$C59&lt;=5)), OR(IF(includejewelcrafting,S59="JC"),IF(includeboe,S59="BoE"),IF(includepvp,S59="PvP"),IF(includequest,S59="Quest"),IF(includeheroic,S59="Heroic"),S59="none"),OR(IF(includegemcommon,U59="common"),IF(includegemrare,U59="rare"),IF(includegemepic,U59="epic"),IF(includejewelcrafting,S59="JC"),U59="none"),IF(NOT(Y59=TRUE),TRUE,FALSE),IF(incDef, TRUE, NOT(Z59))),MAX(W$1:$W58)+1,"")</f>
        <v/>
      </c>
      <c r="X59" s="269">
        <f>SUMPRODUCT(('Gear &amp; Buffs'!$B$10:$B$71=A59)*('Gear &amp; Buffs'!$C$10:$C$71=TRUE))</f>
        <v>0</v>
      </c>
      <c r="Y59" s="271" t="b">
        <f t="shared" si="1"/>
        <v>0</v>
      </c>
      <c r="Z59" s="6" t="b">
        <v>1</v>
      </c>
      <c r="AA59" s="738">
        <v>56</v>
      </c>
      <c r="AB59" s="714" t="str">
        <f t="shared" si="2"/>
        <v/>
      </c>
    </row>
    <row r="60" spans="1:28">
      <c r="A60" s="267" t="s">
        <v>1499</v>
      </c>
      <c r="B60" s="268">
        <v>33782</v>
      </c>
      <c r="C60" s="268">
        <v>1</v>
      </c>
      <c r="D60" s="268"/>
      <c r="E60" s="268"/>
      <c r="F60" s="268"/>
      <c r="G60" s="268"/>
      <c r="H60" s="268"/>
      <c r="I60" s="268"/>
      <c r="J60" s="269"/>
      <c r="K60" s="268"/>
      <c r="L60" s="268">
        <v>6</v>
      </c>
      <c r="M60" s="268"/>
      <c r="N60" s="268">
        <v>4</v>
      </c>
      <c r="O60" s="268"/>
      <c r="P60" s="268"/>
      <c r="Q60" s="268" t="s">
        <v>1041</v>
      </c>
      <c r="R60" s="270">
        <f t="shared" si="0"/>
        <v>0</v>
      </c>
      <c r="S60" s="268" t="s">
        <v>674</v>
      </c>
      <c r="T60" s="268"/>
      <c r="U60" s="323" t="s">
        <v>799</v>
      </c>
      <c r="V60" s="268"/>
      <c r="W60" s="870" t="str">
        <f>IF(AND(OR(IF(includep1,$C60&lt;=1), IF(includep2,$C60&lt;=2), IF(includep3,$C60&lt;=3), IF(includep4,$C60&lt;=4), IF(includep5,$C60&lt;=5)), OR(IF(includejewelcrafting,S60="JC"),IF(includeboe,S60="BoE"),IF(includepvp,S60="PvP"),IF(includequest,S60="Quest"),IF(includeheroic,S60="Heroic"),S60="none"),OR(IF(includegemcommon,U60="common"),IF(includegemrare,U60="rare"),IF(includegemepic,U60="epic"),IF(includejewelcrafting,S60="JC"),U60="none"),IF(NOT(Y60=TRUE),TRUE,FALSE),IF(incDef, TRUE, NOT(Z60))),MAX(W$1:$W59)+1,"")</f>
        <v/>
      </c>
      <c r="X60" s="269">
        <f>SUMPRODUCT(('Gear &amp; Buffs'!$B$10:$B$71=A60)*('Gear &amp; Buffs'!$C$10:$C$71=TRUE))</f>
        <v>0</v>
      </c>
      <c r="Y60" s="271" t="b">
        <f t="shared" si="1"/>
        <v>0</v>
      </c>
      <c r="Z60" s="6" t="b">
        <v>1</v>
      </c>
      <c r="AA60" s="738">
        <v>57</v>
      </c>
      <c r="AB60" s="714" t="str">
        <f t="shared" si="2"/>
        <v/>
      </c>
    </row>
    <row r="61" spans="1:28">
      <c r="A61" s="10" t="str">
        <f>" "</f>
        <v xml:space="preserve"> </v>
      </c>
      <c r="B61" s="114"/>
      <c r="C61" s="114">
        <v>1</v>
      </c>
      <c r="D61" s="114"/>
      <c r="E61" s="114"/>
      <c r="F61" s="114"/>
      <c r="G61" s="114"/>
      <c r="H61" s="114"/>
      <c r="I61" s="114"/>
      <c r="K61" s="114"/>
      <c r="L61" s="114"/>
      <c r="M61" s="114"/>
      <c r="N61" s="114"/>
      <c r="O61" s="114"/>
      <c r="P61" s="114"/>
      <c r="Q61" s="114" t="s">
        <v>1033</v>
      </c>
      <c r="R61" s="251">
        <f t="shared" si="0"/>
        <v>0</v>
      </c>
      <c r="S61" s="120" t="s">
        <v>1689</v>
      </c>
      <c r="U61" s="6" t="s">
        <v>1689</v>
      </c>
      <c r="W61" s="870">
        <f>MAX(W$1:$W60)+1</f>
        <v>16</v>
      </c>
      <c r="X61" s="120">
        <f>SUMPRODUCT(('Gear &amp; Buffs'!$B$10:$B$71=A61)*('Gear &amp; Buffs'!$C$10:$C$71=TRUE))</f>
        <v>0</v>
      </c>
      <c r="Y61" s="6" t="b">
        <f t="shared" si="1"/>
        <v>0</v>
      </c>
      <c r="Z61" s="6" t="b">
        <v>0</v>
      </c>
      <c r="AA61" s="738">
        <v>58</v>
      </c>
      <c r="AB61" s="714" t="str">
        <f t="shared" si="2"/>
        <v/>
      </c>
    </row>
    <row r="62" spans="1:28">
      <c r="A62" s="272" t="s">
        <v>1042</v>
      </c>
      <c r="B62" s="273"/>
      <c r="C62" s="273">
        <v>1</v>
      </c>
      <c r="D62" s="273"/>
      <c r="E62" s="273"/>
      <c r="F62" s="273"/>
      <c r="G62" s="273"/>
      <c r="H62" s="273"/>
      <c r="I62" s="273"/>
      <c r="J62" s="274"/>
      <c r="K62" s="273"/>
      <c r="L62" s="273"/>
      <c r="M62" s="273"/>
      <c r="N62" s="273"/>
      <c r="O62" s="273"/>
      <c r="P62" s="273"/>
      <c r="Q62" s="273" t="s">
        <v>1043</v>
      </c>
      <c r="R62" s="275">
        <f t="shared" si="0"/>
        <v>0</v>
      </c>
      <c r="S62" s="273" t="s">
        <v>1689</v>
      </c>
      <c r="T62" s="273"/>
      <c r="U62" s="358" t="s">
        <v>1689</v>
      </c>
      <c r="V62" s="273"/>
      <c r="W62" s="870">
        <f>MAX(W$1:$W61)+1</f>
        <v>17</v>
      </c>
      <c r="X62" s="274">
        <f>SUMPRODUCT(('Gear &amp; Buffs'!$B$10:$B$71=A62)*('Gear &amp; Buffs'!$C$10:$C$71=TRUE))</f>
        <v>0</v>
      </c>
      <c r="Y62" s="276" t="b">
        <f t="shared" si="1"/>
        <v>0</v>
      </c>
      <c r="Z62" s="6" t="b">
        <v>0</v>
      </c>
      <c r="AA62" s="738">
        <v>59</v>
      </c>
      <c r="AB62" s="714" t="str">
        <f t="shared" si="2"/>
        <v/>
      </c>
    </row>
    <row r="63" spans="1:28">
      <c r="A63" s="272" t="s">
        <v>1867</v>
      </c>
      <c r="B63" s="273">
        <v>33144</v>
      </c>
      <c r="C63" s="273">
        <v>3</v>
      </c>
      <c r="D63" s="273"/>
      <c r="E63" s="273"/>
      <c r="F63" s="273"/>
      <c r="G63" s="273"/>
      <c r="H63" s="273"/>
      <c r="I63" s="273"/>
      <c r="J63" s="274"/>
      <c r="K63" s="273"/>
      <c r="L63" s="273"/>
      <c r="M63" s="273"/>
      <c r="N63" s="273"/>
      <c r="O63" s="273">
        <v>12</v>
      </c>
      <c r="P63" s="273"/>
      <c r="Q63" s="273" t="s">
        <v>1043</v>
      </c>
      <c r="R63" s="275">
        <f t="shared" si="0"/>
        <v>0</v>
      </c>
      <c r="S63" s="273" t="s">
        <v>1556</v>
      </c>
      <c r="T63" s="273" t="s">
        <v>728</v>
      </c>
      <c r="U63" s="261" t="s">
        <v>798</v>
      </c>
      <c r="V63" s="273"/>
      <c r="W63" s="870" t="str">
        <f>IF(AND(OR(IF(includep1,$C63&lt;=1), IF(includep2,$C63&lt;=2), IF(includep3,$C63&lt;=3), IF(includep4,$C63&lt;=4), IF(includep5,$C63&lt;=5)), OR(IF(includejewelcrafting,S63="JC"),IF(includeboe,S63="BoE"),IF(includepvp,S63="PvP"),IF(includequest,S63="Quest"),IF(includeheroic,S63="Heroic"),S63="none"),OR(IF(includegemcommon,U63="common"),IF(includegemrare,U63="rare"),IF(includegemepic,U63="epic"),IF(includejewelcrafting,S63="JC"),U63="none"),IF(NOT(Y63=TRUE),TRUE,FALSE),IF(incDef, TRUE, NOT(Z63))),MAX(W$1:$W62)+1,"")</f>
        <v/>
      </c>
      <c r="X63" s="274">
        <f>SUMPRODUCT(('Gear &amp; Buffs'!$B$10:$B$71=A63)*('Gear &amp; Buffs'!$C$10:$C$71=TRUE))</f>
        <v>0</v>
      </c>
      <c r="Y63" s="276" t="b">
        <f t="shared" si="1"/>
        <v>0</v>
      </c>
      <c r="Z63" s="6" t="b">
        <v>1</v>
      </c>
      <c r="AA63" s="738">
        <v>60</v>
      </c>
      <c r="AB63" s="714" t="str">
        <f t="shared" si="2"/>
        <v/>
      </c>
    </row>
    <row r="64" spans="1:28">
      <c r="A64" s="272" t="s">
        <v>1500</v>
      </c>
      <c r="B64" s="273">
        <v>24053</v>
      </c>
      <c r="C64" s="273">
        <v>1</v>
      </c>
      <c r="D64" s="273"/>
      <c r="E64" s="273"/>
      <c r="F64" s="273"/>
      <c r="G64" s="273"/>
      <c r="H64" s="273"/>
      <c r="I64" s="273"/>
      <c r="J64" s="274"/>
      <c r="K64" s="273"/>
      <c r="L64" s="273"/>
      <c r="M64" s="273"/>
      <c r="N64" s="273">
        <v>8</v>
      </c>
      <c r="O64" s="273"/>
      <c r="P64" s="273"/>
      <c r="Q64" s="273" t="s">
        <v>1043</v>
      </c>
      <c r="R64" s="275">
        <f t="shared" si="0"/>
        <v>0</v>
      </c>
      <c r="S64" s="273" t="s">
        <v>674</v>
      </c>
      <c r="T64" s="273"/>
      <c r="U64" s="323" t="s">
        <v>799</v>
      </c>
      <c r="V64" s="273"/>
      <c r="W64" s="870" t="str">
        <f>IF(AND(OR(IF(includep1,$C64&lt;=1), IF(includep2,$C64&lt;=2), IF(includep3,$C64&lt;=3), IF(includep4,$C64&lt;=4), IF(includep5,$C64&lt;=5)), OR(IF(includejewelcrafting,S64="JC"),IF(includeboe,S64="BoE"),IF(includepvp,S64="PvP"),IF(includequest,S64="Quest"),IF(includeheroic,S64="Heroic"),S64="none"),OR(IF(includegemcommon,U64="common"),IF(includegemrare,U64="rare"),IF(includegemepic,U64="epic"),IF(includejewelcrafting,S64="JC"),U64="none"),IF(NOT(Y64=TRUE),TRUE,FALSE),IF(incDef, TRUE, NOT(Z64))),MAX(W$1:$W63)+1,"")</f>
        <v/>
      </c>
      <c r="X64" s="274">
        <f>SUMPRODUCT(('Gear &amp; Buffs'!$B$10:$B$71=A64)*('Gear &amp; Buffs'!$C$10:$C$71=TRUE))</f>
        <v>0</v>
      </c>
      <c r="Y64" s="276" t="b">
        <f t="shared" si="1"/>
        <v>0</v>
      </c>
      <c r="Z64" s="6" t="b">
        <v>1</v>
      </c>
      <c r="AA64" s="738">
        <v>61</v>
      </c>
      <c r="AB64" s="714" t="str">
        <f t="shared" si="2"/>
        <v/>
      </c>
    </row>
    <row r="65" spans="1:28">
      <c r="A65" s="272" t="s">
        <v>1982</v>
      </c>
      <c r="B65" s="273">
        <v>32209</v>
      </c>
      <c r="C65" s="273">
        <v>3</v>
      </c>
      <c r="D65" s="273"/>
      <c r="E65" s="273"/>
      <c r="F65" s="273"/>
      <c r="G65" s="273"/>
      <c r="H65" s="273"/>
      <c r="I65" s="273"/>
      <c r="J65" s="274"/>
      <c r="K65" s="273"/>
      <c r="L65" s="273"/>
      <c r="M65" s="273"/>
      <c r="N65" s="273">
        <v>10</v>
      </c>
      <c r="O65" s="273"/>
      <c r="P65" s="273"/>
      <c r="Q65" s="273" t="s">
        <v>1043</v>
      </c>
      <c r="R65" s="275">
        <f t="shared" si="0"/>
        <v>0</v>
      </c>
      <c r="S65" s="273" t="s">
        <v>674</v>
      </c>
      <c r="T65" s="273"/>
      <c r="U65" s="261" t="s">
        <v>798</v>
      </c>
      <c r="V65" s="273"/>
      <c r="W65" s="870" t="str">
        <f>IF(AND(OR(IF(includep1,$C65&lt;=1), IF(includep2,$C65&lt;=2), IF(includep3,$C65&lt;=3), IF(includep4,$C65&lt;=4), IF(includep5,$C65&lt;=5)), OR(IF(includejewelcrafting,S65="JC"),IF(includeboe,S65="BoE"),IF(includepvp,S65="PvP"),IF(includequest,S65="Quest"),IF(includeheroic,S65="Heroic"),S65="none"),OR(IF(includegemcommon,U65="common"),IF(includegemrare,U65="rare"),IF(includegemepic,U65="epic"),IF(includejewelcrafting,S65="JC"),U65="none"),IF(NOT(Y65=TRUE),TRUE,FALSE),IF(incDef, TRUE, NOT(Z65))),MAX(W$1:$W64)+1,"")</f>
        <v/>
      </c>
      <c r="X65" s="274">
        <f>SUMPRODUCT(('Gear &amp; Buffs'!$B$10:$B$71=A65)*('Gear &amp; Buffs'!$C$10:$C$71=TRUE))</f>
        <v>0</v>
      </c>
      <c r="Y65" s="276" t="b">
        <f t="shared" si="1"/>
        <v>0</v>
      </c>
      <c r="Z65" s="6" t="b">
        <v>1</v>
      </c>
      <c r="AA65" s="738">
        <v>62</v>
      </c>
      <c r="AB65" s="714" t="str">
        <f t="shared" si="2"/>
        <v/>
      </c>
    </row>
    <row r="66" spans="1:28">
      <c r="A66" s="272" t="s">
        <v>1983</v>
      </c>
      <c r="B66" s="273">
        <v>24051</v>
      </c>
      <c r="C66" s="273">
        <v>1</v>
      </c>
      <c r="D66" s="273"/>
      <c r="E66" s="273"/>
      <c r="F66" s="273"/>
      <c r="G66" s="273"/>
      <c r="H66" s="273">
        <v>8</v>
      </c>
      <c r="I66" s="273"/>
      <c r="J66" s="274"/>
      <c r="K66" s="273"/>
      <c r="L66" s="273"/>
      <c r="M66" s="273"/>
      <c r="N66" s="273"/>
      <c r="O66" s="273"/>
      <c r="P66" s="273"/>
      <c r="Q66" s="273" t="s">
        <v>1043</v>
      </c>
      <c r="R66" s="275">
        <f t="shared" si="0"/>
        <v>44.400251737017243</v>
      </c>
      <c r="S66" s="273" t="s">
        <v>674</v>
      </c>
      <c r="T66" s="273"/>
      <c r="U66" s="323" t="s">
        <v>799</v>
      </c>
      <c r="V66" s="273"/>
      <c r="W66" s="870">
        <f>IF(AND(OR(IF(includep1,$C66&lt;=1), IF(includep2,$C66&lt;=2), IF(includep3,$C66&lt;=3), IF(includep4,$C66&lt;=4), IF(includep5,$C66&lt;=5)), OR(IF(includejewelcrafting,S66="JC"),IF(includeboe,S66="BoE"),IF(includepvp,S66="PvP"),IF(includequest,S66="Quest"),IF(includeheroic,S66="Heroic"),S66="none"),OR(IF(includegemcommon,U66="common"),IF(includegemrare,U66="rare"),IF(includegemepic,U66="epic"),IF(includejewelcrafting,S66="JC"),U66="none"),IF(NOT(Y66=TRUE),TRUE,FALSE),IF(incDef, TRUE, NOT(Z66))),MAX(W$1:$W65)+1,"")</f>
        <v>18</v>
      </c>
      <c r="X66" s="274">
        <f>SUMPRODUCT(('Gear &amp; Buffs'!$B$10:$B$71=A66)*('Gear &amp; Buffs'!$C$10:$C$71=TRUE))</f>
        <v>10</v>
      </c>
      <c r="Y66" s="276" t="b">
        <f t="shared" si="1"/>
        <v>0</v>
      </c>
      <c r="Z66" s="6" t="b">
        <v>0</v>
      </c>
      <c r="AA66" s="738">
        <v>63</v>
      </c>
      <c r="AB66" s="714" t="str">
        <f t="shared" si="2"/>
        <v/>
      </c>
    </row>
    <row r="67" spans="1:28">
      <c r="A67" s="272" t="s">
        <v>1984</v>
      </c>
      <c r="B67" s="273">
        <v>23116</v>
      </c>
      <c r="C67" s="273">
        <v>1</v>
      </c>
      <c r="D67" s="273"/>
      <c r="E67" s="273"/>
      <c r="F67" s="273"/>
      <c r="G67" s="273"/>
      <c r="H67" s="273">
        <v>6</v>
      </c>
      <c r="I67" s="273"/>
      <c r="J67" s="274"/>
      <c r="K67" s="273"/>
      <c r="L67" s="273"/>
      <c r="M67" s="273"/>
      <c r="N67" s="273"/>
      <c r="O67" s="273"/>
      <c r="P67" s="273"/>
      <c r="Q67" s="273" t="s">
        <v>1043</v>
      </c>
      <c r="R67" s="275">
        <f t="shared" si="0"/>
        <v>33.300188802762932</v>
      </c>
      <c r="S67" s="273" t="s">
        <v>674</v>
      </c>
      <c r="T67" s="273"/>
      <c r="U67" s="324" t="s">
        <v>800</v>
      </c>
      <c r="V67" s="273"/>
      <c r="W67" s="870" t="str">
        <f>IF(AND(OR(IF(includep1,$C67&lt;=1), IF(includep2,$C67&lt;=2), IF(includep3,$C67&lt;=3), IF(includep4,$C67&lt;=4), IF(includep5,$C67&lt;=5)), OR(IF(includejewelcrafting,S67="JC"),IF(includeboe,S67="BoE"),IF(includepvp,S67="PvP"),IF(includequest,S67="Quest"),IF(includeheroic,S67="Heroic"),S67="none"),OR(IF(includegemcommon,U67="common"),IF(includegemrare,U67="rare"),IF(includegemepic,U67="epic"),IF(includejewelcrafting,S67="JC"),U67="none"),IF(NOT(Y67=TRUE),TRUE,FALSE),IF(incDef, TRUE, NOT(Z67))),MAX(W$1:$W66)+1,"")</f>
        <v/>
      </c>
      <c r="X67" s="274">
        <f>SUMPRODUCT(('Gear &amp; Buffs'!$B$10:$B$71=A67)*('Gear &amp; Buffs'!$C$10:$C$71=TRUE))</f>
        <v>0</v>
      </c>
      <c r="Y67" s="276" t="b">
        <f t="shared" si="1"/>
        <v>0</v>
      </c>
      <c r="Z67" s="6" t="b">
        <v>0</v>
      </c>
      <c r="AA67" s="738">
        <v>64</v>
      </c>
      <c r="AB67" s="714" t="str">
        <f t="shared" si="2"/>
        <v/>
      </c>
    </row>
    <row r="68" spans="1:28">
      <c r="A68" s="272" t="s">
        <v>1985</v>
      </c>
      <c r="B68" s="273">
        <v>32206</v>
      </c>
      <c r="C68" s="273">
        <v>3</v>
      </c>
      <c r="D68" s="273"/>
      <c r="E68" s="273"/>
      <c r="F68" s="273"/>
      <c r="G68" s="273"/>
      <c r="H68" s="273">
        <v>10</v>
      </c>
      <c r="I68" s="273"/>
      <c r="J68" s="274"/>
      <c r="K68" s="273"/>
      <c r="L68" s="273"/>
      <c r="M68" s="273"/>
      <c r="N68" s="273"/>
      <c r="O68" s="273"/>
      <c r="P68" s="273"/>
      <c r="Q68" s="273" t="s">
        <v>1043</v>
      </c>
      <c r="R68" s="275">
        <f t="shared" si="0"/>
        <v>55.500314671271553</v>
      </c>
      <c r="S68" s="273" t="s">
        <v>674</v>
      </c>
      <c r="T68" s="273"/>
      <c r="U68" s="261" t="s">
        <v>798</v>
      </c>
      <c r="V68" s="273"/>
      <c r="W68" s="870" t="str">
        <f>IF(AND(OR(IF(includep1,$C68&lt;=1), IF(includep2,$C68&lt;=2), IF(includep3,$C68&lt;=3), IF(includep4,$C68&lt;=4), IF(includep5,$C68&lt;=5)), OR(IF(includejewelcrafting,S68="JC"),IF(includeboe,S68="BoE"),IF(includepvp,S68="PvP"),IF(includequest,S68="Quest"),IF(includeheroic,S68="Heroic"),S68="none"),OR(IF(includegemcommon,U68="common"),IF(includegemrare,U68="rare"),IF(includegemepic,U68="epic"),IF(includejewelcrafting,S68="JC"),U68="none"),IF(NOT(Y68=TRUE),TRUE,FALSE),IF(incDef, TRUE, NOT(Z68))),MAX(W$1:$W67)+1,"")</f>
        <v/>
      </c>
      <c r="X68" s="274">
        <f>SUMPRODUCT(('Gear &amp; Buffs'!$B$10:$B$71=A68)*('Gear &amp; Buffs'!$C$10:$C$71=TRUE))</f>
        <v>0</v>
      </c>
      <c r="Y68" s="276" t="b">
        <f t="shared" si="1"/>
        <v>0</v>
      </c>
      <c r="Z68" s="6" t="b">
        <v>0</v>
      </c>
      <c r="AA68" s="738">
        <v>65</v>
      </c>
      <c r="AB68" s="714" t="str">
        <f t="shared" si="2"/>
        <v/>
      </c>
    </row>
    <row r="69" spans="1:28">
      <c r="A69" s="272" t="s">
        <v>559</v>
      </c>
      <c r="B69" s="273">
        <v>24048</v>
      </c>
      <c r="C69" s="273">
        <v>1</v>
      </c>
      <c r="D69" s="273"/>
      <c r="E69" s="273"/>
      <c r="F69" s="273"/>
      <c r="G69" s="273">
        <v>8</v>
      </c>
      <c r="H69" s="273"/>
      <c r="I69" s="273"/>
      <c r="J69" s="274"/>
      <c r="K69" s="273"/>
      <c r="L69" s="273"/>
      <c r="M69" s="273"/>
      <c r="N69" s="273"/>
      <c r="O69" s="273"/>
      <c r="P69" s="273"/>
      <c r="Q69" s="273" t="s">
        <v>1043</v>
      </c>
      <c r="R69" s="275">
        <f t="shared" si="0"/>
        <v>5.4863704440758738</v>
      </c>
      <c r="S69" s="273" t="s">
        <v>674</v>
      </c>
      <c r="T69" s="273"/>
      <c r="U69" s="323" t="s">
        <v>799</v>
      </c>
      <c r="V69" s="273"/>
      <c r="W69" s="870">
        <f>IF(AND(OR(IF(includep1,$C69&lt;=1), IF(includep2,$C69&lt;=2), IF(includep3,$C69&lt;=3), IF(includep4,$C69&lt;=4), IF(includep5,$C69&lt;=5)), OR(IF(includejewelcrafting,S69="JC"),IF(includeboe,S69="BoE"),IF(includepvp,S69="PvP"),IF(includequest,S69="Quest"),IF(includeheroic,S69="Heroic"),S69="none"),OR(IF(includegemcommon,U69="common"),IF(includegemrare,U69="rare"),IF(includegemepic,U69="epic"),IF(includejewelcrafting,S69="JC"),U69="none"),IF(NOT(Y69=TRUE),TRUE,FALSE),IF(incDef, TRUE, NOT(Z69))),MAX(W$1:$W68)+1,"")</f>
        <v>19</v>
      </c>
      <c r="X69" s="274">
        <f>SUMPRODUCT(('Gear &amp; Buffs'!$B$10:$B$71=A69)*('Gear &amp; Buffs'!$C$10:$C$71=TRUE))</f>
        <v>0</v>
      </c>
      <c r="Y69" s="276" t="b">
        <f t="shared" si="1"/>
        <v>0</v>
      </c>
      <c r="Z69" s="6" t="b">
        <v>0</v>
      </c>
      <c r="AA69" s="738">
        <v>66</v>
      </c>
      <c r="AB69" s="714" t="str">
        <f t="shared" si="2"/>
        <v/>
      </c>
    </row>
    <row r="70" spans="1:28">
      <c r="A70" s="272" t="s">
        <v>560</v>
      </c>
      <c r="B70" s="273">
        <v>28290</v>
      </c>
      <c r="C70" s="273">
        <v>1</v>
      </c>
      <c r="D70" s="273"/>
      <c r="E70" s="273"/>
      <c r="F70" s="273"/>
      <c r="G70" s="273">
        <v>6</v>
      </c>
      <c r="H70" s="273"/>
      <c r="I70" s="273"/>
      <c r="J70" s="274"/>
      <c r="K70" s="273"/>
      <c r="L70" s="273"/>
      <c r="M70" s="273"/>
      <c r="N70" s="273"/>
      <c r="O70" s="273"/>
      <c r="P70" s="273"/>
      <c r="Q70" s="273" t="s">
        <v>1043</v>
      </c>
      <c r="R70" s="275">
        <f t="shared" si="0"/>
        <v>4.1147778330569054</v>
      </c>
      <c r="S70" s="273" t="s">
        <v>674</v>
      </c>
      <c r="T70" s="273"/>
      <c r="U70" s="324" t="s">
        <v>800</v>
      </c>
      <c r="V70" s="273"/>
      <c r="W70" s="870" t="str">
        <f>IF(AND(OR(IF(includep1,$C70&lt;=1), IF(includep2,$C70&lt;=2), IF(includep3,$C70&lt;=3), IF(includep4,$C70&lt;=4), IF(includep5,$C70&lt;=5)), OR(IF(includejewelcrafting,S70="JC"),IF(includeboe,S70="BoE"),IF(includepvp,S70="PvP"),IF(includequest,S70="Quest"),IF(includeheroic,S70="Heroic"),S70="none"),OR(IF(includegemcommon,U70="common"),IF(includegemrare,U70="rare"),IF(includegemepic,U70="epic"),IF(includejewelcrafting,S70="JC"),U70="none"),IF(NOT(Y70=TRUE),TRUE,FALSE),IF(incDef, TRUE, NOT(Z70))),MAX(W$1:$W69)+1,"")</f>
        <v/>
      </c>
      <c r="X70" s="274">
        <f>SUMPRODUCT(('Gear &amp; Buffs'!$B$10:$B$71=A70)*('Gear &amp; Buffs'!$C$10:$C$71=TRUE))</f>
        <v>0</v>
      </c>
      <c r="Y70" s="276" t="b">
        <f t="shared" si="1"/>
        <v>0</v>
      </c>
      <c r="Z70" s="6" t="b">
        <v>0</v>
      </c>
      <c r="AA70" s="738">
        <v>67</v>
      </c>
      <c r="AB70" s="714" t="str">
        <f t="shared" si="2"/>
        <v/>
      </c>
    </row>
    <row r="71" spans="1:28">
      <c r="A71" s="272" t="s">
        <v>2043</v>
      </c>
      <c r="B71" s="273">
        <v>32205</v>
      </c>
      <c r="C71" s="273">
        <v>3</v>
      </c>
      <c r="D71" s="273"/>
      <c r="E71" s="273"/>
      <c r="F71" s="273"/>
      <c r="G71" s="273">
        <v>10</v>
      </c>
      <c r="H71" s="273"/>
      <c r="I71" s="273"/>
      <c r="J71" s="274"/>
      <c r="K71" s="273"/>
      <c r="L71" s="273"/>
      <c r="M71" s="273"/>
      <c r="N71" s="273"/>
      <c r="O71" s="273"/>
      <c r="P71" s="273"/>
      <c r="Q71" s="273" t="s">
        <v>1043</v>
      </c>
      <c r="R71" s="275">
        <f t="shared" si="0"/>
        <v>6.8579630550948423</v>
      </c>
      <c r="S71" s="273" t="s">
        <v>674</v>
      </c>
      <c r="T71" s="273"/>
      <c r="U71" s="261" t="s">
        <v>798</v>
      </c>
      <c r="V71" s="273"/>
      <c r="W71" s="870" t="str">
        <f>IF(AND(OR(IF(includep1,$C71&lt;=1), IF(includep2,$C71&lt;=2), IF(includep3,$C71&lt;=3), IF(includep4,$C71&lt;=4), IF(includep5,$C71&lt;=5)), OR(IF(includejewelcrafting,S71="JC"),IF(includeboe,S71="BoE"),IF(includepvp,S71="PvP"),IF(includequest,S71="Quest"),IF(includeheroic,S71="Heroic"),S71="none"),OR(IF(includegemcommon,U71="common"),IF(includegemrare,U71="rare"),IF(includegemepic,U71="epic"),IF(includejewelcrafting,S71="JC"),U71="none"),IF(NOT(Y71=TRUE),TRUE,FALSE),IF(incDef, TRUE, NOT(Z71))),MAX(W$1:$W70)+1,"")</f>
        <v/>
      </c>
      <c r="X71" s="274">
        <f>SUMPRODUCT(('Gear &amp; Buffs'!$B$10:$B$71=A71)*('Gear &amp; Buffs'!$C$10:$C$71=TRUE))</f>
        <v>0</v>
      </c>
      <c r="Y71" s="276" t="b">
        <f t="shared" si="1"/>
        <v>0</v>
      </c>
      <c r="Z71" s="6" t="b">
        <v>0</v>
      </c>
      <c r="AA71" s="738">
        <v>68</v>
      </c>
      <c r="AB71" s="714" t="str">
        <f t="shared" ref="AB71:AB105" si="5">IF(ISNA(INDEX($A$4:$A$105,MATCH(AA71,W$4:W$105,0))), "", INDEX($A$4:$A$105,MATCH(AA71,W$4:W$105,0)))</f>
        <v/>
      </c>
    </row>
    <row r="72" spans="1:28">
      <c r="A72" s="272" t="s">
        <v>1419</v>
      </c>
      <c r="B72" s="273">
        <v>28119</v>
      </c>
      <c r="C72" s="273">
        <v>1</v>
      </c>
      <c r="D72" s="273"/>
      <c r="E72" s="273"/>
      <c r="F72" s="273"/>
      <c r="G72" s="273">
        <v>10</v>
      </c>
      <c r="H72" s="273"/>
      <c r="I72" s="273"/>
      <c r="J72" s="274"/>
      <c r="K72" s="273"/>
      <c r="L72" s="273"/>
      <c r="M72" s="273"/>
      <c r="N72" s="273"/>
      <c r="O72" s="273"/>
      <c r="P72" s="273"/>
      <c r="Q72" s="273" t="s">
        <v>1043</v>
      </c>
      <c r="R72" s="275">
        <f t="shared" si="0"/>
        <v>6.8579630550948423</v>
      </c>
      <c r="S72" s="273" t="s">
        <v>677</v>
      </c>
      <c r="T72" s="273" t="s">
        <v>728</v>
      </c>
      <c r="U72" s="261" t="s">
        <v>798</v>
      </c>
      <c r="V72" s="273"/>
      <c r="W72" s="870" t="str">
        <f>IF(AND(OR(IF(includep1,$C72&lt;=1), IF(includep2,$C72&lt;=2), IF(includep3,$C72&lt;=3), IF(includep4,$C72&lt;=4), IF(includep5,$C72&lt;=5)), OR(IF(includejewelcrafting,S72="JC"),IF(includeboe,S72="BoE"),IF(includepvp,S72="PvP"),IF(includequest,S72="Quest"),IF(includeheroic,S72="Heroic"),S72="none"),OR(IF(includegemcommon,U72="common"),IF(includegemrare,U72="rare"),IF(includegemepic,U72="epic"),IF(includejewelcrafting,S72="JC"),U72="none"),IF(NOT(Y72=TRUE),TRUE,FALSE),IF(incDef, TRUE, NOT(Z72))),MAX(W$1:$W71)+1,"")</f>
        <v/>
      </c>
      <c r="X72" s="274">
        <f>SUMPRODUCT(('Gear &amp; Buffs'!$B$10:$B$71=A72)*('Gear &amp; Buffs'!$C$10:$C$71=TRUE))</f>
        <v>0</v>
      </c>
      <c r="Y72" s="276" t="b">
        <f t="shared" si="1"/>
        <v>0</v>
      </c>
      <c r="Z72" s="6" t="b">
        <v>0</v>
      </c>
      <c r="AA72" s="738">
        <v>69</v>
      </c>
      <c r="AB72" s="714" t="str">
        <f t="shared" si="5"/>
        <v/>
      </c>
    </row>
    <row r="73" spans="1:28">
      <c r="A73" s="272" t="s">
        <v>1667</v>
      </c>
      <c r="B73" s="273">
        <v>33143</v>
      </c>
      <c r="C73" s="273">
        <v>3</v>
      </c>
      <c r="D73" s="273"/>
      <c r="E73" s="273"/>
      <c r="F73" s="273"/>
      <c r="G73" s="273">
        <v>12</v>
      </c>
      <c r="H73" s="273"/>
      <c r="I73" s="273"/>
      <c r="J73" s="274"/>
      <c r="K73" s="273"/>
      <c r="L73" s="273"/>
      <c r="M73" s="273"/>
      <c r="N73" s="273"/>
      <c r="O73" s="273"/>
      <c r="P73" s="273"/>
      <c r="Q73" s="273" t="s">
        <v>1043</v>
      </c>
      <c r="R73" s="275">
        <f>$D73*dpsStr+$E73*dpsAgi+$G73*dpsCrit+$H73*dpsHit+$F73*dpsAP+$I73*dpsHaste+$J73*dpsArmor+$K73*dpsExp</f>
        <v>8.2295556661138107</v>
      </c>
      <c r="S73" s="273" t="s">
        <v>1556</v>
      </c>
      <c r="T73" s="273" t="s">
        <v>728</v>
      </c>
      <c r="U73" s="261" t="s">
        <v>798</v>
      </c>
      <c r="V73" s="273"/>
      <c r="W73" s="870" t="str">
        <f>IF(AND(OR(IF(includep1,$C73&lt;=1), IF(includep2,$C73&lt;=2), IF(includep3,$C73&lt;=3), IF(includep4,$C73&lt;=4), IF(includep5,$C73&lt;=5)), OR(IF(includejewelcrafting,S73="JC"),IF(includeboe,S73="BoE"),IF(includepvp,S73="PvP"),IF(includequest,S73="Quest"),IF(includeheroic,S73="Heroic"),S73="none"),OR(IF(includegemcommon,U73="common"),IF(includegemrare,U73="rare"),IF(includegemepic,U73="epic"),IF(includejewelcrafting,S73="JC"),U73="none"),IF(NOT(Y73=TRUE),TRUE,FALSE),IF(incDef, TRUE, NOT(Z73))),MAX(W$1:$W72)+1,"")</f>
        <v/>
      </c>
      <c r="X73" s="274">
        <f>SUMPRODUCT(('Gear &amp; Buffs'!$B$10:$B$71=A73)*('Gear &amp; Buffs'!$C$10:$C$71=TRUE))</f>
        <v>0</v>
      </c>
      <c r="Y73" s="276" t="b">
        <f t="shared" si="1"/>
        <v>0</v>
      </c>
      <c r="Z73" s="6" t="b">
        <v>0</v>
      </c>
      <c r="AA73" s="738">
        <v>70</v>
      </c>
      <c r="AB73" s="714" t="str">
        <f t="shared" si="5"/>
        <v/>
      </c>
    </row>
    <row r="74" spans="1:28">
      <c r="A74" s="272" t="s">
        <v>1420</v>
      </c>
      <c r="B74" s="273">
        <v>27679</v>
      </c>
      <c r="C74" s="273">
        <v>3</v>
      </c>
      <c r="D74" s="273"/>
      <c r="E74" s="273"/>
      <c r="F74" s="273"/>
      <c r="G74" s="273"/>
      <c r="H74" s="273"/>
      <c r="I74" s="273"/>
      <c r="J74" s="274"/>
      <c r="K74" s="273"/>
      <c r="L74" s="273"/>
      <c r="M74" s="273"/>
      <c r="N74" s="273">
        <v>10</v>
      </c>
      <c r="O74" s="273"/>
      <c r="P74" s="273"/>
      <c r="Q74" s="273" t="s">
        <v>1043</v>
      </c>
      <c r="R74" s="275">
        <f t="shared" si="0"/>
        <v>0</v>
      </c>
      <c r="S74" s="273" t="s">
        <v>677</v>
      </c>
      <c r="T74" s="273" t="s">
        <v>728</v>
      </c>
      <c r="U74" s="261" t="s">
        <v>798</v>
      </c>
      <c r="V74" s="273"/>
      <c r="W74" s="870" t="str">
        <f>IF(AND(OR(IF(includep1,$C74&lt;=1), IF(includep2,$C74&lt;=2), IF(includep3,$C74&lt;=3), IF(includep4,$C74&lt;=4), IF(includep5,$C74&lt;=5)), OR(IF(includejewelcrafting,S74="JC"),IF(includeboe,S74="BoE"),IF(includepvp,S74="PvP"),IF(includequest,S74="Quest"),IF(includeheroic,S74="Heroic"),S74="none"),OR(IF(includegemcommon,U74="common"),IF(includegemrare,U74="rare"),IF(includegemepic,U74="epic"),IF(includejewelcrafting,S74="JC"),U74="none"),IF(NOT(Y74=TRUE),TRUE,FALSE),IF(incDef, TRUE, NOT(Z74))),MAX(W$1:$W73)+1,"")</f>
        <v/>
      </c>
      <c r="X74" s="274">
        <f>SUMPRODUCT(('Gear &amp; Buffs'!$B$10:$B$71=A74)*('Gear &amp; Buffs'!$C$10:$C$71=TRUE))</f>
        <v>0</v>
      </c>
      <c r="Y74" s="276" t="b">
        <f t="shared" si="1"/>
        <v>0</v>
      </c>
      <c r="Z74" s="6" t="b">
        <v>1</v>
      </c>
      <c r="AA74" s="738">
        <v>71</v>
      </c>
      <c r="AB74" s="714" t="str">
        <f t="shared" si="5"/>
        <v/>
      </c>
    </row>
    <row r="75" spans="1:28">
      <c r="A75" s="272" t="s">
        <v>1872</v>
      </c>
      <c r="B75" s="273">
        <v>24052</v>
      </c>
      <c r="C75" s="273">
        <v>1</v>
      </c>
      <c r="D75" s="273"/>
      <c r="E75" s="273"/>
      <c r="F75" s="273"/>
      <c r="G75" s="273"/>
      <c r="H75" s="273"/>
      <c r="I75" s="273"/>
      <c r="J75" s="274"/>
      <c r="K75" s="273"/>
      <c r="L75" s="273"/>
      <c r="M75" s="273"/>
      <c r="N75" s="273"/>
      <c r="O75" s="273">
        <v>8</v>
      </c>
      <c r="P75" s="273"/>
      <c r="Q75" s="273" t="s">
        <v>1043</v>
      </c>
      <c r="R75" s="275">
        <f t="shared" si="0"/>
        <v>0</v>
      </c>
      <c r="S75" s="273" t="s">
        <v>674</v>
      </c>
      <c r="T75" s="273"/>
      <c r="U75" s="323" t="s">
        <v>799</v>
      </c>
      <c r="V75" s="273"/>
      <c r="W75" s="870" t="str">
        <f>IF(AND(OR(IF(includep1,$C75&lt;=1), IF(includep2,$C75&lt;=2), IF(includep3,$C75&lt;=3), IF(includep4,$C75&lt;=4), IF(includep5,$C75&lt;=5)), OR(IF(includejewelcrafting,S75="JC"),IF(includeboe,S75="BoE"),IF(includepvp,S75="PvP"),IF(includequest,S75="Quest"),IF(includeheroic,S75="Heroic"),S75="none"),OR(IF(includegemcommon,U75="common"),IF(includegemrare,U75="rare"),IF(includegemepic,U75="epic"),IF(includejewelcrafting,S75="JC"),U75="none"),IF(NOT(Y75=TRUE),TRUE,FALSE),IF(incDef, TRUE, NOT(Z75))),MAX(W$1:$W74)+1,"")</f>
        <v/>
      </c>
      <c r="X75" s="274">
        <f>SUMPRODUCT(('Gear &amp; Buffs'!$B$10:$B$71=A75)*('Gear &amp; Buffs'!$C$10:$C$71=TRUE))</f>
        <v>0</v>
      </c>
      <c r="Y75" s="276" t="b">
        <f t="shared" si="1"/>
        <v>0</v>
      </c>
      <c r="Z75" s="6" t="b">
        <v>1</v>
      </c>
      <c r="AA75" s="738">
        <v>72</v>
      </c>
      <c r="AB75" s="714" t="str">
        <f t="shared" si="5"/>
        <v/>
      </c>
    </row>
    <row r="76" spans="1:28">
      <c r="A76" s="272" t="s">
        <v>1873</v>
      </c>
      <c r="B76" s="273">
        <v>23115</v>
      </c>
      <c r="C76" s="273">
        <v>1</v>
      </c>
      <c r="D76" s="273"/>
      <c r="E76" s="273"/>
      <c r="F76" s="273"/>
      <c r="G76" s="273"/>
      <c r="H76" s="273"/>
      <c r="I76" s="273"/>
      <c r="J76" s="274"/>
      <c r="K76" s="273"/>
      <c r="L76" s="273"/>
      <c r="M76" s="273"/>
      <c r="N76" s="273"/>
      <c r="O76" s="273">
        <v>6</v>
      </c>
      <c r="P76" s="273"/>
      <c r="Q76" s="273" t="s">
        <v>1043</v>
      </c>
      <c r="R76" s="275">
        <f t="shared" si="0"/>
        <v>0</v>
      </c>
      <c r="S76" s="273" t="s">
        <v>674</v>
      </c>
      <c r="T76" s="273"/>
      <c r="U76" s="324" t="s">
        <v>800</v>
      </c>
      <c r="V76" s="273"/>
      <c r="W76" s="870" t="str">
        <f>IF(AND(OR(IF(includep1,$C76&lt;=1), IF(includep2,$C76&lt;=2), IF(includep3,$C76&lt;=3), IF(includep4,$C76&lt;=4), IF(includep5,$C76&lt;=5)), OR(IF(includejewelcrafting,S76="JC"),IF(includeboe,S76="BoE"),IF(includepvp,S76="PvP"),IF(includequest,S76="Quest"),IF(includeheroic,S76="Heroic"),S76="none"),OR(IF(includegemcommon,U76="common"),IF(includegemrare,U76="rare"),IF(includegemepic,U76="epic"),IF(includejewelcrafting,S76="JC"),U76="none"),IF(NOT(Y76=TRUE),TRUE,FALSE),IF(incDef, TRUE, NOT(Z76))),MAX(W$1:$W75)+1,"")</f>
        <v/>
      </c>
      <c r="X76" s="274">
        <f>SUMPRODUCT(('Gear &amp; Buffs'!$B$10:$B$71=A76)*('Gear &amp; Buffs'!$C$10:$C$71=TRUE))</f>
        <v>0</v>
      </c>
      <c r="Y76" s="276" t="b">
        <f t="shared" si="1"/>
        <v>0</v>
      </c>
      <c r="Z76" s="6" t="b">
        <v>1</v>
      </c>
      <c r="AA76" s="738">
        <v>73</v>
      </c>
      <c r="AB76" s="714" t="str">
        <f t="shared" si="5"/>
        <v/>
      </c>
    </row>
    <row r="77" spans="1:28">
      <c r="A77" s="272" t="s">
        <v>1869</v>
      </c>
      <c r="B77" s="273">
        <v>32208</v>
      </c>
      <c r="C77" s="273">
        <v>3</v>
      </c>
      <c r="D77" s="273"/>
      <c r="E77" s="273"/>
      <c r="F77" s="273"/>
      <c r="G77" s="273"/>
      <c r="H77" s="273"/>
      <c r="I77" s="273"/>
      <c r="J77" s="274"/>
      <c r="K77" s="273"/>
      <c r="L77" s="273"/>
      <c r="M77" s="273"/>
      <c r="N77" s="273"/>
      <c r="O77" s="273">
        <v>10</v>
      </c>
      <c r="P77" s="273"/>
      <c r="Q77" s="273" t="s">
        <v>1043</v>
      </c>
      <c r="R77" s="275">
        <f t="shared" si="0"/>
        <v>0</v>
      </c>
      <c r="S77" s="273" t="s">
        <v>674</v>
      </c>
      <c r="T77" s="273"/>
      <c r="U77" s="261" t="s">
        <v>798</v>
      </c>
      <c r="V77" s="273"/>
      <c r="W77" s="870" t="str">
        <f>IF(AND(OR(IF(includep1,$C77&lt;=1), IF(includep2,$C77&lt;=2), IF(includep3,$C77&lt;=3), IF(includep4,$C77&lt;=4), IF(includep5,$C77&lt;=5)), OR(IF(includejewelcrafting,S77="JC"),IF(includeboe,S77="BoE"),IF(includepvp,S77="PvP"),IF(includequest,S77="Quest"),IF(includeheroic,S77="Heroic"),S77="none"),OR(IF(includegemcommon,U77="common"),IF(includegemrare,U77="rare"),IF(includegemepic,U77="epic"),IF(includejewelcrafting,S77="JC"),U77="none"),IF(NOT(Y77=TRUE),TRUE,FALSE),IF(incDef, TRUE, NOT(Z77))),MAX(W$1:$W76)+1,"")</f>
        <v/>
      </c>
      <c r="X77" s="274">
        <f>SUMPRODUCT(('Gear &amp; Buffs'!$B$10:$B$71=A77)*('Gear &amp; Buffs'!$C$10:$C$71=TRUE))</f>
        <v>0</v>
      </c>
      <c r="Y77" s="276" t="b">
        <f t="shared" si="1"/>
        <v>0</v>
      </c>
      <c r="Z77" s="6" t="b">
        <v>1</v>
      </c>
      <c r="AA77" s="738">
        <v>74</v>
      </c>
      <c r="AB77" s="714" t="str">
        <f t="shared" si="5"/>
        <v/>
      </c>
    </row>
    <row r="78" spans="1:28">
      <c r="A78" s="10" t="str">
        <f>" "</f>
        <v xml:space="preserve"> </v>
      </c>
      <c r="B78" s="114"/>
      <c r="C78" s="114">
        <v>1</v>
      </c>
      <c r="D78" s="114"/>
      <c r="E78" s="114"/>
      <c r="F78" s="114"/>
      <c r="G78" s="114"/>
      <c r="H78" s="114"/>
      <c r="I78" s="114"/>
      <c r="K78" s="114"/>
      <c r="L78" s="114"/>
      <c r="M78" s="114"/>
      <c r="N78" s="114"/>
      <c r="O78" s="114"/>
      <c r="P78" s="114"/>
      <c r="Q78" s="114" t="s">
        <v>1033</v>
      </c>
      <c r="R78" s="251">
        <f t="shared" si="0"/>
        <v>0</v>
      </c>
      <c r="S78" s="120" t="s">
        <v>1689</v>
      </c>
      <c r="U78" s="6" t="s">
        <v>1689</v>
      </c>
      <c r="W78" s="870">
        <f>MAX(W$1:$W77)+1</f>
        <v>20</v>
      </c>
      <c r="X78" s="120">
        <f>SUMPRODUCT(('Gear &amp; Buffs'!$B$10:$B$71=A78)*('Gear &amp; Buffs'!$C$10:$C$71=TRUE))</f>
        <v>0</v>
      </c>
      <c r="Y78" s="6" t="b">
        <f t="shared" si="1"/>
        <v>0</v>
      </c>
      <c r="Z78" s="6" t="b">
        <v>0</v>
      </c>
      <c r="AA78" s="738">
        <v>75</v>
      </c>
      <c r="AB78" s="714" t="str">
        <f t="shared" si="5"/>
        <v/>
      </c>
    </row>
    <row r="79" spans="1:28">
      <c r="A79" s="277" t="s">
        <v>1044</v>
      </c>
      <c r="B79" s="278"/>
      <c r="C79" s="278">
        <v>1</v>
      </c>
      <c r="D79" s="278"/>
      <c r="E79" s="278"/>
      <c r="F79" s="278"/>
      <c r="G79" s="278"/>
      <c r="H79" s="278"/>
      <c r="I79" s="278"/>
      <c r="J79" s="279"/>
      <c r="K79" s="278"/>
      <c r="L79" s="278"/>
      <c r="M79" s="278"/>
      <c r="N79" s="278"/>
      <c r="O79" s="278"/>
      <c r="P79" s="278"/>
      <c r="Q79" s="278" t="s">
        <v>1045</v>
      </c>
      <c r="R79" s="280">
        <f t="shared" si="0"/>
        <v>0</v>
      </c>
      <c r="S79" s="278" t="s">
        <v>1689</v>
      </c>
      <c r="T79" s="278"/>
      <c r="U79" s="358" t="s">
        <v>1689</v>
      </c>
      <c r="V79" s="278"/>
      <c r="W79" s="870">
        <f>MAX(W$1:$W78)+1</f>
        <v>21</v>
      </c>
      <c r="X79" s="279">
        <f>SUMPRODUCT(('Gear &amp; Buffs'!$B$10:$B$71=A79)*('Gear &amp; Buffs'!$C$10:$C$71=TRUE))</f>
        <v>0</v>
      </c>
      <c r="Y79" s="281" t="b">
        <f t="shared" si="1"/>
        <v>0</v>
      </c>
      <c r="Z79" s="6" t="b">
        <v>0</v>
      </c>
      <c r="AA79" s="738">
        <v>76</v>
      </c>
      <c r="AB79" s="714" t="str">
        <f t="shared" si="5"/>
        <v/>
      </c>
    </row>
    <row r="80" spans="1:28">
      <c r="A80" s="277" t="s">
        <v>296</v>
      </c>
      <c r="B80" s="278">
        <v>30565</v>
      </c>
      <c r="C80" s="278">
        <v>1</v>
      </c>
      <c r="D80" s="278"/>
      <c r="E80" s="278"/>
      <c r="F80" s="278"/>
      <c r="G80" s="278">
        <v>6</v>
      </c>
      <c r="H80" s="278"/>
      <c r="I80" s="278"/>
      <c r="J80" s="279"/>
      <c r="K80" s="278"/>
      <c r="L80" s="278"/>
      <c r="M80" s="278">
        <v>5</v>
      </c>
      <c r="N80" s="278"/>
      <c r="O80" s="278"/>
      <c r="P80" s="278"/>
      <c r="Q80" s="278" t="s">
        <v>1045</v>
      </c>
      <c r="R80" s="280">
        <f t="shared" si="0"/>
        <v>4.1147778330569054</v>
      </c>
      <c r="S80" s="278" t="s">
        <v>691</v>
      </c>
      <c r="T80" s="278"/>
      <c r="U80" s="261" t="s">
        <v>798</v>
      </c>
      <c r="V80" s="278"/>
      <c r="W80" s="870" t="str">
        <f>IF(AND(OR(IF(includep1,$C80&lt;=1), IF(includep2,$C80&lt;=2), IF(includep3,$C80&lt;=3), IF(includep4,$C80&lt;=4), IF(includep5,$C80&lt;=5)), OR(IF(includejewelcrafting,S80="JC"),IF(includeboe,S80="BoE"),IF(includepvp,S80="PvP"),IF(includequest,S80="Quest"),IF(includeheroic,S80="Heroic"),S80="none"),OR(IF(includegemcommon,U80="common"),IF(includegemrare,U80="rare"),IF(includegemepic,U80="epic"),IF(includejewelcrafting,S80="JC"),U80="none"),IF(NOT(Y80=TRUE),TRUE,FALSE),IF(incDef, TRUE, NOT(Z80))),MAX(W$1:$W79)+1,"")</f>
        <v/>
      </c>
      <c r="X80" s="279">
        <f>SUMPRODUCT(('Gear &amp; Buffs'!$B$10:$B$71=A80)*('Gear &amp; Buffs'!$C$10:$C$71=TRUE))</f>
        <v>0</v>
      </c>
      <c r="Y80" s="281" t="b">
        <f t="shared" si="1"/>
        <v>0</v>
      </c>
      <c r="Z80" s="6" t="b">
        <v>0</v>
      </c>
      <c r="AA80" s="738">
        <v>77</v>
      </c>
      <c r="AB80" s="714" t="str">
        <f t="shared" si="5"/>
        <v/>
      </c>
    </row>
    <row r="81" spans="1:28">
      <c r="A81" s="277" t="s">
        <v>1876</v>
      </c>
      <c r="B81" s="278">
        <v>30601</v>
      </c>
      <c r="C81" s="278">
        <v>1</v>
      </c>
      <c r="D81" s="278"/>
      <c r="E81" s="278"/>
      <c r="F81" s="278"/>
      <c r="G81" s="278"/>
      <c r="H81" s="278"/>
      <c r="I81" s="278"/>
      <c r="J81" s="279"/>
      <c r="K81" s="278"/>
      <c r="L81" s="278"/>
      <c r="M81" s="278">
        <v>5</v>
      </c>
      <c r="N81" s="278">
        <v>4</v>
      </c>
      <c r="O81" s="278"/>
      <c r="P81" s="278"/>
      <c r="Q81" s="278" t="s">
        <v>1045</v>
      </c>
      <c r="R81" s="280">
        <f t="shared" si="0"/>
        <v>0</v>
      </c>
      <c r="S81" s="278" t="s">
        <v>691</v>
      </c>
      <c r="T81" s="278"/>
      <c r="U81" s="261" t="s">
        <v>798</v>
      </c>
      <c r="V81" s="278"/>
      <c r="W81" s="870" t="str">
        <f>IF(AND(OR(IF(includep1,$C81&lt;=1), IF(includep2,$C81&lt;=2), IF(includep3,$C81&lt;=3), IF(includep4,$C81&lt;=4), IF(includep5,$C81&lt;=5)), OR(IF(includejewelcrafting,S81="JC"),IF(includeboe,S81="BoE"),IF(includepvp,S81="PvP"),IF(includequest,S81="Quest"),IF(includeheroic,S81="Heroic"),S81="none"),OR(IF(includegemcommon,U81="common"),IF(includegemrare,U81="rare"),IF(includegemepic,U81="epic"),IF(includejewelcrafting,S81="JC"),U81="none"),IF(NOT(Y81=TRUE),TRUE,FALSE),IF(incDef, TRUE, NOT(Z81))),MAX(W$1:$W80)+1,"")</f>
        <v/>
      </c>
      <c r="X81" s="279">
        <f>SUMPRODUCT(('Gear &amp; Buffs'!$B$10:$B$71=A81)*('Gear &amp; Buffs'!$C$10:$C$71=TRUE))</f>
        <v>0</v>
      </c>
      <c r="Y81" s="281" t="b">
        <f t="shared" si="1"/>
        <v>0</v>
      </c>
      <c r="Z81" s="6" t="b">
        <v>1</v>
      </c>
      <c r="AA81" s="738">
        <v>78</v>
      </c>
      <c r="AB81" s="714" t="str">
        <f t="shared" si="5"/>
        <v/>
      </c>
    </row>
    <row r="82" spans="1:28">
      <c r="A82" s="277" t="s">
        <v>1877</v>
      </c>
      <c r="B82" s="278">
        <v>30587</v>
      </c>
      <c r="C82" s="278">
        <v>1</v>
      </c>
      <c r="D82" s="278">
        <v>5</v>
      </c>
      <c r="E82" s="278"/>
      <c r="F82" s="278"/>
      <c r="G82" s="278"/>
      <c r="H82" s="278"/>
      <c r="I82" s="278"/>
      <c r="J82" s="279"/>
      <c r="K82" s="278"/>
      <c r="L82" s="278"/>
      <c r="M82" s="278"/>
      <c r="N82" s="278"/>
      <c r="O82" s="278">
        <v>4</v>
      </c>
      <c r="P82" s="278"/>
      <c r="Q82" s="278" t="s">
        <v>1045</v>
      </c>
      <c r="R82" s="280">
        <f t="shared" si="0"/>
        <v>1.9653151422062365</v>
      </c>
      <c r="S82" s="278" t="s">
        <v>691</v>
      </c>
      <c r="T82" s="278"/>
      <c r="U82" s="261" t="s">
        <v>798</v>
      </c>
      <c r="V82" s="278"/>
      <c r="W82" s="870" t="str">
        <f>IF(AND(OR(IF(includep1,$C82&lt;=1), IF(includep2,$C82&lt;=2), IF(includep3,$C82&lt;=3), IF(includep4,$C82&lt;=4), IF(includep5,$C82&lt;=5)), OR(IF(includejewelcrafting,S82="JC"),IF(includeboe,S82="BoE"),IF(includepvp,S82="PvP"),IF(includequest,S82="Quest"),IF(includeheroic,S82="Heroic"),S82="none"),OR(IF(includegemcommon,U82="common"),IF(includegemrare,U82="rare"),IF(includegemepic,U82="epic"),IF(includejewelcrafting,S82="JC"),U82="none"),IF(NOT(Y82=TRUE),TRUE,FALSE),IF(incDef, TRUE, NOT(Z82))),MAX(W$1:$W81)+1,"")</f>
        <v/>
      </c>
      <c r="X82" s="279">
        <f>SUMPRODUCT(('Gear &amp; Buffs'!$B$10:$B$71=A82)*('Gear &amp; Buffs'!$C$10:$C$71=TRUE))</f>
        <v>0</v>
      </c>
      <c r="Y82" s="281" t="b">
        <f t="shared" si="1"/>
        <v>0</v>
      </c>
      <c r="Z82" s="6" t="b">
        <v>0</v>
      </c>
      <c r="AA82" s="738">
        <v>79</v>
      </c>
      <c r="AB82" s="714" t="str">
        <f t="shared" si="5"/>
        <v/>
      </c>
    </row>
    <row r="83" spans="1:28">
      <c r="A83" s="277" t="s">
        <v>297</v>
      </c>
      <c r="B83" s="278">
        <v>30582</v>
      </c>
      <c r="C83" s="278">
        <v>1</v>
      </c>
      <c r="D83" s="278"/>
      <c r="E83" s="278"/>
      <c r="F83" s="278">
        <v>8</v>
      </c>
      <c r="G83" s="278">
        <v>5</v>
      </c>
      <c r="H83" s="278"/>
      <c r="I83" s="278"/>
      <c r="J83" s="279"/>
      <c r="K83" s="278"/>
      <c r="L83" s="278"/>
      <c r="M83" s="278"/>
      <c r="N83" s="278"/>
      <c r="O83" s="278"/>
      <c r="P83" s="278"/>
      <c r="Q83" s="278" t="s">
        <v>1045</v>
      </c>
      <c r="R83" s="280">
        <f t="shared" si="0"/>
        <v>6.287621734388722</v>
      </c>
      <c r="S83" s="278" t="s">
        <v>691</v>
      </c>
      <c r="T83" s="278"/>
      <c r="U83" s="261" t="s">
        <v>798</v>
      </c>
      <c r="V83" s="278"/>
      <c r="W83" s="870" t="str">
        <f>IF(AND(OR(IF(includep1,$C83&lt;=1), IF(includep2,$C83&lt;=2), IF(includep3,$C83&lt;=3), IF(includep4,$C83&lt;=4), IF(includep5,$C83&lt;=5)), OR(IF(includejewelcrafting,S83="JC"),IF(includeboe,S83="BoE"),IF(includepvp,S83="PvP"),IF(includequest,S83="Quest"),IF(includeheroic,S83="Heroic"),S83="none"),OR(IF(includegemcommon,U83="common"),IF(includegemrare,U83="rare"),IF(includegemepic,U83="epic"),IF(includejewelcrafting,S83="JC"),U83="none"),IF(NOT(Y83=TRUE),TRUE,FALSE),IF(incDef, TRUE, NOT(Z83))),MAX(W$1:$W82)+1,"")</f>
        <v/>
      </c>
      <c r="X83" s="279">
        <f>SUMPRODUCT(('Gear &amp; Buffs'!$B$10:$B$71=A83)*('Gear &amp; Buffs'!$C$10:$C$71=TRUE))</f>
        <v>0</v>
      </c>
      <c r="Y83" s="281" t="b">
        <f t="shared" si="1"/>
        <v>0</v>
      </c>
      <c r="Z83" s="6" t="b">
        <v>0</v>
      </c>
      <c r="AA83" s="738">
        <v>80</v>
      </c>
      <c r="AB83" s="714" t="str">
        <f t="shared" si="5"/>
        <v/>
      </c>
    </row>
    <row r="84" spans="1:28">
      <c r="A84" s="277" t="s">
        <v>298</v>
      </c>
      <c r="B84" s="278">
        <v>30591</v>
      </c>
      <c r="C84" s="278">
        <v>1</v>
      </c>
      <c r="D84" s="278"/>
      <c r="E84" s="278"/>
      <c r="F84" s="278">
        <v>8</v>
      </c>
      <c r="G84" s="278"/>
      <c r="H84" s="278"/>
      <c r="I84" s="278"/>
      <c r="J84" s="279"/>
      <c r="K84" s="278"/>
      <c r="L84" s="278"/>
      <c r="M84" s="278"/>
      <c r="N84" s="278">
        <v>5</v>
      </c>
      <c r="O84" s="278"/>
      <c r="P84" s="278"/>
      <c r="Q84" s="278" t="s">
        <v>1045</v>
      </c>
      <c r="R84" s="280">
        <f t="shared" si="0"/>
        <v>2.8586402068413008</v>
      </c>
      <c r="S84" s="278" t="s">
        <v>691</v>
      </c>
      <c r="T84" s="278"/>
      <c r="U84" s="261" t="s">
        <v>798</v>
      </c>
      <c r="V84" s="278"/>
      <c r="W84" s="870" t="str">
        <f>IF(AND(OR(IF(includep1,$C84&lt;=1), IF(includep2,$C84&lt;=2), IF(includep3,$C84&lt;=3), IF(includep4,$C84&lt;=4), IF(includep5,$C84&lt;=5)), OR(IF(includejewelcrafting,S84="JC"),IF(includeboe,S84="BoE"),IF(includepvp,S84="PvP"),IF(includequest,S84="Quest"),IF(includeheroic,S84="Heroic"),S84="none"),OR(IF(includegemcommon,U84="common"),IF(includegemrare,U84="rare"),IF(includegemepic,U84="epic"),IF(includejewelcrafting,S84="JC"),U84="none"),IF(NOT(Y84=TRUE),TRUE,FALSE),IF(incDef, TRUE, NOT(Z84))),MAX(W$1:$W83)+1,"")</f>
        <v/>
      </c>
      <c r="X84" s="279">
        <f>SUMPRODUCT(('Gear &amp; Buffs'!$B$10:$B$71=A84)*('Gear &amp; Buffs'!$C$10:$C$71=TRUE))</f>
        <v>0</v>
      </c>
      <c r="Y84" s="281" t="b">
        <f t="shared" si="1"/>
        <v>0</v>
      </c>
      <c r="Z84" s="6" t="b">
        <v>0</v>
      </c>
      <c r="AA84" s="738">
        <v>81</v>
      </c>
      <c r="AB84" s="714" t="str">
        <f t="shared" si="5"/>
        <v/>
      </c>
    </row>
    <row r="85" spans="1:28">
      <c r="A85" s="277" t="s">
        <v>299</v>
      </c>
      <c r="B85" s="278">
        <v>30584</v>
      </c>
      <c r="C85" s="278">
        <v>1</v>
      </c>
      <c r="D85" s="278">
        <v>5</v>
      </c>
      <c r="E85" s="278"/>
      <c r="F85" s="278"/>
      <c r="G85" s="278">
        <v>4</v>
      </c>
      <c r="H85" s="278"/>
      <c r="I85" s="278"/>
      <c r="J85" s="279"/>
      <c r="K85" s="278"/>
      <c r="L85" s="278"/>
      <c r="M85" s="278"/>
      <c r="N85" s="278"/>
      <c r="O85" s="278"/>
      <c r="P85" s="278"/>
      <c r="Q85" s="278" t="s">
        <v>1045</v>
      </c>
      <c r="R85" s="280">
        <f t="shared" si="0"/>
        <v>4.7085003642441734</v>
      </c>
      <c r="S85" s="278" t="s">
        <v>691</v>
      </c>
      <c r="T85" s="278"/>
      <c r="U85" s="261" t="s">
        <v>798</v>
      </c>
      <c r="V85" s="278"/>
      <c r="W85" s="870" t="str">
        <f>IF(AND(OR(IF(includep1,$C85&lt;=1), IF(includep2,$C85&lt;=2), IF(includep3,$C85&lt;=3), IF(includep4,$C85&lt;=4), IF(includep5,$C85&lt;=5)), OR(IF(includejewelcrafting,S85="JC"),IF(includeboe,S85="BoE"),IF(includepvp,S85="PvP"),IF(includequest,S85="Quest"),IF(includeheroic,S85="Heroic"),S85="none"),OR(IF(includegemcommon,U85="common"),IF(includegemrare,U85="rare"),IF(includegemepic,U85="epic"),IF(includejewelcrafting,S85="JC"),U85="none"),IF(NOT(Y85=TRUE),TRUE,FALSE),IF(incDef, TRUE, NOT(Z85))),MAX(W$1:$W84)+1,"")</f>
        <v/>
      </c>
      <c r="X85" s="279">
        <f>SUMPRODUCT(('Gear &amp; Buffs'!$B$10:$B$71=A85)*('Gear &amp; Buffs'!$C$10:$C$71=TRUE))</f>
        <v>0</v>
      </c>
      <c r="Y85" s="281" t="b">
        <f t="shared" si="1"/>
        <v>0</v>
      </c>
      <c r="Z85" s="6" t="b">
        <v>0</v>
      </c>
      <c r="AA85" s="738">
        <v>82</v>
      </c>
      <c r="AB85" s="714" t="str">
        <f t="shared" si="5"/>
        <v/>
      </c>
    </row>
    <row r="86" spans="1:28">
      <c r="A86" s="277" t="s">
        <v>300</v>
      </c>
      <c r="B86" s="278">
        <v>30559</v>
      </c>
      <c r="C86" s="278">
        <v>1</v>
      </c>
      <c r="D86" s="278">
        <v>5</v>
      </c>
      <c r="E86" s="278"/>
      <c r="F86" s="278"/>
      <c r="G86" s="278"/>
      <c r="H86" s="278">
        <v>4</v>
      </c>
      <c r="I86" s="278"/>
      <c r="J86" s="279"/>
      <c r="K86" s="278"/>
      <c r="L86" s="278"/>
      <c r="M86" s="278"/>
      <c r="N86" s="278"/>
      <c r="O86" s="278"/>
      <c r="P86" s="278"/>
      <c r="Q86" s="278" t="s">
        <v>1045</v>
      </c>
      <c r="R86" s="280">
        <f t="shared" si="0"/>
        <v>24.165441010714858</v>
      </c>
      <c r="S86" s="278" t="s">
        <v>691</v>
      </c>
      <c r="T86" s="278"/>
      <c r="U86" s="261" t="s">
        <v>798</v>
      </c>
      <c r="V86" s="278"/>
      <c r="W86" s="870" t="str">
        <f>IF(AND(OR(IF(includep1,$C86&lt;=1), IF(includep2,$C86&lt;=2), IF(includep3,$C86&lt;=3), IF(includep4,$C86&lt;=4), IF(includep5,$C86&lt;=5)), OR(IF(includejewelcrafting,S86="JC"),IF(includeboe,S86="BoE"),IF(includepvp,S86="PvP"),IF(includequest,S86="Quest"),IF(includeheroic,S86="Heroic"),S86="none"),OR(IF(includegemcommon,U86="common"),IF(includegemrare,U86="rare"),IF(includegemepic,U86="epic"),IF(includejewelcrafting,S86="JC"),U86="none"),IF(NOT(Y86=TRUE),TRUE,FALSE),IF(incDef, TRUE, NOT(Z86))),MAX(W$1:$W85)+1,"")</f>
        <v/>
      </c>
      <c r="X86" s="279">
        <f>SUMPRODUCT(('Gear &amp; Buffs'!$B$10:$B$71=A86)*('Gear &amp; Buffs'!$C$10:$C$71=TRUE))</f>
        <v>0</v>
      </c>
      <c r="Y86" s="281" t="b">
        <f t="shared" si="1"/>
        <v>0</v>
      </c>
      <c r="Z86" s="6" t="b">
        <v>0</v>
      </c>
      <c r="AA86" s="738">
        <v>83</v>
      </c>
      <c r="AB86" s="714" t="str">
        <f t="shared" si="5"/>
        <v/>
      </c>
    </row>
    <row r="87" spans="1:28">
      <c r="A87" s="277" t="s">
        <v>1878</v>
      </c>
      <c r="B87" s="278">
        <v>30558</v>
      </c>
      <c r="C87" s="278">
        <v>1</v>
      </c>
      <c r="D87" s="278"/>
      <c r="E87" s="278"/>
      <c r="F87" s="278"/>
      <c r="G87" s="278"/>
      <c r="H87" s="278"/>
      <c r="I87" s="278"/>
      <c r="J87" s="279"/>
      <c r="K87" s="278"/>
      <c r="L87" s="278"/>
      <c r="M87" s="278"/>
      <c r="N87" s="278"/>
      <c r="O87" s="278">
        <v>4</v>
      </c>
      <c r="P87" s="278"/>
      <c r="Q87" s="278" t="s">
        <v>1045</v>
      </c>
      <c r="R87" s="280">
        <f t="shared" si="0"/>
        <v>0</v>
      </c>
      <c r="S87" s="278" t="s">
        <v>691</v>
      </c>
      <c r="T87" s="278"/>
      <c r="U87" s="261" t="s">
        <v>798</v>
      </c>
      <c r="V87" s="278">
        <v>5</v>
      </c>
      <c r="W87" s="870" t="str">
        <f>IF(AND(OR(IF(includep1,$C87&lt;=1), IF(includep2,$C87&lt;=2), IF(includep3,$C87&lt;=3), IF(includep4,$C87&lt;=4), IF(includep5,$C87&lt;=5)), OR(IF(includejewelcrafting,S87="JC"),IF(includeboe,S87="BoE"),IF(includepvp,S87="PvP"),IF(includequest,S87="Quest"),IF(includeheroic,S87="Heroic"),S87="none"),OR(IF(includegemcommon,U87="common"),IF(includegemrare,U87="rare"),IF(includegemepic,U87="epic"),IF(includejewelcrafting,S87="JC"),U87="none"),IF(NOT(Y87=TRUE),TRUE,FALSE),IF(incDef, TRUE, NOT(Z87))),MAX(W$1:$W86)+1,"")</f>
        <v/>
      </c>
      <c r="X87" s="279">
        <f>SUMPRODUCT(('Gear &amp; Buffs'!$B$10:$B$71=A87)*('Gear &amp; Buffs'!$C$10:$C$71=TRUE))</f>
        <v>0</v>
      </c>
      <c r="Y87" s="281" t="b">
        <f t="shared" ref="Y87:Y105" si="6">IF(AND(T87="unique",X87&gt;0),TRUE,FALSE)</f>
        <v>0</v>
      </c>
      <c r="Z87" s="6" t="b">
        <v>1</v>
      </c>
      <c r="AA87" s="738">
        <v>84</v>
      </c>
      <c r="AB87" s="714" t="str">
        <f t="shared" si="5"/>
        <v/>
      </c>
    </row>
    <row r="88" spans="1:28">
      <c r="A88" s="277" t="s">
        <v>301</v>
      </c>
      <c r="B88" s="278">
        <v>30556</v>
      </c>
      <c r="C88" s="278">
        <v>1</v>
      </c>
      <c r="D88" s="278"/>
      <c r="E88" s="278">
        <v>5</v>
      </c>
      <c r="F88" s="278"/>
      <c r="G88" s="278"/>
      <c r="H88" s="278">
        <v>4</v>
      </c>
      <c r="I88" s="278"/>
      <c r="J88" s="279"/>
      <c r="K88" s="278"/>
      <c r="L88" s="278"/>
      <c r="M88" s="278"/>
      <c r="N88" s="278"/>
      <c r="O88" s="278"/>
      <c r="P88" s="278"/>
      <c r="Q88" s="278" t="s">
        <v>1045</v>
      </c>
      <c r="R88" s="280">
        <f t="shared" si="0"/>
        <v>26.336190215183478</v>
      </c>
      <c r="S88" s="278" t="s">
        <v>691</v>
      </c>
      <c r="T88" s="278"/>
      <c r="U88" s="261" t="s">
        <v>798</v>
      </c>
      <c r="V88" s="278"/>
      <c r="W88" s="870" t="str">
        <f>IF(AND(OR(IF(includep1,$C88&lt;=1), IF(includep2,$C88&lt;=2), IF(includep3,$C88&lt;=3), IF(includep4,$C88&lt;=4), IF(includep5,$C88&lt;=5)), OR(IF(includejewelcrafting,S88="JC"),IF(includeboe,S88="BoE"),IF(includepvp,S88="PvP"),IF(includequest,S88="Quest"),IF(includeheroic,S88="Heroic"),S88="none"),OR(IF(includegemcommon,U88="common"),IF(includegemrare,U88="rare"),IF(includegemepic,U88="epic"),IF(includejewelcrafting,S88="JC"),U88="none"),IF(NOT(Y88=TRUE),TRUE,FALSE),IF(incDef, TRUE, NOT(Z88))),MAX(W$1:$W87)+1,"")</f>
        <v/>
      </c>
      <c r="X88" s="279">
        <f>SUMPRODUCT(('Gear &amp; Buffs'!$B$10:$B$71=A88)*('Gear &amp; Buffs'!$C$10:$C$71=TRUE))</f>
        <v>0</v>
      </c>
      <c r="Y88" s="281" t="b">
        <f t="shared" si="6"/>
        <v>0</v>
      </c>
      <c r="Z88" s="6" t="b">
        <v>0</v>
      </c>
      <c r="AA88" s="738">
        <v>85</v>
      </c>
      <c r="AB88" s="714" t="str">
        <f t="shared" si="5"/>
        <v/>
      </c>
    </row>
    <row r="89" spans="1:28">
      <c r="A89" s="277" t="s">
        <v>302</v>
      </c>
      <c r="B89" s="278">
        <v>23100</v>
      </c>
      <c r="C89" s="278">
        <v>1</v>
      </c>
      <c r="D89" s="278"/>
      <c r="E89" s="278">
        <v>3</v>
      </c>
      <c r="F89" s="278"/>
      <c r="G89" s="278"/>
      <c r="H89" s="278">
        <v>3</v>
      </c>
      <c r="I89" s="278"/>
      <c r="J89" s="279"/>
      <c r="K89" s="278"/>
      <c r="L89" s="278"/>
      <c r="M89" s="278"/>
      <c r="N89" s="278"/>
      <c r="O89" s="278"/>
      <c r="P89" s="278"/>
      <c r="Q89" s="278" t="s">
        <v>1045</v>
      </c>
      <c r="R89" s="280">
        <f t="shared" si="0"/>
        <v>19.13173300938638</v>
      </c>
      <c r="S89" s="278" t="s">
        <v>674</v>
      </c>
      <c r="T89" s="278"/>
      <c r="U89" s="324" t="s">
        <v>800</v>
      </c>
      <c r="V89" s="278"/>
      <c r="W89" s="870" t="str">
        <f>IF(AND(OR(IF(includep1,$C89&lt;=1), IF(includep2,$C89&lt;=2), IF(includep3,$C89&lt;=3), IF(includep4,$C89&lt;=4), IF(includep5,$C89&lt;=5)), OR(IF(includejewelcrafting,S89="JC"),IF(includeboe,S89="BoE"),IF(includepvp,S89="PvP"),IF(includequest,S89="Quest"),IF(includeheroic,S89="Heroic"),S89="none"),OR(IF(includegemcommon,U89="common"),IF(includegemrare,U89="rare"),IF(includegemepic,U89="epic"),IF(includejewelcrafting,S89="JC"),U89="none"),IF(NOT(Y89=TRUE),TRUE,FALSE),IF(incDef, TRUE, NOT(Z89))),MAX(W$1:$W88)+1,"")</f>
        <v/>
      </c>
      <c r="X89" s="279">
        <f>SUMPRODUCT(('Gear &amp; Buffs'!$B$10:$B$71=A89)*('Gear &amp; Buffs'!$C$10:$C$71=TRUE))</f>
        <v>0</v>
      </c>
      <c r="Y89" s="281" t="b">
        <f t="shared" si="6"/>
        <v>0</v>
      </c>
      <c r="Z89" s="6" t="b">
        <v>0</v>
      </c>
      <c r="AA89" s="738">
        <v>86</v>
      </c>
      <c r="AB89" s="714" t="str">
        <f t="shared" si="5"/>
        <v/>
      </c>
    </row>
    <row r="90" spans="1:28">
      <c r="A90" s="277" t="s">
        <v>303</v>
      </c>
      <c r="B90" s="278">
        <v>24061</v>
      </c>
      <c r="C90" s="278">
        <v>1</v>
      </c>
      <c r="D90" s="278"/>
      <c r="E90" s="278">
        <v>4</v>
      </c>
      <c r="F90" s="278"/>
      <c r="G90" s="278"/>
      <c r="H90" s="278">
        <v>4</v>
      </c>
      <c r="I90" s="278"/>
      <c r="J90" s="279"/>
      <c r="K90" s="278"/>
      <c r="L90" s="278"/>
      <c r="M90" s="278"/>
      <c r="N90" s="278"/>
      <c r="O90" s="278"/>
      <c r="P90" s="278"/>
      <c r="Q90" s="278" t="s">
        <v>1045</v>
      </c>
      <c r="R90" s="280">
        <f t="shared" si="0"/>
        <v>25.508977345848507</v>
      </c>
      <c r="S90" s="278" t="s">
        <v>674</v>
      </c>
      <c r="T90" s="278"/>
      <c r="U90" s="323" t="s">
        <v>799</v>
      </c>
      <c r="V90" s="278"/>
      <c r="W90" s="870">
        <f>IF(AND(OR(IF(includep1,$C90&lt;=1), IF(includep2,$C90&lt;=2), IF(includep3,$C90&lt;=3), IF(includep4,$C90&lt;=4), IF(includep5,$C90&lt;=5)), OR(IF(includejewelcrafting,S90="JC"),IF(includeboe,S90="BoE"),IF(includepvp,S90="PvP"),IF(includequest,S90="Quest"),IF(includeheroic,S90="Heroic"),S90="none"),OR(IF(includegemcommon,U90="common"),IF(includegemrare,U90="rare"),IF(includegemepic,U90="epic"),IF(includejewelcrafting,S90="JC"),U90="none"),IF(NOT(Y90=TRUE),TRUE,FALSE),IF(incDef, TRUE, NOT(Z90))),MAX(W$1:$W89)+1,"")</f>
        <v>22</v>
      </c>
      <c r="X90" s="279">
        <f>SUMPRODUCT(('Gear &amp; Buffs'!$B$10:$B$71=A90)*('Gear &amp; Buffs'!$C$10:$C$71=TRUE))</f>
        <v>2</v>
      </c>
      <c r="Y90" s="281" t="b">
        <f t="shared" si="6"/>
        <v>0</v>
      </c>
      <c r="Z90" s="6" t="b">
        <v>0</v>
      </c>
      <c r="AA90" s="738">
        <v>87</v>
      </c>
      <c r="AB90" s="714" t="str">
        <f t="shared" si="5"/>
        <v/>
      </c>
    </row>
    <row r="91" spans="1:28">
      <c r="A91" s="277" t="s">
        <v>304</v>
      </c>
      <c r="B91" s="278">
        <v>32220</v>
      </c>
      <c r="C91" s="278">
        <v>3</v>
      </c>
      <c r="D91" s="278"/>
      <c r="E91" s="278">
        <v>5</v>
      </c>
      <c r="F91" s="278"/>
      <c r="G91" s="278"/>
      <c r="H91" s="278">
        <v>5</v>
      </c>
      <c r="I91" s="278"/>
      <c r="J91" s="279"/>
      <c r="K91" s="278"/>
      <c r="L91" s="278"/>
      <c r="M91" s="278"/>
      <c r="N91" s="278"/>
      <c r="O91" s="278"/>
      <c r="P91" s="278"/>
      <c r="Q91" s="278" t="s">
        <v>1045</v>
      </c>
      <c r="R91" s="280">
        <f t="shared" si="0"/>
        <v>31.886221682310634</v>
      </c>
      <c r="S91" s="278" t="s">
        <v>674</v>
      </c>
      <c r="T91" s="278"/>
      <c r="U91" s="261" t="s">
        <v>798</v>
      </c>
      <c r="V91" s="278"/>
      <c r="W91" s="870" t="str">
        <f>IF(AND(OR(IF(includep1,$C91&lt;=1), IF(includep2,$C91&lt;=2), IF(includep3,$C91&lt;=3), IF(includep4,$C91&lt;=4), IF(includep5,$C91&lt;=5)), OR(IF(includejewelcrafting,S91="JC"),IF(includeboe,S91="BoE"),IF(includepvp,S91="PvP"),IF(includequest,S91="Quest"),IF(includeheroic,S91="Heroic"),S91="none"),OR(IF(includegemcommon,U91="common"),IF(includegemrare,U91="rare"),IF(includegemepic,U91="epic"),IF(includejewelcrafting,S91="JC"),U91="none"),IF(NOT(Y91=TRUE),TRUE,FALSE),IF(incDef, TRUE, NOT(Z91))),MAX(W$1:$W90)+1,"")</f>
        <v/>
      </c>
      <c r="X91" s="279">
        <f>SUMPRODUCT(('Gear &amp; Buffs'!$B$10:$B$71=A91)*('Gear &amp; Buffs'!$C$10:$C$71=TRUE))</f>
        <v>0</v>
      </c>
      <c r="Y91" s="281" t="b">
        <f t="shared" si="6"/>
        <v>0</v>
      </c>
      <c r="Z91" s="6" t="b">
        <v>0</v>
      </c>
      <c r="AA91" s="738">
        <v>88</v>
      </c>
      <c r="AB91" s="714" t="str">
        <f t="shared" si="5"/>
        <v/>
      </c>
    </row>
    <row r="92" spans="1:28">
      <c r="A92" s="277" t="s">
        <v>1879</v>
      </c>
      <c r="B92" s="278">
        <v>30585</v>
      </c>
      <c r="C92" s="278">
        <v>1</v>
      </c>
      <c r="D92" s="278"/>
      <c r="E92" s="278">
        <v>4</v>
      </c>
      <c r="F92" s="278"/>
      <c r="G92" s="278"/>
      <c r="H92" s="278"/>
      <c r="I92" s="278"/>
      <c r="J92" s="279"/>
      <c r="K92" s="278"/>
      <c r="L92" s="278"/>
      <c r="M92" s="278"/>
      <c r="N92" s="278"/>
      <c r="O92" s="278">
        <v>5</v>
      </c>
      <c r="P92" s="278"/>
      <c r="Q92" s="278" t="s">
        <v>1045</v>
      </c>
      <c r="R92" s="280">
        <f t="shared" si="0"/>
        <v>3.3088514773398856</v>
      </c>
      <c r="S92" s="278" t="s">
        <v>674</v>
      </c>
      <c r="T92" s="278"/>
      <c r="U92" s="261" t="s">
        <v>798</v>
      </c>
      <c r="V92" s="278"/>
      <c r="W92" s="870" t="str">
        <f>IF(AND(OR(IF(includep1,$C92&lt;=1), IF(includep2,$C92&lt;=2), IF(includep3,$C92&lt;=3), IF(includep4,$C92&lt;=4), IF(includep5,$C92&lt;=5)), OR(IF(includejewelcrafting,S92="JC"),IF(includeboe,S92="BoE"),IF(includepvp,S92="PvP"),IF(includequest,S92="Quest"),IF(includeheroic,S92="Heroic"),S92="none"),OR(IF(includegemcommon,U92="common"),IF(includegemrare,U92="rare"),IF(includegemepic,U92="epic"),IF(includejewelcrafting,S92="JC"),U92="none"),IF(NOT(Y92=TRUE),TRUE,FALSE),IF(incDef, TRUE, NOT(Z92))),MAX(W$1:$W91)+1,"")</f>
        <v/>
      </c>
      <c r="X92" s="279">
        <f>SUMPRODUCT(('Gear &amp; Buffs'!$B$10:$B$71=A92)*('Gear &amp; Buffs'!$C$10:$C$71=TRUE))</f>
        <v>0</v>
      </c>
      <c r="Y92" s="281" t="b">
        <f t="shared" si="6"/>
        <v>0</v>
      </c>
      <c r="Z92" s="6" t="b">
        <v>0</v>
      </c>
      <c r="AA92" s="738">
        <v>89</v>
      </c>
      <c r="AB92" s="714" t="str">
        <f t="shared" si="5"/>
        <v/>
      </c>
    </row>
    <row r="93" spans="1:28">
      <c r="A93" s="277" t="s">
        <v>1680</v>
      </c>
      <c r="B93" s="278">
        <v>23098</v>
      </c>
      <c r="C93" s="278">
        <v>1</v>
      </c>
      <c r="D93" s="278">
        <v>3</v>
      </c>
      <c r="E93" s="278"/>
      <c r="F93" s="278"/>
      <c r="G93" s="278">
        <v>3</v>
      </c>
      <c r="H93" s="278"/>
      <c r="I93" s="278"/>
      <c r="J93" s="279"/>
      <c r="K93" s="278"/>
      <c r="L93" s="278"/>
      <c r="M93" s="278"/>
      <c r="N93" s="278"/>
      <c r="O93" s="278"/>
      <c r="P93" s="278"/>
      <c r="Q93" s="278" t="s">
        <v>1045</v>
      </c>
      <c r="R93" s="280">
        <f t="shared" si="0"/>
        <v>3.2365780018521946</v>
      </c>
      <c r="S93" s="278" t="s">
        <v>674</v>
      </c>
      <c r="T93" s="278"/>
      <c r="U93" s="324" t="s">
        <v>800</v>
      </c>
      <c r="V93" s="278"/>
      <c r="W93" s="870" t="str">
        <f>IF(AND(OR(IF(includep1,$C93&lt;=1), IF(includep2,$C93&lt;=2), IF(includep3,$C93&lt;=3), IF(includep4,$C93&lt;=4), IF(includep5,$C93&lt;=5)), OR(IF(includejewelcrafting,S93="JC"),IF(includeboe,S93="BoE"),IF(includepvp,S93="PvP"),IF(includequest,S93="Quest"),IF(includeheroic,S93="Heroic"),S93="none"),OR(IF(includegemcommon,U93="common"),IF(includegemrare,U93="rare"),IF(includegemepic,U93="epic"),IF(includejewelcrafting,S93="JC"),U93="none"),IF(NOT(Y93=TRUE),TRUE,FALSE),IF(incDef, TRUE, NOT(Z93))),MAX(W$1:$W92)+1,"")</f>
        <v/>
      </c>
      <c r="X93" s="279">
        <f>SUMPRODUCT(('Gear &amp; Buffs'!$B$10:$B$71=A93)*('Gear &amp; Buffs'!$C$10:$C$71=TRUE))</f>
        <v>0</v>
      </c>
      <c r="Y93" s="281" t="b">
        <f t="shared" si="6"/>
        <v>0</v>
      </c>
      <c r="Z93" s="6" t="b">
        <v>0</v>
      </c>
      <c r="AA93" s="738">
        <v>90</v>
      </c>
      <c r="AB93" s="714" t="str">
        <f t="shared" si="5"/>
        <v/>
      </c>
    </row>
    <row r="94" spans="1:28">
      <c r="A94" s="277" t="s">
        <v>1681</v>
      </c>
      <c r="B94" s="278">
        <v>24058</v>
      </c>
      <c r="C94" s="278">
        <v>1</v>
      </c>
      <c r="D94" s="278">
        <v>4</v>
      </c>
      <c r="E94" s="278"/>
      <c r="F94" s="278"/>
      <c r="G94" s="278">
        <v>4</v>
      </c>
      <c r="H94" s="278"/>
      <c r="I94" s="278"/>
      <c r="J94" s="279"/>
      <c r="K94" s="278"/>
      <c r="L94" s="278"/>
      <c r="M94" s="278"/>
      <c r="N94" s="278"/>
      <c r="O94" s="278"/>
      <c r="P94" s="278"/>
      <c r="Q94" s="278" t="s">
        <v>1045</v>
      </c>
      <c r="R94" s="280">
        <f t="shared" ref="R94:R105" si="7">$D94*dpsStr+$E94*dpsAgi+$G94*dpsCrit+$H94*dpsHit+$F94*dpsAP+$I94*dpsHaste+$J94*dpsArmor+$K94*dpsExp</f>
        <v>4.3154373358029261</v>
      </c>
      <c r="S94" s="278" t="s">
        <v>674</v>
      </c>
      <c r="T94" s="278"/>
      <c r="U94" s="323" t="s">
        <v>799</v>
      </c>
      <c r="V94" s="278"/>
      <c r="W94" s="870">
        <f>IF(AND(OR(IF(includep1,$C94&lt;=1), IF(includep2,$C94&lt;=2), IF(includep3,$C94&lt;=3), IF(includep4,$C94&lt;=4), IF(includep5,$C94&lt;=5)), OR(IF(includejewelcrafting,S94="JC"),IF(includeboe,S94="BoE"),IF(includepvp,S94="PvP"),IF(includequest,S94="Quest"),IF(includeheroic,S94="Heroic"),S94="none"),OR(IF(includegemcommon,U94="common"),IF(includegemrare,U94="rare"),IF(includegemepic,U94="epic"),IF(includejewelcrafting,S94="JC"),U94="none"),IF(NOT(Y94=TRUE),TRUE,FALSE),IF(incDef, TRUE, NOT(Z94))),MAX(W$1:$W93)+1,"")</f>
        <v>23</v>
      </c>
      <c r="X94" s="279">
        <f>SUMPRODUCT(('Gear &amp; Buffs'!$B$10:$B$71=A94)*('Gear &amp; Buffs'!$C$10:$C$71=TRUE))</f>
        <v>0</v>
      </c>
      <c r="Y94" s="281" t="b">
        <f t="shared" si="6"/>
        <v>0</v>
      </c>
      <c r="Z94" s="6" t="b">
        <v>0</v>
      </c>
      <c r="AA94" s="738">
        <v>91</v>
      </c>
      <c r="AB94" s="714" t="str">
        <f t="shared" si="5"/>
        <v/>
      </c>
    </row>
    <row r="95" spans="1:28">
      <c r="A95" s="277" t="s">
        <v>1682</v>
      </c>
      <c r="B95" s="278">
        <v>28363</v>
      </c>
      <c r="C95" s="278">
        <v>1</v>
      </c>
      <c r="D95" s="278"/>
      <c r="E95" s="278"/>
      <c r="F95" s="278">
        <v>10</v>
      </c>
      <c r="G95" s="278">
        <v>5</v>
      </c>
      <c r="H95" s="278"/>
      <c r="I95" s="278"/>
      <c r="J95" s="279"/>
      <c r="K95" s="278"/>
      <c r="L95" s="278"/>
      <c r="M95" s="278"/>
      <c r="N95" s="278"/>
      <c r="O95" s="278"/>
      <c r="P95" s="278"/>
      <c r="Q95" s="278" t="s">
        <v>1045</v>
      </c>
      <c r="R95" s="280">
        <f t="shared" si="7"/>
        <v>7.0022817860990472</v>
      </c>
      <c r="S95" s="278" t="s">
        <v>677</v>
      </c>
      <c r="T95" s="278" t="s">
        <v>728</v>
      </c>
      <c r="U95" s="261" t="s">
        <v>798</v>
      </c>
      <c r="V95" s="278"/>
      <c r="W95" s="870" t="str">
        <f>IF(AND(OR(IF(includep1,$C95&lt;=1), IF(includep2,$C95&lt;=2), IF(includep3,$C95&lt;=3), IF(includep4,$C95&lt;=4), IF(includep5,$C95&lt;=5)), OR(IF(includejewelcrafting,S95="JC"),IF(includeboe,S95="BoE"),IF(includepvp,S95="PvP"),IF(includequest,S95="Quest"),IF(includeheroic,S95="Heroic"),S95="none"),OR(IF(includegemcommon,U95="common"),IF(includegemrare,U95="rare"),IF(includegemepic,U95="epic"),IF(includejewelcrafting,S95="JC"),U95="none"),IF(NOT(Y95=TRUE),TRUE,FALSE),IF(incDef, TRUE, NOT(Z95))),MAX(W$1:$W94)+1,"")</f>
        <v/>
      </c>
      <c r="X95" s="279">
        <f>SUMPRODUCT(('Gear &amp; Buffs'!$B$10:$B$71=A95)*('Gear &amp; Buffs'!$C$10:$C$71=TRUE))</f>
        <v>0</v>
      </c>
      <c r="Y95" s="281" t="b">
        <f t="shared" si="6"/>
        <v>0</v>
      </c>
      <c r="Z95" s="6" t="b">
        <v>0</v>
      </c>
      <c r="AA95" s="738">
        <v>92</v>
      </c>
      <c r="AB95" s="714" t="str">
        <f t="shared" si="5"/>
        <v/>
      </c>
    </row>
    <row r="96" spans="1:28">
      <c r="A96" s="277" t="s">
        <v>1683</v>
      </c>
      <c r="B96" s="278">
        <v>32217</v>
      </c>
      <c r="C96" s="278">
        <v>3</v>
      </c>
      <c r="D96" s="278">
        <v>5</v>
      </c>
      <c r="E96" s="278"/>
      <c r="F96" s="278"/>
      <c r="G96" s="278">
        <v>5</v>
      </c>
      <c r="H96" s="278"/>
      <c r="I96" s="278"/>
      <c r="J96" s="279"/>
      <c r="K96" s="278"/>
      <c r="L96" s="278"/>
      <c r="M96" s="278"/>
      <c r="N96" s="278"/>
      <c r="O96" s="278"/>
      <c r="P96" s="278"/>
      <c r="Q96" s="278" t="s">
        <v>1045</v>
      </c>
      <c r="R96" s="280">
        <f t="shared" si="7"/>
        <v>5.3942966697536576</v>
      </c>
      <c r="S96" s="278" t="s">
        <v>674</v>
      </c>
      <c r="T96" s="278"/>
      <c r="U96" s="261" t="s">
        <v>798</v>
      </c>
      <c r="V96" s="278"/>
      <c r="W96" s="870" t="str">
        <f>IF(AND(OR(IF(includep1,$C96&lt;=1), IF(includep2,$C96&lt;=2), IF(includep3,$C96&lt;=3), IF(includep4,$C96&lt;=4), IF(includep5,$C96&lt;=5)), OR(IF(includejewelcrafting,S96="JC"),IF(includeboe,S96="BoE"),IF(includepvp,S96="PvP"),IF(includequest,S96="Quest"),IF(includeheroic,S96="Heroic"),S96="none"),OR(IF(includegemcommon,U96="common"),IF(includegemrare,U96="rare"),IF(includegemepic,U96="epic"),IF(includejewelcrafting,S96="JC"),U96="none"),IF(NOT(Y96=TRUE),TRUE,FALSE),IF(incDef, TRUE, NOT(Z96))),MAX(W$1:$W95)+1,"")</f>
        <v/>
      </c>
      <c r="X96" s="279">
        <f>SUMPRODUCT(('Gear &amp; Buffs'!$B$10:$B$71=A96)*('Gear &amp; Buffs'!$C$10:$C$71=TRUE))</f>
        <v>0</v>
      </c>
      <c r="Y96" s="281" t="b">
        <f t="shared" si="6"/>
        <v>0</v>
      </c>
      <c r="Z96" s="6" t="b">
        <v>0</v>
      </c>
      <c r="AA96" s="738">
        <v>93</v>
      </c>
      <c r="AB96" s="714" t="str">
        <f t="shared" si="5"/>
        <v/>
      </c>
    </row>
    <row r="97" spans="1:28">
      <c r="A97" s="277" t="s">
        <v>1684</v>
      </c>
      <c r="B97" s="278">
        <v>30575</v>
      </c>
      <c r="C97" s="278">
        <v>1</v>
      </c>
      <c r="D97" s="278"/>
      <c r="E97" s="278"/>
      <c r="F97" s="278"/>
      <c r="G97" s="278"/>
      <c r="H97" s="278">
        <v>4</v>
      </c>
      <c r="I97" s="278"/>
      <c r="J97" s="279"/>
      <c r="K97" s="278"/>
      <c r="L97" s="278"/>
      <c r="M97" s="278">
        <v>5</v>
      </c>
      <c r="N97" s="278"/>
      <c r="O97" s="278"/>
      <c r="P97" s="278"/>
      <c r="Q97" s="278" t="s">
        <v>1045</v>
      </c>
      <c r="R97" s="280">
        <f t="shared" si="7"/>
        <v>22.200125868508621</v>
      </c>
      <c r="S97" s="278" t="s">
        <v>691</v>
      </c>
      <c r="T97" s="278"/>
      <c r="U97" s="261" t="s">
        <v>798</v>
      </c>
      <c r="V97" s="278"/>
      <c r="W97" s="870" t="str">
        <f>IF(AND(OR(IF(includep1,$C97&lt;=1), IF(includep2,$C97&lt;=2), IF(includep3,$C97&lt;=3), IF(includep4,$C97&lt;=4), IF(includep5,$C97&lt;=5)), OR(IF(includejewelcrafting,S97="JC"),IF(includeboe,S97="BoE"),IF(includepvp,S97="PvP"),IF(includequest,S97="Quest"),IF(includeheroic,S97="Heroic"),S97="none"),OR(IF(includegemcommon,U97="common"),IF(includegemrare,U97="rare"),IF(includegemepic,U97="epic"),IF(includejewelcrafting,S97="JC"),U97="none"),IF(NOT(Y97=TRUE),TRUE,FALSE),IF(incDef, TRUE, NOT(Z97))),MAX(W$1:$W96)+1,"")</f>
        <v/>
      </c>
      <c r="X97" s="279">
        <f>SUMPRODUCT(('Gear &amp; Buffs'!$B$10:$B$71=A97)*('Gear &amp; Buffs'!$C$10:$C$71=TRUE))</f>
        <v>0</v>
      </c>
      <c r="Y97" s="281" t="b">
        <f t="shared" si="6"/>
        <v>0</v>
      </c>
      <c r="Z97" s="6" t="b">
        <v>0</v>
      </c>
      <c r="AA97" s="738">
        <v>94</v>
      </c>
      <c r="AB97" s="714" t="str">
        <f t="shared" si="5"/>
        <v/>
      </c>
    </row>
    <row r="98" spans="1:28">
      <c r="A98" s="277" t="s">
        <v>1685</v>
      </c>
      <c r="B98" s="278">
        <v>30553</v>
      </c>
      <c r="C98" s="278">
        <v>1</v>
      </c>
      <c r="D98" s="278"/>
      <c r="E98" s="278"/>
      <c r="F98" s="278">
        <v>10</v>
      </c>
      <c r="G98" s="278"/>
      <c r="H98" s="278">
        <v>4</v>
      </c>
      <c r="I98" s="278"/>
      <c r="J98" s="279"/>
      <c r="K98" s="278"/>
      <c r="L98" s="278"/>
      <c r="M98" s="278"/>
      <c r="N98" s="278"/>
      <c r="O98" s="278"/>
      <c r="P98" s="278"/>
      <c r="Q98" s="278" t="s">
        <v>1045</v>
      </c>
      <c r="R98" s="280">
        <f t="shared" si="7"/>
        <v>25.773426127060247</v>
      </c>
      <c r="S98" s="278" t="s">
        <v>691</v>
      </c>
      <c r="T98" s="278"/>
      <c r="U98" s="261" t="s">
        <v>798</v>
      </c>
      <c r="V98" s="278"/>
      <c r="W98" s="870" t="str">
        <f>IF(AND(OR(IF(includep1,$C98&lt;=1), IF(includep2,$C98&lt;=2), IF(includep3,$C98&lt;=3), IF(includep4,$C98&lt;=4), IF(includep5,$C98&lt;=5)), OR(IF(includejewelcrafting,S98="JC"),IF(includeboe,S98="BoE"),IF(includepvp,S98="PvP"),IF(includequest,S98="Quest"),IF(includeheroic,S98="Heroic"),S98="none"),OR(IF(includegemcommon,U98="common"),IF(includegemrare,U98="rare"),IF(includegemepic,U98="epic"),IF(includejewelcrafting,S98="JC"),U98="none"),IF(NOT(Y98=TRUE),TRUE,FALSE),IF(incDef, TRUE, NOT(Z98))),MAX(W$1:$W97)+1,"")</f>
        <v/>
      </c>
      <c r="X98" s="279">
        <f>SUMPRODUCT(('Gear &amp; Buffs'!$B$10:$B$71=A98)*('Gear &amp; Buffs'!$C$10:$C$71=TRUE))</f>
        <v>0</v>
      </c>
      <c r="Y98" s="281" t="b">
        <f t="shared" si="6"/>
        <v>0</v>
      </c>
      <c r="Z98" s="6" t="b">
        <v>0</v>
      </c>
      <c r="AA98" s="738">
        <v>95</v>
      </c>
      <c r="AB98" s="714" t="str">
        <f t="shared" si="5"/>
        <v/>
      </c>
    </row>
    <row r="99" spans="1:28">
      <c r="A99" s="277" t="s">
        <v>1259</v>
      </c>
      <c r="B99" s="278">
        <v>30604</v>
      </c>
      <c r="C99" s="278">
        <v>1</v>
      </c>
      <c r="D99" s="278">
        <v>5</v>
      </c>
      <c r="E99" s="278"/>
      <c r="F99" s="278"/>
      <c r="G99" s="278"/>
      <c r="H99" s="278"/>
      <c r="I99" s="278"/>
      <c r="J99" s="279"/>
      <c r="K99" s="278"/>
      <c r="L99" s="278"/>
      <c r="M99" s="278"/>
      <c r="N99" s="278">
        <v>4</v>
      </c>
      <c r="O99" s="278"/>
      <c r="P99" s="278"/>
      <c r="Q99" s="278" t="s">
        <v>1045</v>
      </c>
      <c r="R99" s="280">
        <f t="shared" si="7"/>
        <v>1.9653151422062365</v>
      </c>
      <c r="S99" s="278" t="s">
        <v>691</v>
      </c>
      <c r="T99" s="278"/>
      <c r="U99" s="261" t="s">
        <v>798</v>
      </c>
      <c r="V99" s="278"/>
      <c r="W99" s="870" t="str">
        <f>IF(AND(OR(IF(includep1,$C99&lt;=1), IF(includep2,$C99&lt;=2), IF(includep3,$C99&lt;=3), IF(includep4,$C99&lt;=4), IF(includep5,$C99&lt;=5)), OR(IF(includejewelcrafting,S99="JC"),IF(includeboe,S99="BoE"),IF(includepvp,S99="PvP"),IF(includequest,S99="Quest"),IF(includeheroic,S99="Heroic"),S99="none"),OR(IF(includegemcommon,U99="common"),IF(includegemrare,U99="rare"),IF(includegemepic,U99="epic"),IF(includejewelcrafting,S99="JC"),U99="none"),IF(NOT(Y99=TRUE),TRUE,FALSE),IF(incDef, TRUE, NOT(Z99))),MAX(W$1:$W98)+1,"")</f>
        <v/>
      </c>
      <c r="X99" s="279">
        <f>SUMPRODUCT(('Gear &amp; Buffs'!$B$10:$B$71=A99)*('Gear &amp; Buffs'!$C$10:$C$71=TRUE))</f>
        <v>0</v>
      </c>
      <c r="Y99" s="281" t="b">
        <f t="shared" si="6"/>
        <v>0</v>
      </c>
      <c r="Z99" s="6" t="b">
        <v>0</v>
      </c>
      <c r="AA99" s="738">
        <v>96</v>
      </c>
      <c r="AB99" s="714" t="str">
        <f t="shared" si="5"/>
        <v/>
      </c>
    </row>
    <row r="100" spans="1:28">
      <c r="A100" s="277" t="s">
        <v>1552</v>
      </c>
      <c r="B100" s="278">
        <v>30607</v>
      </c>
      <c r="C100" s="278">
        <v>1</v>
      </c>
      <c r="D100" s="278"/>
      <c r="E100" s="278"/>
      <c r="F100" s="278"/>
      <c r="G100" s="278"/>
      <c r="H100" s="278"/>
      <c r="I100" s="278"/>
      <c r="J100" s="279"/>
      <c r="K100" s="278"/>
      <c r="L100" s="278"/>
      <c r="M100" s="278"/>
      <c r="N100" s="278">
        <v>4</v>
      </c>
      <c r="O100" s="278"/>
      <c r="P100" s="278"/>
      <c r="Q100" s="278" t="s">
        <v>1045</v>
      </c>
      <c r="R100" s="280">
        <f t="shared" si="7"/>
        <v>0</v>
      </c>
      <c r="S100" s="278" t="s">
        <v>691</v>
      </c>
      <c r="T100" s="278"/>
      <c r="U100" s="261" t="s">
        <v>798</v>
      </c>
      <c r="V100" s="278">
        <v>5</v>
      </c>
      <c r="W100" s="870" t="str">
        <f>IF(AND(OR(IF(includep1,$C100&lt;=1), IF(includep2,$C100&lt;=2), IF(includep3,$C100&lt;=3), IF(includep4,$C100&lt;=4), IF(includep5,$C100&lt;=5)), OR(IF(includejewelcrafting,S100="JC"),IF(includeboe,S100="BoE"),IF(includepvp,S100="PvP"),IF(includequest,S100="Quest"),IF(includeheroic,S100="Heroic"),S100="none"),OR(IF(includegemcommon,U100="common"),IF(includegemrare,U100="rare"),IF(includegemepic,U100="epic"),IF(includejewelcrafting,S100="JC"),U100="none"),IF(NOT(Y100=TRUE),TRUE,FALSE),IF(incDef, TRUE, NOT(Z100))),MAX(W$1:$W99)+1,"")</f>
        <v/>
      </c>
      <c r="X100" s="279">
        <f>SUMPRODUCT(('Gear &amp; Buffs'!$B$10:$B$71=A100)*('Gear &amp; Buffs'!$C$10:$C$71=TRUE))</f>
        <v>0</v>
      </c>
      <c r="Y100" s="281" t="b">
        <f t="shared" si="6"/>
        <v>0</v>
      </c>
      <c r="Z100" s="6" t="b">
        <v>1</v>
      </c>
      <c r="AA100" s="738">
        <v>97</v>
      </c>
      <c r="AB100" s="714" t="str">
        <f t="shared" si="5"/>
        <v/>
      </c>
    </row>
    <row r="101" spans="1:28">
      <c r="A101" s="277" t="s">
        <v>1553</v>
      </c>
      <c r="B101" s="278">
        <v>30554</v>
      </c>
      <c r="C101" s="278">
        <v>1</v>
      </c>
      <c r="D101" s="278"/>
      <c r="E101" s="278"/>
      <c r="F101" s="278"/>
      <c r="G101" s="278"/>
      <c r="H101" s="278"/>
      <c r="I101" s="278"/>
      <c r="J101" s="279"/>
      <c r="K101" s="278"/>
      <c r="L101" s="278"/>
      <c r="M101" s="278">
        <v>4</v>
      </c>
      <c r="N101" s="278"/>
      <c r="O101" s="278">
        <v>5</v>
      </c>
      <c r="P101" s="278"/>
      <c r="Q101" s="278" t="s">
        <v>1045</v>
      </c>
      <c r="R101" s="280">
        <f t="shared" si="7"/>
        <v>0</v>
      </c>
      <c r="S101" s="278" t="s">
        <v>691</v>
      </c>
      <c r="T101" s="278"/>
      <c r="U101" s="261" t="s">
        <v>798</v>
      </c>
      <c r="V101" s="278"/>
      <c r="W101" s="870" t="str">
        <f>IF(AND(OR(IF(includep1,$C101&lt;=1), IF(includep2,$C101&lt;=2), IF(includep3,$C101&lt;=3), IF(includep4,$C101&lt;=4), IF(includep5,$C101&lt;=5)), OR(IF(includejewelcrafting,S101="JC"),IF(includeboe,S101="BoE"),IF(includepvp,S101="PvP"),IF(includequest,S101="Quest"),IF(includeheroic,S101="Heroic"),S101="none"),OR(IF(includegemcommon,U101="common"),IF(includegemrare,U101="rare"),IF(includegemepic,U101="epic"),IF(includejewelcrafting,S101="JC"),U101="none"),IF(NOT(Y101=TRUE),TRUE,FALSE),IF(incDef, TRUE, NOT(Z101))),MAX(W$1:$W100)+1,"")</f>
        <v/>
      </c>
      <c r="X101" s="279">
        <f>SUMPRODUCT(('Gear &amp; Buffs'!$B$10:$B$71=A101)*('Gear &amp; Buffs'!$C$10:$C$71=TRUE))</f>
        <v>0</v>
      </c>
      <c r="Y101" s="281" t="b">
        <f t="shared" si="6"/>
        <v>0</v>
      </c>
      <c r="Z101" s="6" t="b">
        <v>1</v>
      </c>
      <c r="AA101" s="738">
        <v>98</v>
      </c>
      <c r="AB101" s="714" t="str">
        <f t="shared" si="5"/>
        <v/>
      </c>
    </row>
    <row r="102" spans="1:28">
      <c r="A102" s="277" t="s">
        <v>1501</v>
      </c>
      <c r="B102" s="278">
        <v>32637</v>
      </c>
      <c r="C102" s="278">
        <v>3</v>
      </c>
      <c r="D102" s="278"/>
      <c r="E102" s="278"/>
      <c r="F102" s="278">
        <v>8</v>
      </c>
      <c r="G102" s="278">
        <v>4</v>
      </c>
      <c r="H102" s="278"/>
      <c r="I102" s="278"/>
      <c r="J102" s="279"/>
      <c r="K102" s="278"/>
      <c r="L102" s="278"/>
      <c r="M102" s="278"/>
      <c r="N102" s="278"/>
      <c r="O102" s="278"/>
      <c r="P102" s="278"/>
      <c r="Q102" s="278" t="s">
        <v>1045</v>
      </c>
      <c r="R102" s="280">
        <f t="shared" si="7"/>
        <v>5.6018254288792377</v>
      </c>
      <c r="S102" s="278" t="s">
        <v>675</v>
      </c>
      <c r="T102" s="278" t="s">
        <v>728</v>
      </c>
      <c r="U102" s="323" t="s">
        <v>799</v>
      </c>
      <c r="V102" s="278"/>
      <c r="W102" s="870" t="str">
        <f>IF(AND(OR(IF(includep1,$C102&lt;=1), IF(includep2,$C102&lt;=2), IF(includep3,$C102&lt;=3), IF(includep4,$C102&lt;=4), IF(includep5,$C102&lt;=5)), OR(IF(includejewelcrafting,S102="JC"),IF(includeboe,S102="BoE"),IF(includepvp,S102="PvP"),IF(includequest,S102="Quest"),IF(includeheroic,S102="Heroic"),S102="none"),OR(IF(includegemcommon,U102="common"),IF(includegemrare,U102="rare"),IF(includegemepic,U102="epic"),IF(includejewelcrafting,S102="JC"),U102="none"),IF(NOT(Y102=TRUE),TRUE,FALSE),IF(incDef, TRUE, NOT(Z102))),MAX(W$1:$W101)+1,"")</f>
        <v/>
      </c>
      <c r="X102" s="279">
        <f>SUMPRODUCT(('Gear &amp; Buffs'!$B$10:$B$71=A102)*('Gear &amp; Buffs'!$C$10:$C$71=TRUE))</f>
        <v>0</v>
      </c>
      <c r="Y102" s="281" t="b">
        <f t="shared" si="6"/>
        <v>0</v>
      </c>
      <c r="Z102" s="6" t="b">
        <v>0</v>
      </c>
      <c r="AA102" s="738">
        <v>99</v>
      </c>
      <c r="AB102" s="714" t="str">
        <f t="shared" si="5"/>
        <v/>
      </c>
    </row>
    <row r="103" spans="1:28">
      <c r="A103" s="277" t="s">
        <v>1502</v>
      </c>
      <c r="B103" s="278">
        <v>31869</v>
      </c>
      <c r="C103" s="278">
        <v>3</v>
      </c>
      <c r="D103" s="278"/>
      <c r="E103" s="278"/>
      <c r="F103" s="278">
        <v>6</v>
      </c>
      <c r="G103" s="278">
        <v>3</v>
      </c>
      <c r="H103" s="278"/>
      <c r="I103" s="278"/>
      <c r="J103" s="279"/>
      <c r="K103" s="278"/>
      <c r="L103" s="278"/>
      <c r="M103" s="278"/>
      <c r="N103" s="278"/>
      <c r="O103" s="278"/>
      <c r="P103" s="278"/>
      <c r="Q103" s="278" t="s">
        <v>1045</v>
      </c>
      <c r="R103" s="280">
        <f t="shared" si="7"/>
        <v>4.2013690716594283</v>
      </c>
      <c r="S103" s="278" t="s">
        <v>674</v>
      </c>
      <c r="T103" s="278"/>
      <c r="U103" s="324" t="s">
        <v>800</v>
      </c>
      <c r="V103" s="278"/>
      <c r="W103" s="870" t="str">
        <f>IF(AND(OR(IF(includep1,$C103&lt;=1), IF(includep2,$C103&lt;=2), IF(includep3,$C103&lt;=3), IF(includep4,$C103&lt;=4), IF(includep5,$C103&lt;=5)), OR(IF(includejewelcrafting,S103="JC"),IF(includeboe,S103="BoE"),IF(includepvp,S103="PvP"),IF(includequest,S103="Quest"),IF(includeheroic,S103="Heroic"),S103="none"),OR(IF(includegemcommon,U103="common"),IF(includegemrare,U103="rare"),IF(includegemepic,U103="epic"),IF(includejewelcrafting,S103="JC"),U103="none"),IF(NOT(Y103=TRUE),TRUE,FALSE),IF(incDef, TRUE, NOT(Z103))),MAX(W$1:$W102)+1,"")</f>
        <v/>
      </c>
      <c r="X103" s="279">
        <f>SUMPRODUCT(('Gear &amp; Buffs'!$B$10:$B$71=A103)*('Gear &amp; Buffs'!$C$10:$C$71=TRUE))</f>
        <v>0</v>
      </c>
      <c r="Y103" s="281" t="b">
        <f t="shared" si="6"/>
        <v>0</v>
      </c>
      <c r="Z103" s="6" t="b">
        <v>0</v>
      </c>
      <c r="AA103" s="738">
        <v>100</v>
      </c>
      <c r="AB103" s="714" t="str">
        <f t="shared" si="5"/>
        <v/>
      </c>
    </row>
    <row r="104" spans="1:28">
      <c r="A104" s="277" t="s">
        <v>2072</v>
      </c>
      <c r="B104" s="278">
        <v>31868</v>
      </c>
      <c r="C104" s="278">
        <v>3</v>
      </c>
      <c r="D104" s="278"/>
      <c r="E104" s="278"/>
      <c r="F104" s="278">
        <v>8</v>
      </c>
      <c r="G104" s="278">
        <v>4</v>
      </c>
      <c r="H104" s="278"/>
      <c r="I104" s="278"/>
      <c r="J104" s="279"/>
      <c r="K104" s="278"/>
      <c r="L104" s="278"/>
      <c r="M104" s="278"/>
      <c r="N104" s="278"/>
      <c r="O104" s="278"/>
      <c r="P104" s="278"/>
      <c r="Q104" s="278" t="s">
        <v>1045</v>
      </c>
      <c r="R104" s="280">
        <f t="shared" si="7"/>
        <v>5.6018254288792377</v>
      </c>
      <c r="S104" s="278" t="s">
        <v>674</v>
      </c>
      <c r="T104" s="278"/>
      <c r="U104" s="323" t="s">
        <v>799</v>
      </c>
      <c r="V104" s="278"/>
      <c r="W104" s="870" t="str">
        <f>IF(AND(OR(IF(includep1,$C104&lt;=1), IF(includep2,$C104&lt;=2), IF(includep3,$C104&lt;=3), IF(includep4,$C104&lt;=4), IF(includep5,$C104&lt;=5)), OR(IF(includejewelcrafting,S104="JC"),IF(includeboe,S104="BoE"),IF(includepvp,S104="PvP"),IF(includequest,S104="Quest"),IF(includeheroic,S104="Heroic"),S104="none"),OR(IF(includegemcommon,U104="common"),IF(includegemrare,U104="rare"),IF(includegemepic,U104="epic"),IF(includejewelcrafting,S104="JC"),U104="none"),IF(NOT(Y104=TRUE),TRUE,FALSE),IF(incDef, TRUE, NOT(Z104))),MAX(W$1:$W103)+1,"")</f>
        <v/>
      </c>
      <c r="X104" s="279">
        <f>SUMPRODUCT(('Gear &amp; Buffs'!$B$10:$B$71=A104)*('Gear &amp; Buffs'!$C$10:$C$71=TRUE))</f>
        <v>0</v>
      </c>
      <c r="Y104" s="281" t="b">
        <f t="shared" si="6"/>
        <v>0</v>
      </c>
      <c r="Z104" s="6" t="b">
        <v>0</v>
      </c>
      <c r="AA104" s="738">
        <v>101</v>
      </c>
      <c r="AB104" s="714" t="str">
        <f t="shared" si="5"/>
        <v/>
      </c>
    </row>
    <row r="105" spans="1:28">
      <c r="A105" s="277" t="s">
        <v>2073</v>
      </c>
      <c r="B105" s="278">
        <v>32222</v>
      </c>
      <c r="C105" s="278">
        <v>3</v>
      </c>
      <c r="D105" s="278"/>
      <c r="E105" s="278"/>
      <c r="F105" s="278">
        <v>10</v>
      </c>
      <c r="G105" s="278">
        <v>5</v>
      </c>
      <c r="H105" s="278"/>
      <c r="I105" s="278"/>
      <c r="J105" s="279"/>
      <c r="K105" s="278"/>
      <c r="L105" s="278"/>
      <c r="M105" s="278"/>
      <c r="N105" s="278"/>
      <c r="O105" s="278"/>
      <c r="P105" s="278"/>
      <c r="Q105" s="278" t="s">
        <v>1045</v>
      </c>
      <c r="R105" s="280">
        <f t="shared" si="7"/>
        <v>7.0022817860990472</v>
      </c>
      <c r="S105" s="278" t="s">
        <v>674</v>
      </c>
      <c r="T105" s="278"/>
      <c r="U105" s="261" t="s">
        <v>798</v>
      </c>
      <c r="V105" s="278"/>
      <c r="W105" s="870" t="str">
        <f>IF(AND(OR(IF(includep1,$C105&lt;=1), IF(includep2,$C105&lt;=2), IF(includep3,$C105&lt;=3), IF(includep4,$C105&lt;=4), IF(includep5,$C105&lt;=5)), OR(IF(includejewelcrafting,S105="JC"),IF(includeboe,S105="BoE"),IF(includepvp,S105="PvP"),IF(includequest,S105="Quest"),IF(includeheroic,S105="Heroic"),S105="none"),OR(IF(includegemcommon,U105="common"),IF(includegemrare,U105="rare"),IF(includegemepic,U105="epic"),IF(includejewelcrafting,S105="JC"),U105="none"),IF(NOT(Y105=TRUE),TRUE,FALSE),IF(incDef, TRUE, NOT(Z105))),MAX(W$1:$W104)+1,"")</f>
        <v/>
      </c>
      <c r="X105" s="279">
        <f>SUMPRODUCT(('Gear &amp; Buffs'!$B$10:$B$71=A105)*('Gear &amp; Buffs'!$C$10:$C$71=TRUE))</f>
        <v>0</v>
      </c>
      <c r="Y105" s="281" t="b">
        <f t="shared" si="6"/>
        <v>0</v>
      </c>
      <c r="Z105" s="6" t="b">
        <v>0</v>
      </c>
      <c r="AA105" s="738">
        <v>102</v>
      </c>
      <c r="AB105" s="714" t="str">
        <f t="shared" si="5"/>
        <v/>
      </c>
    </row>
    <row r="106" spans="1:28">
      <c r="Y106" s="120"/>
    </row>
    <row r="107" spans="1:28" ht="23.25" thickBot="1">
      <c r="A107" s="753" t="s">
        <v>2840</v>
      </c>
      <c r="B107" s="753" t="s">
        <v>1934</v>
      </c>
      <c r="C107" s="753" t="s">
        <v>2798</v>
      </c>
      <c r="D107" s="753" t="s">
        <v>1214</v>
      </c>
      <c r="E107" s="753" t="s">
        <v>1215</v>
      </c>
      <c r="F107" s="753" t="s">
        <v>768</v>
      </c>
      <c r="G107" s="753" t="s">
        <v>2140</v>
      </c>
      <c r="H107" s="753" t="s">
        <v>2139</v>
      </c>
      <c r="I107" s="753" t="s">
        <v>771</v>
      </c>
      <c r="J107" s="753" t="s">
        <v>770</v>
      </c>
      <c r="K107" s="753" t="s">
        <v>760</v>
      </c>
      <c r="L107" s="753" t="s">
        <v>1216</v>
      </c>
      <c r="M107" s="753" t="s">
        <v>264</v>
      </c>
      <c r="N107" s="753" t="s">
        <v>1217</v>
      </c>
      <c r="O107" s="753" t="s">
        <v>1287</v>
      </c>
      <c r="P107" s="753" t="s">
        <v>1046</v>
      </c>
      <c r="Q107" s="731" t="s">
        <v>1047</v>
      </c>
      <c r="R107" s="753" t="s">
        <v>265</v>
      </c>
      <c r="S107" s="753" t="s">
        <v>1344</v>
      </c>
      <c r="T107" s="780" t="s">
        <v>54</v>
      </c>
      <c r="U107" s="781" t="s">
        <v>56</v>
      </c>
      <c r="V107" s="782" t="s">
        <v>55</v>
      </c>
      <c r="W107" s="753">
        <v>0</v>
      </c>
      <c r="X107" s="753"/>
      <c r="Y107" s="753"/>
    </row>
    <row r="108" spans="1:28">
      <c r="A108" s="6" t="s">
        <v>2207</v>
      </c>
      <c r="B108" s="119"/>
      <c r="C108" s="119"/>
      <c r="D108" s="118"/>
      <c r="E108" s="118"/>
      <c r="F108" s="118"/>
      <c r="G108" s="118"/>
      <c r="H108" s="119"/>
      <c r="I108" s="119"/>
      <c r="K108" s="119"/>
      <c r="L108" s="118"/>
      <c r="M108" s="118"/>
      <c r="N108" s="118"/>
      <c r="O108" s="119"/>
      <c r="P108" s="119"/>
      <c r="Q108" s="168"/>
      <c r="R108" s="251">
        <f t="shared" ref="R108:R117" si="8">$D108*dpsStr+$E108*dpsAgi+$G108*dpsCrit+$H108*dpsHit+$F108*dpsAP+$I108*dpsHaste+$J108*dpsArmor+$K108*dpsExp</f>
        <v>0</v>
      </c>
      <c r="S108" s="120" t="b">
        <f>TRUE</f>
        <v>1</v>
      </c>
      <c r="T108" s="254">
        <f>'Gear &amp; Buffs'!R73+'Gear &amp; Buffs'!S73</f>
        <v>4</v>
      </c>
      <c r="U108" s="264">
        <f>'Gear &amp; Buffs'!R74+'Gear &amp; Buffs'!S74</f>
        <v>2</v>
      </c>
      <c r="V108" s="783">
        <f>'Gear &amp; Buffs'!R75+'Gear &amp; Buffs'!S75</f>
        <v>12</v>
      </c>
      <c r="X108" s="738"/>
      <c r="Y108" s="714" t="s">
        <v>1689</v>
      </c>
      <c r="Z108" s="6" t="s">
        <v>1924</v>
      </c>
    </row>
    <row r="109" spans="1:28">
      <c r="B109" s="119"/>
      <c r="C109" s="119"/>
      <c r="D109" s="118"/>
      <c r="E109" s="118"/>
      <c r="F109" s="118"/>
      <c r="G109" s="118"/>
      <c r="H109" s="119"/>
      <c r="I109" s="119"/>
      <c r="K109" s="119"/>
      <c r="L109" s="118"/>
      <c r="M109" s="118"/>
      <c r="N109" s="118"/>
      <c r="O109" s="119"/>
      <c r="P109" s="119"/>
      <c r="Q109" s="168"/>
      <c r="R109" s="251"/>
      <c r="T109" s="129"/>
      <c r="U109" s="129"/>
      <c r="V109" s="784"/>
      <c r="X109" s="738"/>
      <c r="Y109" s="714"/>
    </row>
    <row r="110" spans="1:28">
      <c r="A110" s="6" t="s">
        <v>1668</v>
      </c>
      <c r="B110" s="120">
        <v>25899</v>
      </c>
      <c r="C110" s="120">
        <v>1</v>
      </c>
      <c r="H110" s="121"/>
      <c r="R110" s="251">
        <f t="shared" si="8"/>
        <v>0</v>
      </c>
      <c r="S110" s="120" t="b">
        <f>IF('Gear &amp; Buffs'!Y43=TRUE,IF(AND(T108&gt;=2,U108&gt;=2,V108&gt;=2),TRUE,FALSE),TRUE)</f>
        <v>1</v>
      </c>
      <c r="V110" s="785"/>
      <c r="W110" s="129">
        <f>IF(AND(OR(IF(includep1,$C110&lt;=1), IF(includep2,$C110&lt;=2), IF(includep3,$C110&lt;=3), IF(includep4,$C110&lt;=107), IF(includep5,$C110&lt;=5))),MAX($W$107:$W108)+1,"")</f>
        <v>1</v>
      </c>
      <c r="X110" s="738">
        <v>1</v>
      </c>
      <c r="Y110" s="714" t="str">
        <f>IF(ISNA(INDEX($A$110:$A$117,MATCH(X110,W$110:W$117,0))), "", INDEX($A$110:$A$117,MATCH(X110,W$110:W$117,0)))</f>
        <v>Brutal Earthstorm Diamond (3dam/stun)</v>
      </c>
      <c r="Z110" s="6" t="s">
        <v>1924</v>
      </c>
    </row>
    <row r="111" spans="1:28">
      <c r="A111" s="6" t="s">
        <v>1669</v>
      </c>
      <c r="B111" s="120">
        <v>25895</v>
      </c>
      <c r="C111" s="120">
        <v>1</v>
      </c>
      <c r="G111" s="120">
        <f>IF(S111,12,0)</f>
        <v>0</v>
      </c>
      <c r="H111" s="121"/>
      <c r="R111" s="251">
        <f t="shared" si="8"/>
        <v>0</v>
      </c>
      <c r="S111" s="120" t="b">
        <f>IF('Gear &amp; Buffs'!Y43=TRUE,IF(T108&gt;V108,TRUE,FALSE),TRUE)</f>
        <v>0</v>
      </c>
      <c r="V111" s="785"/>
      <c r="W111" s="129">
        <f>IF(AND(OR(IF(includep1,$C111&lt;=1), IF(includep2,$C111&lt;=2), IF(includep3,$C111&lt;=3), IF(includep4,$C111&lt;=107), IF(includep5,$C111&lt;=5))),MAX($W$107:$W110)+1,"")</f>
        <v>2</v>
      </c>
      <c r="X111" s="738">
        <v>2</v>
      </c>
      <c r="Y111" s="714" t="str">
        <f t="shared" ref="Y111:Y117" si="9">IF(ISNA(INDEX($A$110:$A$117,MATCH(X111,W$110:W$117,0))), "", INDEX($A$110:$A$117,MATCH(X111,W$110:W$117,0)))</f>
        <v>Enigmatic Skyfire Diamond (12crit/5%root resi)</v>
      </c>
      <c r="Z111" s="6" t="s">
        <v>1924</v>
      </c>
    </row>
    <row r="112" spans="1:28">
      <c r="A112" s="337" t="s">
        <v>1503</v>
      </c>
      <c r="B112" s="120">
        <v>32640</v>
      </c>
      <c r="C112" s="120">
        <v>3</v>
      </c>
      <c r="F112" s="120">
        <v>24</v>
      </c>
      <c r="H112" s="121"/>
      <c r="R112" s="251">
        <f t="shared" si="8"/>
        <v>8.5759206205239025</v>
      </c>
      <c r="S112" s="120" t="b">
        <f>IF('Gear &amp; Buffs'!Y43=TRUE,IF(U108&gt;V108,TRUE,FALSE),TRUE)</f>
        <v>0</v>
      </c>
      <c r="V112" s="785"/>
      <c r="W112" s="129" t="str">
        <f>IF(AND(OR(IF(includep1,$C112&lt;=1), IF(includep2,$C112&lt;=2), IF(includep3,$C112&lt;=3), IF(includep4,$C112&lt;=107), IF(includep5,$C112&lt;=5))),MAX($W$107:$W111)+1,"")</f>
        <v/>
      </c>
      <c r="X112" s="738">
        <v>3</v>
      </c>
      <c r="Y112" s="714" t="str">
        <f t="shared" si="9"/>
        <v>Powerful Earthstorm Diamond (18sta/5%stun resi)</v>
      </c>
      <c r="Z112" s="6" t="s">
        <v>1924</v>
      </c>
    </row>
    <row r="113" spans="1:26">
      <c r="A113" s="6" t="s">
        <v>291</v>
      </c>
      <c r="B113" s="120">
        <v>25896</v>
      </c>
      <c r="C113" s="120">
        <v>1</v>
      </c>
      <c r="H113" s="121"/>
      <c r="L113" s="120">
        <f>IF(S113,18,0)</f>
        <v>0</v>
      </c>
      <c r="R113" s="251">
        <f t="shared" si="8"/>
        <v>0</v>
      </c>
      <c r="S113" s="120" t="b">
        <f>IF('Gear &amp; Buffs'!Y43=TRUE,IF(AND(T108&gt;=0,U108&gt;=3,V108&gt;=0),TRUE,FALSE),TRUE)</f>
        <v>0</v>
      </c>
      <c r="V113" s="785"/>
      <c r="W113" s="129">
        <f>IF(AND(OR(IF(includep1,$C113&lt;=1), IF(includep2,$C113&lt;=2), IF(includep3,$C113&lt;=3), IF(includep4,$C113&lt;=107), IF(includep5,$C113&lt;=5))),MAX($W$107:$W112)+1,"")</f>
        <v>3</v>
      </c>
      <c r="X113" s="738">
        <v>4</v>
      </c>
      <c r="Y113" s="714" t="str">
        <f t="shared" si="9"/>
        <v>Relentless Earthstorm Diamond (12agi/3%crit dam)</v>
      </c>
      <c r="Z113" s="6" t="s">
        <v>1924</v>
      </c>
    </row>
    <row r="114" spans="1:26">
      <c r="A114" s="6" t="s">
        <v>292</v>
      </c>
      <c r="B114" s="120">
        <v>32409</v>
      </c>
      <c r="C114" s="120">
        <v>1</v>
      </c>
      <c r="E114" s="120">
        <f>IF(S114,12,0)</f>
        <v>12</v>
      </c>
      <c r="H114" s="121"/>
      <c r="R114" s="251">
        <f t="shared" si="8"/>
        <v>9.9265544320196568</v>
      </c>
      <c r="S114" s="120" t="b">
        <f>IF('Gear &amp; Buffs'!Y43=TRUE,IF(AND(T108&gt;=2,U108&gt;=2,V108&gt;=2),TRUE,FALSE),TRUE)</f>
        <v>1</v>
      </c>
      <c r="V114" s="785"/>
      <c r="W114" s="129">
        <f>IF(AND(OR(IF(includep1,$C114&lt;=1), IF(includep2,$C114&lt;=2), IF(includep3,$C114&lt;=3), IF(includep4,$C114&lt;=107), IF(includep5,$C114&lt;=5))),MAX($W$107:$W113)+1,"")</f>
        <v>4</v>
      </c>
      <c r="X114" s="738">
        <v>5</v>
      </c>
      <c r="Y114" s="714" t="str">
        <f t="shared" si="9"/>
        <v>Swift Skyfire Diamond (24ap/minor speed)</v>
      </c>
      <c r="Z114" s="6" t="s">
        <v>1924</v>
      </c>
    </row>
    <row r="115" spans="1:26">
      <c r="A115" s="6" t="s">
        <v>293</v>
      </c>
      <c r="B115" s="120">
        <v>25894</v>
      </c>
      <c r="C115" s="120">
        <v>1</v>
      </c>
      <c r="F115" s="120">
        <f>IF(S115,24,0)</f>
        <v>24</v>
      </c>
      <c r="R115" s="251">
        <f t="shared" si="8"/>
        <v>8.5759206205239025</v>
      </c>
      <c r="S115" s="120" t="b">
        <f>IF('Gear &amp; Buffs'!Y43=TRUE,IF(AND(T108&gt;=1,U108&gt;=0,V108&gt;=2),TRUE,FALSE),TRUE)</f>
        <v>1</v>
      </c>
      <c r="V115" s="785"/>
      <c r="W115" s="129">
        <f>IF(AND(OR(IF(includep1,$C115&lt;=1), IF(includep2,$C115&lt;=2), IF(includep3,$C115&lt;=3), IF(includep4,$C115&lt;=107), IF(includep5,$C115&lt;=5))),MAX($W$107:$W114)+1,"")</f>
        <v>5</v>
      </c>
      <c r="X115" s="738">
        <v>6</v>
      </c>
      <c r="Y115" s="714" t="str">
        <f t="shared" si="9"/>
        <v>Swift Windfire Diamond (20ap/minor speed)</v>
      </c>
      <c r="Z115" s="6" t="s">
        <v>1924</v>
      </c>
    </row>
    <row r="116" spans="1:26">
      <c r="A116" s="6" t="s">
        <v>294</v>
      </c>
      <c r="B116" s="120">
        <v>28556</v>
      </c>
      <c r="C116" s="120">
        <v>1</v>
      </c>
      <c r="F116" s="120">
        <f>IF(S116,20,0)</f>
        <v>20</v>
      </c>
      <c r="H116" s="121"/>
      <c r="R116" s="251">
        <f t="shared" si="8"/>
        <v>7.1466005171032521</v>
      </c>
      <c r="S116" s="120" t="b">
        <f>IF('Gear &amp; Buffs'!Y43=TRUE,IF(AND(T108&gt;=1,U108&gt;=0,V108&gt;=2),TRUE,FALSE),TRUE)</f>
        <v>1</v>
      </c>
      <c r="V116" s="785"/>
      <c r="W116" s="129">
        <f>IF(AND(OR(IF(includep1,$C116&lt;=1), IF(includep2,$C116&lt;=2), IF(includep3,$C116&lt;=3), IF(includep4,$C116&lt;=107), IF(includep5,$C116&lt;=5))),MAX($W$107:$W115)+1,"")</f>
        <v>6</v>
      </c>
      <c r="X116" s="738">
        <v>7</v>
      </c>
      <c r="Y116" s="714" t="str">
        <f t="shared" si="9"/>
        <v>Thundering Skyfire Diamond (haste)</v>
      </c>
      <c r="Z116" s="6" t="s">
        <v>1924</v>
      </c>
    </row>
    <row r="117" spans="1:26">
      <c r="A117" s="6" t="s">
        <v>295</v>
      </c>
      <c r="B117" s="120">
        <v>32410</v>
      </c>
      <c r="C117" s="120">
        <v>1</v>
      </c>
      <c r="H117" s="121"/>
      <c r="I117" s="120">
        <f>IF(S117,240*itTSDup,0)</f>
        <v>27.536636673910554</v>
      </c>
      <c r="R117" s="251">
        <f t="shared" si="8"/>
        <v>101.09758764853754</v>
      </c>
      <c r="S117" s="120" t="b">
        <f>IF('Gear &amp; Buffs'!Y43=TRUE,IF(AND(T108&gt;=2,U108&gt;=2,V108&gt;=2),TRUE,FALSE),TRUE)</f>
        <v>1</v>
      </c>
      <c r="V117" s="785"/>
      <c r="W117" s="129">
        <f>IF(AND(OR(IF(includep1,$C117&lt;=1), IF(includep2,$C117&lt;=2), IF(includep3,$C117&lt;=3), IF(includep4,$C117&lt;=107), IF(includep5,$C117&lt;=5))),MAX($W$107:$W116)+1,"")</f>
        <v>7</v>
      </c>
      <c r="X117" s="738">
        <v>8</v>
      </c>
      <c r="Y117" s="714" t="str">
        <f t="shared" si="9"/>
        <v/>
      </c>
      <c r="Z117" s="6" t="s">
        <v>1924</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AI124"/>
  <sheetViews>
    <sheetView workbookViewId="0">
      <selection activeCell="AC4" sqref="AC4"/>
    </sheetView>
  </sheetViews>
  <sheetFormatPr defaultRowHeight="11.25"/>
  <cols>
    <col min="1" max="1" width="28.85546875" style="48" bestFit="1" customWidth="1"/>
    <col min="2" max="2" width="6.42578125" style="129" bestFit="1" customWidth="1"/>
    <col min="3" max="3" width="2" style="129" bestFit="1" customWidth="1"/>
    <col min="4" max="4" width="3.28515625" style="129" bestFit="1" customWidth="1"/>
    <col min="5" max="6" width="3.5703125" style="129" bestFit="1" customWidth="1"/>
    <col min="7" max="7" width="3.85546875" style="129" bestFit="1" customWidth="1"/>
    <col min="8" max="8" width="3" style="129" bestFit="1" customWidth="1"/>
    <col min="9" max="9" width="5.42578125" style="129" bestFit="1" customWidth="1"/>
    <col min="10" max="10" width="6.42578125" style="125" bestFit="1" customWidth="1"/>
    <col min="11" max="11" width="3.7109375" style="125" bestFit="1" customWidth="1"/>
    <col min="12" max="12" width="3.42578125" style="125" bestFit="1" customWidth="1"/>
    <col min="13" max="13" width="4" style="125" bestFit="1" customWidth="1"/>
    <col min="14" max="14" width="4" style="129" bestFit="1" customWidth="1"/>
    <col min="15" max="15" width="3.5703125" style="129" bestFit="1" customWidth="1"/>
    <col min="16" max="16" width="10.85546875" style="129" bestFit="1" customWidth="1"/>
    <col min="17" max="17" width="15" style="129" bestFit="1" customWidth="1"/>
    <col min="18" max="18" width="11.85546875" style="129" bestFit="1" customWidth="1"/>
    <col min="19" max="19" width="10" style="129" customWidth="1"/>
    <col min="20" max="20" width="1.85546875" style="129" customWidth="1"/>
    <col min="21" max="22" width="1.85546875" style="129" bestFit="1" customWidth="1"/>
    <col min="23" max="23" width="8.85546875" style="129" bestFit="1" customWidth="1"/>
    <col min="24" max="24" width="3.5703125" style="123" bestFit="1" customWidth="1"/>
    <col min="25" max="25" width="8.85546875" style="129" bestFit="1" customWidth="1"/>
    <col min="26" max="26" width="5.28515625" style="125" bestFit="1" customWidth="1"/>
    <col min="27" max="28" width="2.7109375" style="129" bestFit="1" customWidth="1"/>
    <col min="29" max="29" width="28.85546875" style="48" bestFit="1" customWidth="1"/>
    <col min="30" max="30" width="4.7109375" style="48" bestFit="1" customWidth="1"/>
    <col min="31" max="31" width="2.7109375" style="48" bestFit="1" customWidth="1"/>
    <col min="32" max="16384" width="9.140625" style="48"/>
  </cols>
  <sheetData>
    <row r="1" spans="1:29" s="211" customFormat="1" ht="12" thickBot="1">
      <c r="A1" s="700" t="s">
        <v>164</v>
      </c>
      <c r="B1" s="700" t="s">
        <v>1934</v>
      </c>
      <c r="C1" s="700" t="s">
        <v>2798</v>
      </c>
      <c r="D1" s="700" t="s">
        <v>1214</v>
      </c>
      <c r="E1" s="700" t="s">
        <v>1215</v>
      </c>
      <c r="F1" s="700" t="s">
        <v>768</v>
      </c>
      <c r="G1" s="705" t="s">
        <v>2140</v>
      </c>
      <c r="H1" s="705" t="s">
        <v>2139</v>
      </c>
      <c r="I1" s="700" t="s">
        <v>771</v>
      </c>
      <c r="J1" s="700" t="s">
        <v>1219</v>
      </c>
      <c r="K1" s="705" t="s">
        <v>760</v>
      </c>
      <c r="L1" s="700" t="s">
        <v>1216</v>
      </c>
      <c r="M1" s="705" t="s">
        <v>264</v>
      </c>
      <c r="N1" s="705" t="s">
        <v>1217</v>
      </c>
      <c r="O1" s="705" t="s">
        <v>1287</v>
      </c>
      <c r="P1" s="706" t="s">
        <v>1046</v>
      </c>
      <c r="Q1" s="704" t="s">
        <v>1047</v>
      </c>
      <c r="R1" s="704" t="s">
        <v>1941</v>
      </c>
      <c r="S1" s="704" t="s">
        <v>666</v>
      </c>
      <c r="T1" s="701"/>
      <c r="U1" s="701"/>
      <c r="V1" s="701"/>
      <c r="W1" s="701" t="s">
        <v>568</v>
      </c>
      <c r="X1" s="706" t="s">
        <v>569</v>
      </c>
      <c r="Y1" s="702" t="s">
        <v>265</v>
      </c>
      <c r="Z1" s="703" t="s">
        <v>1474</v>
      </c>
      <c r="AA1" s="702">
        <v>0</v>
      </c>
      <c r="AB1" s="702"/>
      <c r="AC1" s="704" t="s">
        <v>461</v>
      </c>
    </row>
    <row r="2" spans="1:29">
      <c r="A2" s="695" t="s">
        <v>2334</v>
      </c>
      <c r="B2" s="696">
        <v>22478</v>
      </c>
      <c r="C2" s="696">
        <v>1</v>
      </c>
      <c r="D2" s="696">
        <v>18</v>
      </c>
      <c r="E2" s="696">
        <v>30</v>
      </c>
      <c r="F2" s="696"/>
      <c r="G2" s="697">
        <v>28</v>
      </c>
      <c r="H2" s="697">
        <v>10</v>
      </c>
      <c r="I2" s="696"/>
      <c r="J2" s="696"/>
      <c r="K2" s="696"/>
      <c r="L2" s="696">
        <v>29</v>
      </c>
      <c r="M2" s="697"/>
      <c r="N2" s="697"/>
      <c r="O2" s="696"/>
      <c r="P2" s="696" t="s">
        <v>2335</v>
      </c>
      <c r="Q2" s="696" t="s">
        <v>1048</v>
      </c>
      <c r="R2" s="696"/>
      <c r="S2" s="696" t="s">
        <v>668</v>
      </c>
      <c r="T2" s="47"/>
      <c r="U2" s="47"/>
      <c r="V2" s="47"/>
      <c r="W2" s="47" t="s">
        <v>191</v>
      </c>
      <c r="X2" s="696">
        <v>88</v>
      </c>
      <c r="Y2" s="891">
        <f>($D2*dpsStr+$E2*dpsAgi+$G2*dpsCrit+$H2*dpsHit+$F2*dpsAP+$I2*dpsHaste+$J2*dpsArmor+$K2*dpsExp+IF(MID($Q2,1,1)+MID($Q2,3,1)+MID($Q2,5,1)&gt;0,VLOOKUP('Gear &amp; Buffs'!$B$29,GenSocketStats,18,FALSE)+IF(MID($Q2,1,1)+MID($Q2,3,1)+MID($Q2,5,1)&gt;1,VLOOKUP('Gear &amp; Buffs'!$B$30,GenSocketStats,18,FALSE)+IF(MID($Q2,1,1)+MID($Q2,3,1)+MID($Q2,5,1)&gt;2,VLOOKUP('Gear &amp; Buffs'!$B$31,GenSocketStats,18,FALSE),0)),0)+IF(MID($Q2,7,1)&gt;0,VLOOKUP('Gear &amp; Buffs'!$B$28,MetaSocketStats,18,FALSE),0))-'Gear &amp; Buffs'!$AF$26</f>
        <v>-25.448862557673237</v>
      </c>
      <c r="Z2" s="698">
        <v>475</v>
      </c>
      <c r="AA2" s="221">
        <f>IF(AND(IF('Gear &amp; Buffs'!$AC$50,$Y2&gt;0+'Gear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Aman"),IF(includeprebc,$S2="Pre-BC"),IF(includesunwell,$S2="Sunwell"))),MAX($AA$1:$AA1)+1,"")</f>
        <v>1</v>
      </c>
      <c r="AB2" s="737"/>
      <c r="AC2" s="713" t="s">
        <v>1689</v>
      </c>
    </row>
    <row r="3" spans="1:29">
      <c r="A3" s="677" t="s">
        <v>1484</v>
      </c>
      <c r="B3" s="678">
        <v>35033</v>
      </c>
      <c r="C3" s="678">
        <v>5</v>
      </c>
      <c r="D3" s="678"/>
      <c r="E3" s="678">
        <v>36</v>
      </c>
      <c r="F3" s="678">
        <v>62</v>
      </c>
      <c r="G3" s="679">
        <v>26</v>
      </c>
      <c r="H3" s="679">
        <v>17</v>
      </c>
      <c r="I3" s="678"/>
      <c r="J3" s="678">
        <v>84</v>
      </c>
      <c r="K3" s="678"/>
      <c r="L3" s="678">
        <v>72</v>
      </c>
      <c r="M3" s="679"/>
      <c r="N3" s="679">
        <v>25</v>
      </c>
      <c r="O3" s="678"/>
      <c r="P3" s="678" t="s">
        <v>1068</v>
      </c>
      <c r="Q3" s="678" t="s">
        <v>1064</v>
      </c>
      <c r="R3" s="678" t="s">
        <v>1069</v>
      </c>
      <c r="S3" s="678" t="s">
        <v>677</v>
      </c>
      <c r="T3" s="47"/>
      <c r="U3" s="47"/>
      <c r="V3" s="47"/>
      <c r="W3" s="47" t="s">
        <v>191</v>
      </c>
      <c r="X3" s="678">
        <v>159</v>
      </c>
      <c r="Y3" s="890">
        <f>($D3*dpsStr+$E3*dpsAgi+$G3*dpsCrit+$H3*dpsHit+$F3*dpsAP+$I3*dpsHaste+$J3*dpsArmor+$K3*dpsExp+IF(MID($Q3,1,1)+MID($Q3,3,1)+MID($Q3,5,1)&gt;0,VLOOKUP('Gear &amp; Buffs'!$B$29,GenSocketStats,18,FALSE)+IF(MID($Q3,1,1)+MID($Q3,3,1)+MID($Q3,5,1)&gt;1,VLOOKUP('Gear &amp; Buffs'!$B$30,GenSocketStats,18,FALSE)+IF(MID($Q3,1,1)+MID($Q3,3,1)+MID($Q3,5,1)&gt;2,VLOOKUP('Gear &amp; Buffs'!$B$31,GenSocketStats,18,FALSE),0)),0)+IF(MID($Q3,7,1)&gt;0,VLOOKUP('Gear &amp; Buffs'!$B$28,MetaSocketStats,18,FALSE),0))-'Gear &amp; Buffs'!$AF$26</f>
        <v>45.7055433978976</v>
      </c>
      <c r="Z3" s="680">
        <v>475</v>
      </c>
      <c r="AA3" s="221" t="str">
        <f>IF(AND(IF('Gear &amp; Buffs'!$AC$50,$Y3&gt;0+'Gear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Aman"),IF(includeprebc,$S3="Pre-BC"),IF(includesunwell,$S3="Sunwell"))),MAX($AA$1:$AA2)+1,"")</f>
        <v/>
      </c>
      <c r="AB3" s="738"/>
      <c r="AC3" s="714" t="str">
        <f>" "</f>
        <v xml:space="preserve"> </v>
      </c>
    </row>
    <row r="4" spans="1:29">
      <c r="A4" s="677" t="s">
        <v>1049</v>
      </c>
      <c r="B4" s="679">
        <v>29502</v>
      </c>
      <c r="C4" s="679">
        <v>1</v>
      </c>
      <c r="D4" s="678"/>
      <c r="E4" s="678">
        <v>37</v>
      </c>
      <c r="F4" s="678">
        <v>74</v>
      </c>
      <c r="G4" s="679"/>
      <c r="H4" s="679">
        <v>18</v>
      </c>
      <c r="I4" s="679"/>
      <c r="J4" s="678"/>
      <c r="K4" s="679"/>
      <c r="L4" s="678">
        <v>42</v>
      </c>
      <c r="M4" s="679"/>
      <c r="N4" s="679"/>
      <c r="O4" s="679"/>
      <c r="P4" s="688"/>
      <c r="Q4" s="678" t="s">
        <v>1048</v>
      </c>
      <c r="R4" s="678"/>
      <c r="S4" s="678" t="s">
        <v>685</v>
      </c>
      <c r="T4" s="687"/>
      <c r="U4" s="687"/>
      <c r="V4" s="687"/>
      <c r="W4" s="687" t="s">
        <v>191</v>
      </c>
      <c r="X4" s="679">
        <v>105</v>
      </c>
      <c r="Y4" s="890">
        <f>($D4*dpsStr+$E4*dpsAgi+$G4*dpsCrit+$H4*dpsHit+$F4*dpsAP+$I4*dpsHaste+$J4*dpsArmor+$K4*dpsExp+IF(MID($Q4,1,1)+MID($Q4,3,1)+MID($Q4,5,1)&gt;0,VLOOKUP('Gear &amp; Buffs'!$B$29,GenSocketStats,18,FALSE)+IF(MID($Q4,1,1)+MID($Q4,3,1)+MID($Q4,5,1)&gt;1,VLOOKUP('Gear &amp; Buffs'!$B$30,GenSocketStats,18,FALSE)+IF(MID($Q4,1,1)+MID($Q4,3,1)+MID($Q4,5,1)&gt;2,VLOOKUP('Gear &amp; Buffs'!$B$31,GenSocketStats,18,FALSE),0)),0)+IF(MID($Q4,7,1)&gt;0,VLOOKUP('Gear &amp; Buffs'!$B$28,MetaSocketStats,18,FALSE),0))-'Gear &amp; Buffs'!$AF$26</f>
        <v>24.906870111762828</v>
      </c>
      <c r="Z4" s="680">
        <v>271</v>
      </c>
      <c r="AA4" s="221">
        <f>IF(AND(IF('Gear &amp; Buffs'!$AC$50,$Y4&gt;0+'Gear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Aman"),IF(includeprebc,$S4="Pre-BC"),IF(includesunwell,$S4="Sunwell"))),MAX($AA$1:$AA3)+1,"")</f>
        <v>2</v>
      </c>
      <c r="AB4" s="738">
        <v>1</v>
      </c>
      <c r="AC4" s="714" t="str">
        <f t="shared" ref="AC4:AC31" si="0">IF(ISNA(INDEX($A$2:$A$29,MATCH(AB4,AA$2:AA$29,0))), "", INDEX($A$2:$A$29,MATCH(AB4,AA$2:AA$29,0)))</f>
        <v>Bonescythe Helmet</v>
      </c>
    </row>
    <row r="5" spans="1:29">
      <c r="A5" s="677" t="s">
        <v>1050</v>
      </c>
      <c r="B5" s="679">
        <v>28732</v>
      </c>
      <c r="C5" s="679">
        <v>1</v>
      </c>
      <c r="D5" s="678"/>
      <c r="E5" s="678">
        <v>34</v>
      </c>
      <c r="F5" s="678">
        <v>100</v>
      </c>
      <c r="G5" s="679"/>
      <c r="H5" s="679">
        <v>24</v>
      </c>
      <c r="I5" s="679"/>
      <c r="J5" s="678"/>
      <c r="K5" s="679"/>
      <c r="L5" s="678">
        <v>33</v>
      </c>
      <c r="M5" s="679"/>
      <c r="N5" s="679"/>
      <c r="O5" s="679"/>
      <c r="P5" s="688"/>
      <c r="Q5" s="678" t="s">
        <v>1048</v>
      </c>
      <c r="R5" s="678"/>
      <c r="S5" s="679" t="s">
        <v>672</v>
      </c>
      <c r="T5" s="689"/>
      <c r="U5" s="687"/>
      <c r="V5" s="687"/>
      <c r="W5" s="687" t="s">
        <v>191</v>
      </c>
      <c r="X5" s="679">
        <v>115</v>
      </c>
      <c r="Y5" s="890">
        <f>($D5*dpsStr+$E5*dpsAgi+$G5*dpsCrit+$H5*dpsHit+$F5*dpsAP+$I5*dpsHaste+$J5*dpsArmor+$K5*dpsExp+IF(MID($Q5,1,1)+MID($Q5,3,1)+MID($Q5,5,1)&gt;0,VLOOKUP('Gear &amp; Buffs'!$B$29,GenSocketStats,18,FALSE)+IF(MID($Q5,1,1)+MID($Q5,3,1)+MID($Q5,5,1)&gt;1,VLOOKUP('Gear &amp; Buffs'!$B$30,GenSocketStats,18,FALSE)+IF(MID($Q5,1,1)+MID($Q5,3,1)+MID($Q5,5,1)&gt;2,VLOOKUP('Gear &amp; Buffs'!$B$31,GenSocketStats,18,FALSE),0)),0)+IF(MID($Q5,7,1)&gt;0,VLOOKUP('Gear &amp; Buffs'!$B$28,MetaSocketStats,18,FALSE),0))-'Gear &amp; Buffs'!$AF$26</f>
        <v>65.016000978755073</v>
      </c>
      <c r="Z5" s="680">
        <v>296</v>
      </c>
      <c r="AA5" s="221">
        <f>IF(AND(IF('Gear &amp; Buffs'!$AC$50,$Y5&gt;0+'Gear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Aman"),IF(includeprebc,$S5="Pre-BC"),IF(includesunwell,$S5="Sunwell"))),MAX($AA$1:$AA4)+1,"")</f>
        <v>3</v>
      </c>
      <c r="AB5" s="738">
        <v>2</v>
      </c>
      <c r="AC5" s="714" t="str">
        <f t="shared" si="0"/>
        <v>Cobrascale Hood</v>
      </c>
    </row>
    <row r="6" spans="1:29">
      <c r="A6" s="677" t="s">
        <v>2249</v>
      </c>
      <c r="B6" s="679">
        <v>32235</v>
      </c>
      <c r="C6" s="679">
        <v>3</v>
      </c>
      <c r="D6" s="678"/>
      <c r="E6" s="678">
        <v>39</v>
      </c>
      <c r="F6" s="678">
        <v>108</v>
      </c>
      <c r="G6" s="679">
        <v>38</v>
      </c>
      <c r="H6" s="679">
        <v>21</v>
      </c>
      <c r="I6" s="679"/>
      <c r="J6" s="678"/>
      <c r="K6" s="679"/>
      <c r="L6" s="678">
        <v>46</v>
      </c>
      <c r="M6" s="679"/>
      <c r="N6" s="679"/>
      <c r="O6" s="679"/>
      <c r="P6" s="688"/>
      <c r="Q6" s="678" t="s">
        <v>1051</v>
      </c>
      <c r="R6" s="678" t="s">
        <v>1052</v>
      </c>
      <c r="S6" s="679" t="s">
        <v>683</v>
      </c>
      <c r="T6" s="687"/>
      <c r="U6" s="687"/>
      <c r="V6" s="687"/>
      <c r="W6" s="687" t="s">
        <v>191</v>
      </c>
      <c r="X6" s="679">
        <v>151</v>
      </c>
      <c r="Y6" s="890">
        <f>($D6*dpsStr+$E6*dpsAgi+$G6*dpsCrit+$H6*dpsHit+$F6*dpsAP+$I6*dpsHaste+$J6*dpsArmor+$K6*dpsExp+IF(MID($Q6,1,1)+MID($Q6,3,1)+MID($Q6,5,1)&gt;0,VLOOKUP('Gear &amp; Buffs'!$B$29,GenSocketStats,18,FALSE)+IF(MID($Q6,1,1)+MID($Q6,3,1)+MID($Q6,5,1)&gt;1,VLOOKUP('Gear &amp; Buffs'!$B$30,GenSocketStats,18,FALSE)+IF(MID($Q6,1,1)+MID($Q6,3,1)+MID($Q6,5,1)&gt;2,VLOOKUP('Gear &amp; Buffs'!$B$31,GenSocketStats,18,FALSE),0)),0)+IF(MID($Q6,7,1)&gt;0,VLOOKUP('Gear &amp; Buffs'!$B$28,MetaSocketStats,18,FALSE),0))-'Gear &amp; Buffs'!$AF$26</f>
        <v>84.729722217590052</v>
      </c>
      <c r="Z6" s="680">
        <v>385</v>
      </c>
      <c r="AA6" s="221" t="str">
        <f>IF(AND(IF('Gear &amp; Buffs'!$AC$50,$Y6&gt;0+'Gear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Aman"),IF(includeprebc,$S6="Pre-BC"),IF(includesunwell,$S6="Sunwell"))),MAX($AA$1:$AA5)+1,"")</f>
        <v/>
      </c>
      <c r="AB6" s="738">
        <v>3</v>
      </c>
      <c r="AC6" s="714" t="str">
        <f t="shared" si="0"/>
        <v>Cowl of Defiance</v>
      </c>
    </row>
    <row r="7" spans="1:29">
      <c r="A7" s="677" t="s">
        <v>1053</v>
      </c>
      <c r="B7" s="679">
        <v>27415</v>
      </c>
      <c r="C7" s="679">
        <v>1</v>
      </c>
      <c r="D7" s="678"/>
      <c r="E7" s="678">
        <v>29</v>
      </c>
      <c r="F7" s="678">
        <v>60</v>
      </c>
      <c r="G7" s="679"/>
      <c r="H7" s="679">
        <v>20</v>
      </c>
      <c r="I7" s="679"/>
      <c r="J7" s="678"/>
      <c r="K7" s="679"/>
      <c r="L7" s="678">
        <v>30</v>
      </c>
      <c r="M7" s="679"/>
      <c r="N7" s="679"/>
      <c r="O7" s="679"/>
      <c r="P7" s="688"/>
      <c r="Q7" s="678" t="s">
        <v>1048</v>
      </c>
      <c r="R7" s="678"/>
      <c r="S7" s="678" t="s">
        <v>673</v>
      </c>
      <c r="T7" s="687"/>
      <c r="U7" s="687"/>
      <c r="V7" s="687"/>
      <c r="W7" s="687" t="s">
        <v>632</v>
      </c>
      <c r="X7" s="679">
        <v>100</v>
      </c>
      <c r="Y7" s="890">
        <f>($D7*dpsStr+$E7*dpsAgi+$G7*dpsCrit+$H7*dpsHit+$F7*dpsAP+$I7*dpsHaste+$J7*dpsArmor+$K7*dpsExp+IF(MID($Q7,1,1)+MID($Q7,3,1)+MID($Q7,5,1)&gt;0,VLOOKUP('Gear &amp; Buffs'!$B$29,GenSocketStats,18,FALSE)+IF(MID($Q7,1,1)+MID($Q7,3,1)+MID($Q7,5,1)&gt;1,VLOOKUP('Gear &amp; Buffs'!$B$30,GenSocketStats,18,FALSE)+IF(MID($Q7,1,1)+MID($Q7,3,1)+MID($Q7,5,1)&gt;2,VLOOKUP('Gear &amp; Buffs'!$B$31,GenSocketStats,18,FALSE),0)),0)+IF(MID($Q7,7,1)&gt;0,VLOOKUP('Gear &amp; Buffs'!$B$28,MetaSocketStats,18,FALSE),0))-'Gear &amp; Buffs'!$AF$26</f>
        <v>24.386609729365091</v>
      </c>
      <c r="Z7" s="680">
        <v>208</v>
      </c>
      <c r="AA7" s="221">
        <f>IF(AND(IF('Gear &amp; Buffs'!$AC$50,$Y7&gt;0+'Gear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Aman"),IF(includeprebc,$S7="Pre-BC"),IF(includesunwell,$S7="Sunwell"))),MAX($AA$1:$AA6)+1,"")</f>
        <v>4</v>
      </c>
      <c r="AB7" s="738">
        <v>4</v>
      </c>
      <c r="AC7" s="714" t="str">
        <f t="shared" si="0"/>
        <v>Darkguard Face Mask</v>
      </c>
    </row>
    <row r="8" spans="1:29" s="47" customFormat="1">
      <c r="A8" s="690" t="s">
        <v>1054</v>
      </c>
      <c r="B8" s="678">
        <v>32478</v>
      </c>
      <c r="C8" s="678">
        <v>2</v>
      </c>
      <c r="D8" s="678"/>
      <c r="E8" s="678">
        <v>48</v>
      </c>
      <c r="F8" s="678">
        <v>76</v>
      </c>
      <c r="G8" s="679"/>
      <c r="H8" s="679">
        <v>11</v>
      </c>
      <c r="I8" s="678"/>
      <c r="J8" s="678"/>
      <c r="K8" s="678"/>
      <c r="L8" s="678">
        <v>28</v>
      </c>
      <c r="M8" s="679"/>
      <c r="N8" s="679"/>
      <c r="O8" s="678"/>
      <c r="P8" s="678"/>
      <c r="Q8" s="678" t="s">
        <v>1055</v>
      </c>
      <c r="R8" s="678" t="s">
        <v>1056</v>
      </c>
      <c r="S8" s="678" t="s">
        <v>689</v>
      </c>
      <c r="T8" s="687"/>
      <c r="U8" s="687"/>
      <c r="V8" s="687"/>
      <c r="W8" s="687" t="s">
        <v>191</v>
      </c>
      <c r="X8" s="678">
        <v>127</v>
      </c>
      <c r="Y8" s="890">
        <f>($D8*dpsStr+$E8*dpsAgi+$G8*dpsCrit+$H8*dpsHit+$F8*dpsAP+$I8*dpsHaste+$J8*dpsArmor+$K8*dpsExp+IF(MID($Q8,1,1)+MID($Q8,3,1)+MID($Q8,5,1)&gt;0,VLOOKUP('Gear &amp; Buffs'!$B$29,GenSocketStats,18,FALSE)+IF(MID($Q8,1,1)+MID($Q8,3,1)+MID($Q8,5,1)&gt;1,VLOOKUP('Gear &amp; Buffs'!$B$30,GenSocketStats,18,FALSE)+IF(MID($Q8,1,1)+MID($Q8,3,1)+MID($Q8,5,1)&gt;2,VLOOKUP('Gear &amp; Buffs'!$B$31,GenSocketStats,18,FALSE),0)),0)+IF(MID($Q8,7,1)&gt;0,VLOOKUP('Gear &amp; Buffs'!$B$28,MetaSocketStats,18,FALSE),0))-'Gear &amp; Buffs'!$AF$26</f>
        <v>-0.82049706639236319</v>
      </c>
      <c r="Z8" s="680">
        <v>326</v>
      </c>
      <c r="AA8" s="221" t="str">
        <f>IF(AND(IF('Gear &amp; Buffs'!$AC$50,$Y8&gt;0+'Gear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Aman"),IF(includeprebc,$S8="Pre-BC"),IF(includesunwell,$S8="Sunwell"))),MAX($AA$1:$AA7)+1,"")</f>
        <v/>
      </c>
      <c r="AB8" s="738">
        <v>5</v>
      </c>
      <c r="AC8" s="714" t="str">
        <f t="shared" si="0"/>
        <v>Gladiator's Leather Helm</v>
      </c>
    </row>
    <row r="9" spans="1:29">
      <c r="A9" s="677" t="s">
        <v>1057</v>
      </c>
      <c r="B9" s="678">
        <v>30146</v>
      </c>
      <c r="C9" s="678">
        <v>2</v>
      </c>
      <c r="D9" s="678"/>
      <c r="E9" s="678">
        <v>39</v>
      </c>
      <c r="F9" s="678">
        <v>78</v>
      </c>
      <c r="G9" s="679">
        <v>25</v>
      </c>
      <c r="H9" s="679"/>
      <c r="I9" s="678"/>
      <c r="J9" s="678"/>
      <c r="K9" s="678"/>
      <c r="L9" s="678">
        <v>48</v>
      </c>
      <c r="M9" s="679"/>
      <c r="N9" s="679"/>
      <c r="O9" s="678"/>
      <c r="P9" s="678" t="s">
        <v>1063</v>
      </c>
      <c r="Q9" s="678" t="s">
        <v>1064</v>
      </c>
      <c r="R9" s="678" t="s">
        <v>1065</v>
      </c>
      <c r="S9" s="678" t="s">
        <v>667</v>
      </c>
      <c r="T9" s="687"/>
      <c r="U9" s="687"/>
      <c r="V9" s="687"/>
      <c r="W9" s="687" t="s">
        <v>191</v>
      </c>
      <c r="X9" s="678">
        <v>133</v>
      </c>
      <c r="Y9" s="890">
        <f>($D9*dpsStr+$E9*dpsAgi+$G9*dpsCrit+$H9*dpsHit+$F9*dpsAP+$I9*dpsHaste+$J9*dpsArmor+$K9*dpsExp+IF(MID($Q9,1,1)+MID($Q9,3,1)+MID($Q9,5,1)&gt;0,VLOOKUP('Gear &amp; Buffs'!$B$29,GenSocketStats,18,FALSE)+IF(MID($Q9,1,1)+MID($Q9,3,1)+MID($Q9,5,1)&gt;1,VLOOKUP('Gear &amp; Buffs'!$B$30,GenSocketStats,18,FALSE)+IF(MID($Q9,1,1)+MID($Q9,3,1)+MID($Q9,5,1)&gt;2,VLOOKUP('Gear &amp; Buffs'!$B$31,GenSocketStats,18,FALSE),0)),0)+IF(MID($Q9,7,1)&gt;0,VLOOKUP('Gear &amp; Buffs'!$B$28,MetaSocketStats,18,FALSE),0))-'Gear &amp; Buffs'!$AF$26</f>
        <v>-51.456191339358384</v>
      </c>
      <c r="Z9" s="680">
        <v>341</v>
      </c>
      <c r="AA9" s="221" t="str">
        <f>IF(AND(IF('Gear &amp; Buffs'!$AC$50,$Y9&gt;0+'Gear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Aman"),IF(includeprebc,$S9="Pre-BC"),IF(includesunwell,$S9="Sunwell"))),MAX($AA$1:$AA8)+1,"")</f>
        <v/>
      </c>
      <c r="AB9" s="738">
        <v>6</v>
      </c>
      <c r="AC9" s="714" t="str">
        <f t="shared" si="0"/>
        <v>Helm of Assassination</v>
      </c>
    </row>
    <row r="10" spans="1:29">
      <c r="A10" s="677" t="s">
        <v>965</v>
      </c>
      <c r="B10" s="678">
        <v>34244</v>
      </c>
      <c r="C10" s="678">
        <v>5</v>
      </c>
      <c r="D10" s="678"/>
      <c r="E10" s="678">
        <v>43</v>
      </c>
      <c r="F10" s="678">
        <v>126</v>
      </c>
      <c r="G10" s="679"/>
      <c r="H10" s="679">
        <v>30</v>
      </c>
      <c r="I10" s="678">
        <v>34</v>
      </c>
      <c r="J10" s="678"/>
      <c r="K10" s="678"/>
      <c r="L10" s="678">
        <v>57</v>
      </c>
      <c r="M10" s="679"/>
      <c r="N10" s="679"/>
      <c r="O10" s="678"/>
      <c r="P10" s="678"/>
      <c r="Q10" s="678" t="s">
        <v>1064</v>
      </c>
      <c r="R10" s="678" t="s">
        <v>2020</v>
      </c>
      <c r="S10" s="678" t="s">
        <v>871</v>
      </c>
      <c r="T10" s="687"/>
      <c r="U10" s="687"/>
      <c r="V10" s="687"/>
      <c r="W10" s="687" t="s">
        <v>191</v>
      </c>
      <c r="X10" s="678">
        <v>164</v>
      </c>
      <c r="Y10" s="890">
        <f>($D10*dpsStr+$E10*dpsAgi+$G10*dpsCrit+$H10*dpsHit+$F10*dpsAP+$I10*dpsHaste+$J10*dpsArmor+$K10*dpsExp+IF(MID($Q10,1,1)+MID($Q10,3,1)+MID($Q10,5,1)&gt;0,VLOOKUP('Gear &amp; Buffs'!$B$29,GenSocketStats,18,FALSE)+IF(MID($Q10,1,1)+MID($Q10,3,1)+MID($Q10,5,1)&gt;1,VLOOKUP('Gear &amp; Buffs'!$B$30,GenSocketStats,18,FALSE)+IF(MID($Q10,1,1)+MID($Q10,3,1)+MID($Q10,5,1)&gt;2,VLOOKUP('Gear &amp; Buffs'!$B$31,GenSocketStats,18,FALSE),0)),0)+IF(MID($Q10,7,1)&gt;0,VLOOKUP('Gear &amp; Buffs'!$B$28,MetaSocketStats,18,FALSE),0))-'Gear &amp; Buffs'!$AF$26</f>
        <v>243.18761888179165</v>
      </c>
      <c r="Z10" s="680">
        <v>418</v>
      </c>
      <c r="AA10" s="221" t="str">
        <f>IF(AND(IF('Gear &amp; Buffs'!$AC$50,$Y10&gt;0+'Gear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Aman"),IF(includeprebc,$S10="Pre-BC"),IF(includesunwell,$S10="Sunwell"))),MAX($AA$1:$AA9)+1,"")</f>
        <v/>
      </c>
      <c r="AB10" s="738">
        <v>7</v>
      </c>
      <c r="AC10" s="714" t="str">
        <f t="shared" si="0"/>
        <v>Helm of the Claw</v>
      </c>
    </row>
    <row r="11" spans="1:29" s="129" customFormat="1">
      <c r="A11" s="677" t="s">
        <v>1067</v>
      </c>
      <c r="B11" s="678">
        <v>25830</v>
      </c>
      <c r="C11" s="678">
        <v>1</v>
      </c>
      <c r="D11" s="678"/>
      <c r="E11" s="678">
        <v>34</v>
      </c>
      <c r="F11" s="678">
        <v>36</v>
      </c>
      <c r="G11" s="679">
        <v>13</v>
      </c>
      <c r="H11" s="679"/>
      <c r="I11" s="678"/>
      <c r="J11" s="678"/>
      <c r="K11" s="678"/>
      <c r="L11" s="678">
        <v>53</v>
      </c>
      <c r="M11" s="679"/>
      <c r="N11" s="679">
        <v>23</v>
      </c>
      <c r="O11" s="678"/>
      <c r="P11" s="678" t="s">
        <v>1068</v>
      </c>
      <c r="Q11" s="678" t="s">
        <v>1064</v>
      </c>
      <c r="R11" s="678" t="s">
        <v>1069</v>
      </c>
      <c r="S11" s="678" t="s">
        <v>677</v>
      </c>
      <c r="T11" s="687"/>
      <c r="U11" s="687"/>
      <c r="V11" s="687"/>
      <c r="W11" s="687" t="s">
        <v>191</v>
      </c>
      <c r="X11" s="678">
        <v>123</v>
      </c>
      <c r="Y11" s="890">
        <f>($D11*dpsStr+$E11*dpsAgi+$G11*dpsCrit+$H11*dpsHit+$F11*dpsAP+$I11*dpsHaste+$J11*dpsArmor+$K11*dpsExp+IF(MID($Q11,1,1)+MID($Q11,3,1)+MID($Q11,5,1)&gt;0,VLOOKUP('Gear &amp; Buffs'!$B$29,GenSocketStats,18,FALSE)+IF(MID($Q11,1,1)+MID($Q11,3,1)+MID($Q11,5,1)&gt;1,VLOOKUP('Gear &amp; Buffs'!$B$30,GenSocketStats,18,FALSE)+IF(MID($Q11,1,1)+MID($Q11,3,1)+MID($Q11,5,1)&gt;2,VLOOKUP('Gear &amp; Buffs'!$B$31,GenSocketStats,18,FALSE),0)),0)+IF(MID($Q11,7,1)&gt;0,VLOOKUP('Gear &amp; Buffs'!$B$28,MetaSocketStats,18,FALSE),0))-'Gear &amp; Buffs'!$AF$26</f>
        <v>-78.829672438063881</v>
      </c>
      <c r="Z11" s="680">
        <v>316</v>
      </c>
      <c r="AA11" s="221">
        <f>IF(AND(IF('Gear &amp; Buffs'!$AC$50,$Y11&gt;0+'Gear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Aman"),IF(includeprebc,$S11="Pre-BC"),IF(includesunwell,$S11="Sunwell"))),MAX($AA$1:$AA10)+1,"")</f>
        <v>5</v>
      </c>
      <c r="AB11" s="738">
        <v>8</v>
      </c>
      <c r="AC11" s="714" t="str">
        <f t="shared" si="0"/>
        <v>Malefic Mask of the Shadows</v>
      </c>
    </row>
    <row r="12" spans="1:29">
      <c r="A12" s="677" t="s">
        <v>548</v>
      </c>
      <c r="B12" s="678">
        <v>33479</v>
      </c>
      <c r="C12" s="678">
        <v>4</v>
      </c>
      <c r="D12" s="678"/>
      <c r="E12" s="678">
        <v>40</v>
      </c>
      <c r="F12" s="678">
        <v>82</v>
      </c>
      <c r="G12" s="679"/>
      <c r="H12" s="679">
        <v>24</v>
      </c>
      <c r="I12" s="678"/>
      <c r="J12" s="678"/>
      <c r="K12" s="678"/>
      <c r="L12" s="678">
        <v>48</v>
      </c>
      <c r="M12" s="679"/>
      <c r="N12" s="679"/>
      <c r="O12" s="678"/>
      <c r="P12" s="678"/>
      <c r="Q12" s="678" t="s">
        <v>1001</v>
      </c>
      <c r="R12" s="678" t="s">
        <v>1065</v>
      </c>
      <c r="S12" s="678" t="s">
        <v>664</v>
      </c>
      <c r="T12" s="687"/>
      <c r="U12" s="687"/>
      <c r="V12" s="687"/>
      <c r="W12" s="687" t="s">
        <v>191</v>
      </c>
      <c r="X12" s="678">
        <v>133</v>
      </c>
      <c r="Y12" s="890">
        <f>($D12*dpsStr+$E12*dpsAgi+$G12*dpsCrit+$H12*dpsHit+$F12*dpsAP+$I12*dpsHaste+$J12*dpsArmor+$K12*dpsExp+IF(MID($Q12,1,1)+MID($Q12,3,1)+MID($Q12,5,1)&gt;0,VLOOKUP('Gear &amp; Buffs'!$B$29,GenSocketStats,18,FALSE)+IF(MID($Q12,1,1)+MID($Q12,3,1)+MID($Q12,5,1)&gt;1,VLOOKUP('Gear &amp; Buffs'!$B$30,GenSocketStats,18,FALSE)+IF(MID($Q12,1,1)+MID($Q12,3,1)+MID($Q12,5,1)&gt;2,VLOOKUP('Gear &amp; Buffs'!$B$31,GenSocketStats,18,FALSE),0)),0)+IF(MID($Q12,7,1)&gt;0,VLOOKUP('Gear &amp; Buffs'!$B$28,MetaSocketStats,18,FALSE),0))-'Gear &amp; Buffs'!$AF$26</f>
        <v>117.87414389840887</v>
      </c>
      <c r="Z12" s="680">
        <v>341</v>
      </c>
      <c r="AA12" s="221" t="str">
        <f>IF(AND(IF('Gear &amp; Buffs'!$AC$50,$Y12&gt;0+'Gear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Aman"),IF(includeprebc,$S12="Pre-BC"),IF(includesunwell,$S12="Sunwell"))),MAX($AA$1:$AA11)+1,"")</f>
        <v/>
      </c>
      <c r="AB12" s="738">
        <v>9</v>
      </c>
      <c r="AC12" s="714" t="str">
        <f t="shared" si="0"/>
        <v>Mask of Veiled Death</v>
      </c>
    </row>
    <row r="13" spans="1:29">
      <c r="A13" s="677" t="s">
        <v>1071</v>
      </c>
      <c r="B13" s="678">
        <v>28414</v>
      </c>
      <c r="C13" s="678">
        <v>1</v>
      </c>
      <c r="D13" s="678"/>
      <c r="E13" s="678"/>
      <c r="F13" s="678">
        <v>66</v>
      </c>
      <c r="G13" s="679">
        <v>25</v>
      </c>
      <c r="H13" s="679"/>
      <c r="I13" s="678"/>
      <c r="J13" s="678"/>
      <c r="K13" s="678"/>
      <c r="L13" s="678">
        <v>25</v>
      </c>
      <c r="M13" s="679"/>
      <c r="N13" s="679"/>
      <c r="O13" s="678"/>
      <c r="P13" s="678" t="s">
        <v>2146</v>
      </c>
      <c r="Q13" s="678" t="s">
        <v>1051</v>
      </c>
      <c r="R13" s="678" t="s">
        <v>1072</v>
      </c>
      <c r="S13" s="678" t="s">
        <v>673</v>
      </c>
      <c r="T13" s="687"/>
      <c r="U13" s="687"/>
      <c r="V13" s="687"/>
      <c r="W13" s="687" t="s">
        <v>632</v>
      </c>
      <c r="X13" s="678">
        <v>115</v>
      </c>
      <c r="Y13" s="890">
        <f>($D13*dpsStr+$E13*dpsAgi+$G13*dpsCrit+$H13*dpsHit+$F13*dpsAP+$I13*dpsHaste+$J13*dpsArmor+$K13*dpsExp+IF(MID($Q13,1,1)+MID($Q13,3,1)+MID($Q13,5,1)&gt;0,VLOOKUP('Gear &amp; Buffs'!$B$29,GenSocketStats,18,FALSE)+IF(MID($Q13,1,1)+MID($Q13,3,1)+MID($Q13,5,1)&gt;1,VLOOKUP('Gear &amp; Buffs'!$B$30,GenSocketStats,18,FALSE)+IF(MID($Q13,1,1)+MID($Q13,3,1)+MID($Q13,5,1)&gt;2,VLOOKUP('Gear &amp; Buffs'!$B$31,GenSocketStats,18,FALSE),0)),0)+IF(MID($Q13,7,1)&gt;0,VLOOKUP('Gear &amp; Buffs'!$B$28,MetaSocketStats,18,FALSE),0))-'Gear &amp; Buffs'!$AF$26</f>
        <v>-88.00545355368422</v>
      </c>
      <c r="Z13" s="680">
        <v>237</v>
      </c>
      <c r="AA13" s="221">
        <f>IF(AND(IF('Gear &amp; Buffs'!$AC$50,$Y13&gt;0+'Gear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Aman"),IF(includeprebc,$S13="Pre-BC"),IF(includesunwell,$S13="Sunwell"))),MAX($AA$1:$AA12)+1,"")</f>
        <v>6</v>
      </c>
      <c r="AB13" s="738">
        <v>10</v>
      </c>
      <c r="AC13" s="714" t="str">
        <f t="shared" si="0"/>
        <v>Netherblade Facemask</v>
      </c>
    </row>
    <row r="14" spans="1:29">
      <c r="A14" s="677" t="s">
        <v>1073</v>
      </c>
      <c r="B14" s="678">
        <v>28182</v>
      </c>
      <c r="C14" s="678">
        <v>1</v>
      </c>
      <c r="D14" s="678"/>
      <c r="E14" s="678">
        <v>25</v>
      </c>
      <c r="F14" s="678">
        <v>66</v>
      </c>
      <c r="G14" s="679"/>
      <c r="H14" s="679">
        <v>14</v>
      </c>
      <c r="I14" s="678"/>
      <c r="J14" s="678"/>
      <c r="K14" s="678"/>
      <c r="L14" s="678">
        <v>21</v>
      </c>
      <c r="M14" s="679"/>
      <c r="N14" s="679"/>
      <c r="O14" s="678"/>
      <c r="P14" s="678"/>
      <c r="Q14" s="678" t="s">
        <v>1051</v>
      </c>
      <c r="R14" s="678" t="s">
        <v>1069</v>
      </c>
      <c r="S14" s="678" t="s">
        <v>675</v>
      </c>
      <c r="T14" s="687"/>
      <c r="U14" s="687"/>
      <c r="V14" s="687"/>
      <c r="W14" s="687" t="s">
        <v>632</v>
      </c>
      <c r="X14" s="678">
        <v>115</v>
      </c>
      <c r="Y14" s="890">
        <f>($D14*dpsStr+$E14*dpsAgi+$G14*dpsCrit+$H14*dpsHit+$F14*dpsAP+$I14*dpsHaste+$J14*dpsArmor+$K14*dpsExp+IF(MID($Q14,1,1)+MID($Q14,3,1)+MID($Q14,5,1)&gt;0,VLOOKUP('Gear &amp; Buffs'!$B$29,GenSocketStats,18,FALSE)+IF(MID($Q14,1,1)+MID($Q14,3,1)+MID($Q14,5,1)&gt;1,VLOOKUP('Gear &amp; Buffs'!$B$30,GenSocketStats,18,FALSE)+IF(MID($Q14,1,1)+MID($Q14,3,1)+MID($Q14,5,1)&gt;2,VLOOKUP('Gear &amp; Buffs'!$B$31,GenSocketStats,18,FALSE),0)),0)+IF(MID($Q14,7,1)&gt;0,VLOOKUP('Gear &amp; Buffs'!$B$28,MetaSocketStats,18,FALSE),0))-'Gear &amp; Buffs'!$AF$26</f>
        <v>-6.7695989182668654</v>
      </c>
      <c r="Z14" s="680">
        <v>237</v>
      </c>
      <c r="AA14" s="221">
        <f>IF(AND(IF('Gear &amp; Buffs'!$AC$50,$Y14&gt;0+'Gear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Aman"),IF(includeprebc,$S14="Pre-BC"),IF(includesunwell,$S14="Sunwell"))),MAX($AA$1:$AA13)+1,"")</f>
        <v>7</v>
      </c>
      <c r="AB14" s="738">
        <v>11</v>
      </c>
      <c r="AC14" s="714" t="str">
        <f t="shared" si="0"/>
        <v>Opportunist's Leather Helm</v>
      </c>
    </row>
    <row r="15" spans="1:29">
      <c r="A15" s="677" t="s">
        <v>1074</v>
      </c>
      <c r="B15" s="678">
        <v>28796</v>
      </c>
      <c r="C15" s="678">
        <v>1</v>
      </c>
      <c r="D15" s="678"/>
      <c r="E15" s="678"/>
      <c r="F15" s="678">
        <v>84</v>
      </c>
      <c r="G15" s="679">
        <v>42</v>
      </c>
      <c r="H15" s="679">
        <v>31</v>
      </c>
      <c r="I15" s="678"/>
      <c r="J15" s="678"/>
      <c r="K15" s="678"/>
      <c r="L15" s="678">
        <v>45</v>
      </c>
      <c r="M15" s="679"/>
      <c r="N15" s="679"/>
      <c r="O15" s="678"/>
      <c r="P15" s="678"/>
      <c r="Q15" s="678" t="s">
        <v>1048</v>
      </c>
      <c r="R15" s="678"/>
      <c r="S15" s="678" t="s">
        <v>678</v>
      </c>
      <c r="T15" s="687"/>
      <c r="U15" s="687"/>
      <c r="V15" s="687"/>
      <c r="W15" s="687" t="s">
        <v>191</v>
      </c>
      <c r="X15" s="678">
        <v>125</v>
      </c>
      <c r="Y15" s="890">
        <f>($D15*dpsStr+$E15*dpsAgi+$G15*dpsCrit+$H15*dpsHit+$F15*dpsAP+$I15*dpsHaste+$J15*dpsArmor+$K15*dpsExp+IF(MID($Q15,1,1)+MID($Q15,3,1)+MID($Q15,5,1)&gt;0,VLOOKUP('Gear &amp; Buffs'!$B$29,GenSocketStats,18,FALSE)+IF(MID($Q15,1,1)+MID($Q15,3,1)+MID($Q15,5,1)&gt;1,VLOOKUP('Gear &amp; Buffs'!$B$30,GenSocketStats,18,FALSE)+IF(MID($Q15,1,1)+MID($Q15,3,1)+MID($Q15,5,1)&gt;2,VLOOKUP('Gear &amp; Buffs'!$B$31,GenSocketStats,18,FALSE),0)),0)+IF(MID($Q15,7,1)&gt;0,VLOOKUP('Gear &amp; Buffs'!$B$28,MetaSocketStats,18,FALSE),0))-'Gear &amp; Buffs'!$AF$26</f>
        <v>98.827148108971869</v>
      </c>
      <c r="Z15" s="680">
        <v>321</v>
      </c>
      <c r="AA15" s="221">
        <f>IF(AND(IF('Gear &amp; Buffs'!$AC$50,$Y15&gt;0+'Gear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Aman"),IF(includeprebc,$S15="Pre-BC"),IF(includesunwell,$S15="Sunwell"))),MAX($AA$1:$AA14)+1,"")</f>
        <v>8</v>
      </c>
      <c r="AB15" s="738">
        <v>12</v>
      </c>
      <c r="AC15" s="714" t="str">
        <f t="shared" si="0"/>
        <v>Savage Mask of the Lynx Lord</v>
      </c>
    </row>
    <row r="16" spans="1:29">
      <c r="A16" s="683" t="s">
        <v>1075</v>
      </c>
      <c r="B16" s="678">
        <v>32087</v>
      </c>
      <c r="C16" s="678">
        <v>3</v>
      </c>
      <c r="D16" s="678"/>
      <c r="E16" s="678">
        <v>32</v>
      </c>
      <c r="F16" s="678">
        <v>64</v>
      </c>
      <c r="G16" s="679"/>
      <c r="H16" s="679">
        <v>16</v>
      </c>
      <c r="I16" s="678"/>
      <c r="J16" s="678"/>
      <c r="K16" s="678"/>
      <c r="L16" s="678">
        <v>36</v>
      </c>
      <c r="M16" s="679"/>
      <c r="N16" s="679"/>
      <c r="O16" s="678"/>
      <c r="P16" s="678"/>
      <c r="Q16" s="678" t="s">
        <v>1051</v>
      </c>
      <c r="R16" s="678" t="s">
        <v>1056</v>
      </c>
      <c r="S16" s="678" t="s">
        <v>691</v>
      </c>
      <c r="T16" s="692"/>
      <c r="U16" s="687"/>
      <c r="V16" s="687"/>
      <c r="W16" s="687" t="s">
        <v>191</v>
      </c>
      <c r="X16" s="678">
        <v>110</v>
      </c>
      <c r="Y16" s="890">
        <f>($D16*dpsStr+$E16*dpsAgi+$G16*dpsCrit+$H16*dpsHit+$F16*dpsAP+$I16*dpsHaste+$J16*dpsArmor+$K16*dpsExp+IF(MID($Q16,1,1)+MID($Q16,3,1)+MID($Q16,5,1)&gt;0,VLOOKUP('Gear &amp; Buffs'!$B$29,GenSocketStats,18,FALSE)+IF(MID($Q16,1,1)+MID($Q16,3,1)+MID($Q16,5,1)&gt;1,VLOOKUP('Gear &amp; Buffs'!$B$30,GenSocketStats,18,FALSE)+IF(MID($Q16,1,1)+MID($Q16,3,1)+MID($Q16,5,1)&gt;2,VLOOKUP('Gear &amp; Buffs'!$B$31,GenSocketStats,18,FALSE),0)),0)+IF(MID($Q16,7,1)&gt;0,VLOOKUP('Gear &amp; Buffs'!$B$28,MetaSocketStats,18,FALSE),0))-'Gear &amp; Buffs'!$AF$26</f>
        <v>9.4062940496219198</v>
      </c>
      <c r="Z16" s="686">
        <v>283</v>
      </c>
      <c r="AA16" s="221" t="str">
        <f>IF(AND(IF('Gear &amp; Buffs'!$AC$50,$Y16&gt;0+'Gear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Aman"),IF(includeprebc,$S16="Pre-BC"),IF(includesunwell,$S16="Sunwell"))),MAX($AA$1:$AA15)+1,"")</f>
        <v/>
      </c>
      <c r="AB16" s="738">
        <v>13</v>
      </c>
      <c r="AC16" s="714" t="str">
        <f t="shared" si="0"/>
        <v>Stealther's Helmet of Second Sight</v>
      </c>
    </row>
    <row r="17" spans="1:35">
      <c r="A17" s="677" t="s">
        <v>1211</v>
      </c>
      <c r="B17" s="678">
        <v>34404</v>
      </c>
      <c r="C17" s="678">
        <v>5</v>
      </c>
      <c r="D17" s="678">
        <v>50</v>
      </c>
      <c r="E17" s="678">
        <v>50</v>
      </c>
      <c r="F17" s="678"/>
      <c r="G17" s="679">
        <v>30</v>
      </c>
      <c r="H17" s="679"/>
      <c r="I17" s="678"/>
      <c r="J17" s="678"/>
      <c r="K17" s="678"/>
      <c r="L17" s="678">
        <v>58</v>
      </c>
      <c r="M17" s="679"/>
      <c r="N17" s="679"/>
      <c r="O17" s="678"/>
      <c r="P17" s="678"/>
      <c r="Q17" s="678" t="s">
        <v>1064</v>
      </c>
      <c r="R17" s="678" t="s">
        <v>1052</v>
      </c>
      <c r="S17" s="678" t="s">
        <v>871</v>
      </c>
      <c r="T17" s="687"/>
      <c r="U17" s="687"/>
      <c r="V17" s="687"/>
      <c r="W17" s="687" t="s">
        <v>191</v>
      </c>
      <c r="X17" s="678">
        <v>159</v>
      </c>
      <c r="Y17" s="890">
        <f>($D17*dpsStr+$E17*dpsAgi+$G17*dpsCrit+$H17*dpsHit+$F17*dpsAP+$I17*dpsHaste+$J17*dpsArmor+$K17*dpsExp+IF(MID($Q17,1,1)+MID($Q17,3,1)+MID($Q17,5,1)&gt;0,VLOOKUP('Gear &amp; Buffs'!$B$29,GenSocketStats,18,FALSE)+IF(MID($Q17,1,1)+MID($Q17,3,1)+MID($Q17,5,1)&gt;1,VLOOKUP('Gear &amp; Buffs'!$B$30,GenSocketStats,18,FALSE)+IF(MID($Q17,1,1)+MID($Q17,3,1)+MID($Q17,5,1)&gt;2,VLOOKUP('Gear &amp; Buffs'!$B$31,GenSocketStats,18,FALSE),0)),0)+IF(MID($Q17,7,1)&gt;0,VLOOKUP('Gear &amp; Buffs'!$B$28,MetaSocketStats,18,FALSE),0))-'Gear &amp; Buffs'!$AF$26</f>
        <v>-47.146458843766595</v>
      </c>
      <c r="Z17" s="680">
        <v>643</v>
      </c>
      <c r="AA17" s="221" t="str">
        <f>IF(AND(IF('Gear &amp; Buffs'!$AC$50,$Y17&gt;0+'Gear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Aman"),IF(includeprebc,$S17="Pre-BC"),IF(includesunwell,$S17="Sunwell"))),MAX($AA$1:$AA16)+1,"")</f>
        <v/>
      </c>
      <c r="AB17" s="738">
        <v>14</v>
      </c>
      <c r="AC17" s="714" t="str">
        <f t="shared" si="0"/>
        <v>Wastewalker Helm</v>
      </c>
    </row>
    <row r="18" spans="1:35">
      <c r="A18" s="677" t="s">
        <v>1076</v>
      </c>
      <c r="B18" s="678">
        <v>31281</v>
      </c>
      <c r="C18" s="678">
        <v>1</v>
      </c>
      <c r="D18" s="678"/>
      <c r="E18" s="678"/>
      <c r="F18" s="678">
        <v>80</v>
      </c>
      <c r="G18" s="679">
        <v>30</v>
      </c>
      <c r="H18" s="679">
        <v>19</v>
      </c>
      <c r="I18" s="678"/>
      <c r="J18" s="678"/>
      <c r="K18" s="678"/>
      <c r="L18" s="678"/>
      <c r="M18" s="679"/>
      <c r="N18" s="679"/>
      <c r="O18" s="678"/>
      <c r="P18" s="678"/>
      <c r="Q18" s="678" t="s">
        <v>1048</v>
      </c>
      <c r="R18" s="678"/>
      <c r="S18" s="678" t="s">
        <v>674</v>
      </c>
      <c r="T18" s="687"/>
      <c r="U18" s="687"/>
      <c r="V18" s="687"/>
      <c r="W18" s="687" t="s">
        <v>632</v>
      </c>
      <c r="X18" s="678">
        <v>106</v>
      </c>
      <c r="Y18" s="890">
        <f>($D18*dpsStr+$E18*dpsAgi+$G18*dpsCrit+$H18*dpsHit+$F18*dpsAP+$I18*dpsHaste+$J18*dpsArmor+$K18*dpsExp+IF(MID($Q18,1,1)+MID($Q18,3,1)+MID($Q18,5,1)&gt;0,VLOOKUP('Gear &amp; Buffs'!$B$29,GenSocketStats,18,FALSE)+IF(MID($Q18,1,1)+MID($Q18,3,1)+MID($Q18,5,1)&gt;1,VLOOKUP('Gear &amp; Buffs'!$B$30,GenSocketStats,18,FALSE)+IF(MID($Q18,1,1)+MID($Q18,3,1)+MID($Q18,5,1)&gt;2,VLOOKUP('Gear &amp; Buffs'!$B$31,GenSocketStats,18,FALSE),0)),0)+IF(MID($Q18,7,1)&gt;0,VLOOKUP('Gear &amp; Buffs'!$B$28,MetaSocketStats,18,FALSE),0))-'Gear &amp; Buffs'!$AF$26</f>
        <v>22.567894733911544</v>
      </c>
      <c r="Z18" s="680">
        <v>220</v>
      </c>
      <c r="AA18" s="221">
        <f>IF(AND(IF('Gear &amp; Buffs'!$AC$50,$Y18&gt;0+'Gear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Aman"),IF(includeprebc,$S18="Pre-BC"),IF(includesunwell,$S18="Sunwell"))),MAX($AA$1:$AA17)+1,"")</f>
        <v>9</v>
      </c>
      <c r="AB18" s="738">
        <v>15</v>
      </c>
      <c r="AC18" s="714" t="str">
        <f t="shared" si="0"/>
        <v>(Unmodeled)</v>
      </c>
    </row>
    <row r="19" spans="1:35">
      <c r="A19" s="677" t="s">
        <v>1077</v>
      </c>
      <c r="B19" s="678">
        <v>31999</v>
      </c>
      <c r="C19" s="678">
        <v>2</v>
      </c>
      <c r="D19" s="678"/>
      <c r="E19" s="678">
        <v>37</v>
      </c>
      <c r="F19" s="678">
        <v>44</v>
      </c>
      <c r="G19" s="679">
        <v>17</v>
      </c>
      <c r="H19" s="679"/>
      <c r="I19" s="678"/>
      <c r="J19" s="678"/>
      <c r="K19" s="678"/>
      <c r="L19" s="678">
        <v>58</v>
      </c>
      <c r="M19" s="679"/>
      <c r="N19" s="679">
        <v>25</v>
      </c>
      <c r="O19" s="678"/>
      <c r="P19" s="678" t="s">
        <v>1068</v>
      </c>
      <c r="Q19" s="678" t="s">
        <v>1064</v>
      </c>
      <c r="R19" s="678" t="s">
        <v>1069</v>
      </c>
      <c r="S19" s="678" t="s">
        <v>677</v>
      </c>
      <c r="T19" s="47"/>
      <c r="U19" s="47"/>
      <c r="V19" s="47"/>
      <c r="W19" s="47" t="s">
        <v>191</v>
      </c>
      <c r="X19" s="678">
        <v>136</v>
      </c>
      <c r="Y19" s="890">
        <f>($D19*dpsStr+$E19*dpsAgi+$G19*dpsCrit+$H19*dpsHit+$F19*dpsAP+$I19*dpsHaste+$J19*dpsArmor+$K19*dpsExp+IF(MID($Q19,1,1)+MID($Q19,3,1)+MID($Q19,5,1)&gt;0,VLOOKUP('Gear &amp; Buffs'!$B$29,GenSocketStats,18,FALSE)+IF(MID($Q19,1,1)+MID($Q19,3,1)+MID($Q19,5,1)&gt;1,VLOOKUP('Gear &amp; Buffs'!$B$30,GenSocketStats,18,FALSE)+IF(MID($Q19,1,1)+MID($Q19,3,1)+MID($Q19,5,1)&gt;2,VLOOKUP('Gear &amp; Buffs'!$B$31,GenSocketStats,18,FALSE),0)),0)+IF(MID($Q19,7,1)&gt;0,VLOOKUP('Gear &amp; Buffs'!$B$28,MetaSocketStats,18,FALSE),0))-'Gear &amp; Buffs'!$AF$26</f>
        <v>-70.746208401179729</v>
      </c>
      <c r="Z19" s="680">
        <v>348</v>
      </c>
      <c r="AA19" s="221" t="str">
        <f>IF(AND(IF('Gear &amp; Buffs'!$AC$50,$Y19&gt;0+'Gear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Aman"),IF(includeprebc,$S19="Pre-BC"),IF(includesunwell,$S19="Sunwell"))),MAX($AA$1:$AA18)+1,"")</f>
        <v/>
      </c>
      <c r="AB19" s="738">
        <v>16</v>
      </c>
      <c r="AC19" s="714" t="str">
        <f t="shared" si="0"/>
        <v/>
      </c>
    </row>
    <row r="20" spans="1:35">
      <c r="A20" s="690" t="s">
        <v>462</v>
      </c>
      <c r="B20" s="678">
        <v>29044</v>
      </c>
      <c r="C20" s="678">
        <v>1</v>
      </c>
      <c r="D20" s="678"/>
      <c r="E20" s="678">
        <v>28</v>
      </c>
      <c r="F20" s="678">
        <v>78</v>
      </c>
      <c r="G20" s="679"/>
      <c r="H20" s="679">
        <v>14</v>
      </c>
      <c r="I20" s="678"/>
      <c r="J20" s="678"/>
      <c r="K20" s="678"/>
      <c r="L20" s="678">
        <v>39</v>
      </c>
      <c r="M20" s="679"/>
      <c r="N20" s="679"/>
      <c r="O20" s="678"/>
      <c r="P20" s="678" t="s">
        <v>1078</v>
      </c>
      <c r="Q20" s="678" t="s">
        <v>1064</v>
      </c>
      <c r="R20" s="678" t="s">
        <v>1056</v>
      </c>
      <c r="S20" s="678" t="s">
        <v>672</v>
      </c>
      <c r="T20" s="677"/>
      <c r="U20" s="47"/>
      <c r="V20" s="687"/>
      <c r="W20" s="687" t="s">
        <v>191</v>
      </c>
      <c r="X20" s="678">
        <v>120</v>
      </c>
      <c r="Y20" s="890">
        <f>($D20*dpsStr+$E20*dpsAgi+$G20*dpsCrit+$H20*dpsHit+$F20*dpsAP+$I20*dpsHaste+$J20*dpsArmor+$K20*dpsExp+IF(MID($Q20,1,1)+MID($Q20,3,1)+MID($Q20,5,1)&gt;0,VLOOKUP('Gear &amp; Buffs'!$B$29,GenSocketStats,18,FALSE)+IF(MID($Q20,1,1)+MID($Q20,3,1)+MID($Q20,5,1)&gt;1,VLOOKUP('Gear &amp; Buffs'!$B$30,GenSocketStats,18,FALSE)+IF(MID($Q20,1,1)+MID($Q20,3,1)+MID($Q20,5,1)&gt;2,VLOOKUP('Gear &amp; Buffs'!$B$31,GenSocketStats,18,FALSE),0)),0)+IF(MID($Q20,7,1)&gt;0,VLOOKUP('Gear &amp; Buffs'!$B$28,MetaSocketStats,18,FALSE),0))-'Gear &amp; Buffs'!$AF$26</f>
        <v>0</v>
      </c>
      <c r="Z20" s="680">
        <v>308</v>
      </c>
      <c r="AA20" s="221">
        <f>IF(AND(IF('Gear &amp; Buffs'!$AC$50,$Y20&gt;0+'Gear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Aman"),IF(includeprebc,$S20="Pre-BC"),IF(includesunwell,$S20="Sunwell"))),MAX($AA$1:$AA19)+1,"")</f>
        <v>10</v>
      </c>
      <c r="AB20" s="738">
        <v>17</v>
      </c>
      <c r="AC20" s="714" t="str">
        <f t="shared" si="0"/>
        <v/>
      </c>
    </row>
    <row r="21" spans="1:35">
      <c r="A21" s="690" t="s">
        <v>705</v>
      </c>
      <c r="B21" s="678">
        <v>35367</v>
      </c>
      <c r="C21" s="678">
        <v>1</v>
      </c>
      <c r="D21" s="678"/>
      <c r="E21" s="678">
        <v>20</v>
      </c>
      <c r="F21" s="678">
        <v>20</v>
      </c>
      <c r="G21" s="679">
        <v>10</v>
      </c>
      <c r="H21" s="679"/>
      <c r="I21" s="678"/>
      <c r="J21" s="678"/>
      <c r="K21" s="678"/>
      <c r="L21" s="678">
        <v>36</v>
      </c>
      <c r="M21" s="679"/>
      <c r="N21" s="679">
        <v>24</v>
      </c>
      <c r="O21" s="678"/>
      <c r="P21" s="678" t="s">
        <v>2861</v>
      </c>
      <c r="Q21" s="678" t="s">
        <v>1064</v>
      </c>
      <c r="R21" s="678" t="s">
        <v>1069</v>
      </c>
      <c r="S21" s="678" t="s">
        <v>676</v>
      </c>
      <c r="T21" s="677"/>
      <c r="U21" s="47"/>
      <c r="V21" s="687"/>
      <c r="W21" s="687" t="s">
        <v>632</v>
      </c>
      <c r="X21" s="678">
        <v>115</v>
      </c>
      <c r="Y21" s="890">
        <f>($D21*dpsStr+$E21*dpsAgi+$G21*dpsCrit+$H21*dpsHit+$F21*dpsAP+$I21*dpsHaste+$J21*dpsArmor+$K21*dpsExp+IF(MID($Q21,1,1)+MID($Q21,3,1)+MID($Q21,5,1)&gt;0,VLOOKUP('Gear &amp; Buffs'!$B$29,GenSocketStats,18,FALSE)+IF(MID($Q21,1,1)+MID($Q21,3,1)+MID($Q21,5,1)&gt;1,VLOOKUP('Gear &amp; Buffs'!$B$30,GenSocketStats,18,FALSE)+IF(MID($Q21,1,1)+MID($Q21,3,1)+MID($Q21,5,1)&gt;2,VLOOKUP('Gear &amp; Buffs'!$B$31,GenSocketStats,18,FALSE),0)),0)+IF(MID($Q21,7,1)&gt;0,VLOOKUP('Gear &amp; Buffs'!$B$28,MetaSocketStats,18,FALSE),0))-'Gear &amp; Buffs'!$AF$26</f>
        <v>-98.185321938964535</v>
      </c>
      <c r="Z21" s="680">
        <v>308</v>
      </c>
      <c r="AA21" s="221">
        <f>IF(AND(IF('Gear &amp; Buffs'!$AC$50,$Y21&gt;0+'Gear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Aman"),IF(includeprebc,$S21="Pre-BC"),IF(includesunwell,$S21="Sunwell"))),MAX($AA$1:$AA20)+1,"")</f>
        <v>11</v>
      </c>
      <c r="AB21" s="738">
        <v>18</v>
      </c>
      <c r="AC21" s="714" t="str">
        <f t="shared" si="0"/>
        <v/>
      </c>
    </row>
    <row r="22" spans="1:35" s="211" customFormat="1">
      <c r="A22" s="690" t="s">
        <v>980</v>
      </c>
      <c r="B22" s="678">
        <v>34353</v>
      </c>
      <c r="C22" s="678">
        <v>5</v>
      </c>
      <c r="D22" s="678"/>
      <c r="E22" s="678">
        <v>61</v>
      </c>
      <c r="F22" s="678">
        <v>104</v>
      </c>
      <c r="G22" s="679"/>
      <c r="H22" s="679">
        <v>24</v>
      </c>
      <c r="I22" s="678"/>
      <c r="J22" s="678"/>
      <c r="K22" s="678"/>
      <c r="L22" s="678">
        <v>47</v>
      </c>
      <c r="M22" s="679"/>
      <c r="N22" s="679"/>
      <c r="O22" s="678"/>
      <c r="P22" s="678"/>
      <c r="Q22" s="678" t="s">
        <v>1055</v>
      </c>
      <c r="R22" s="678" t="s">
        <v>1056</v>
      </c>
      <c r="S22" s="678" t="s">
        <v>689</v>
      </c>
      <c r="T22" s="687"/>
      <c r="U22" s="47"/>
      <c r="V22" s="687"/>
      <c r="W22" s="687" t="s">
        <v>191</v>
      </c>
      <c r="X22" s="678">
        <v>159</v>
      </c>
      <c r="Y22" s="890">
        <f>($D22*dpsStr+$E22*dpsAgi+$G22*dpsCrit+$H22*dpsHit+$F22*dpsAP+$I22*dpsHaste+$J22*dpsArmor+$K22*dpsExp+IF(MID($Q22,1,1)+MID($Q22,3,1)+MID($Q22,5,1)&gt;0,VLOOKUP('Gear &amp; Buffs'!$B$29,GenSocketStats,18,FALSE)+IF(MID($Q22,1,1)+MID($Q22,3,1)+MID($Q22,5,1)&gt;1,VLOOKUP('Gear &amp; Buffs'!$B$30,GenSocketStats,18,FALSE)+IF(MID($Q22,1,1)+MID($Q22,3,1)+MID($Q22,5,1)&gt;2,VLOOKUP('Gear &amp; Buffs'!$B$31,GenSocketStats,18,FALSE),0)),0)+IF(MID($Q22,7,1)&gt;0,VLOOKUP('Gear &amp; Buffs'!$B$28,MetaSocketStats,18,FALSE),0))-'Gear &amp; Buffs'!$AF$26</f>
        <v>92.088920031559837</v>
      </c>
      <c r="Z22" s="680">
        <v>405</v>
      </c>
      <c r="AA22" s="221" t="str">
        <f>IF(AND(IF('Gear &amp; Buffs'!$AC$50,$Y22&gt;0+'Gear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Aman"),IF(includeprebc,$S22="Pre-BC"),IF(includesunwell,$S22="Sunwell"))),MAX($AA$1:$AA21)+1,"")</f>
        <v/>
      </c>
      <c r="AB22" s="738">
        <v>19</v>
      </c>
      <c r="AC22" s="714" t="str">
        <f t="shared" si="0"/>
        <v/>
      </c>
      <c r="AD22" s="210"/>
    </row>
    <row r="23" spans="1:35">
      <c r="A23" s="677" t="s">
        <v>1079</v>
      </c>
      <c r="B23" s="678">
        <v>27938</v>
      </c>
      <c r="C23" s="678">
        <v>1</v>
      </c>
      <c r="D23" s="678"/>
      <c r="E23" s="678">
        <v>35</v>
      </c>
      <c r="F23" s="678">
        <v>58</v>
      </c>
      <c r="G23" s="679"/>
      <c r="H23" s="679">
        <v>15</v>
      </c>
      <c r="I23" s="678"/>
      <c r="J23" s="678"/>
      <c r="K23" s="678"/>
      <c r="L23" s="678">
        <v>34</v>
      </c>
      <c r="M23" s="679"/>
      <c r="N23" s="679"/>
      <c r="O23" s="678"/>
      <c r="P23" s="678"/>
      <c r="Q23" s="678" t="s">
        <v>1048</v>
      </c>
      <c r="R23" s="678"/>
      <c r="S23" s="678" t="s">
        <v>691</v>
      </c>
      <c r="T23" s="687"/>
      <c r="U23" s="47"/>
      <c r="V23" s="687"/>
      <c r="W23" s="687" t="s">
        <v>632</v>
      </c>
      <c r="X23" s="678">
        <v>115</v>
      </c>
      <c r="Y23" s="890">
        <f>($D23*dpsStr+$E23*dpsAgi+$G23*dpsCrit+$H23*dpsHit+$F23*dpsAP+$I23*dpsHaste+$J23*dpsArmor+$K23*dpsExp+IF(MID($Q23,1,1)+MID($Q23,3,1)+MID($Q23,5,1)&gt;0,VLOOKUP('Gear &amp; Buffs'!$B$29,GenSocketStats,18,FALSE)+IF(MID($Q23,1,1)+MID($Q23,3,1)+MID($Q23,5,1)&gt;1,VLOOKUP('Gear &amp; Buffs'!$B$30,GenSocketStats,18,FALSE)+IF(MID($Q23,1,1)+MID($Q23,3,1)+MID($Q23,5,1)&gt;2,VLOOKUP('Gear &amp; Buffs'!$B$31,GenSocketStats,18,FALSE),0)),0)+IF(MID($Q23,7,1)&gt;0,VLOOKUP('Gear &amp; Buffs'!$B$28,MetaSocketStats,18,FALSE),0))-'Gear &amp; Buffs'!$AF$26</f>
        <v>0.88506955802881748</v>
      </c>
      <c r="Z23" s="680">
        <v>237</v>
      </c>
      <c r="AA23" s="221">
        <f>IF(AND(IF('Gear &amp; Buffs'!$AC$50,$Y23&gt;0+'Gear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Aman"),IF(includeprebc,$S23="Pre-BC"),IF(includesunwell,$S23="Sunwell"))),MAX($AA$1:$AA22)+1,"")</f>
        <v>12</v>
      </c>
      <c r="AB23" s="738">
        <v>20</v>
      </c>
      <c r="AC23" s="714" t="str">
        <f t="shared" si="0"/>
        <v/>
      </c>
      <c r="AD23" s="129"/>
    </row>
    <row r="24" spans="1:35">
      <c r="A24" s="677" t="s">
        <v>998</v>
      </c>
      <c r="B24" s="678">
        <v>31027</v>
      </c>
      <c r="C24" s="678">
        <v>3</v>
      </c>
      <c r="D24" s="678"/>
      <c r="E24" s="678">
        <v>45</v>
      </c>
      <c r="F24" s="678">
        <v>92</v>
      </c>
      <c r="G24" s="679">
        <v>28</v>
      </c>
      <c r="H24" s="679">
        <v>15</v>
      </c>
      <c r="I24" s="678"/>
      <c r="J24" s="678"/>
      <c r="K24" s="678"/>
      <c r="L24" s="678">
        <v>55</v>
      </c>
      <c r="M24" s="679"/>
      <c r="N24" s="679"/>
      <c r="O24" s="678"/>
      <c r="P24" s="678" t="s">
        <v>999</v>
      </c>
      <c r="Q24" s="678" t="s">
        <v>1051</v>
      </c>
      <c r="R24" s="678" t="s">
        <v>2020</v>
      </c>
      <c r="S24" s="678" t="s">
        <v>684</v>
      </c>
      <c r="T24" s="687"/>
      <c r="U24" s="47"/>
      <c r="V24" s="687"/>
      <c r="W24" s="687" t="s">
        <v>191</v>
      </c>
      <c r="X24" s="678">
        <v>146</v>
      </c>
      <c r="Y24" s="890">
        <f>($D24*dpsStr+$E24*dpsAgi+$G24*dpsCrit+$H24*dpsHit+$F24*dpsAP+$I24*dpsHaste+$J24*dpsArmor+$K24*dpsExp+IF(MID($Q24,1,1)+MID($Q24,3,1)+MID($Q24,5,1)&gt;0,VLOOKUP('Gear &amp; Buffs'!$B$29,GenSocketStats,18,FALSE)+IF(MID($Q24,1,1)+MID($Q24,3,1)+MID($Q24,5,1)&gt;1,VLOOKUP('Gear &amp; Buffs'!$B$30,GenSocketStats,18,FALSE)+IF(MID($Q24,1,1)+MID($Q24,3,1)+MID($Q24,5,1)&gt;2,VLOOKUP('Gear &amp; Buffs'!$B$31,GenSocketStats,18,FALSE),0)),0)+IF(MID($Q24,7,1)&gt;0,VLOOKUP('Gear &amp; Buffs'!$B$28,MetaSocketStats,18,FALSE),0))-'Gear &amp; Buffs'!$AF$26</f>
        <v>43.817567162059504</v>
      </c>
      <c r="Z24" s="680">
        <v>373</v>
      </c>
      <c r="AA24" s="221" t="str">
        <f>IF(AND(IF('Gear &amp; Buffs'!$AC$50,$Y24&gt;0+'Gear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Aman"),IF(includeprebc,$S24="Pre-BC"),IF(includesunwell,$S24="Sunwell"))),MAX($AA$1:$AA23)+1,"")</f>
        <v/>
      </c>
      <c r="AB24" s="738">
        <v>21</v>
      </c>
      <c r="AC24" s="714" t="str">
        <f t="shared" si="0"/>
        <v/>
      </c>
      <c r="AD24" s="129"/>
    </row>
    <row r="25" spans="1:35">
      <c r="A25" s="677" t="s">
        <v>1000</v>
      </c>
      <c r="B25" s="679">
        <v>31109</v>
      </c>
      <c r="C25" s="679">
        <v>1</v>
      </c>
      <c r="D25" s="678"/>
      <c r="E25" s="678">
        <v>24</v>
      </c>
      <c r="F25" s="678">
        <v>60</v>
      </c>
      <c r="G25" s="679"/>
      <c r="H25" s="679">
        <v>13</v>
      </c>
      <c r="I25" s="679"/>
      <c r="J25" s="678"/>
      <c r="K25" s="679"/>
      <c r="L25" s="678">
        <v>18</v>
      </c>
      <c r="M25" s="679"/>
      <c r="N25" s="679"/>
      <c r="O25" s="679"/>
      <c r="P25" s="678"/>
      <c r="Q25" s="678" t="s">
        <v>1001</v>
      </c>
      <c r="R25" s="678" t="s">
        <v>1065</v>
      </c>
      <c r="S25" s="678" t="s">
        <v>675</v>
      </c>
      <c r="T25" s="687"/>
      <c r="U25" s="687"/>
      <c r="V25" s="687"/>
      <c r="W25" s="687" t="s">
        <v>632</v>
      </c>
      <c r="X25" s="679">
        <v>109</v>
      </c>
      <c r="Y25" s="890">
        <f>($D25*dpsStr+$E25*dpsAgi+$G25*dpsCrit+$H25*dpsHit+$F25*dpsAP+$I25*dpsHaste+$J25*dpsArmor+$K25*dpsExp+IF(MID($Q25,1,1)+MID($Q25,3,1)+MID($Q25,5,1)&gt;0,VLOOKUP('Gear &amp; Buffs'!$B$29,GenSocketStats,18,FALSE)+IF(MID($Q25,1,1)+MID($Q25,3,1)+MID($Q25,5,1)&gt;1,VLOOKUP('Gear &amp; Buffs'!$B$30,GenSocketStats,18,FALSE)+IF(MID($Q25,1,1)+MID($Q25,3,1)+MID($Q25,5,1)&gt;2,VLOOKUP('Gear &amp; Buffs'!$B$31,GenSocketStats,18,FALSE),0)),0)+IF(MID($Q25,7,1)&gt;0,VLOOKUP('Gear &amp; Buffs'!$B$28,MetaSocketStats,18,FALSE),0))-'Gear &amp; Buffs'!$AF$26</f>
        <v>35.727131281837046</v>
      </c>
      <c r="Z25" s="680">
        <v>226</v>
      </c>
      <c r="AA25" s="221">
        <f>IF(AND(IF('Gear &amp; Buffs'!$AC$50,$Y25&gt;0+'Gear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Aman"),IF(includeprebc,$S25="Pre-BC"),IF(includesunwell,$S25="Sunwell"))),MAX($AA$1:$AA24)+1,"")</f>
        <v>13</v>
      </c>
      <c r="AB25" s="738">
        <v>22</v>
      </c>
      <c r="AC25" s="714" t="str">
        <f t="shared" si="0"/>
        <v/>
      </c>
      <c r="AD25" s="129"/>
    </row>
    <row r="26" spans="1:35">
      <c r="A26" s="683" t="s">
        <v>1002</v>
      </c>
      <c r="B26" s="678">
        <v>31333</v>
      </c>
      <c r="C26" s="678">
        <v>3</v>
      </c>
      <c r="D26" s="678"/>
      <c r="E26" s="678">
        <v>45</v>
      </c>
      <c r="F26" s="678">
        <v>68</v>
      </c>
      <c r="G26" s="679"/>
      <c r="H26" s="679"/>
      <c r="I26" s="678"/>
      <c r="J26" s="678"/>
      <c r="K26" s="678"/>
      <c r="L26" s="678">
        <v>27</v>
      </c>
      <c r="M26" s="679"/>
      <c r="N26" s="679"/>
      <c r="O26" s="678"/>
      <c r="P26" s="678"/>
      <c r="Q26" s="678" t="s">
        <v>1048</v>
      </c>
      <c r="R26" s="678"/>
      <c r="S26" s="678" t="s">
        <v>674</v>
      </c>
      <c r="T26" s="47"/>
      <c r="U26" s="47"/>
      <c r="V26" s="47"/>
      <c r="W26" s="47" t="s">
        <v>191</v>
      </c>
      <c r="X26" s="678">
        <v>100</v>
      </c>
      <c r="Y26" s="890">
        <f>($D26*dpsStr+$E26*dpsAgi+$G26*dpsCrit+$H26*dpsHit+$F26*dpsAP+$I26*dpsHaste+$J26*dpsArmor+$K26*dpsExp+IF(MID($Q26,1,1)+MID($Q26,3,1)+MID($Q26,5,1)&gt;0,VLOOKUP('Gear &amp; Buffs'!$B$29,GenSocketStats,18,FALSE)+IF(MID($Q26,1,1)+MID($Q26,3,1)+MID($Q26,5,1)&gt;1,VLOOKUP('Gear &amp; Buffs'!$B$30,GenSocketStats,18,FALSE)+IF(MID($Q26,1,1)+MID($Q26,3,1)+MID($Q26,5,1)&gt;2,VLOOKUP('Gear &amp; Buffs'!$B$31,GenSocketStats,18,FALSE),0)),0)+IF(MID($Q26,7,1)&gt;0,VLOOKUP('Gear &amp; Buffs'!$B$28,MetaSocketStats,18,FALSE),0))-'Gear &amp; Buffs'!$AF$26</f>
        <v>-70.519973496977173</v>
      </c>
      <c r="Z26" s="680">
        <v>259</v>
      </c>
      <c r="AA26" s="221" t="str">
        <f>IF(AND(IF('Gear &amp; Buffs'!$AC$50,$Y26&gt;0+'Gear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Aman"),IF(includeprebc,$S26="Pre-BC"),IF(includesunwell,$S26="Sunwell"))),MAX($AA$1:$AA25)+1,"")</f>
        <v/>
      </c>
      <c r="AB26" s="738">
        <v>23</v>
      </c>
      <c r="AC26" s="714" t="str">
        <f t="shared" si="0"/>
        <v/>
      </c>
      <c r="AD26" s="129"/>
    </row>
    <row r="27" spans="1:35">
      <c r="A27" s="677" t="s">
        <v>1525</v>
      </c>
      <c r="B27" s="678">
        <v>33701</v>
      </c>
      <c r="C27" s="678">
        <v>3</v>
      </c>
      <c r="D27" s="678"/>
      <c r="E27" s="678">
        <v>31</v>
      </c>
      <c r="F27" s="678">
        <v>52</v>
      </c>
      <c r="G27" s="679">
        <v>21</v>
      </c>
      <c r="H27" s="679">
        <v>12</v>
      </c>
      <c r="I27" s="678"/>
      <c r="J27" s="678">
        <v>84</v>
      </c>
      <c r="K27" s="678"/>
      <c r="L27" s="678">
        <v>65</v>
      </c>
      <c r="M27" s="679"/>
      <c r="N27" s="679">
        <v>25</v>
      </c>
      <c r="O27" s="678"/>
      <c r="P27" s="678" t="s">
        <v>1068</v>
      </c>
      <c r="Q27" s="678" t="s">
        <v>1064</v>
      </c>
      <c r="R27" s="678" t="s">
        <v>1069</v>
      </c>
      <c r="S27" s="678" t="s">
        <v>677</v>
      </c>
      <c r="T27" s="47"/>
      <c r="U27" s="47"/>
      <c r="V27" s="47"/>
      <c r="W27" s="47" t="s">
        <v>191</v>
      </c>
      <c r="X27" s="678">
        <v>146</v>
      </c>
      <c r="Y27" s="890">
        <f>($D27*dpsStr+$E27*dpsAgi+$G27*dpsCrit+$H27*dpsHit+$F27*dpsAP+$I27*dpsHaste+$J27*dpsArmor+$K27*dpsExp+IF(MID($Q27,1,1)+MID($Q27,3,1)+MID($Q27,5,1)&gt;0,VLOOKUP('Gear &amp; Buffs'!$B$29,GenSocketStats,18,FALSE)+IF(MID($Q27,1,1)+MID($Q27,3,1)+MID($Q27,5,1)&gt;1,VLOOKUP('Gear &amp; Buffs'!$B$30,GenSocketStats,18,FALSE)+IF(MID($Q27,1,1)+MID($Q27,3,1)+MID($Q27,5,1)&gt;2,VLOOKUP('Gear &amp; Buffs'!$B$31,GenSocketStats,18,FALSE),0)),0)+IF(MID($Q27,7,1)&gt;0,VLOOKUP('Gear &amp; Buffs'!$B$28,MetaSocketStats,18,FALSE),0))-'Gear &amp; Buffs'!$AF$26</f>
        <v>6.8170399294879189</v>
      </c>
      <c r="Z27" s="680">
        <v>443</v>
      </c>
      <c r="AA27" s="221" t="str">
        <f>IF(AND(IF('Gear &amp; Buffs'!$AC$50,$Y27&gt;0+'Gear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Aman"),IF(includeprebc,$S27="Pre-BC"),IF(includesunwell,$S27="Sunwell"))),MAX($AA$1:$AA26)+1,"")</f>
        <v/>
      </c>
      <c r="AB27" s="738">
        <v>24</v>
      </c>
      <c r="AC27" s="714" t="str">
        <f t="shared" si="0"/>
        <v/>
      </c>
      <c r="AD27" s="114"/>
      <c r="AE27" s="125"/>
      <c r="AI27" s="129"/>
    </row>
    <row r="28" spans="1:35">
      <c r="A28" s="677" t="s">
        <v>1003</v>
      </c>
      <c r="B28" s="678">
        <v>28224</v>
      </c>
      <c r="C28" s="678">
        <v>1</v>
      </c>
      <c r="D28" s="678"/>
      <c r="E28" s="678"/>
      <c r="F28" s="678">
        <v>56</v>
      </c>
      <c r="G28" s="679">
        <v>22</v>
      </c>
      <c r="H28" s="679">
        <v>18</v>
      </c>
      <c r="I28" s="678"/>
      <c r="J28" s="678"/>
      <c r="K28" s="678"/>
      <c r="L28" s="678">
        <v>30</v>
      </c>
      <c r="M28" s="679"/>
      <c r="N28" s="679"/>
      <c r="O28" s="678"/>
      <c r="P28" s="678" t="s">
        <v>1004</v>
      </c>
      <c r="Q28" s="678" t="s">
        <v>1055</v>
      </c>
      <c r="R28" s="678" t="s">
        <v>1065</v>
      </c>
      <c r="S28" s="678" t="s">
        <v>691</v>
      </c>
      <c r="T28" s="47"/>
      <c r="U28" s="47"/>
      <c r="V28" s="47"/>
      <c r="W28" s="47" t="s">
        <v>632</v>
      </c>
      <c r="X28" s="678">
        <v>115</v>
      </c>
      <c r="Y28" s="890">
        <f>($D28*dpsStr+$E28*dpsAgi+$G28*dpsCrit+$H28*dpsHit+$F28*dpsAP+$I28*dpsHaste+$J28*dpsArmor+$K28*dpsExp+IF(MID($Q28,1,1)+MID($Q28,3,1)+MID($Q28,5,1)&gt;0,VLOOKUP('Gear &amp; Buffs'!$B$29,GenSocketStats,18,FALSE)+IF(MID($Q28,1,1)+MID($Q28,3,1)+MID($Q28,5,1)&gt;1,VLOOKUP('Gear &amp; Buffs'!$B$30,GenSocketStats,18,FALSE)+IF(MID($Q28,1,1)+MID($Q28,3,1)+MID($Q28,5,1)&gt;2,VLOOKUP('Gear &amp; Buffs'!$B$31,GenSocketStats,18,FALSE),0)),0)+IF(MID($Q28,7,1)&gt;0,VLOOKUP('Gear &amp; Buffs'!$B$28,MetaSocketStats,18,FALSE),0))-'Gear &amp; Buffs'!$AF$26</f>
        <v>6.2644236795244979</v>
      </c>
      <c r="Z28" s="680">
        <v>237</v>
      </c>
      <c r="AA28" s="221">
        <f>IF(AND(IF('Gear &amp; Buffs'!$AC$50,$Y28&gt;0+'Gear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Aman"),IF(includeprebc,$S28="Pre-BC"),IF(includesunwell,$S28="Sunwell"))),MAX($AA$1:$AA27)+1,"")</f>
        <v>14</v>
      </c>
      <c r="AB28" s="738">
        <v>25</v>
      </c>
      <c r="AC28" s="714" t="str">
        <f t="shared" si="0"/>
        <v/>
      </c>
    </row>
    <row r="29" spans="1:35">
      <c r="A29" s="677" t="str">
        <f>'Gear &amp; Buffs'!$B$156</f>
        <v>(Unmodeled)</v>
      </c>
      <c r="B29" s="678"/>
      <c r="C29" s="678"/>
      <c r="D29" s="678">
        <f>'Gear &amp; Buffs'!$D$156</f>
        <v>0</v>
      </c>
      <c r="E29" s="678">
        <f>'Gear &amp; Buffs'!$E$156</f>
        <v>0</v>
      </c>
      <c r="F29" s="678">
        <f>'Gear &amp; Buffs'!$I$156</f>
        <v>0</v>
      </c>
      <c r="G29" s="679">
        <f>'Gear &amp; Buffs'!$G$156</f>
        <v>0</v>
      </c>
      <c r="H29" s="679">
        <f>'Gear &amp; Buffs'!$H$156</f>
        <v>0</v>
      </c>
      <c r="I29" s="678">
        <f>'Gear &amp; Buffs'!$P$156</f>
        <v>0</v>
      </c>
      <c r="J29" s="678">
        <f>'Gear &amp; Buffs'!$Q$156</f>
        <v>0</v>
      </c>
      <c r="K29" s="678">
        <f>'Gear &amp; Buffs'!$L$156</f>
        <v>0</v>
      </c>
      <c r="L29" s="678">
        <f>'Gear &amp; Buffs'!$F$156</f>
        <v>0</v>
      </c>
      <c r="M29" s="679">
        <f>'Gear &amp; Buffs'!$K$156</f>
        <v>0</v>
      </c>
      <c r="N29" s="679">
        <f>'Gear &amp; Buffs'!$J$156</f>
        <v>0</v>
      </c>
      <c r="O29" s="693">
        <f>'Gear &amp; Buffs'!M156</f>
        <v>0</v>
      </c>
      <c r="P29" s="678"/>
      <c r="Q29" s="678" t="str">
        <f>'Gear &amp; Buffs'!$R$156</f>
        <v>0 0 0 0</v>
      </c>
      <c r="R29" s="694">
        <f>'Gear &amp; Buffs'!S156</f>
        <v>0</v>
      </c>
      <c r="S29" s="678"/>
      <c r="T29" s="47"/>
      <c r="U29" s="47"/>
      <c r="V29" s="47"/>
      <c r="W29" s="47"/>
      <c r="X29" s="678"/>
      <c r="Y29" s="890">
        <f>($D29*dpsStr+$E29*dpsAgi+$G29*dpsCrit+$H29*dpsHit+$F29*dpsAP+$I29*dpsHaste+$J29*dpsArmor+$K29*dpsExp+IF(MID($Q29,1,1)+MID($Q29,3,1)+MID($Q29,5,1)&gt;0,VLOOKUP('Gear &amp; Buffs'!$B$29,GenSocketStats,18,FALSE)+IF(MID($Q29,1,1)+MID($Q29,3,1)+MID($Q29,5,1)&gt;1,VLOOKUP('Gear &amp; Buffs'!$B$30,GenSocketStats,18,FALSE)+IF(MID($Q29,1,1)+MID($Q29,3,1)+MID($Q29,5,1)&gt;2,VLOOKUP('Gear &amp; Buffs'!$B$31,GenSocketStats,18,FALSE),0)),0)+IF(MID($Q29,7,1)&gt;0,VLOOKUP('Gear &amp; Buffs'!$B$28,MetaSocketStats,18,FALSE),0))-'Gear &amp; Buffs'!$AF$26</f>
        <v>-132.04299437520194</v>
      </c>
      <c r="Z29" s="680"/>
      <c r="AA29" s="681">
        <f>MAX($AA$1:$AA28)+1</f>
        <v>15</v>
      </c>
      <c r="AB29" s="738">
        <v>26</v>
      </c>
      <c r="AC29" s="714" t="str">
        <f t="shared" si="0"/>
        <v/>
      </c>
    </row>
    <row r="30" spans="1:35">
      <c r="A30" s="690" t="s">
        <v>2207</v>
      </c>
      <c r="B30" s="709"/>
      <c r="C30" s="709"/>
      <c r="D30" s="710"/>
      <c r="E30" s="710"/>
      <c r="F30" s="710"/>
      <c r="G30" s="709"/>
      <c r="H30" s="709"/>
      <c r="I30" s="709"/>
      <c r="J30" s="678"/>
      <c r="K30" s="709"/>
      <c r="L30" s="710"/>
      <c r="M30" s="709"/>
      <c r="N30" s="709"/>
      <c r="O30" s="709"/>
      <c r="P30" s="709"/>
      <c r="Q30" s="678" t="s">
        <v>1048</v>
      </c>
      <c r="R30" s="678"/>
      <c r="S30" s="679"/>
      <c r="T30" s="47"/>
      <c r="U30" s="47"/>
      <c r="V30" s="47"/>
      <c r="W30" s="47"/>
      <c r="X30" s="709"/>
      <c r="Y30" s="711"/>
      <c r="Z30" s="680"/>
      <c r="AA30" s="681"/>
      <c r="AB30" s="738">
        <v>27</v>
      </c>
      <c r="AC30" s="714" t="str">
        <f t="shared" si="0"/>
        <v/>
      </c>
    </row>
    <row r="31" spans="1:35">
      <c r="A31" s="47"/>
      <c r="B31" s="114"/>
      <c r="C31" s="114"/>
      <c r="D31" s="114"/>
      <c r="E31" s="114"/>
      <c r="F31" s="114"/>
      <c r="G31" s="114"/>
      <c r="H31" s="114"/>
      <c r="I31" s="114"/>
      <c r="J31" s="114"/>
      <c r="K31" s="114"/>
      <c r="L31" s="114"/>
      <c r="M31" s="114"/>
      <c r="N31" s="114"/>
      <c r="O31" s="114"/>
      <c r="P31" s="114"/>
      <c r="Q31" s="114"/>
      <c r="R31" s="114"/>
      <c r="S31" s="114"/>
      <c r="T31" s="47"/>
      <c r="U31" s="47"/>
      <c r="V31" s="47"/>
      <c r="W31" s="47"/>
      <c r="X31" s="125"/>
      <c r="AA31" s="114"/>
      <c r="AB31" s="738">
        <v>28</v>
      </c>
      <c r="AC31" s="714" t="str">
        <f t="shared" si="0"/>
        <v/>
      </c>
    </row>
    <row r="32" spans="1:35">
      <c r="S32" s="114"/>
      <c r="X32" s="125"/>
    </row>
    <row r="33" spans="1:29" ht="23.25" thickBot="1">
      <c r="A33" s="729" t="s">
        <v>1005</v>
      </c>
      <c r="B33" s="730" t="s">
        <v>1934</v>
      </c>
      <c r="C33" s="730" t="s">
        <v>2798</v>
      </c>
      <c r="D33" s="731" t="s">
        <v>1214</v>
      </c>
      <c r="E33" s="731" t="s">
        <v>1215</v>
      </c>
      <c r="F33" s="731" t="s">
        <v>768</v>
      </c>
      <c r="G33" s="730" t="s">
        <v>2140</v>
      </c>
      <c r="H33" s="730" t="s">
        <v>2139</v>
      </c>
      <c r="I33" s="730" t="s">
        <v>771</v>
      </c>
      <c r="J33" s="732" t="s">
        <v>770</v>
      </c>
      <c r="K33" s="730" t="s">
        <v>760</v>
      </c>
      <c r="L33" s="731" t="s">
        <v>1216</v>
      </c>
      <c r="M33" s="730" t="s">
        <v>264</v>
      </c>
      <c r="N33" s="730" t="s">
        <v>1217</v>
      </c>
      <c r="O33" s="730" t="s">
        <v>1287</v>
      </c>
      <c r="P33" s="730" t="s">
        <v>1046</v>
      </c>
      <c r="Q33" s="731" t="s">
        <v>1047</v>
      </c>
      <c r="R33" s="731" t="s">
        <v>1941</v>
      </c>
      <c r="S33" s="731" t="s">
        <v>666</v>
      </c>
      <c r="T33" s="730"/>
      <c r="U33" s="730"/>
      <c r="V33" s="730"/>
      <c r="W33" s="730" t="s">
        <v>921</v>
      </c>
      <c r="X33" s="730"/>
      <c r="Y33" s="733" t="s">
        <v>265</v>
      </c>
      <c r="Z33" s="734"/>
      <c r="AA33" s="734">
        <v>0</v>
      </c>
      <c r="AB33" s="866"/>
      <c r="AC33" s="735" t="s">
        <v>1689</v>
      </c>
    </row>
    <row r="34" spans="1:29">
      <c r="A34" s="695" t="s">
        <v>1006</v>
      </c>
      <c r="B34" s="696">
        <v>2585</v>
      </c>
      <c r="C34" s="696">
        <v>1</v>
      </c>
      <c r="D34" s="696"/>
      <c r="E34" s="696"/>
      <c r="F34" s="696">
        <v>28</v>
      </c>
      <c r="G34" s="697"/>
      <c r="H34" s="697"/>
      <c r="I34" s="697"/>
      <c r="J34" s="697"/>
      <c r="K34" s="697"/>
      <c r="L34" s="696"/>
      <c r="M34" s="697">
        <v>12</v>
      </c>
      <c r="N34" s="697"/>
      <c r="O34" s="697"/>
      <c r="P34" s="697"/>
      <c r="Q34" s="697"/>
      <c r="R34" s="697"/>
      <c r="S34" s="697" t="s">
        <v>668</v>
      </c>
      <c r="T34" s="715"/>
      <c r="U34" s="715"/>
      <c r="V34" s="715"/>
      <c r="W34" s="715" t="b">
        <v>0</v>
      </c>
      <c r="X34" s="715"/>
      <c r="Y34" s="890">
        <f>($D34*dpsStr+$E34*dpsAgi+$G34*dpsCrit+$H34*dpsHit+$F34*dpsAP+$I34*dpsHaste+$J34*dpsArmor+$K34*dpsExp)-'Gear &amp; Buffs'!$AF$27</f>
        <v>-90.944483629165461</v>
      </c>
      <c r="Z34" s="716" t="str">
        <f>IF(OR(IF(includeblacksmith,W34="Blacksmithing"),IF(includeleatherwork,W34="Leatherworking"),IF(includeengineer,W34="Engineering"),IF(includeenchanting,W34="Enchanting"),IF(includeboecrafted,W34="BoE Crafted"),IF(includeboe,W34="BoE"),IF(includepvp,W34="PvP"),IF(includequest,W34="Quest"),IF(includereputation,W34="Reputation"),IF(include5man,W34="5 Man"),IF(includeheroic,W34="Heroic"),IF(includekarahzan,W34="Karazhan"),IF(includedoomwalker,W34="Doomwalker"),IF(includekazzak,W34="Kazzak"),IF(includegruul,W34="Gruul's Lair"),IF(includemagtheridon,W34="Magtheridon"),IF(includessc,W34="SSC"),IF(includetheeye,W34="TK"),IF(includeblacktemple,W34="Black Temple"),IF(includemounthyjal,W34="Mount Hyjal"),IF(includeprebc,W34="Pre-BC"),W34="none"),MAX($V33:Z$36)+1,"")</f>
        <v/>
      </c>
      <c r="AA34" s="221">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NOT(W34))),MAX($AA33:AA$33)+1,"")</f>
        <v>1</v>
      </c>
      <c r="AB34" s="867"/>
      <c r="AC34" s="719"/>
    </row>
    <row r="35" spans="1:29">
      <c r="A35" s="677" t="s">
        <v>465</v>
      </c>
      <c r="B35" s="678">
        <v>3003</v>
      </c>
      <c r="C35" s="678">
        <v>1</v>
      </c>
      <c r="D35" s="678"/>
      <c r="E35" s="678"/>
      <c r="F35" s="678">
        <v>34</v>
      </c>
      <c r="G35" s="679"/>
      <c r="H35" s="679">
        <v>16</v>
      </c>
      <c r="I35" s="679"/>
      <c r="J35" s="679"/>
      <c r="K35" s="679"/>
      <c r="L35" s="678"/>
      <c r="M35" s="679"/>
      <c r="N35" s="679"/>
      <c r="O35" s="679"/>
      <c r="P35" s="679"/>
      <c r="Q35" s="679"/>
      <c r="R35" s="678"/>
      <c r="S35" s="679" t="s">
        <v>1689</v>
      </c>
      <c r="T35" s="717"/>
      <c r="U35" s="717"/>
      <c r="V35" s="717"/>
      <c r="W35" s="717" t="b">
        <v>0</v>
      </c>
      <c r="X35" s="717"/>
      <c r="Y35" s="890">
        <f>($D35*dpsStr+$E35*dpsAgi+$G35*dpsCrit+$H35*dpsHit+$F35*dpsAP+$I35*dpsHaste+$J35*dpsArmor+$K35*dpsExp)-'Gear &amp; Buffs'!$AF$27</f>
        <v>0</v>
      </c>
      <c r="Z35" s="687" t="str">
        <f>IF(OR(IF(includeblacksmith,W35="Blacksmithing"),IF(includeleatherwork,W35="Leatherworking"),IF(includeengineer,W35="Engineering"),IF(includeenchanting,W35="Enchanting"),IF(includeboecrafted,W35="BoE Crafted"),IF(includeboe,W35="BoE"),IF(includepvp,W35="PvP"),IF(includequest,W35="Quest"),IF(includereputation,W35="Reputation"),IF(include5man,W35="5 Man"),IF(includeheroic,W35="Heroic"),IF(includekarahzan,W35="Karazhan"),IF(includedoomwalker,W35="Doomwalker"),IF(includekazzak,W35="Kazzak"),IF(includegruul,W35="Gruul's Lair"),IF(includemagtheridon,W35="Magtheridon"),IF(includessc,W35="SSC"),IF(includetheeye,W35="TK"),IF(includeblacktemple,W35="Black Temple"),IF(includemounthyjal,W35="Mount Hyjal"),IF(includeprebc,W35="Pre-BC"),W35="none"),MAX($V34:Z$36)+1,"")</f>
        <v/>
      </c>
      <c r="AA35" s="221">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NOT(W35))),MAX($AA$33:AA34)+1,"")</f>
        <v>2</v>
      </c>
      <c r="AB35" s="868">
        <v>1</v>
      </c>
      <c r="AC35" s="714" t="str">
        <f>IF(ISNA(INDEX($A$34:$A$38,MATCH(AB35,AA$34:AA$38,0))), "", INDEX($A$34:$A$38,MATCH(AB35,AA$34:AA$38,0)))</f>
        <v>Death's Embrace (+28ap +12 dodge)</v>
      </c>
    </row>
    <row r="36" spans="1:29">
      <c r="A36" s="677" t="s">
        <v>2158</v>
      </c>
      <c r="B36" s="678">
        <v>2999</v>
      </c>
      <c r="C36" s="678">
        <v>1</v>
      </c>
      <c r="D36" s="678"/>
      <c r="E36" s="678"/>
      <c r="F36" s="678"/>
      <c r="G36" s="679"/>
      <c r="H36" s="679"/>
      <c r="I36" s="679"/>
      <c r="J36" s="679"/>
      <c r="K36" s="679"/>
      <c r="L36" s="678"/>
      <c r="M36" s="679">
        <v>17</v>
      </c>
      <c r="N36" s="679"/>
      <c r="O36" s="679">
        <v>16</v>
      </c>
      <c r="P36" s="679"/>
      <c r="Q36" s="679"/>
      <c r="R36" s="679"/>
      <c r="S36" s="679" t="s">
        <v>1689</v>
      </c>
      <c r="T36" s="717"/>
      <c r="U36" s="717"/>
      <c r="V36" s="717"/>
      <c r="W36" s="717" t="b">
        <v>1</v>
      </c>
      <c r="X36" s="717"/>
      <c r="Y36" s="890">
        <f>($D36*dpsStr+$E36*dpsAgi+$G36*dpsCrit+$H36*dpsHit+$F36*dpsAP+$I36*dpsHaste+$J36*dpsArmor+$K36*dpsExp)-'Gear &amp; Buffs'!$AF$27</f>
        <v>-100.94972435311001</v>
      </c>
      <c r="Z36" s="687" t="str">
        <f>IF(OR(IF(includeblacksmith,W36="Blacksmithing"),IF(includeleatherwork,W36="Leatherworking"),IF(includeengineer,W36="Engineering"),IF(includeenchanting,W36="Enchanting"),IF(includeboecrafted,W36="BoE Crafted"),IF(includeboe,W36="BoE"),IF(includepvp,W36="PvP"),IF(includequest,W36="Quest"),IF(includereputation,W36="Reputation"),IF(include5man,W36="5 Man"),IF(includeheroic,W36="Heroic"),IF(includekarahzan,W36="Karazhan"),IF(includedoomwalker,W36="Doomwalker"),IF(includekazzak,W36="Kazzak"),IF(includegruul,W36="Gruul's Lair"),IF(includemagtheridon,W36="Magtheridon"),IF(includessc,W36="SSC"),IF(includetheeye,W36="TK"),IF(includeblacktemple,W36="Black Temple"),IF(includemounthyjal,W36="Mount Hyjal"),IF(includeprebc,W36="Pre-BC"),W36="none"),MAX($V35:Z$36)+1,"")</f>
        <v/>
      </c>
      <c r="AA36" s="221" t="str">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NOT(W36))),MAX($AA$33:AA35)+1,"")</f>
        <v/>
      </c>
      <c r="AB36" s="868">
        <v>2</v>
      </c>
      <c r="AC36" s="714" t="str">
        <f>IF(ISNA(INDEX($A$34:$A$38,MATCH(AB36,AA$34:AA$38,0))), "", INDEX($A$34:$A$38,MATCH(AB36,AA$34:AA$38,0)))</f>
        <v>Glyph of Ferocity (+16 hit +34ap)</v>
      </c>
    </row>
    <row r="37" spans="1:29">
      <c r="A37" s="677" t="s">
        <v>1104</v>
      </c>
      <c r="B37" s="678">
        <v>2543</v>
      </c>
      <c r="C37" s="678">
        <v>1</v>
      </c>
      <c r="D37" s="678"/>
      <c r="E37" s="678"/>
      <c r="F37" s="678"/>
      <c r="G37" s="679"/>
      <c r="H37" s="679"/>
      <c r="I37" s="679">
        <v>10</v>
      </c>
      <c r="J37" s="679"/>
      <c r="K37" s="679"/>
      <c r="L37" s="678"/>
      <c r="M37" s="679"/>
      <c r="N37" s="679"/>
      <c r="O37" s="679"/>
      <c r="P37" s="679"/>
      <c r="Q37" s="679"/>
      <c r="R37" s="679"/>
      <c r="S37" s="679" t="s">
        <v>668</v>
      </c>
      <c r="T37" s="717"/>
      <c r="U37" s="717"/>
      <c r="V37" s="717"/>
      <c r="W37" s="717" t="b">
        <v>0</v>
      </c>
      <c r="X37" s="717"/>
      <c r="Y37" s="890">
        <f>($D37*dpsStr+$E37*dpsAgi+$G37*dpsCrit+$H37*dpsHit+$F37*dpsAP+$I37*dpsHaste+$J37*dpsArmor+$K37*dpsExp)-'Gear &amp; Buffs'!$AF$27</f>
        <v>-64.235876962908605</v>
      </c>
      <c r="Z37" s="687" t="str">
        <f>IF(OR(IF(includeblacksmith,W37="Blacksmithing"),IF(includeleatherwork,W37="Leatherworking"),IF(includeengineer,W37="Engineering"),IF(includeenchanting,W37="Enchanting"),IF(includeboecrafted,W37="BoE Crafted"),IF(includeboe,W37="BoE"),IF(includepvp,W37="PvP"),IF(includequest,W37="Quest"),IF(includereputation,W37="Reputation"),IF(include5man,W37="5 Man"),IF(includeheroic,W37="Heroic"),IF(includekarahzan,W37="Karazhan"),IF(includedoomwalker,W37="Doomwalker"),IF(includekazzak,W37="Kazzak"),IF(includegruul,W37="Gruul's Lair"),IF(includemagtheridon,W37="Magtheridon"),IF(includessc,W37="SSC"),IF(includetheeye,W37="TK"),IF(includeblacktemple,W37="Black Temple"),IF(includemounthyjal,W37="Mount Hyjal"),IF(includeprebc,W37="Pre-BC"),W37="none"),MAX($V$36:Z36)+1,"")</f>
        <v/>
      </c>
      <c r="AA37" s="221">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NOT(W37))),MAX($AA$33:AA36)+1,"")</f>
        <v>3</v>
      </c>
      <c r="AB37" s="868">
        <v>3</v>
      </c>
      <c r="AC37" s="714" t="str">
        <f>IF(ISNA(INDEX($A$34:$A$38,MATCH(AB37,AA$34:AA$38,0))), "", INDEX($A$34:$A$38,MATCH(AB37,AA$34:AA$38,0)))</f>
        <v>Libram of Rapidity (+10 Haste)</v>
      </c>
    </row>
    <row r="38" spans="1:29">
      <c r="A38" s="677" t="s">
        <v>1105</v>
      </c>
      <c r="B38" s="678">
        <v>1508</v>
      </c>
      <c r="C38" s="678">
        <v>1</v>
      </c>
      <c r="D38" s="678"/>
      <c r="E38" s="678">
        <v>8</v>
      </c>
      <c r="F38" s="678"/>
      <c r="G38" s="679"/>
      <c r="H38" s="679"/>
      <c r="I38" s="679"/>
      <c r="J38" s="679"/>
      <c r="K38" s="679"/>
      <c r="L38" s="678"/>
      <c r="M38" s="679"/>
      <c r="N38" s="679"/>
      <c r="O38" s="679"/>
      <c r="P38" s="679"/>
      <c r="Q38" s="679"/>
      <c r="R38" s="679"/>
      <c r="S38" s="679" t="s">
        <v>668</v>
      </c>
      <c r="T38" s="717"/>
      <c r="U38" s="717"/>
      <c r="V38" s="717"/>
      <c r="W38" s="717" t="b">
        <v>0</v>
      </c>
      <c r="X38" s="717"/>
      <c r="Y38" s="890">
        <f>($D38*dpsStr+$E38*dpsAgi+$G38*dpsCrit+$H38*dpsHit+$F38*dpsAP+$I38*dpsHaste+$J38*dpsArmor+$K38*dpsExp)-'Gear &amp; Buffs'!$AF$27</f>
        <v>-94.332021398430243</v>
      </c>
      <c r="Z38" s="687" t="str">
        <f>IF(OR(IF(includeblacksmith,W38="Blacksmithing"),IF(includeleatherwork,W38="Leatherworking"),IF(includeengineer,W38="Engineering"),IF(includeenchanting,W38="Enchanting"),IF(includeboecrafted,W38="BoE Crafted"),IF(includeboe,W38="BoE"),IF(includepvp,W38="PvP"),IF(includequest,W38="Quest"),IF(includereputation,W38="Reputation"),IF(include5man,W38="5 Man"),IF(includeheroic,W38="Heroic"),IF(includekarahzan,W38="Karazhan"),IF(includedoomwalker,W38="Doomwalker"),IF(includekazzak,W38="Kazzak"),IF(includegruul,W38="Gruul's Lair"),IF(includemagtheridon,W38="Magtheridon"),IF(includessc,W38="SSC"),IF(includetheeye,W38="TK"),IF(includeblacktemple,W38="Black Temple"),IF(includemounthyjal,W38="Mount Hyjal"),IF(includeprebc,W38="Pre-BC"),W38="none"),MAX($V$36:Z37)+1,"")</f>
        <v/>
      </c>
      <c r="AA38" s="221">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NOT(W38))),MAX($AA$33:AA37)+1,"")</f>
        <v>4</v>
      </c>
      <c r="AB38" s="868">
        <v>4</v>
      </c>
      <c r="AC38" s="714" t="str">
        <f>IF(ISNA(INDEX($A$34:$A$38,MATCH(AB38,AA$34:AA$38,0))), "", INDEX($A$34:$A$38,MATCH(AB38,AA$34:AA$38,0)))</f>
        <v>Libram of Voracity (+8 Agility)</v>
      </c>
    </row>
    <row r="39" spans="1:29">
      <c r="A39" s="690" t="s">
        <v>2207</v>
      </c>
      <c r="B39" s="678"/>
      <c r="C39" s="678"/>
      <c r="D39" s="678"/>
      <c r="E39" s="678"/>
      <c r="F39" s="678"/>
      <c r="G39" s="679"/>
      <c r="H39" s="679"/>
      <c r="I39" s="679"/>
      <c r="J39" s="679"/>
      <c r="K39" s="679"/>
      <c r="L39" s="678"/>
      <c r="M39" s="679"/>
      <c r="N39" s="679"/>
      <c r="O39" s="679"/>
      <c r="P39" s="679"/>
      <c r="Q39" s="679"/>
      <c r="R39" s="679"/>
      <c r="S39" s="679"/>
      <c r="T39" s="717"/>
      <c r="U39" s="717"/>
      <c r="V39" s="717"/>
      <c r="W39" s="717"/>
      <c r="X39" s="717"/>
      <c r="Y39" s="718"/>
      <c r="Z39" s="687" t="str">
        <f>IF(OR(IF(includeblacksmith,W39="Blacksmithing"),IF(includeleatherwork,W39="Leatherworking"),IF(includeengineer,W39="Engineering"),IF(includeenchanting,W39="Enchanting"),IF(includeboecrafted,W39="BoE Crafted"),IF(includeboe,W39="BoE"),IF(includepvp,W39="PvP"),IF(includequest,W39="Quest"),IF(includereputation,W39="Reputation"),IF(include5man,W39="5 Man"),IF(includeheroic,W39="Heroic"),IF(includekarahzan,W39="Karazhan"),IF(includedoomwalker,W39="Doomwalker"),IF(includekazzak,W39="Kazzak"),IF(includegruul,W39="Gruul's Lair"),IF(includemagtheridon,W39="Magtheridon"),IF(includessc,W39="SSC"),IF(includetheeye,W39="TK"),IF(includeblacktemple,W39="Black Temple"),IF(includemounthyjal,W39="Mount Hyjal"),IF(includeprebc,W39="Pre-BC"),W39="none"),MAX($V$36:Z38)+1,"")</f>
        <v/>
      </c>
      <c r="AA39" s="681"/>
      <c r="AB39" s="868">
        <v>5</v>
      </c>
      <c r="AC39" s="714" t="str">
        <f>IF(ISNA(INDEX($A$34:$A$38,MATCH(AB39,AA$34:AA$38,0))), "", INDEX($A$34:$A$38,MATCH(AB39,AA$34:AA$38,0)))</f>
        <v/>
      </c>
    </row>
    <row r="40" spans="1:29">
      <c r="I40" s="125"/>
      <c r="L40" s="129"/>
      <c r="M40" s="129"/>
      <c r="R40" s="125"/>
      <c r="S40" s="125"/>
      <c r="T40" s="209"/>
      <c r="U40" s="209"/>
      <c r="V40" s="209"/>
      <c r="W40" s="209"/>
      <c r="X40" s="122"/>
      <c r="Y40" s="116"/>
      <c r="Z40" s="116"/>
      <c r="AA40" s="114"/>
      <c r="AC40" s="151"/>
    </row>
    <row r="41" spans="1:29">
      <c r="J41" s="129"/>
      <c r="N41" s="125"/>
      <c r="T41" s="48"/>
      <c r="U41" s="48"/>
      <c r="V41" s="48"/>
      <c r="W41" s="48"/>
      <c r="X41" s="114"/>
      <c r="AC41" s="151"/>
    </row>
    <row r="42" spans="1:29">
      <c r="R42" s="114"/>
      <c r="S42" s="114"/>
      <c r="AC42" s="151"/>
    </row>
    <row r="43" spans="1:29">
      <c r="AC43" s="151"/>
    </row>
    <row r="44" spans="1:29">
      <c r="J44" s="129"/>
      <c r="K44" s="129"/>
      <c r="S44" s="170"/>
      <c r="X44" s="125"/>
      <c r="AC44" s="151"/>
    </row>
    <row r="45" spans="1:29">
      <c r="J45" s="129"/>
      <c r="K45" s="129"/>
      <c r="S45" s="170"/>
      <c r="AC45" s="151"/>
    </row>
    <row r="46" spans="1:29">
      <c r="J46" s="129"/>
      <c r="K46" s="129"/>
      <c r="L46" s="129"/>
      <c r="M46" s="129"/>
      <c r="T46" s="48"/>
      <c r="U46" s="48"/>
      <c r="V46" s="48"/>
      <c r="W46" s="48"/>
      <c r="X46" s="48"/>
      <c r="AC46" s="151"/>
    </row>
    <row r="47" spans="1:29">
      <c r="J47" s="129"/>
      <c r="K47" s="129"/>
      <c r="L47" s="129"/>
      <c r="M47" s="129"/>
      <c r="T47" s="48"/>
      <c r="U47" s="48"/>
      <c r="V47" s="48"/>
      <c r="W47" s="48"/>
      <c r="X47" s="48"/>
      <c r="AC47" s="151"/>
    </row>
    <row r="48" spans="1:29">
      <c r="J48" s="129"/>
      <c r="K48" s="129"/>
      <c r="L48" s="129"/>
      <c r="M48" s="129"/>
      <c r="T48" s="48"/>
      <c r="U48" s="48"/>
      <c r="V48" s="48"/>
      <c r="W48" s="48"/>
      <c r="X48" s="48"/>
      <c r="AC48" s="151"/>
    </row>
    <row r="49" spans="1:29">
      <c r="J49" s="129"/>
      <c r="K49" s="129"/>
      <c r="L49" s="129"/>
      <c r="M49" s="129"/>
      <c r="T49" s="48"/>
      <c r="U49" s="48"/>
      <c r="V49" s="48"/>
      <c r="W49" s="48"/>
      <c r="X49" s="48"/>
      <c r="AC49" s="151"/>
    </row>
    <row r="50" spans="1:29">
      <c r="J50" s="129"/>
      <c r="K50" s="129"/>
      <c r="L50" s="129"/>
      <c r="M50" s="129"/>
      <c r="T50" s="48"/>
      <c r="U50" s="48"/>
      <c r="V50" s="48"/>
      <c r="W50" s="48"/>
      <c r="X50" s="48"/>
    </row>
    <row r="51" spans="1:29">
      <c r="A51" s="6"/>
      <c r="D51" s="114"/>
      <c r="L51" s="129"/>
      <c r="M51" s="129"/>
      <c r="T51" s="48"/>
      <c r="U51" s="48"/>
      <c r="V51" s="48"/>
      <c r="W51" s="48"/>
      <c r="X51" s="48"/>
    </row>
    <row r="52" spans="1:29">
      <c r="A52" s="6"/>
      <c r="L52" s="129"/>
      <c r="M52" s="129"/>
      <c r="T52" s="48"/>
      <c r="U52" s="48"/>
      <c r="V52" s="48"/>
      <c r="W52" s="48"/>
      <c r="X52" s="48"/>
    </row>
    <row r="53" spans="1:29">
      <c r="A53" s="6"/>
      <c r="S53" s="172"/>
    </row>
    <row r="54" spans="1:29">
      <c r="A54" s="6"/>
      <c r="S54" s="172"/>
    </row>
    <row r="55" spans="1:29">
      <c r="A55" s="6"/>
      <c r="D55" s="120"/>
      <c r="S55" s="172"/>
    </row>
    <row r="56" spans="1:29">
      <c r="A56" s="6"/>
      <c r="S56" s="172"/>
    </row>
    <row r="57" spans="1:29">
      <c r="A57" s="6"/>
      <c r="S57" s="172"/>
    </row>
    <row r="58" spans="1:29">
      <c r="A58" s="6"/>
      <c r="F58" s="170"/>
      <c r="G58" s="177"/>
      <c r="H58" s="170"/>
      <c r="I58" s="170"/>
      <c r="J58" s="171"/>
      <c r="K58" s="171"/>
      <c r="S58" s="172"/>
    </row>
    <row r="59" spans="1:29">
      <c r="A59" s="6"/>
      <c r="F59" s="172"/>
      <c r="G59" s="172"/>
      <c r="H59" s="172"/>
      <c r="I59" s="172"/>
      <c r="J59" s="173"/>
      <c r="K59" s="173"/>
      <c r="M59" s="171"/>
      <c r="N59" s="172"/>
      <c r="O59" s="172"/>
      <c r="P59" s="172"/>
      <c r="Q59" s="172"/>
      <c r="R59" s="172"/>
      <c r="S59" s="172"/>
    </row>
    <row r="60" spans="1:29">
      <c r="A60" s="6"/>
      <c r="L60" s="171"/>
      <c r="M60" s="173"/>
      <c r="N60" s="172"/>
      <c r="O60" s="172"/>
      <c r="P60" s="172"/>
      <c r="Q60" s="172"/>
      <c r="R60" s="172"/>
      <c r="S60" s="172"/>
    </row>
    <row r="61" spans="1:29">
      <c r="A61" s="6"/>
      <c r="L61" s="173"/>
    </row>
    <row r="62" spans="1:29">
      <c r="A62" s="6"/>
    </row>
    <row r="63" spans="1:29">
      <c r="A63" s="6"/>
    </row>
    <row r="64" spans="1:29">
      <c r="A64" s="6"/>
    </row>
    <row r="65" spans="1:15">
      <c r="A65" s="6"/>
    </row>
    <row r="66" spans="1:15">
      <c r="A66" s="6"/>
    </row>
    <row r="73" spans="1:15">
      <c r="A73" s="10"/>
      <c r="B73" s="118"/>
      <c r="C73" s="118"/>
      <c r="D73" s="118"/>
      <c r="E73" s="118"/>
      <c r="F73" s="118"/>
      <c r="G73" s="118"/>
      <c r="H73" s="118"/>
      <c r="I73" s="118"/>
      <c r="J73" s="119"/>
      <c r="K73" s="119"/>
    </row>
    <row r="74" spans="1:15">
      <c r="A74" s="10"/>
      <c r="B74" s="114"/>
      <c r="C74" s="114"/>
      <c r="D74" s="114"/>
      <c r="E74" s="114"/>
      <c r="F74" s="127"/>
      <c r="G74" s="127"/>
      <c r="H74" s="114"/>
      <c r="I74" s="127"/>
      <c r="J74" s="116"/>
      <c r="K74" s="116"/>
      <c r="M74" s="119"/>
    </row>
    <row r="75" spans="1:15">
      <c r="A75" s="10"/>
      <c r="B75" s="114"/>
      <c r="C75" s="114"/>
      <c r="D75" s="114"/>
      <c r="E75" s="114"/>
      <c r="F75" s="127"/>
      <c r="G75" s="127"/>
      <c r="H75" s="114"/>
      <c r="I75" s="127"/>
      <c r="J75" s="116"/>
      <c r="K75" s="116"/>
      <c r="L75" s="119"/>
      <c r="M75" s="116"/>
    </row>
    <row r="76" spans="1:15">
      <c r="A76" s="10"/>
      <c r="B76" s="114"/>
      <c r="C76" s="114"/>
      <c r="D76" s="114"/>
      <c r="E76" s="114"/>
      <c r="F76" s="114"/>
      <c r="G76" s="114"/>
      <c r="H76" s="114"/>
      <c r="I76" s="114"/>
      <c r="J76" s="116"/>
      <c r="K76" s="116"/>
      <c r="L76" s="116"/>
      <c r="M76" s="116"/>
      <c r="N76" s="152"/>
      <c r="O76" s="152"/>
    </row>
    <row r="77" spans="1:15">
      <c r="A77" s="10"/>
      <c r="B77" s="114"/>
      <c r="C77" s="114"/>
      <c r="D77" s="114"/>
      <c r="E77" s="114"/>
      <c r="F77" s="114"/>
      <c r="G77" s="114"/>
      <c r="H77" s="114"/>
      <c r="I77" s="114"/>
      <c r="J77" s="116"/>
      <c r="K77" s="116"/>
      <c r="L77" s="116"/>
      <c r="M77" s="116"/>
    </row>
    <row r="78" spans="1:15">
      <c r="A78" s="10"/>
      <c r="B78" s="114"/>
      <c r="C78" s="114"/>
      <c r="D78" s="114"/>
      <c r="E78" s="114"/>
      <c r="F78" s="114"/>
      <c r="G78" s="127"/>
      <c r="H78" s="118"/>
      <c r="I78" s="114"/>
      <c r="J78" s="116"/>
      <c r="K78" s="116"/>
      <c r="L78" s="116"/>
      <c r="M78" s="116"/>
    </row>
    <row r="79" spans="1:15">
      <c r="A79" s="10"/>
      <c r="B79" s="114"/>
      <c r="C79" s="114"/>
      <c r="D79" s="114"/>
      <c r="E79" s="114"/>
      <c r="F79" s="114"/>
      <c r="G79" s="114"/>
      <c r="H79" s="114"/>
      <c r="I79" s="114"/>
      <c r="J79" s="116"/>
      <c r="K79" s="116"/>
      <c r="L79" s="116"/>
      <c r="M79" s="116"/>
    </row>
    <row r="80" spans="1:15">
      <c r="A80" s="135"/>
      <c r="B80" s="114"/>
      <c r="C80" s="114"/>
      <c r="D80" s="114"/>
      <c r="E80" s="114"/>
      <c r="F80" s="127"/>
      <c r="G80" s="127"/>
      <c r="H80" s="114"/>
      <c r="I80" s="114"/>
      <c r="J80" s="116"/>
      <c r="K80" s="116"/>
      <c r="L80" s="116"/>
      <c r="M80" s="116"/>
    </row>
    <row r="81" spans="1:13">
      <c r="A81" s="132"/>
      <c r="B81" s="133"/>
      <c r="C81" s="133"/>
      <c r="D81" s="133"/>
      <c r="E81" s="133"/>
      <c r="F81" s="133"/>
      <c r="G81" s="133"/>
      <c r="H81" s="133"/>
      <c r="I81" s="133"/>
      <c r="J81" s="134"/>
      <c r="K81" s="134"/>
      <c r="L81" s="116"/>
      <c r="M81" s="116"/>
    </row>
    <row r="82" spans="1:13">
      <c r="A82" s="10"/>
      <c r="B82" s="118"/>
      <c r="C82" s="118"/>
      <c r="D82" s="118"/>
      <c r="E82" s="118"/>
      <c r="F82" s="118"/>
      <c r="G82" s="118"/>
      <c r="H82" s="118"/>
      <c r="I82" s="118"/>
      <c r="J82" s="119"/>
      <c r="K82" s="119"/>
      <c r="L82" s="116"/>
      <c r="M82" s="134"/>
    </row>
    <row r="83" spans="1:13">
      <c r="A83" s="10"/>
      <c r="B83" s="114"/>
      <c r="C83" s="114"/>
      <c r="D83" s="114"/>
      <c r="E83" s="114"/>
      <c r="F83" s="127"/>
      <c r="G83" s="127"/>
      <c r="H83" s="114"/>
      <c r="I83" s="114"/>
      <c r="J83" s="116"/>
      <c r="K83" s="116"/>
      <c r="L83" s="134"/>
      <c r="M83" s="119"/>
    </row>
    <row r="84" spans="1:13">
      <c r="A84" s="10"/>
      <c r="B84" s="114"/>
      <c r="C84" s="114"/>
      <c r="D84" s="114"/>
      <c r="E84" s="114"/>
      <c r="F84" s="114"/>
      <c r="G84" s="127"/>
      <c r="H84" s="114"/>
      <c r="I84" s="114"/>
      <c r="J84" s="116"/>
      <c r="K84" s="116"/>
      <c r="L84" s="119"/>
      <c r="M84" s="116"/>
    </row>
    <row r="85" spans="1:13">
      <c r="A85" s="10"/>
      <c r="B85" s="114"/>
      <c r="C85" s="114"/>
      <c r="D85" s="114"/>
      <c r="E85" s="114"/>
      <c r="F85" s="114"/>
      <c r="G85" s="127"/>
      <c r="H85" s="114"/>
      <c r="I85" s="114"/>
      <c r="J85" s="116"/>
      <c r="K85" s="116"/>
      <c r="L85" s="116"/>
      <c r="M85" s="116"/>
    </row>
    <row r="86" spans="1:13">
      <c r="A86" s="10"/>
      <c r="B86" s="114"/>
      <c r="C86" s="114"/>
      <c r="D86" s="114"/>
      <c r="E86" s="114"/>
      <c r="F86" s="127"/>
      <c r="G86" s="127"/>
      <c r="H86" s="114"/>
      <c r="I86" s="114"/>
      <c r="J86" s="116"/>
      <c r="K86" s="116"/>
      <c r="L86" s="116"/>
      <c r="M86" s="116"/>
    </row>
    <row r="87" spans="1:13">
      <c r="A87" s="10"/>
      <c r="B87" s="114"/>
      <c r="C87" s="114"/>
      <c r="D87" s="114"/>
      <c r="E87" s="114"/>
      <c r="F87" s="127"/>
      <c r="G87" s="127"/>
      <c r="H87" s="114"/>
      <c r="I87" s="114"/>
      <c r="J87" s="116"/>
      <c r="K87" s="116"/>
      <c r="L87" s="116"/>
      <c r="M87" s="116"/>
    </row>
    <row r="88" spans="1:13">
      <c r="A88" s="10"/>
      <c r="B88" s="114"/>
      <c r="C88" s="114"/>
      <c r="D88" s="114"/>
      <c r="E88" s="114"/>
      <c r="F88" s="127"/>
      <c r="G88" s="114"/>
      <c r="H88" s="114"/>
      <c r="I88" s="114"/>
      <c r="J88" s="116"/>
      <c r="K88" s="116"/>
      <c r="L88" s="116"/>
      <c r="M88" s="116"/>
    </row>
    <row r="89" spans="1:13">
      <c r="A89" s="10"/>
      <c r="B89" s="114"/>
      <c r="C89" s="114"/>
      <c r="D89" s="114"/>
      <c r="E89" s="114"/>
      <c r="F89" s="114"/>
      <c r="G89" s="127"/>
      <c r="H89" s="114"/>
      <c r="I89" s="127"/>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36"/>
      <c r="B92" s="114"/>
      <c r="C92" s="114"/>
      <c r="D92" s="114"/>
      <c r="E92" s="114"/>
      <c r="F92" s="114"/>
      <c r="G92" s="127"/>
      <c r="H92" s="114"/>
      <c r="I92" s="114"/>
      <c r="J92" s="116"/>
      <c r="K92" s="116"/>
      <c r="L92" s="116"/>
      <c r="M92" s="116"/>
    </row>
    <row r="93" spans="1:13">
      <c r="A93" s="132"/>
      <c r="B93" s="114"/>
      <c r="C93" s="114"/>
      <c r="D93" s="114"/>
      <c r="E93" s="114"/>
      <c r="F93" s="114"/>
      <c r="G93" s="114"/>
      <c r="H93" s="114"/>
      <c r="I93" s="114"/>
      <c r="J93" s="116"/>
      <c r="K93" s="116"/>
      <c r="L93" s="116"/>
      <c r="M93" s="116"/>
    </row>
    <row r="94" spans="1:13">
      <c r="A94" s="10"/>
      <c r="B94" s="118"/>
      <c r="C94" s="118"/>
      <c r="D94" s="118"/>
      <c r="E94" s="118"/>
      <c r="F94" s="118"/>
      <c r="G94" s="118"/>
      <c r="H94" s="118"/>
      <c r="I94" s="118"/>
      <c r="J94" s="119"/>
      <c r="K94" s="119"/>
      <c r="L94" s="116"/>
      <c r="M94" s="116"/>
    </row>
    <row r="95" spans="1:13">
      <c r="A95" s="10"/>
      <c r="B95" s="114"/>
      <c r="C95" s="114"/>
      <c r="D95" s="114"/>
      <c r="E95" s="114"/>
      <c r="F95" s="127"/>
      <c r="G95" s="114"/>
      <c r="H95" s="114"/>
      <c r="I95" s="114"/>
      <c r="J95" s="116"/>
      <c r="K95" s="116"/>
      <c r="L95" s="116"/>
      <c r="M95" s="119"/>
    </row>
    <row r="96" spans="1:13">
      <c r="A96" s="10"/>
      <c r="B96" s="114"/>
      <c r="C96" s="114"/>
      <c r="D96" s="114"/>
      <c r="E96" s="114"/>
      <c r="F96" s="114"/>
      <c r="G96" s="127"/>
      <c r="H96" s="114"/>
      <c r="I96" s="127"/>
      <c r="J96" s="116"/>
      <c r="K96" s="116"/>
      <c r="L96" s="119"/>
      <c r="M96" s="116"/>
    </row>
    <row r="97" spans="1:13">
      <c r="A97" s="10"/>
      <c r="B97" s="114"/>
      <c r="C97" s="114"/>
      <c r="D97" s="114"/>
      <c r="E97" s="114"/>
      <c r="F97" s="114"/>
      <c r="G97" s="127"/>
      <c r="H97" s="114"/>
      <c r="I97" s="127"/>
      <c r="J97" s="116"/>
      <c r="K97" s="116"/>
      <c r="L97" s="116"/>
      <c r="M97" s="116"/>
    </row>
    <row r="98" spans="1:13">
      <c r="A98" s="10"/>
      <c r="B98" s="114"/>
      <c r="C98" s="114"/>
      <c r="D98" s="114"/>
      <c r="E98" s="114"/>
      <c r="F98" s="114"/>
      <c r="G98" s="127"/>
      <c r="H98" s="114"/>
      <c r="I98" s="114"/>
      <c r="J98" s="116"/>
      <c r="K98" s="116"/>
      <c r="L98" s="116"/>
      <c r="M98" s="116"/>
    </row>
    <row r="99" spans="1:13">
      <c r="A99" s="136"/>
      <c r="B99" s="114"/>
      <c r="C99" s="114"/>
      <c r="D99" s="114"/>
      <c r="E99" s="114"/>
      <c r="F99" s="114"/>
      <c r="G99" s="127"/>
      <c r="H99" s="114"/>
      <c r="I99" s="114"/>
      <c r="J99" s="116"/>
      <c r="K99" s="116"/>
      <c r="L99" s="116"/>
      <c r="M99" s="116"/>
    </row>
    <row r="100" spans="1:13">
      <c r="A100" s="132"/>
      <c r="B100" s="114"/>
      <c r="C100" s="114"/>
      <c r="D100" s="114"/>
      <c r="E100" s="114"/>
      <c r="F100" s="114"/>
      <c r="G100" s="114"/>
      <c r="H100" s="114"/>
      <c r="I100" s="114"/>
      <c r="J100" s="116"/>
      <c r="K100" s="116"/>
      <c r="L100" s="116"/>
      <c r="M100" s="116"/>
    </row>
    <row r="101" spans="1:13">
      <c r="A101" s="10"/>
      <c r="B101" s="118"/>
      <c r="C101" s="118"/>
      <c r="D101" s="118"/>
      <c r="E101" s="118"/>
      <c r="F101" s="118"/>
      <c r="G101" s="118"/>
      <c r="H101" s="118"/>
      <c r="I101" s="118"/>
      <c r="J101" s="119"/>
      <c r="K101" s="119"/>
      <c r="L101" s="116"/>
      <c r="M101" s="116"/>
    </row>
    <row r="102" spans="1:13">
      <c r="A102" s="10"/>
      <c r="B102" s="114"/>
      <c r="C102" s="114"/>
      <c r="D102" s="114"/>
      <c r="E102" s="114"/>
      <c r="F102" s="114"/>
      <c r="G102" s="114"/>
      <c r="H102" s="114"/>
      <c r="I102" s="114"/>
      <c r="J102" s="116"/>
      <c r="K102" s="116"/>
      <c r="L102" s="116"/>
      <c r="M102" s="119"/>
    </row>
    <row r="103" spans="1:13">
      <c r="A103" s="10"/>
      <c r="B103" s="114"/>
      <c r="C103" s="114"/>
      <c r="D103" s="114"/>
      <c r="E103" s="114"/>
      <c r="F103" s="114"/>
      <c r="G103" s="127"/>
      <c r="H103" s="114"/>
      <c r="I103" s="114"/>
      <c r="J103" s="116"/>
      <c r="K103" s="116"/>
      <c r="L103" s="119"/>
      <c r="M103" s="116"/>
    </row>
    <row r="104" spans="1:13">
      <c r="A104" s="10"/>
      <c r="B104" s="114"/>
      <c r="C104" s="114"/>
      <c r="D104" s="114"/>
      <c r="E104" s="114"/>
      <c r="F104" s="114"/>
      <c r="G104" s="114"/>
      <c r="H104" s="114"/>
      <c r="I104" s="127"/>
      <c r="J104" s="116"/>
      <c r="K104" s="116"/>
      <c r="L104" s="116"/>
      <c r="M104" s="116"/>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27"/>
      <c r="G106" s="127"/>
      <c r="H106" s="114"/>
      <c r="I106" s="114"/>
      <c r="J106" s="116"/>
      <c r="K106" s="116"/>
      <c r="L106" s="116"/>
      <c r="M106" s="116"/>
    </row>
    <row r="107" spans="1:13">
      <c r="A107" s="10"/>
      <c r="B107" s="114"/>
      <c r="C107" s="114"/>
      <c r="D107" s="114"/>
      <c r="E107" s="114"/>
      <c r="F107" s="127"/>
      <c r="G107" s="127"/>
      <c r="H107" s="114"/>
      <c r="I107" s="114"/>
      <c r="J107" s="116"/>
      <c r="K107" s="116"/>
      <c r="L107" s="116"/>
      <c r="M107" s="116"/>
    </row>
    <row r="108" spans="1:13">
      <c r="A108" s="10"/>
      <c r="B108" s="114"/>
      <c r="C108" s="114"/>
      <c r="D108" s="114"/>
      <c r="E108" s="114"/>
      <c r="F108" s="114"/>
      <c r="G108" s="127"/>
      <c r="H108" s="114"/>
      <c r="I108" s="114"/>
      <c r="J108" s="116"/>
      <c r="K108" s="116"/>
      <c r="L108" s="116"/>
      <c r="M108" s="116"/>
    </row>
    <row r="109" spans="1:13">
      <c r="A109" s="10"/>
      <c r="B109" s="114"/>
      <c r="C109" s="114"/>
      <c r="D109" s="114"/>
      <c r="E109" s="114"/>
      <c r="F109" s="114"/>
      <c r="G109" s="114"/>
      <c r="H109" s="114"/>
      <c r="I109" s="127"/>
      <c r="J109" s="116"/>
      <c r="K109" s="116"/>
      <c r="L109" s="116"/>
      <c r="M109" s="116"/>
    </row>
    <row r="110" spans="1:13">
      <c r="A110" s="10"/>
      <c r="B110" s="114"/>
      <c r="C110" s="114"/>
      <c r="D110" s="114"/>
      <c r="E110" s="114"/>
      <c r="F110" s="127"/>
      <c r="G110" s="114"/>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32"/>
      <c r="B112" s="114"/>
      <c r="C112" s="114"/>
      <c r="D112" s="114"/>
      <c r="E112" s="114"/>
      <c r="F112" s="114"/>
      <c r="G112" s="114"/>
      <c r="H112" s="114"/>
      <c r="I112" s="114"/>
      <c r="J112" s="116"/>
      <c r="K112" s="116"/>
      <c r="L112" s="116"/>
      <c r="M112" s="116"/>
    </row>
    <row r="113" spans="1:13">
      <c r="A113" s="10"/>
      <c r="B113" s="118"/>
      <c r="C113" s="118"/>
      <c r="D113" s="118"/>
      <c r="E113" s="118"/>
      <c r="F113" s="118"/>
      <c r="G113" s="118"/>
      <c r="H113" s="118"/>
      <c r="I113" s="118"/>
      <c r="J113" s="119"/>
      <c r="K113" s="119"/>
      <c r="L113" s="116"/>
      <c r="M113" s="116"/>
    </row>
    <row r="114" spans="1:13">
      <c r="A114" s="10"/>
      <c r="B114" s="114"/>
      <c r="C114" s="114"/>
      <c r="D114" s="114"/>
      <c r="E114" s="114"/>
      <c r="F114" s="127"/>
      <c r="G114" s="114"/>
      <c r="H114" s="114"/>
      <c r="I114" s="114"/>
      <c r="J114" s="116"/>
      <c r="K114" s="116"/>
      <c r="L114" s="116"/>
      <c r="M114" s="119"/>
    </row>
    <row r="115" spans="1:13">
      <c r="A115" s="10"/>
      <c r="B115" s="114"/>
      <c r="C115" s="114"/>
      <c r="D115" s="114"/>
      <c r="E115" s="114"/>
      <c r="F115" s="114"/>
      <c r="G115" s="127"/>
      <c r="H115" s="114"/>
      <c r="I115" s="114"/>
      <c r="J115" s="116"/>
      <c r="K115" s="116"/>
      <c r="L115" s="119"/>
      <c r="M115" s="116"/>
    </row>
    <row r="116" spans="1:13">
      <c r="A116" s="10"/>
      <c r="B116" s="114"/>
      <c r="C116" s="114"/>
      <c r="D116" s="114"/>
      <c r="E116" s="114"/>
      <c r="F116" s="114"/>
      <c r="G116" s="114"/>
      <c r="H116" s="114"/>
      <c r="I116" s="127"/>
      <c r="J116" s="116"/>
      <c r="K116" s="116"/>
      <c r="L116" s="116"/>
      <c r="M116" s="116"/>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14"/>
      <c r="H121" s="114"/>
      <c r="I121" s="114"/>
      <c r="J121" s="116"/>
      <c r="K121" s="116"/>
      <c r="L121" s="116"/>
      <c r="M121" s="116"/>
    </row>
    <row r="122" spans="1:13">
      <c r="B122" s="114"/>
      <c r="C122" s="114"/>
      <c r="D122" s="114"/>
      <c r="E122" s="114"/>
      <c r="F122" s="114"/>
      <c r="G122" s="127"/>
      <c r="H122" s="114"/>
      <c r="I122" s="114"/>
      <c r="J122" s="116"/>
      <c r="K122" s="116"/>
      <c r="L122" s="116"/>
      <c r="M122" s="116"/>
    </row>
    <row r="123" spans="1:13">
      <c r="L123" s="116"/>
      <c r="M123" s="116"/>
    </row>
    <row r="124" spans="1:13">
      <c r="L124" s="116"/>
    </row>
  </sheetData>
  <phoneticPr fontId="2" type="noConversion"/>
  <conditionalFormatting sqref="Y2:Y29 Y34:Y38">
    <cfRule type="cellIs" dxfId="47" priority="1" stopIfTrue="1" operator="lessThan">
      <formula>0</formula>
    </cfRule>
    <cfRule type="cellIs" dxfId="46"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Y125"/>
  <sheetViews>
    <sheetView workbookViewId="0">
      <selection activeCell="X4" sqref="X4"/>
    </sheetView>
  </sheetViews>
  <sheetFormatPr defaultRowHeight="11.25"/>
  <cols>
    <col min="1" max="1" width="31.7109375" style="48" bestFit="1" customWidth="1"/>
    <col min="2" max="2" width="6.42578125" style="129" bestFit="1" customWidth="1"/>
    <col min="3" max="3" width="2" style="129" bestFit="1" customWidth="1"/>
    <col min="4" max="4" width="3.28515625" style="129" bestFit="1" customWidth="1"/>
    <col min="5" max="5" width="3.5703125" style="129" bestFit="1" customWidth="1"/>
    <col min="6" max="6" width="5.7109375" style="129" bestFit="1" customWidth="1"/>
    <col min="7" max="7" width="3.85546875" style="129" bestFit="1" customWidth="1"/>
    <col min="8" max="8" width="3" style="129" bestFit="1" customWidth="1"/>
    <col min="9" max="9" width="5.42578125" style="129" customWidth="1"/>
    <col min="10" max="10" width="6.42578125" style="125" customWidth="1"/>
    <col min="11" max="11" width="4.85546875" style="125" bestFit="1" customWidth="1"/>
    <col min="12" max="12" width="3.42578125" style="125" bestFit="1" customWidth="1"/>
    <col min="13" max="13" width="4.85546875" style="125" bestFit="1" customWidth="1"/>
    <col min="14" max="14" width="4" style="129" bestFit="1" customWidth="1"/>
    <col min="15" max="15" width="3.5703125" style="129" bestFit="1" customWidth="1"/>
    <col min="16" max="16" width="8.5703125" style="129" bestFit="1" customWidth="1"/>
    <col min="17" max="17" width="8.7109375" style="129" bestFit="1" customWidth="1"/>
    <col min="18" max="18" width="6.42578125" style="129" bestFit="1" customWidth="1"/>
    <col min="19" max="19" width="10.42578125" style="129" bestFit="1" customWidth="1"/>
    <col min="20" max="20" width="6" style="129" bestFit="1" customWidth="1"/>
    <col min="21" max="21" width="6.28515625" style="129" bestFit="1" customWidth="1"/>
    <col min="22" max="23" width="2.7109375" style="129" bestFit="1" customWidth="1"/>
    <col min="24" max="24" width="31.7109375" style="48" bestFit="1" customWidth="1"/>
    <col min="25" max="16384" width="9.140625" style="48"/>
  </cols>
  <sheetData>
    <row r="1" spans="1:24" s="47" customFormat="1" ht="23.25" thickBot="1">
      <c r="A1" s="700" t="s">
        <v>164</v>
      </c>
      <c r="B1" s="700" t="s">
        <v>1934</v>
      </c>
      <c r="C1" s="700" t="s">
        <v>2798</v>
      </c>
      <c r="D1" s="700" t="s">
        <v>1214</v>
      </c>
      <c r="E1" s="700" t="s">
        <v>1215</v>
      </c>
      <c r="F1" s="700" t="s">
        <v>768</v>
      </c>
      <c r="G1" s="705" t="s">
        <v>2140</v>
      </c>
      <c r="H1" s="705" t="s">
        <v>2139</v>
      </c>
      <c r="I1" s="700" t="s">
        <v>771</v>
      </c>
      <c r="J1" s="700" t="s">
        <v>1219</v>
      </c>
      <c r="K1" s="705" t="s">
        <v>760</v>
      </c>
      <c r="L1" s="700" t="s">
        <v>1216</v>
      </c>
      <c r="M1" s="705" t="s">
        <v>264</v>
      </c>
      <c r="N1" s="705" t="s">
        <v>1217</v>
      </c>
      <c r="O1" s="705" t="s">
        <v>1287</v>
      </c>
      <c r="P1" s="706" t="s">
        <v>1046</v>
      </c>
      <c r="Q1" s="704" t="s">
        <v>1047</v>
      </c>
      <c r="R1" s="704" t="s">
        <v>1941</v>
      </c>
      <c r="S1" s="704" t="s">
        <v>666</v>
      </c>
      <c r="T1" s="704"/>
      <c r="U1" s="702" t="s">
        <v>265</v>
      </c>
      <c r="V1" s="743">
        <v>0</v>
      </c>
      <c r="W1" s="743"/>
      <c r="X1" s="700" t="s">
        <v>437</v>
      </c>
    </row>
    <row r="2" spans="1:24">
      <c r="A2" s="10" t="s">
        <v>2806</v>
      </c>
      <c r="B2" s="116">
        <v>29349</v>
      </c>
      <c r="C2" s="116">
        <v>1</v>
      </c>
      <c r="D2" s="114"/>
      <c r="E2" s="114"/>
      <c r="F2" s="114">
        <v>34</v>
      </c>
      <c r="G2" s="116">
        <v>30</v>
      </c>
      <c r="H2" s="116"/>
      <c r="I2" s="116"/>
      <c r="J2" s="114"/>
      <c r="K2" s="116"/>
      <c r="L2" s="114">
        <v>19</v>
      </c>
      <c r="M2" s="116"/>
      <c r="N2" s="114"/>
      <c r="O2" s="116"/>
      <c r="P2" s="114"/>
      <c r="Q2" s="114" t="s">
        <v>1033</v>
      </c>
      <c r="R2" s="114"/>
      <c r="S2" s="114" t="s">
        <v>691</v>
      </c>
      <c r="T2" s="116"/>
      <c r="U2" s="891">
        <f>($D2*dpsStr+$E2*dpsAgi+$G2*dpsCrit+$H2*dpsHit+$F2*dpsAP+$I2*dpsHaste+$J2*dpsArmor+$K2*dpsExp+IF(MID($Q2,1,1)+MID($Q2,3,1)+MID($Q2,5,1)&gt;0,VLOOKUP('Gear &amp; Buffs'!$B$33,GenSocketStats,18,FALSE)+IF(MID($Q2,1,1)+MID($Q2,3,1)+MID($Q2,5,1)&gt;1,VLOOKUP('Gear &amp; Buffs'!$B$34,GenSocketStats,18,FALSE),0),0))-'Gear &amp; Buffs'!$AF$32</f>
        <v>-98.729574836544998</v>
      </c>
      <c r="V2" s="221">
        <f>IF(AND(IF('Gear &amp; Buffs'!$AC$50,U2&gt;0+'Gear &amp; Buffs'!$U$42,TRUE),OR(IF(includep1,$C2&lt;=1), IF(includep2,$C2&lt;=2), IF(includep3,$C2&lt;=3), IF(includep4,$C2&lt;=4), IF(includep5,$C2&lt;=5)), OR(IF(includeblacksmith,S2="Blacksmithing"),IF(includeleatherwork,S2="Leatherworking"),IF(includeengineer,S2="Engineering"),IF(includejewelcrafting,S2="Jewelcrafting"),IF(includeboecrafted,S2="BoE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1689</v>
      </c>
    </row>
    <row r="3" spans="1:24">
      <c r="A3" s="130" t="s">
        <v>2336</v>
      </c>
      <c r="B3" s="116">
        <v>35507</v>
      </c>
      <c r="C3" s="116">
        <v>5</v>
      </c>
      <c r="D3" s="114"/>
      <c r="E3" s="114">
        <v>20</v>
      </c>
      <c r="F3" s="114">
        <v>42</v>
      </c>
      <c r="G3" s="116"/>
      <c r="H3" s="116">
        <v>18</v>
      </c>
      <c r="I3" s="116"/>
      <c r="J3" s="114"/>
      <c r="K3" s="116"/>
      <c r="L3" s="114">
        <v>18</v>
      </c>
      <c r="M3" s="116"/>
      <c r="N3" s="114"/>
      <c r="O3" s="116"/>
      <c r="P3" s="114"/>
      <c r="Q3" s="114" t="s">
        <v>1033</v>
      </c>
      <c r="R3" s="114"/>
      <c r="S3" s="114" t="s">
        <v>691</v>
      </c>
      <c r="T3" s="116"/>
      <c r="U3" s="891">
        <f>($D3*dpsStr+$E3*dpsAgi+$G3*dpsCrit+$H3*dpsHit+$F3*dpsAP+$I3*dpsHaste+$J3*dpsArmor+$K3*dpsExp+IF(MID($Q3,1,1)+MID($Q3,3,1)+MID($Q3,5,1)&gt;0,VLOOKUP('Gear &amp; Buffs'!$B$33,GenSocketStats,18,FALSE)+IF(MID($Q3,1,1)+MID($Q3,3,1)+MID($Q3,5,1)&gt;1,VLOOKUP('Gear &amp; Buffs'!$B$34,GenSocketStats,18,FALSE),0),0))-'Gear &amp; Buffs'!$AF$32</f>
        <v>0</v>
      </c>
      <c r="V3" s="221" t="str">
        <f>IF(AND(IF('Gear &amp; Buffs'!$AC$50,U3&gt;0+'Gear &amp; Buffs'!$U$42,TRUE),OR(IF(includep1,$C3&lt;=1), IF(includep2,$C3&lt;=2), IF(includep3,$C3&lt;=3), IF(includep4,$C3&lt;=4), IF(includep5,$C3&lt;=5)), OR(IF(includeblacksmith,S3="Blacksmithing"),IF(includeleatherwork,S3="Leatherworking"),IF(includeengineer,S3="Engineering"),IF(includejewelcrafting,S3="Jewelcrafting"),IF(includeboecrafted,S3="BoE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row>
    <row r="4" spans="1:24">
      <c r="A4" s="10" t="s">
        <v>2807</v>
      </c>
      <c r="B4" s="116">
        <v>30710</v>
      </c>
      <c r="C4" s="116">
        <v>1</v>
      </c>
      <c r="D4" s="114"/>
      <c r="E4" s="114"/>
      <c r="F4" s="114">
        <v>54</v>
      </c>
      <c r="G4" s="116">
        <v>17</v>
      </c>
      <c r="H4" s="116"/>
      <c r="I4" s="116"/>
      <c r="J4" s="114"/>
      <c r="K4" s="116"/>
      <c r="L4" s="114"/>
      <c r="M4" s="116"/>
      <c r="N4" s="114"/>
      <c r="O4" s="116"/>
      <c r="P4" s="114"/>
      <c r="Q4" s="114" t="s">
        <v>1033</v>
      </c>
      <c r="R4" s="114"/>
      <c r="S4" s="114" t="s">
        <v>673</v>
      </c>
      <c r="T4" s="116"/>
      <c r="U4" s="891">
        <f>($D4*dpsStr+$E4*dpsAgi+$G4*dpsCrit+$H4*dpsHit+$F4*dpsAP+$I4*dpsHaste+$J4*dpsArmor+$K4*dpsExp+IF(MID($Q4,1,1)+MID($Q4,3,1)+MID($Q4,5,1)&gt;0,VLOOKUP('Gear &amp; Buffs'!$B$33,GenSocketStats,18,FALSE)+IF(MID($Q4,1,1)+MID($Q4,3,1)+MID($Q4,5,1)&gt;1,VLOOKUP('Gear &amp; Buffs'!$B$34,GenSocketStats,18,FALSE),0),0))-'Gear &amp; Buffs'!$AF$32</f>
        <v>-100.49832629106504</v>
      </c>
      <c r="V4" s="221">
        <f>IF(AND(IF('Gear &amp; Buffs'!$AC$50,U4&gt;0+'Gear &amp; Buffs'!$U$42,TRUE),OR(IF(includep1,$C4&lt;=1), IF(includep2,$C4&lt;=2), IF(includep3,$C4&lt;=3), IF(includep4,$C4&lt;=4), IF(includep5,$C4&lt;=5)), OR(IF(includeblacksmith,S4="Blacksmithing"),IF(includeleatherwork,S4="Leatherworking"),IF(includeengineer,S4="Engineering"),IF(includejewelcrafting,S4="Jewelcrafting"),IF(includeboecrafted,S4="BoE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8">
        <v>1</v>
      </c>
      <c r="X4" s="714" t="str">
        <f t="shared" ref="X4:X38" si="0">IF(ISNA(INDEX($A$2:$A$36,MATCH(W4,V$2:V$36,0))), "", INDEX($A$2:$A$36,MATCH(W4,V$2:V$36,0)))</f>
        <v>Adamantine Chain of the Unbroken</v>
      </c>
    </row>
    <row r="5" spans="1:24">
      <c r="A5" s="10" t="s">
        <v>1106</v>
      </c>
      <c r="B5" s="116">
        <v>27779</v>
      </c>
      <c r="C5" s="116">
        <v>1</v>
      </c>
      <c r="D5" s="114"/>
      <c r="E5" s="114">
        <v>19</v>
      </c>
      <c r="F5" s="114">
        <v>36</v>
      </c>
      <c r="G5" s="116"/>
      <c r="H5" s="116">
        <v>13</v>
      </c>
      <c r="I5" s="116"/>
      <c r="J5" s="114"/>
      <c r="K5" s="116"/>
      <c r="L5" s="114">
        <v>18</v>
      </c>
      <c r="M5" s="116"/>
      <c r="N5" s="114"/>
      <c r="O5" s="116"/>
      <c r="P5" s="114"/>
      <c r="Q5" s="114" t="s">
        <v>1033</v>
      </c>
      <c r="R5" s="114"/>
      <c r="S5" s="114" t="s">
        <v>691</v>
      </c>
      <c r="T5" s="116"/>
      <c r="U5" s="891">
        <f>($D5*dpsStr+$E5*dpsAgi+$G5*dpsCrit+$H5*dpsHit+$F5*dpsAP+$I5*dpsHaste+$J5*dpsArmor+$K5*dpsExp+IF(MID($Q5,1,1)+MID($Q5,3,1)+MID($Q5,5,1)&gt;0,VLOOKUP('Gear &amp; Buffs'!$B$33,GenSocketStats,18,FALSE)+IF(MID($Q5,1,1)+MID($Q5,3,1)+MID($Q5,5,1)&gt;1,VLOOKUP('Gear &amp; Buffs'!$B$34,GenSocketStats,18,FALSE),0),0))-'Gear &amp; Buffs'!$AF$32</f>
        <v>-30.721350360101724</v>
      </c>
      <c r="V5" s="221">
        <f>IF(AND(IF('Gear &amp; Buffs'!$AC$50,U5&gt;0+'Gear &amp; Buffs'!$U$42,TRUE),OR(IF(includep1,$C5&lt;=1), IF(includep2,$C5&lt;=2), IF(includep3,$C5&lt;=3), IF(includep4,$C5&lt;=4), IF(includep5,$C5&lt;=5)), OR(IF(includeblacksmith,S5="Blacksmithing"),IF(includeleatherwork,S5="Leatherworking"),IF(includeengineer,S5="Engineering"),IF(includejewelcrafting,S5="Jewelcrafting"),IF(includeboecrafted,S5="BoE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3</v>
      </c>
      <c r="W5" s="738">
        <v>2</v>
      </c>
      <c r="X5" s="714" t="str">
        <f t="shared" si="0"/>
        <v>Blood Guard's Necklace of Ferocity</v>
      </c>
    </row>
    <row r="6" spans="1:24">
      <c r="A6" s="10" t="s">
        <v>1107</v>
      </c>
      <c r="B6" s="116">
        <v>24114</v>
      </c>
      <c r="C6" s="116">
        <v>1</v>
      </c>
      <c r="D6" s="114"/>
      <c r="E6" s="114"/>
      <c r="F6" s="114"/>
      <c r="G6" s="116">
        <v>28</v>
      </c>
      <c r="H6" s="116">
        <v>21</v>
      </c>
      <c r="I6" s="116"/>
      <c r="J6" s="114"/>
      <c r="K6" s="116"/>
      <c r="L6" s="114"/>
      <c r="M6" s="116"/>
      <c r="N6" s="114"/>
      <c r="O6" s="116"/>
      <c r="P6" s="114"/>
      <c r="Q6" s="114" t="s">
        <v>1033</v>
      </c>
      <c r="R6" s="114"/>
      <c r="S6" s="114" t="s">
        <v>685</v>
      </c>
      <c r="T6" s="116"/>
      <c r="U6" s="891">
        <f>($D6*dpsStr+$E6*dpsAgi+$G6*dpsCrit+$H6*dpsHit+$F6*dpsAP+$I6*dpsHaste+$J6*dpsArmor+$K6*dpsExp+IF(MID($Q6,1,1)+MID($Q6,3,1)+MID($Q6,5,1)&gt;0,VLOOKUP('Gear &amp; Buffs'!$B$33,GenSocketStats,18,FALSE)+IF(MID($Q6,1,1)+MID($Q6,3,1)+MID($Q6,5,1)&gt;1,VLOOKUP('Gear &amp; Buffs'!$B$34,GenSocketStats,18,FALSE),0),0))-'Gear &amp; Buffs'!$AF$32</f>
        <v>4.300272483030767</v>
      </c>
      <c r="V6" s="221">
        <f>IF(AND(IF('Gear &amp; Buffs'!$AC$50,U6&gt;0+'Gear &amp; Buffs'!$U$42,TRUE),OR(IF(includep1,$C6&lt;=1), IF(includep2,$C6&lt;=2), IF(includep3,$C6&lt;=3), IF(includep4,$C6&lt;=4), IF(includep5,$C6&lt;=5)), OR(IF(includeblacksmith,S6="Blacksmithing"),IF(includeleatherwork,S6="Leatherworking"),IF(includeengineer,S6="Engineering"),IF(includejewelcrafting,S6="Jewelcrafting"),IF(includeboecrafted,S6="BoE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4</v>
      </c>
      <c r="W6" s="738">
        <v>3</v>
      </c>
      <c r="X6" s="714" t="str">
        <f t="shared" si="0"/>
        <v>Bone Chain Necklace</v>
      </c>
    </row>
    <row r="7" spans="1:24">
      <c r="A7" s="722" t="s">
        <v>860</v>
      </c>
      <c r="B7" s="114">
        <v>33296</v>
      </c>
      <c r="C7" s="114">
        <v>4</v>
      </c>
      <c r="D7" s="114"/>
      <c r="E7" s="114"/>
      <c r="F7" s="114"/>
      <c r="G7" s="116"/>
      <c r="H7" s="116">
        <v>22</v>
      </c>
      <c r="I7" s="114"/>
      <c r="J7" s="114"/>
      <c r="K7" s="114">
        <v>21</v>
      </c>
      <c r="L7" s="114">
        <v>48</v>
      </c>
      <c r="M7" s="116"/>
      <c r="N7" s="127"/>
      <c r="O7" s="114"/>
      <c r="P7" s="114"/>
      <c r="Q7" s="114" t="s">
        <v>1033</v>
      </c>
      <c r="R7" s="114"/>
      <c r="S7" s="114" t="s">
        <v>691</v>
      </c>
      <c r="T7" s="114"/>
      <c r="U7" s="891">
        <f>($D7*dpsStr+$E7*dpsAgi+$G7*dpsCrit+$H7*dpsHit+$F7*dpsAP+$I7*dpsHaste+$J7*dpsArmor+$K7*dpsExp+IF(MID($Q7,1,1)+MID($Q7,3,1)+MID($Q7,5,1)&gt;0,VLOOKUP('Gear &amp; Buffs'!$B$33,GenSocketStats,18,FALSE)+IF(MID($Q7,1,1)+MID($Q7,3,1)+MID($Q7,5,1)&gt;1,VLOOKUP('Gear &amp; Buffs'!$B$34,GenSocketStats,18,FALSE),0),0))-'Gear &amp; Buffs'!$AF$32</f>
        <v>15.398820468810754</v>
      </c>
      <c r="V7" s="221" t="str">
        <f>IF(AND(IF('Gear &amp; Buffs'!$AC$50,U7&gt;0+'Gear &amp; Buffs'!$U$42,TRUE),OR(IF(includep1,$C7&lt;=1), IF(includep2,$C7&lt;=2), IF(includep3,$C7&lt;=3), IF(includep4,$C7&lt;=4), IF(includep5,$C7&lt;=5)), OR(IF(includeblacksmith,S7="Blacksmithing"),IF(includeleatherwork,S7="Leatherworking"),IF(includeengineer,S7="Engineering"),IF(includejewelcrafting,S7="Jewelcrafting"),IF(includeboecrafted,S7="BoE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8">
        <v>4</v>
      </c>
      <c r="X7" s="714" t="str">
        <f t="shared" si="0"/>
        <v>Braided Eternium Chain (w/ +28crit)</v>
      </c>
    </row>
    <row r="8" spans="1:24">
      <c r="A8" s="126" t="s">
        <v>1108</v>
      </c>
      <c r="B8" s="114">
        <v>30059</v>
      </c>
      <c r="C8" s="114">
        <v>2</v>
      </c>
      <c r="D8" s="114"/>
      <c r="E8" s="114"/>
      <c r="F8" s="114">
        <v>64</v>
      </c>
      <c r="G8" s="116">
        <v>23</v>
      </c>
      <c r="H8" s="116"/>
      <c r="I8" s="114"/>
      <c r="J8" s="114"/>
      <c r="K8" s="114"/>
      <c r="L8" s="114">
        <v>24</v>
      </c>
      <c r="M8" s="116"/>
      <c r="N8" s="127"/>
      <c r="O8" s="114"/>
      <c r="P8" s="114"/>
      <c r="Q8" s="114" t="s">
        <v>1033</v>
      </c>
      <c r="R8" s="114"/>
      <c r="S8" s="114" t="s">
        <v>667</v>
      </c>
      <c r="T8" s="114"/>
      <c r="U8" s="891">
        <f>($D8*dpsStr+$E8*dpsAgi+$G8*dpsCrit+$H8*dpsHit+$F8*dpsAP+$I8*dpsHaste+$J8*dpsArmor+$K8*dpsExp+IF(MID($Q8,1,1)+MID($Q8,3,1)+MID($Q8,5,1)&gt;0,VLOOKUP('Gear &amp; Buffs'!$B$33,GenSocketStats,18,FALSE)+IF(MID($Q8,1,1)+MID($Q8,3,1)+MID($Q8,5,1)&gt;1,VLOOKUP('Gear &amp; Buffs'!$B$34,GenSocketStats,18,FALSE),0),0))-'Gear &amp; Buffs'!$AF$32</f>
        <v>-92.81024819945651</v>
      </c>
      <c r="V8" s="221" t="str">
        <f>IF(AND(IF('Gear &amp; Buffs'!$AC$50,U8&gt;0+'Gear &amp; Buffs'!$U$42,TRUE),OR(IF(includep1,$C8&lt;=1), IF(includep2,$C8&lt;=2), IF(includep3,$C8&lt;=3), IF(includep4,$C8&lt;=4), IF(includep5,$C8&lt;=5)), OR(IF(includeblacksmith,S8="Blacksmithing"),IF(includeleatherwork,S8="Leatherworking"),IF(includeengineer,S8="Engineering"),IF(includejewelcrafting,S8="Jewelcrafting"),IF(includeboecrafted,S8="BoE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8">
        <v>5</v>
      </c>
      <c r="X8" s="714" t="str">
        <f t="shared" si="0"/>
        <v>Choker of Vile Intent</v>
      </c>
    </row>
    <row r="9" spans="1:24">
      <c r="A9" s="10" t="s">
        <v>1110</v>
      </c>
      <c r="B9" s="116">
        <v>32260</v>
      </c>
      <c r="C9" s="116">
        <v>3</v>
      </c>
      <c r="D9" s="114"/>
      <c r="E9" s="114"/>
      <c r="F9" s="114">
        <v>72</v>
      </c>
      <c r="G9" s="116">
        <v>27</v>
      </c>
      <c r="H9" s="116">
        <v>21</v>
      </c>
      <c r="I9" s="116"/>
      <c r="J9" s="114"/>
      <c r="K9" s="116"/>
      <c r="L9" s="114"/>
      <c r="M9" s="116"/>
      <c r="N9" s="114"/>
      <c r="O9" s="116"/>
      <c r="P9" s="114"/>
      <c r="Q9" s="114" t="s">
        <v>1033</v>
      </c>
      <c r="R9" s="114"/>
      <c r="S9" s="114" t="s">
        <v>683</v>
      </c>
      <c r="T9" s="116"/>
      <c r="U9" s="891">
        <f>($D9*dpsStr+$E9*dpsAgi+$G9*dpsCrit+$H9*dpsHit+$F9*dpsAP+$I9*dpsHaste+$J9*dpsArmor+$K9*dpsExp+IF(MID($Q9,1,1)+MID($Q9,3,1)+MID($Q9,5,1)&gt;0,VLOOKUP('Gear &amp; Buffs'!$B$33,GenSocketStats,18,FALSE)+IF(MID($Q9,1,1)+MID($Q9,3,1)+MID($Q9,5,1)&gt;1,VLOOKUP('Gear &amp; Buffs'!$B$34,GenSocketStats,18,FALSE),0),0))-'Gear &amp; Buffs'!$AF$32</f>
        <v>29.34223803909299</v>
      </c>
      <c r="V9" s="221" t="str">
        <f>IF(AND(IF('Gear &amp; Buffs'!$AC$50,U9&gt;0+'Gear &amp; Buffs'!$U$42,TRUE),OR(IF(includep1,$C9&lt;=1), IF(includep2,$C9&lt;=2), IF(includep3,$C9&lt;=3), IF(includep4,$C9&lt;=4), IF(includep5,$C9&lt;=5)), OR(IF(includeblacksmith,S9="Blacksmithing"),IF(includeleatherwork,S9="Leatherworking"),IF(includeengineer,S9="Engineering"),IF(includejewelcrafting,S9="Jewelcrafting"),IF(includeboecrafted,S9="BoE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8">
        <v>6</v>
      </c>
      <c r="X9" s="714" t="str">
        <f t="shared" si="0"/>
        <v>Earthen Mark of Razing</v>
      </c>
    </row>
    <row r="10" spans="1:24">
      <c r="A10" s="10" t="s">
        <v>1019</v>
      </c>
      <c r="B10" s="116">
        <v>32591</v>
      </c>
      <c r="C10" s="116">
        <v>3</v>
      </c>
      <c r="D10" s="114"/>
      <c r="E10" s="114"/>
      <c r="F10" s="114">
        <v>70</v>
      </c>
      <c r="G10" s="116"/>
      <c r="H10" s="116"/>
      <c r="I10" s="116"/>
      <c r="J10" s="114">
        <v>175</v>
      </c>
      <c r="K10" s="116"/>
      <c r="L10" s="114">
        <v>37</v>
      </c>
      <c r="M10" s="116"/>
      <c r="N10" s="114"/>
      <c r="O10" s="116"/>
      <c r="P10" s="114"/>
      <c r="Q10" s="114" t="s">
        <v>1033</v>
      </c>
      <c r="R10" s="114"/>
      <c r="S10" s="114" t="s">
        <v>683</v>
      </c>
      <c r="T10" s="116"/>
      <c r="U10" s="891">
        <f>($D10*dpsStr+$E10*dpsAgi+$G10*dpsCrit+$H10*dpsHit+$F10*dpsAP+$I10*dpsHaste+$J10*dpsArmor+$K10*dpsExp+IF(MID($Q10,1,1)+MID($Q10,3,1)+MID($Q10,5,1)&gt;0,VLOOKUP('Gear &amp; Buffs'!$B$33,GenSocketStats,18,FALSE)+IF(MID($Q10,1,1)+MID($Q10,3,1)+MID($Q10,5,1)&gt;1,VLOOKUP('Gear &amp; Buffs'!$B$34,GenSocketStats,18,FALSE),0),0))-'Gear &amp; Buffs'!$AF$32</f>
        <v>-84.930577837142891</v>
      </c>
      <c r="V10" s="221" t="str">
        <f>IF(AND(IF('Gear &amp; Buffs'!$AC$50,U10&gt;0+'Gear &amp; Buffs'!$U$42,TRUE),OR(IF(includep1,$C10&lt;=1), IF(includep2,$C10&lt;=2), IF(includep3,$C10&lt;=3), IF(includep4,$C10&lt;=4), IF(includep5,$C10&lt;=5)), OR(IF(includeblacksmith,S10="Blacksmithing"),IF(includeleatherwork,S10="Leatherworking"),IF(includeengineer,S10="Engineering"),IF(includejewelcrafting,S10="Jewelcrafting"),IF(includeboecrafted,S10="BoE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8">
        <v>7</v>
      </c>
      <c r="X10" s="714" t="str">
        <f t="shared" si="0"/>
        <v>Haramad's Bargain</v>
      </c>
    </row>
    <row r="11" spans="1:24">
      <c r="A11" s="10" t="s">
        <v>657</v>
      </c>
      <c r="B11" s="116">
        <v>29381</v>
      </c>
      <c r="C11" s="116">
        <v>1</v>
      </c>
      <c r="D11" s="114"/>
      <c r="E11" s="114">
        <v>20</v>
      </c>
      <c r="F11" s="114">
        <v>42</v>
      </c>
      <c r="G11" s="116"/>
      <c r="H11" s="116">
        <v>18</v>
      </c>
      <c r="I11" s="116"/>
      <c r="J11" s="114"/>
      <c r="K11" s="116"/>
      <c r="L11" s="114">
        <v>18</v>
      </c>
      <c r="M11" s="116"/>
      <c r="N11" s="114"/>
      <c r="O11" s="116"/>
      <c r="P11" s="114"/>
      <c r="Q11" s="114" t="s">
        <v>1033</v>
      </c>
      <c r="R11" s="114"/>
      <c r="S11" s="114" t="s">
        <v>691</v>
      </c>
      <c r="T11" s="116"/>
      <c r="U11" s="891">
        <f>($D11*dpsStr+$E11*dpsAgi+$G11*dpsCrit+$H11*dpsHit+$F11*dpsAP+$I11*dpsHaste+$J11*dpsArmor+$K11*dpsExp+IF(MID($Q11,1,1)+MID($Q11,3,1)+MID($Q11,5,1)&gt;0,VLOOKUP('Gear &amp; Buffs'!$B$33,GenSocketStats,18,FALSE)+IF(MID($Q11,1,1)+MID($Q11,3,1)+MID($Q11,5,1)&gt;1,VLOOKUP('Gear &amp; Buffs'!$B$34,GenSocketStats,18,FALSE),0),0))-'Gear &amp; Buffs'!$AF$32</f>
        <v>0</v>
      </c>
      <c r="V11" s="221">
        <f>IF(AND(IF('Gear &amp; Buffs'!$AC$50,U11&gt;0+'Gear &amp; Buffs'!$U$42,TRUE),OR(IF(includep1,$C11&lt;=1), IF(includep2,$C11&lt;=2), IF(includep3,$C11&lt;=3), IF(includep4,$C11&lt;=4), IF(includep5,$C11&lt;=5)), OR(IF(includeblacksmith,S11="Blacksmithing"),IF(includeleatherwork,S11="Leatherworking"),IF(includeengineer,S11="Engineering"),IF(includejewelcrafting,S11="Jewelcrafting"),IF(includeboecrafted,S11="BoE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8">
        <v>8</v>
      </c>
      <c r="X11" s="714" t="str">
        <f t="shared" si="0"/>
        <v>Insignia of the Mag'hari Hero</v>
      </c>
    </row>
    <row r="12" spans="1:24">
      <c r="A12" s="10" t="s">
        <v>2027</v>
      </c>
      <c r="B12" s="116">
        <v>34177</v>
      </c>
      <c r="C12" s="116">
        <v>5</v>
      </c>
      <c r="D12" s="114"/>
      <c r="E12" s="114">
        <v>25</v>
      </c>
      <c r="F12" s="114">
        <v>64</v>
      </c>
      <c r="G12" s="116"/>
      <c r="H12" s="116"/>
      <c r="I12" s="116">
        <v>30</v>
      </c>
      <c r="J12" s="114"/>
      <c r="K12" s="116"/>
      <c r="L12" s="114">
        <v>33</v>
      </c>
      <c r="M12" s="116"/>
      <c r="N12" s="114"/>
      <c r="O12" s="116"/>
      <c r="P12" s="114"/>
      <c r="Q12" s="114" t="s">
        <v>1033</v>
      </c>
      <c r="R12" s="114"/>
      <c r="S12" s="114" t="s">
        <v>871</v>
      </c>
      <c r="T12" s="116"/>
      <c r="U12" s="891">
        <f>($D12*dpsStr+$E12*dpsAgi+$G12*dpsCrit+$H12*dpsHit+$F12*dpsAP+$I12*dpsHaste+$J12*dpsArmor+$K12*dpsExp+IF(MID($Q12,1,1)+MID($Q12,3,1)+MID($Q12,5,1)&gt;0,VLOOKUP('Gear &amp; Buffs'!$B$33,GenSocketStats,18,FALSE)+IF(MID($Q12,1,1)+MID($Q12,3,1)+MID($Q12,5,1)&gt;1,VLOOKUP('Gear &amp; Buffs'!$B$34,GenSocketStats,18,FALSE),0),0))-'Gear &amp; Buffs'!$AF$32</f>
        <v>22.238300677803863</v>
      </c>
      <c r="V12" s="221" t="str">
        <f>IF(AND(IF('Gear &amp; Buffs'!$AC$50,U12&gt;0+'Gear &amp; Buffs'!$U$42,TRUE),OR(IF(includep1,$C12&lt;=1), IF(includep2,$C12&lt;=2), IF(includep3,$C12&lt;=3), IF(includep4,$C12&lt;=4), IF(includep5,$C12&lt;=5)), OR(IF(includeblacksmith,S12="Blacksmithing"),IF(includeleatherwork,S12="Leatherworking"),IF(includeengineer,S12="Engineering"),IF(includejewelcrafting,S12="Jewelcrafting"),IF(includeboecrafted,S12="BoE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8">
        <v>9</v>
      </c>
      <c r="X12" s="714" t="str">
        <f t="shared" si="0"/>
        <v>Jagged Bark Pendant</v>
      </c>
    </row>
    <row r="13" spans="1:24">
      <c r="A13" s="10" t="s">
        <v>1020</v>
      </c>
      <c r="B13" s="116">
        <v>25562</v>
      </c>
      <c r="C13" s="116">
        <v>1</v>
      </c>
      <c r="D13" s="114"/>
      <c r="E13" s="114">
        <v>23</v>
      </c>
      <c r="F13" s="114">
        <v>20</v>
      </c>
      <c r="G13" s="116"/>
      <c r="H13" s="116">
        <v>13</v>
      </c>
      <c r="I13" s="116"/>
      <c r="J13" s="114"/>
      <c r="K13" s="116"/>
      <c r="L13" s="114"/>
      <c r="M13" s="116"/>
      <c r="N13" s="114"/>
      <c r="O13" s="116"/>
      <c r="P13" s="114"/>
      <c r="Q13" s="114" t="s">
        <v>1033</v>
      </c>
      <c r="R13" s="114"/>
      <c r="S13" s="114" t="s">
        <v>675</v>
      </c>
      <c r="T13" s="116"/>
      <c r="U13" s="891">
        <f>($D13*dpsStr+$E13*dpsAgi+$G13*dpsCrit+$H13*dpsHit+$F13*dpsAP+$I13*dpsHaste+$J13*dpsArmor+$K13*dpsExp+IF(MID($Q13,1,1)+MID($Q13,3,1)+MID($Q13,5,1)&gt;0,VLOOKUP('Gear &amp; Buffs'!$B$33,GenSocketStats,18,FALSE)+IF(MID($Q13,1,1)+MID($Q13,3,1)+MID($Q13,5,1)&gt;1,VLOOKUP('Gear &amp; Buffs'!$B$34,GenSocketStats,18,FALSE),0),0))-'Gear &amp; Buffs'!$AF$32</f>
        <v>-33.12977929644444</v>
      </c>
      <c r="V13" s="221">
        <f>IF(AND(IF('Gear &amp; Buffs'!$AC$50,U13&gt;0+'Gear &amp; Buffs'!$U$42,TRUE),OR(IF(includep1,$C13&lt;=1), IF(includep2,$C13&lt;=2), IF(includep3,$C13&lt;=3), IF(includep4,$C13&lt;=4), IF(includep5,$C13&lt;=5)), OR(IF(includeblacksmith,S13="Blacksmithing"),IF(includeleatherwork,S13="Leatherworking"),IF(includeengineer,S13="Engineering"),IF(includejewelcrafting,S13="Jewelcrafting"),IF(includeboecrafted,S13="BoE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6</v>
      </c>
      <c r="W13" s="738">
        <v>10</v>
      </c>
      <c r="X13" s="714" t="str">
        <f t="shared" si="0"/>
        <v>Natasha's Choker</v>
      </c>
    </row>
    <row r="14" spans="1:24">
      <c r="A14" s="10" t="s">
        <v>1992</v>
      </c>
      <c r="B14" s="116">
        <v>35135</v>
      </c>
      <c r="C14" s="116">
        <v>5</v>
      </c>
      <c r="D14" s="114"/>
      <c r="E14" s="114"/>
      <c r="F14" s="114">
        <v>58</v>
      </c>
      <c r="G14" s="116">
        <v>26</v>
      </c>
      <c r="H14" s="116"/>
      <c r="I14" s="116"/>
      <c r="J14" s="114"/>
      <c r="K14" s="116"/>
      <c r="L14" s="114">
        <v>39</v>
      </c>
      <c r="M14" s="116"/>
      <c r="N14" s="114">
        <v>18</v>
      </c>
      <c r="O14" s="116"/>
      <c r="P14" s="114"/>
      <c r="Q14" s="114" t="s">
        <v>1043</v>
      </c>
      <c r="R14" s="114" t="s">
        <v>1338</v>
      </c>
      <c r="S14" s="114" t="s">
        <v>677</v>
      </c>
      <c r="T14" s="116"/>
      <c r="U14" s="891">
        <f>($D14*dpsStr+$E14*dpsAgi+$G14*dpsCrit+$H14*dpsHit+$F14*dpsAP+$I14*dpsHaste+$J14*dpsArmor+$K14*dpsExp+IF(MID($Q14,1,1)+MID($Q14,3,1)+MID($Q14,5,1)&gt;0,VLOOKUP('Gear &amp; Buffs'!$B$33,GenSocketStats,18,FALSE)+IF(MID($Q14,1,1)+MID($Q14,3,1)+MID($Q14,5,1)&gt;1,VLOOKUP('Gear &amp; Buffs'!$B$34,GenSocketStats,18,FALSE),0),0))-'Gear &amp; Buffs'!$AF$32</f>
        <v>-67.387862092210526</v>
      </c>
      <c r="V14" s="221" t="str">
        <f>IF(AND(IF('Gear &amp; Buffs'!$AC$50,U14&gt;0+'Gear &amp; Buffs'!$U$42,TRUE),OR(IF(includep1,$C14&lt;=1), IF(includep2,$C14&lt;=2), IF(includep3,$C14&lt;=3), IF(includep4,$C14&lt;=4), IF(includep5,$C14&lt;=5)), OR(IF(includeblacksmith,S14="Blacksmithing"),IF(includeleatherwork,S14="Leatherworking"),IF(includeengineer,S14="Engineering"),IF(includejewelcrafting,S14="Jewelcrafting"),IF(includeboecrafted,S14="BoE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8">
        <v>11</v>
      </c>
      <c r="X14" s="714" t="str">
        <f t="shared" si="0"/>
        <v>Necklace of Trophies</v>
      </c>
    </row>
    <row r="15" spans="1:24">
      <c r="A15" s="10" t="s">
        <v>2808</v>
      </c>
      <c r="B15" s="116">
        <v>29119</v>
      </c>
      <c r="C15" s="116">
        <v>1</v>
      </c>
      <c r="D15" s="114">
        <v>26</v>
      </c>
      <c r="E15" s="114">
        <v>25</v>
      </c>
      <c r="F15" s="114"/>
      <c r="G15" s="116"/>
      <c r="H15" s="116"/>
      <c r="I15" s="116"/>
      <c r="J15" s="114"/>
      <c r="K15" s="116"/>
      <c r="L15" s="114"/>
      <c r="M15" s="116"/>
      <c r="N15" s="114"/>
      <c r="O15" s="116"/>
      <c r="P15" s="114"/>
      <c r="Q15" s="114" t="s">
        <v>1033</v>
      </c>
      <c r="R15" s="114"/>
      <c r="S15" s="114" t="s">
        <v>676</v>
      </c>
      <c r="T15" s="116"/>
      <c r="U15" s="891">
        <f>($D15*dpsStr+$E15*dpsAgi+$G15*dpsCrit+$H15*dpsHit+$F15*dpsAP+$I15*dpsHaste+$J15*dpsArmor+$K15*dpsExp+IF(MID($Q15,1,1)+MID($Q15,3,1)+MID($Q15,5,1)&gt;0,VLOOKUP('Gear &amp; Buffs'!$B$33,GenSocketStats,18,FALSE)+IF(MID($Q15,1,1)+MID($Q15,3,1)+MID($Q15,5,1)&gt;1,VLOOKUP('Gear &amp; Buffs'!$B$34,GenSocketStats,18,FALSE),0),0))-'Gear &amp; Buffs'!$AF$32</f>
        <v>-100.55272440805834</v>
      </c>
      <c r="V15" s="221">
        <f>IF(AND(IF('Gear &amp; Buffs'!$AC$50,U15&gt;0+'Gear &amp; Buffs'!$U$42,TRUE),OR(IF(includep1,$C15&lt;=1), IF(includep2,$C15&lt;=2), IF(includep3,$C15&lt;=3), IF(includep4,$C15&lt;=4), IF(includep5,$C15&lt;=5)), OR(IF(includeblacksmith,S15="Blacksmithing"),IF(includeleatherwork,S15="Leatherworking"),IF(includeengineer,S15="Engineering"),IF(includejewelcrafting,S15="Jewelcrafting"),IF(includeboecrafted,S15="BoE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8">
        <v>12</v>
      </c>
      <c r="X15" s="714" t="str">
        <f t="shared" si="0"/>
        <v>Pendant of Triumph</v>
      </c>
    </row>
    <row r="16" spans="1:24">
      <c r="A16" s="10" t="s">
        <v>978</v>
      </c>
      <c r="B16" s="116">
        <v>34358</v>
      </c>
      <c r="C16" s="116">
        <v>5</v>
      </c>
      <c r="D16" s="114"/>
      <c r="E16" s="114"/>
      <c r="F16" s="114">
        <v>58</v>
      </c>
      <c r="G16" s="116"/>
      <c r="H16" s="116"/>
      <c r="I16" s="116">
        <v>29</v>
      </c>
      <c r="J16" s="114">
        <v>150</v>
      </c>
      <c r="K16" s="116"/>
      <c r="L16" s="114">
        <v>42</v>
      </c>
      <c r="M16" s="116"/>
      <c r="N16" s="114"/>
      <c r="O16" s="116"/>
      <c r="P16" s="114"/>
      <c r="Q16" s="114" t="s">
        <v>1043</v>
      </c>
      <c r="R16" s="114" t="s">
        <v>1066</v>
      </c>
      <c r="S16" s="114" t="s">
        <v>688</v>
      </c>
      <c r="T16" s="116"/>
      <c r="U16" s="891">
        <f>($D16*dpsStr+$E16*dpsAgi+$G16*dpsCrit+$H16*dpsHit+$F16*dpsAP+$I16*dpsHaste+$J16*dpsArmor+$K16*dpsExp+IF(MID($Q16,1,1)+MID($Q16,3,1)+MID($Q16,5,1)&gt;0,VLOOKUP('Gear &amp; Buffs'!$B$33,GenSocketStats,18,FALSE)+IF(MID($Q16,1,1)+MID($Q16,3,1)+MID($Q16,5,1)&gt;1,VLOOKUP('Gear &amp; Buffs'!$B$34,GenSocketStats,18,FALSE),0),0))-'Gear &amp; Buffs'!$AF$32</f>
        <v>39.687881596613352</v>
      </c>
      <c r="V16" s="221" t="str">
        <f>IF(AND(IF('Gear &amp; Buffs'!$AC$50,U16&gt;0+'Gear &amp; Buffs'!$U$42,TRUE),OR(IF(includep1,$C16&lt;=1), IF(includep2,$C16&lt;=2), IF(includep3,$C16&lt;=3), IF(includep4,$C16&lt;=4), IF(includep5,$C16&lt;=5)), OR(IF(includeblacksmith,S16="Blacksmithing"),IF(includeleatherwork,S16="Leatherworking"),IF(includeengineer,S16="Engineering"),IF(includejewelcrafting,S16="Jewelcrafting"),IF(includeboecrafted,S16="BoE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8">
        <v>13</v>
      </c>
      <c r="X16" s="714" t="str">
        <f t="shared" si="0"/>
        <v>Prestor's Talisman of Connivery</v>
      </c>
    </row>
    <row r="17" spans="1:25">
      <c r="A17" s="10" t="s">
        <v>2809</v>
      </c>
      <c r="B17" s="114">
        <v>28168</v>
      </c>
      <c r="C17" s="114">
        <v>1</v>
      </c>
      <c r="D17" s="114"/>
      <c r="E17" s="114"/>
      <c r="F17" s="114">
        <v>30</v>
      </c>
      <c r="G17" s="114">
        <v>15</v>
      </c>
      <c r="H17" s="114">
        <v>14</v>
      </c>
      <c r="I17" s="114"/>
      <c r="J17" s="114"/>
      <c r="K17" s="114"/>
      <c r="L17" s="114">
        <v>21</v>
      </c>
      <c r="M17" s="114"/>
      <c r="N17" s="114"/>
      <c r="O17" s="114"/>
      <c r="P17" s="114"/>
      <c r="Q17" s="114" t="s">
        <v>1033</v>
      </c>
      <c r="R17" s="114"/>
      <c r="S17" s="114" t="s">
        <v>675</v>
      </c>
      <c r="T17" s="114"/>
      <c r="U17" s="891">
        <f>($D17*dpsStr+$E17*dpsAgi+$G17*dpsCrit+$H17*dpsHit+$F17*dpsAP+$I17*dpsHaste+$J17*dpsArmor+$K17*dpsExp+IF(MID($Q17,1,1)+MID($Q17,3,1)+MID($Q17,5,1)&gt;0,VLOOKUP('Gear &amp; Buffs'!$B$33,GenSocketStats,18,FALSE)+IF(MID($Q17,1,1)+MID($Q17,3,1)+MID($Q17,5,1)&gt;1,VLOOKUP('Gear &amp; Buffs'!$B$34,GenSocketStats,18,FALSE),0),0))-'Gear &amp; Buffs'!$AF$32</f>
        <v>-32.745398982827737</v>
      </c>
      <c r="V17" s="221">
        <f>IF(AND(IF('Gear &amp; Buffs'!$AC$50,U17&gt;0+'Gear &amp; Buffs'!$U$42,TRUE),OR(IF(includep1,$C17&lt;=1), IF(includep2,$C17&lt;=2), IF(includep3,$C17&lt;=3), IF(includep4,$C17&lt;=4), IF(includep5,$C17&lt;=5)), OR(IF(includeblacksmith,S17="Blacksmithing"),IF(includeleatherwork,S17="Leatherworking"),IF(includeengineer,S17="Engineering"),IF(includejewelcrafting,S17="Jewelcrafting"),IF(includeboecrafted,S17="BoE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8">
        <v>14</v>
      </c>
      <c r="X17" s="714" t="str">
        <f t="shared" si="0"/>
        <v>Saberclaw Talisman</v>
      </c>
    </row>
    <row r="18" spans="1:25">
      <c r="A18" s="10" t="s">
        <v>2810</v>
      </c>
      <c r="B18" s="114">
        <v>28343</v>
      </c>
      <c r="C18" s="114">
        <v>1</v>
      </c>
      <c r="D18" s="114"/>
      <c r="E18" s="114">
        <v>26</v>
      </c>
      <c r="F18" s="114">
        <v>30</v>
      </c>
      <c r="G18" s="114"/>
      <c r="H18" s="114"/>
      <c r="I18" s="114"/>
      <c r="J18" s="114"/>
      <c r="K18" s="114"/>
      <c r="L18" s="114">
        <v>15</v>
      </c>
      <c r="M18" s="114"/>
      <c r="N18" s="114"/>
      <c r="O18" s="114"/>
      <c r="P18" s="114"/>
      <c r="Q18" s="114" t="s">
        <v>1033</v>
      </c>
      <c r="R18" s="114"/>
      <c r="S18" s="114" t="s">
        <v>673</v>
      </c>
      <c r="T18" s="114"/>
      <c r="U18" s="891">
        <f>($D18*dpsStr+$E18*dpsAgi+$G18*dpsCrit+$H18*dpsHit+$F18*dpsAP+$I18*dpsHaste+$J18*dpsArmor+$K18*dpsExp+IF(MID($Q18,1,1)+MID($Q18,3,1)+MID($Q18,5,1)&gt;0,VLOOKUP('Gear &amp; Buffs'!$B$33,GenSocketStats,18,FALSE)+IF(MID($Q18,1,1)+MID($Q18,3,1)+MID($Q18,5,1)&gt;1,VLOOKUP('Gear &amp; Buffs'!$B$34,GenSocketStats,18,FALSE),0),0))-'Gear &amp; Buffs'!$AF$32</f>
        <v>-99.225249502540919</v>
      </c>
      <c r="V18" s="221">
        <f>IF(AND(IF('Gear &amp; Buffs'!$AC$50,U18&gt;0+'Gear &amp; Buffs'!$U$42,TRUE),OR(IF(includep1,$C18&lt;=1), IF(includep2,$C18&lt;=2), IF(includep3,$C18&lt;=3), IF(includep4,$C18&lt;=4), IF(includep5,$C18&lt;=5)), OR(IF(includeblacksmith,S18="Blacksmithing"),IF(includeleatherwork,S18="Leatherworking"),IF(includeengineer,S18="Engineering"),IF(includejewelcrafting,S18="Jewelcrafting"),IF(includeboecrafted,S18="BoE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8">
        <v>15</v>
      </c>
      <c r="X18" s="714" t="str">
        <f t="shared" si="0"/>
        <v>Talon Lord's Collar</v>
      </c>
    </row>
    <row r="19" spans="1:25">
      <c r="A19" s="10" t="s">
        <v>1021</v>
      </c>
      <c r="B19" s="114">
        <v>31695</v>
      </c>
      <c r="C19" s="114">
        <v>1</v>
      </c>
      <c r="D19" s="114"/>
      <c r="E19" s="114"/>
      <c r="F19" s="114">
        <v>50</v>
      </c>
      <c r="G19" s="114">
        <v>15</v>
      </c>
      <c r="H19" s="114">
        <v>10</v>
      </c>
      <c r="I19" s="114"/>
      <c r="J19" s="114"/>
      <c r="K19" s="114"/>
      <c r="L19" s="114"/>
      <c r="M19" s="114"/>
      <c r="N19" s="114"/>
      <c r="O19" s="114"/>
      <c r="P19" s="114"/>
      <c r="Q19" s="114" t="s">
        <v>1033</v>
      </c>
      <c r="R19" s="114"/>
      <c r="S19" s="114" t="s">
        <v>675</v>
      </c>
      <c r="T19" s="114"/>
      <c r="U19" s="891">
        <f>($D19*dpsStr+$E19*dpsAgi+$G19*dpsCrit+$H19*dpsHit+$F19*dpsAP+$I19*dpsHaste+$J19*dpsArmor+$K19*dpsExp+IF(MID($Q19,1,1)+MID($Q19,3,1)+MID($Q19,5,1)&gt;0,VLOOKUP('Gear &amp; Buffs'!$B$33,GenSocketStats,18,FALSE)+IF(MID($Q19,1,1)+MID($Q19,3,1)+MID($Q19,5,1)&gt;1,VLOOKUP('Gear &amp; Buffs'!$B$34,GenSocketStats,18,FALSE),0),0))-'Gear &amp; Buffs'!$AF$32</f>
        <v>-47.798924334233106</v>
      </c>
      <c r="V19" s="221">
        <f>IF(AND(IF('Gear &amp; Buffs'!$AC$50,U19&gt;0+'Gear &amp; Buffs'!$U$42,TRUE),OR(IF(includep1,$C19&lt;=1), IF(includep2,$C19&lt;=2), IF(includep3,$C19&lt;=3), IF(includep4,$C19&lt;=4), IF(includep5,$C19&lt;=5)), OR(IF(includeblacksmith,S19="Blacksmithing"),IF(includeleatherwork,S19="Leatherworking"),IF(includeengineer,S19="Engineering"),IF(includejewelcrafting,S19="Jewelcrafting"),IF(includeboecrafted,S19="BoE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8">
        <v>16</v>
      </c>
      <c r="X19" s="714" t="str">
        <f t="shared" si="0"/>
        <v>Traitor's Noose</v>
      </c>
    </row>
    <row r="20" spans="1:25">
      <c r="A20" s="10" t="s">
        <v>2811</v>
      </c>
      <c r="B20" s="114">
        <v>31275</v>
      </c>
      <c r="C20" s="114">
        <v>1</v>
      </c>
      <c r="D20" s="114">
        <v>22</v>
      </c>
      <c r="E20" s="114">
        <v>15</v>
      </c>
      <c r="F20" s="114"/>
      <c r="G20" s="114"/>
      <c r="H20" s="114">
        <v>14</v>
      </c>
      <c r="I20" s="114"/>
      <c r="J20" s="114"/>
      <c r="K20" s="114"/>
      <c r="L20" s="114"/>
      <c r="M20" s="114"/>
      <c r="N20" s="114"/>
      <c r="O20" s="114"/>
      <c r="P20" s="114"/>
      <c r="Q20" s="114" t="s">
        <v>1033</v>
      </c>
      <c r="R20" s="114"/>
      <c r="S20" s="114" t="s">
        <v>674</v>
      </c>
      <c r="T20" s="114"/>
      <c r="U20" s="891">
        <f>($D20*dpsStr+$E20*dpsAgi+$G20*dpsCrit+$H20*dpsHit+$F20*dpsAP+$I20*dpsHaste+$J20*dpsArmor+$K20*dpsExp+IF(MID($Q20,1,1)+MID($Q20,3,1)+MID($Q20,5,1)&gt;0,VLOOKUP('Gear &amp; Buffs'!$B$33,GenSocketStats,18,FALSE)+IF(MID($Q20,1,1)+MID($Q20,3,1)+MID($Q20,5,1)&gt;1,VLOOKUP('Gear &amp; Buffs'!$B$34,GenSocketStats,18,FALSE),0),0))-'Gear &amp; Buffs'!$AF$32</f>
        <v>-32.696664675392867</v>
      </c>
      <c r="V20" s="221">
        <f>IF(AND(IF('Gear &amp; Buffs'!$AC$50,U20&gt;0+'Gear &amp; Buffs'!$U$42,TRUE),OR(IF(includep1,$C20&lt;=1), IF(includep2,$C20&lt;=2), IF(includep3,$C20&lt;=3), IF(includep4,$C20&lt;=4), IF(includep5,$C20&lt;=5)), OR(IF(includeblacksmith,S20="Blacksmithing"),IF(includeleatherwork,S20="Leatherworking"),IF(includeengineer,S20="Engineering"),IF(includejewelcrafting,S20="Jewelcrafting"),IF(includeboecrafted,S20="BoE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11</v>
      </c>
      <c r="W20" s="738">
        <v>17</v>
      </c>
      <c r="X20" s="714" t="str">
        <f t="shared" si="0"/>
        <v>Worgen Claw Necklace</v>
      </c>
    </row>
    <row r="21" spans="1:25" s="62" customFormat="1" ht="12.75">
      <c r="A21" s="10" t="s">
        <v>2484</v>
      </c>
      <c r="B21" s="116">
        <v>28244</v>
      </c>
      <c r="C21" s="116">
        <v>1</v>
      </c>
      <c r="D21" s="114"/>
      <c r="E21" s="114"/>
      <c r="F21" s="114">
        <v>36</v>
      </c>
      <c r="G21" s="116">
        <v>10</v>
      </c>
      <c r="H21" s="116"/>
      <c r="I21" s="116"/>
      <c r="J21" s="114"/>
      <c r="K21" s="116"/>
      <c r="L21" s="114">
        <v>27</v>
      </c>
      <c r="M21" s="116"/>
      <c r="N21" s="114">
        <v>17</v>
      </c>
      <c r="O21" s="116"/>
      <c r="P21" s="114"/>
      <c r="Q21" s="114" t="s">
        <v>1043</v>
      </c>
      <c r="R21" s="114" t="s">
        <v>1022</v>
      </c>
      <c r="S21" s="114" t="s">
        <v>677</v>
      </c>
      <c r="T21" s="116"/>
      <c r="U21" s="891">
        <f>($D21*dpsStr+$E21*dpsAgi+$G21*dpsCrit+$H21*dpsHit+$F21*dpsAP+$I21*dpsHaste+$J21*dpsArmor+$K21*dpsExp+IF(MID($Q21,1,1)+MID($Q21,3,1)+MID($Q21,5,1)&gt;0,VLOOKUP('Gear &amp; Buffs'!$B$33,GenSocketStats,18,FALSE)+IF(MID($Q21,1,1)+MID($Q21,3,1)+MID($Q21,5,1)&gt;1,VLOOKUP('Gear &amp; Buffs'!$B$34,GenSocketStats,18,FALSE),0),0))-'Gear &amp; Buffs'!$AF$32</f>
        <v>-86.22186354917585</v>
      </c>
      <c r="V21" s="221">
        <f>IF(AND(IF('Gear &amp; Buffs'!$AC$50,U21&gt;0+'Gear &amp; Buffs'!$U$42,TRUE),OR(IF(includep1,$C21&lt;=1), IF(includep2,$C21&lt;=2), IF(includep3,$C21&lt;=3), IF(includep4,$C21&lt;=4), IF(includep5,$C21&lt;=5)), OR(IF(includeblacksmith,S21="Blacksmithing"),IF(includeleatherwork,S21="Leatherworking"),IF(includeengineer,S21="Engineering"),IF(includejewelcrafting,S21="Jewelcrafting"),IF(includeboecrafted,S21="BoE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8">
        <v>18</v>
      </c>
      <c r="X21" s="714" t="str">
        <f t="shared" si="0"/>
        <v>(Unmodeled)</v>
      </c>
      <c r="Y21" s="47"/>
    </row>
    <row r="22" spans="1:25" s="62" customFormat="1" ht="12.75">
      <c r="A22" s="10" t="s">
        <v>1023</v>
      </c>
      <c r="B22" s="116">
        <v>19377</v>
      </c>
      <c r="C22" s="116">
        <v>1</v>
      </c>
      <c r="D22" s="114"/>
      <c r="E22" s="114">
        <v>25</v>
      </c>
      <c r="F22" s="114">
        <v>22</v>
      </c>
      <c r="G22" s="116"/>
      <c r="H22" s="116">
        <v>10</v>
      </c>
      <c r="I22" s="116"/>
      <c r="J22" s="114"/>
      <c r="K22" s="116"/>
      <c r="L22" s="114"/>
      <c r="M22" s="116"/>
      <c r="N22" s="114"/>
      <c r="O22" s="116"/>
      <c r="P22" s="114"/>
      <c r="Q22" s="114" t="s">
        <v>1033</v>
      </c>
      <c r="R22" s="114"/>
      <c r="S22" s="114" t="s">
        <v>668</v>
      </c>
      <c r="T22" s="116"/>
      <c r="U22" s="891">
        <f>($D22*dpsStr+$E22*dpsAgi+$G22*dpsCrit+$H22*dpsHit+$F22*dpsAP+$I22*dpsHaste+$J22*dpsArmor+$K22*dpsExp+IF(MID($Q22,1,1)+MID($Q22,3,1)+MID($Q22,5,1)&gt;0,VLOOKUP('Gear &amp; Buffs'!$B$33,GenSocketStats,18,FALSE)+IF(MID($Q22,1,1)+MID($Q22,3,1)+MID($Q22,5,1)&gt;1,VLOOKUP('Gear &amp; Buffs'!$B$34,GenSocketStats,18,FALSE),0),0))-'Gear &amp; Buffs'!$AF$32</f>
        <v>-47.410787907445638</v>
      </c>
      <c r="V22" s="221">
        <f>IF(AND(IF('Gear &amp; Buffs'!$AC$50,U22&gt;0+'Gear &amp; Buffs'!$U$42,TRUE),OR(IF(includep1,$C22&lt;=1), IF(includep2,$C22&lt;=2), IF(includep3,$C22&lt;=3), IF(includep4,$C22&lt;=4), IF(includep5,$C22&lt;=5)), OR(IF(includeblacksmith,S22="Blacksmithing"),IF(includeleatherwork,S22="Leatherworking"),IF(includeengineer,S22="Engineering"),IF(includejewelcrafting,S22="Jewelcrafting"),IF(includeboecrafted,S22="BoE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8">
        <v>19</v>
      </c>
      <c r="X22" s="714" t="str">
        <f t="shared" si="0"/>
        <v/>
      </c>
      <c r="Y22" s="47"/>
    </row>
    <row r="23" spans="1:25" s="62" customFormat="1" ht="12.75">
      <c r="A23" s="130" t="s">
        <v>2485</v>
      </c>
      <c r="B23" s="116">
        <v>28674</v>
      </c>
      <c r="C23" s="116">
        <v>1</v>
      </c>
      <c r="D23" s="114"/>
      <c r="E23" s="114">
        <v>21</v>
      </c>
      <c r="F23" s="114">
        <v>46</v>
      </c>
      <c r="G23" s="116"/>
      <c r="H23" s="116"/>
      <c r="I23" s="116"/>
      <c r="J23" s="114"/>
      <c r="K23" s="116"/>
      <c r="L23" s="114">
        <v>33</v>
      </c>
      <c r="M23" s="116"/>
      <c r="N23" s="114"/>
      <c r="O23" s="116"/>
      <c r="P23" s="114"/>
      <c r="Q23" s="114" t="s">
        <v>1033</v>
      </c>
      <c r="R23" s="114"/>
      <c r="S23" s="114" t="s">
        <v>672</v>
      </c>
      <c r="T23" s="116"/>
      <c r="U23" s="891">
        <f>($D23*dpsStr+$E23*dpsAgi+$G23*dpsCrit+$H23*dpsHit+$F23*dpsAP+$I23*dpsHaste+$J23*dpsArmor+$K23*dpsExp+IF(MID($Q23,1,1)+MID($Q23,3,1)+MID($Q23,5,1)&gt;0,VLOOKUP('Gear &amp; Buffs'!$B$33,GenSocketStats,18,FALSE)+IF(MID($Q23,1,1)+MID($Q23,3,1)+MID($Q23,5,1)&gt;1,VLOOKUP('Gear &amp; Buffs'!$B$34,GenSocketStats,18,FALSE),0),0))-'Gear &amp; Buffs'!$AF$32</f>
        <v>-97.644033435533174</v>
      </c>
      <c r="V23" s="221">
        <f>IF(AND(IF('Gear &amp; Buffs'!$AC$50,U23&gt;0+'Gear &amp; Buffs'!$U$42,TRUE),OR(IF(includep1,$C23&lt;=1), IF(includep2,$C23&lt;=2), IF(includep3,$C23&lt;=3), IF(includep4,$C23&lt;=4), IF(includep5,$C23&lt;=5)), OR(IF(includeblacksmith,S23="Blacksmithing"),IF(includeleatherwork,S23="Leatherworking"),IF(includeengineer,S23="Engineering"),IF(includejewelcrafting,S23="Jewelcrafting"),IF(includeboecrafted,S23="BoE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8">
        <v>20</v>
      </c>
      <c r="X23" s="714" t="str">
        <f t="shared" si="0"/>
        <v/>
      </c>
      <c r="Y23" s="47"/>
    </row>
    <row r="24" spans="1:25" s="47" customFormat="1">
      <c r="A24" s="10" t="s">
        <v>2029</v>
      </c>
      <c r="B24" s="116">
        <v>34679</v>
      </c>
      <c r="C24" s="116">
        <v>5</v>
      </c>
      <c r="D24" s="114"/>
      <c r="E24" s="114">
        <v>18</v>
      </c>
      <c r="F24" s="124">
        <f>64+200*itSSPMAup</f>
        <v>105.70726033493017</v>
      </c>
      <c r="G24" s="116"/>
      <c r="H24" s="116"/>
      <c r="I24" s="116"/>
      <c r="J24" s="114"/>
      <c r="K24" s="116"/>
      <c r="L24" s="114">
        <v>19</v>
      </c>
      <c r="M24" s="116"/>
      <c r="N24" s="114"/>
      <c r="O24" s="116"/>
      <c r="P24" s="114"/>
      <c r="Q24" s="114" t="s">
        <v>1033</v>
      </c>
      <c r="R24" s="114"/>
      <c r="S24" s="114" t="s">
        <v>676</v>
      </c>
      <c r="T24" s="116" t="s">
        <v>977</v>
      </c>
      <c r="U24" s="891">
        <f>($D24*dpsStr+$E24*dpsAgi+$G24*dpsCrit+$H24*dpsHit+$F24*dpsAP+$I24*dpsHaste+$J24*dpsArmor+$K24*dpsExp+IF(MID($Q24,1,1)+MID($Q24,3,1)+MID($Q24,5,1)&gt;0,VLOOKUP('Gear &amp; Buffs'!$B$33,GenSocketStats,18,FALSE)+IF(MID($Q24,1,1)+MID($Q24,3,1)+MID($Q24,5,1)&gt;1,VLOOKUP('Gear &amp; Buffs'!$B$34,GenSocketStats,18,FALSE),0),0))-'Gear &amp; Buffs'!$AF$32</f>
        <v>-78.790475164316575</v>
      </c>
      <c r="V24" s="221" t="str">
        <f>IF(AND(IF('Gear &amp; Buffs'!$AC$50,U24&gt;0+'Gear &amp; Buffs'!$U$42,TRUE),OR(IF(includep1,$C24&lt;=1), IF(includep2,$C24&lt;=2), IF(includep3,$C24&lt;=3), IF(includep4,$C24&lt;=4), IF(includep5,$C24&lt;=5)), OR(IF(includeblacksmith,S24="Blacksmithing"),IF(includeleatherwork,S24="Leatherworking"),IF(includeengineer,S24="Engineering"),IF(includejewelcrafting,S24="Jewelcrafting"),IF(includeboecrafted,S24="BoE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8">
        <v>21</v>
      </c>
      <c r="X24" s="714" t="str">
        <f t="shared" si="0"/>
        <v/>
      </c>
      <c r="Y24" s="48"/>
    </row>
    <row r="25" spans="1:25">
      <c r="A25" s="10" t="s">
        <v>2030</v>
      </c>
      <c r="B25" s="116">
        <v>34679</v>
      </c>
      <c r="C25" s="116">
        <v>5</v>
      </c>
      <c r="D25" s="114"/>
      <c r="E25" s="114">
        <v>18</v>
      </c>
      <c r="F25" s="114">
        <v>64</v>
      </c>
      <c r="G25" s="116"/>
      <c r="H25" s="116"/>
      <c r="I25" s="116"/>
      <c r="J25" s="114"/>
      <c r="K25" s="116"/>
      <c r="L25" s="114">
        <v>19</v>
      </c>
      <c r="M25" s="116"/>
      <c r="N25" s="114"/>
      <c r="O25" s="116"/>
      <c r="P25" s="114"/>
      <c r="Q25" s="114" t="s">
        <v>1033</v>
      </c>
      <c r="R25" s="114"/>
      <c r="S25" s="114" t="s">
        <v>676</v>
      </c>
      <c r="T25" s="116" t="s">
        <v>977</v>
      </c>
      <c r="U25" s="891">
        <f>($D25*dpsStr+$E25*dpsAgi+$G25*dpsCrit+$H25*dpsHit+$F25*dpsAP+$I25*dpsHaste+$J25*dpsArmor+$K25*dpsExp+IF(MID($Q25,1,1)+MID($Q25,3,1)+MID($Q25,5,1)&gt;0,VLOOKUP('Gear &amp; Buffs'!$B$33,GenSocketStats,18,FALSE)+IF(MID($Q25,1,1)+MID($Q25,3,1)+MID($Q25,5,1)&gt;1,VLOOKUP('Gear &amp; Buffs'!$B$34,GenSocketStats,18,FALSE),0),0))-'Gear &amp; Buffs'!$AF$32</f>
        <v>-93.693731578145162</v>
      </c>
      <c r="V25" s="221" t="str">
        <f>IF(AND(IF('Gear &amp; Buffs'!$AC$50,U25&gt;0+'Gear &amp; Buffs'!$U$42,TRUE),OR(IF(includep1,$C25&lt;=1), IF(includep2,$C25&lt;=2), IF(includep3,$C25&lt;=3), IF(includep4,$C25&lt;=4), IF(includep5,$C25&lt;=5)), OR(IF(includeblacksmith,S25="Blacksmithing"),IF(includeleatherwork,S25="Leatherworking"),IF(includeengineer,S25="Engineering"),IF(includejewelcrafting,S25="Jewelcrafting"),IF(includeboecrafted,S25="BoE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8">
        <v>22</v>
      </c>
      <c r="X25" s="714" t="str">
        <f t="shared" si="0"/>
        <v/>
      </c>
    </row>
    <row r="26" spans="1:25">
      <c r="A26" s="10" t="s">
        <v>2486</v>
      </c>
      <c r="B26" s="116">
        <v>34680</v>
      </c>
      <c r="C26" s="116">
        <v>5</v>
      </c>
      <c r="D26" s="114"/>
      <c r="E26" s="114"/>
      <c r="F26" s="114"/>
      <c r="G26" s="116"/>
      <c r="H26" s="116">
        <v>13</v>
      </c>
      <c r="I26" s="116"/>
      <c r="J26" s="114"/>
      <c r="K26" s="116">
        <v>18</v>
      </c>
      <c r="L26" s="114">
        <v>48</v>
      </c>
      <c r="M26" s="124">
        <f>100*itSSPRAup</f>
        <v>20.853630167465081</v>
      </c>
      <c r="N26" s="114"/>
      <c r="O26" s="116"/>
      <c r="P26" s="114"/>
      <c r="Q26" s="114" t="s">
        <v>1033</v>
      </c>
      <c r="R26" s="114"/>
      <c r="S26" s="114" t="s">
        <v>676</v>
      </c>
      <c r="T26" s="116" t="s">
        <v>977</v>
      </c>
      <c r="U26" s="891">
        <f>($D26*dpsStr+$E26*dpsAgi+$G26*dpsCrit+$H26*dpsHit+$F26*dpsAP+$I26*dpsHaste+$J26*dpsArmor+$K26*dpsExp+IF(MID($Q26,1,1)+MID($Q26,3,1)+MID($Q26,5,1)&gt;0,VLOOKUP('Gear &amp; Buffs'!$B$33,GenSocketStats,18,FALSE)+IF(MID($Q26,1,1)+MID($Q26,3,1)+MID($Q26,5,1)&gt;1,VLOOKUP('Gear &amp; Buffs'!$B$34,GenSocketStats,18,FALSE),0),0))-'Gear &amp; Buffs'!$AF$32</f>
        <v>-38.087293174321985</v>
      </c>
      <c r="V26" s="221" t="str">
        <f>IF(AND(IF('Gear &amp; Buffs'!$AC$50,U26&gt;0+'Gear &amp; Buffs'!$U$42,TRUE),OR(IF(includep1,$C26&lt;=1), IF(includep2,$C26&lt;=2), IF(includep3,$C26&lt;=3), IF(includep4,$C26&lt;=4), IF(includep5,$C26&lt;=5)), OR(IF(includeblacksmith,S26="Blacksmithing"),IF(includeleatherwork,S26="Leatherworking"),IF(includeengineer,S26="Engineering"),IF(includejewelcrafting,S26="Jewelcrafting"),IF(includeboecrafted,S26="BoE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8">
        <v>23</v>
      </c>
      <c r="X26" s="714" t="str">
        <f t="shared" si="0"/>
        <v/>
      </c>
    </row>
    <row r="27" spans="1:25">
      <c r="A27" s="10" t="s">
        <v>2031</v>
      </c>
      <c r="B27" s="116">
        <v>34680</v>
      </c>
      <c r="C27" s="116">
        <v>5</v>
      </c>
      <c r="D27" s="114"/>
      <c r="E27" s="114"/>
      <c r="F27" s="114"/>
      <c r="G27" s="116"/>
      <c r="H27" s="116">
        <v>13</v>
      </c>
      <c r="I27" s="116"/>
      <c r="J27" s="114"/>
      <c r="K27" s="124">
        <f>18+100*itSSPRSup</f>
        <v>38.853630167465084</v>
      </c>
      <c r="L27" s="114">
        <v>48</v>
      </c>
      <c r="M27" s="116"/>
      <c r="N27" s="114"/>
      <c r="O27" s="116"/>
      <c r="P27" s="114"/>
      <c r="Q27" s="114" t="s">
        <v>1033</v>
      </c>
      <c r="R27" s="114"/>
      <c r="S27" s="114" t="s">
        <v>676</v>
      </c>
      <c r="T27" s="116" t="s">
        <v>977</v>
      </c>
      <c r="U27" s="891">
        <f>($D27*dpsStr+$E27*dpsAgi+$G27*dpsCrit+$H27*dpsHit+$F27*dpsAP+$I27*dpsHaste+$J27*dpsArmor+$K27*dpsExp+IF(MID($Q27,1,1)+MID($Q27,3,1)+MID($Q27,5,1)&gt;0,VLOOKUP('Gear &amp; Buffs'!$B$33,GenSocketStats,18,FALSE)+IF(MID($Q27,1,1)+MID($Q27,3,1)+MID($Q27,5,1)&gt;1,VLOOKUP('Gear &amp; Buffs'!$B$34,GenSocketStats,18,FALSE),0),0))-'Gear &amp; Buffs'!$AF$32</f>
        <v>-13.508993071145795</v>
      </c>
      <c r="V27" s="221" t="str">
        <f>IF(AND(IF('Gear &amp; Buffs'!$AC$50,U27&gt;0+'Gear &amp; Buffs'!$U$42,TRUE),OR(IF(includep1,$C27&lt;=1), IF(includep2,$C27&lt;=2), IF(includep3,$C27&lt;=3), IF(includep4,$C27&lt;=4), IF(includep5,$C27&lt;=5)), OR(IF(includeblacksmith,S27="Blacksmithing"),IF(includeleatherwork,S27="Leatherworking"),IF(includeengineer,S27="Engineering"),IF(includejewelcrafting,S27="Jewelcrafting"),IF(includeboecrafted,S27="BoE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8">
        <v>24</v>
      </c>
      <c r="X27" s="714" t="str">
        <f t="shared" si="0"/>
        <v/>
      </c>
    </row>
    <row r="28" spans="1:25">
      <c r="A28" s="10" t="s">
        <v>2337</v>
      </c>
      <c r="B28" s="116">
        <v>35292</v>
      </c>
      <c r="C28" s="116">
        <v>5</v>
      </c>
      <c r="D28" s="114"/>
      <c r="E28" s="114"/>
      <c r="F28" s="114">
        <v>58</v>
      </c>
      <c r="G28" s="116">
        <v>28</v>
      </c>
      <c r="H28" s="116"/>
      <c r="I28" s="116"/>
      <c r="J28" s="114"/>
      <c r="K28" s="116"/>
      <c r="L28" s="114">
        <v>18</v>
      </c>
      <c r="M28" s="116"/>
      <c r="N28" s="114">
        <v>19</v>
      </c>
      <c r="O28" s="116"/>
      <c r="P28" s="114"/>
      <c r="Q28" s="114" t="s">
        <v>1039</v>
      </c>
      <c r="R28" s="114" t="s">
        <v>1066</v>
      </c>
      <c r="S28" s="114" t="s">
        <v>871</v>
      </c>
      <c r="T28" s="116"/>
      <c r="U28" s="891">
        <f>($D28*dpsStr+$E28*dpsAgi+$G28*dpsCrit+$H28*dpsHit+$F28*dpsAP+$I28*dpsHaste+$J28*dpsArmor+$K28*dpsExp+IF(MID($Q28,1,1)+MID($Q28,3,1)+MID($Q28,5,1)&gt;0,VLOOKUP('Gear &amp; Buffs'!$B$33,GenSocketStats,18,FALSE)+IF(MID($Q28,1,1)+MID($Q28,3,1)+MID($Q28,5,1)&gt;1,VLOOKUP('Gear &amp; Buffs'!$B$34,GenSocketStats,18,FALSE),0),0))-'Gear &amp; Buffs'!$AF$32</f>
        <v>-66.016269481191557</v>
      </c>
      <c r="V28" s="221" t="str">
        <f>IF(AND(IF('Gear &amp; Buffs'!$AC$50,U28&gt;0+'Gear &amp; Buffs'!$U$42,TRUE),OR(IF(includep1,$C28&lt;=1), IF(includep2,$C28&lt;=2), IF(includep3,$C28&lt;=3), IF(includep4,$C28&lt;=4), IF(includep5,$C28&lt;=5)), OR(IF(includeblacksmith,S28="Blacksmithing"),IF(includeleatherwork,S28="Leatherworking"),IF(includeengineer,S28="Engineering"),IF(includejewelcrafting,S28="Jewelcrafting"),IF(includeboecrafted,S28="BoE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8">
        <v>25</v>
      </c>
      <c r="X28" s="714" t="str">
        <f t="shared" si="0"/>
        <v/>
      </c>
    </row>
    <row r="29" spans="1:25">
      <c r="A29" s="10" t="s">
        <v>2487</v>
      </c>
      <c r="B29" s="114">
        <v>29335</v>
      </c>
      <c r="C29" s="114">
        <v>1</v>
      </c>
      <c r="D29" s="114"/>
      <c r="E29" s="114"/>
      <c r="F29" s="114">
        <v>38</v>
      </c>
      <c r="G29" s="114"/>
      <c r="H29" s="114">
        <v>21</v>
      </c>
      <c r="I29" s="114"/>
      <c r="J29" s="114"/>
      <c r="K29" s="114"/>
      <c r="L29" s="114">
        <v>19</v>
      </c>
      <c r="M29" s="114"/>
      <c r="N29" s="114"/>
      <c r="O29" s="114"/>
      <c r="P29" s="114"/>
      <c r="Q29" s="114" t="s">
        <v>1033</v>
      </c>
      <c r="R29" s="114"/>
      <c r="S29" s="114" t="s">
        <v>675</v>
      </c>
      <c r="T29" s="114"/>
      <c r="U29" s="891">
        <f>($D29*dpsStr+$E29*dpsAgi+$G29*dpsCrit+$H29*dpsHit+$F29*dpsAP+$I29*dpsHaste+$J29*dpsArmor+$K29*dpsExp+IF(MID($Q29,1,1)+MID($Q29,3,1)+MID($Q29,5,1)&gt;0,VLOOKUP('Gear &amp; Buffs'!$B$33,GenSocketStats,18,FALSE)+IF(MID($Q29,1,1)+MID($Q29,3,1)+MID($Q29,5,1)&gt;1,VLOOKUP('Gear &amp; Buffs'!$B$34,GenSocketStats,18,FALSE),0),0))-'Gear &amp; Buffs'!$AF$32</f>
        <v>-1.3234830887386124</v>
      </c>
      <c r="V29" s="221">
        <f>IF(AND(IF('Gear &amp; Buffs'!$AC$50,U29&gt;0+'Gear &amp; Buffs'!$U$42,TRUE),OR(IF(includep1,$C29&lt;=1), IF(includep2,$C29&lt;=2), IF(includep3,$C29&lt;=3), IF(includep4,$C29&lt;=4), IF(includep5,$C29&lt;=5)), OR(IF(includeblacksmith,S29="Blacksmithing"),IF(includeleatherwork,S29="Leatherworking"),IF(includeengineer,S29="Engineering"),IF(includejewelcrafting,S29="Jewelcrafting"),IF(includeboecrafted,S29="BoE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8">
        <v>26</v>
      </c>
      <c r="X29" s="714" t="str">
        <f t="shared" si="0"/>
        <v/>
      </c>
    </row>
    <row r="30" spans="1:25">
      <c r="A30" s="10" t="s">
        <v>690</v>
      </c>
      <c r="B30" s="116">
        <v>30017</v>
      </c>
      <c r="C30" s="116">
        <v>2</v>
      </c>
      <c r="D30" s="114"/>
      <c r="E30" s="114">
        <v>27</v>
      </c>
      <c r="F30" s="114">
        <v>70</v>
      </c>
      <c r="G30" s="116"/>
      <c r="H30" s="116"/>
      <c r="I30" s="116"/>
      <c r="J30" s="114"/>
      <c r="K30" s="116"/>
      <c r="L30" s="114">
        <v>26</v>
      </c>
      <c r="M30" s="116"/>
      <c r="N30" s="114"/>
      <c r="O30" s="116"/>
      <c r="P30" s="114"/>
      <c r="Q30" s="114" t="s">
        <v>1033</v>
      </c>
      <c r="R30" s="114"/>
      <c r="S30" s="114" t="s">
        <v>680</v>
      </c>
      <c r="T30" s="116"/>
      <c r="U30" s="891">
        <f>($D30*dpsStr+$E30*dpsAgi+$G30*dpsCrit+$H30*dpsHit+$F30*dpsAP+$I30*dpsHaste+$J30*dpsArmor+$K30*dpsExp+IF(MID($Q30,1,1)+MID($Q30,3,1)+MID($Q30,5,1)&gt;0,VLOOKUP('Gear &amp; Buffs'!$B$33,GenSocketStats,18,FALSE)+IF(MID($Q30,1,1)+MID($Q30,3,1)+MID($Q30,5,1)&gt;1,VLOOKUP('Gear &amp; Buffs'!$B$34,GenSocketStats,18,FALSE),0),0))-'Gear &amp; Buffs'!$AF$32</f>
        <v>-84.104835598999443</v>
      </c>
      <c r="V30" s="221" t="str">
        <f>IF(AND(IF('Gear &amp; Buffs'!$AC$50,U30&gt;0+'Gear &amp; Buffs'!$U$42,TRUE),OR(IF(includep1,$C30&lt;=1), IF(includep2,$C30&lt;=2), IF(includep3,$C30&lt;=3), IF(includep4,$C30&lt;=4), IF(includep5,$C30&lt;=5)), OR(IF(includeblacksmith,S30="Blacksmithing"),IF(includeleatherwork,S30="Leatherworking"),IF(includeengineer,S30="Engineering"),IF(includejewelcrafting,S30="Jewelcrafting"),IF(includeboecrafted,S30="BoE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8">
        <v>27</v>
      </c>
      <c r="X30" s="714" t="str">
        <f t="shared" si="0"/>
        <v/>
      </c>
    </row>
    <row r="31" spans="1:25">
      <c r="A31" s="10" t="s">
        <v>277</v>
      </c>
      <c r="B31" s="116">
        <v>33297</v>
      </c>
      <c r="C31" s="116">
        <v>4</v>
      </c>
      <c r="D31" s="114"/>
      <c r="E31" s="114"/>
      <c r="F31" s="114">
        <v>50</v>
      </c>
      <c r="G31" s="116"/>
      <c r="H31" s="116"/>
      <c r="I31" s="116">
        <v>25</v>
      </c>
      <c r="J31" s="114"/>
      <c r="K31" s="116"/>
      <c r="L31" s="114">
        <v>37</v>
      </c>
      <c r="M31" s="116"/>
      <c r="N31" s="114"/>
      <c r="O31" s="116"/>
      <c r="P31" s="114"/>
      <c r="Q31" s="114" t="s">
        <v>1033</v>
      </c>
      <c r="R31" s="114"/>
      <c r="S31" s="114" t="s">
        <v>664</v>
      </c>
      <c r="T31" s="116"/>
      <c r="U31" s="891">
        <f>($D31*dpsStr+$E31*dpsAgi+$G31*dpsCrit+$H31*dpsHit+$F31*dpsAP+$I31*dpsHaste+$J31*dpsArmor+$K31*dpsExp+IF(MID($Q31,1,1)+MID($Q31,3,1)+MID($Q31,5,1)&gt;0,VLOOKUP('Gear &amp; Buffs'!$B$33,GenSocketStats,18,FALSE)+IF(MID($Q31,1,1)+MID($Q31,3,1)+MID($Q31,5,1)&gt;1,VLOOKUP('Gear &amp; Buffs'!$B$34,GenSocketStats,18,FALSE),0),0))-'Gear &amp; Buffs'!$AF$32</f>
        <v>-21.801565112643402</v>
      </c>
      <c r="V31" s="221" t="str">
        <f>IF(AND(IF('Gear &amp; Buffs'!$AC$50,U31&gt;0+'Gear &amp; Buffs'!$U$42,TRUE),OR(IF(includep1,$C31&lt;=1), IF(includep2,$C31&lt;=2), IF(includep3,$C31&lt;=3), IF(includep4,$C31&lt;=4), IF(includep5,$C31&lt;=5)), OR(IF(includeblacksmith,S31="Blacksmithing"),IF(includeleatherwork,S31="Leatherworking"),IF(includeengineer,S31="Engineering"),IF(includejewelcrafting,S31="Jewelcrafting"),IF(includeboecrafted,S31="BoE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8">
        <v>28</v>
      </c>
      <c r="X31" s="714" t="str">
        <f t="shared" si="0"/>
        <v/>
      </c>
    </row>
    <row r="32" spans="1:25">
      <c r="A32" s="10" t="s">
        <v>2488</v>
      </c>
      <c r="B32" s="114">
        <v>27546</v>
      </c>
      <c r="C32" s="114">
        <v>1</v>
      </c>
      <c r="D32" s="114"/>
      <c r="E32" s="114"/>
      <c r="F32" s="114">
        <v>38</v>
      </c>
      <c r="G32" s="114">
        <v>18</v>
      </c>
      <c r="H32" s="114">
        <v>12</v>
      </c>
      <c r="I32" s="114"/>
      <c r="J32" s="114"/>
      <c r="K32" s="114"/>
      <c r="L32" s="114">
        <v>18</v>
      </c>
      <c r="M32" s="114"/>
      <c r="N32" s="114"/>
      <c r="O32" s="114"/>
      <c r="P32" s="114"/>
      <c r="Q32" s="114" t="s">
        <v>1033</v>
      </c>
      <c r="R32" s="114"/>
      <c r="S32" s="114" t="s">
        <v>691</v>
      </c>
      <c r="T32" s="114"/>
      <c r="U32" s="891">
        <f>($D32*dpsStr+$E32*dpsAgi+$G32*dpsCrit+$H32*dpsHit+$F32*dpsAP+$I32*dpsHaste+$J32*dpsArmor+$K32*dpsExp+IF(MID($Q32,1,1)+MID($Q32,3,1)+MID($Q32,5,1)&gt;0,VLOOKUP('Gear &amp; Buffs'!$B$33,GenSocketStats,18,FALSE)+IF(MID($Q32,1,1)+MID($Q32,3,1)+MID($Q32,5,1)&gt;1,VLOOKUP('Gear &amp; Buffs'!$B$34,GenSocketStats,18,FALSE),0),0))-'Gear &amp; Buffs'!$AF$32</f>
        <v>-38.929432793712294</v>
      </c>
      <c r="V32" s="221">
        <f>IF(AND(IF('Gear &amp; Buffs'!$AC$50,U32&gt;0+'Gear &amp; Buffs'!$U$42,TRUE),OR(IF(includep1,$C32&lt;=1), IF(includep2,$C32&lt;=2), IF(includep3,$C32&lt;=3), IF(includep4,$C32&lt;=4), IF(includep5,$C32&lt;=5)), OR(IF(includeblacksmith,S32="Blacksmithing"),IF(includeleatherwork,S32="Leatherworking"),IF(includeengineer,S32="Engineering"),IF(includejewelcrafting,S32="Jewelcrafting"),IF(includeboecrafted,S32="BoE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16</v>
      </c>
      <c r="W32" s="738">
        <v>29</v>
      </c>
      <c r="X32" s="714" t="str">
        <f t="shared" si="0"/>
        <v/>
      </c>
    </row>
    <row r="33" spans="1:24">
      <c r="A33" s="10" t="s">
        <v>2489</v>
      </c>
      <c r="B33" s="116">
        <v>33066</v>
      </c>
      <c r="C33" s="116">
        <v>2</v>
      </c>
      <c r="D33" s="114"/>
      <c r="E33" s="114"/>
      <c r="F33" s="114">
        <v>42</v>
      </c>
      <c r="G33" s="116">
        <v>18</v>
      </c>
      <c r="H33" s="116"/>
      <c r="I33" s="116"/>
      <c r="J33" s="114"/>
      <c r="K33" s="116"/>
      <c r="L33" s="114">
        <v>31</v>
      </c>
      <c r="M33" s="116"/>
      <c r="N33" s="114">
        <v>18</v>
      </c>
      <c r="O33" s="116"/>
      <c r="P33" s="114"/>
      <c r="Q33" s="114" t="s">
        <v>1043</v>
      </c>
      <c r="R33" s="114" t="s">
        <v>1338</v>
      </c>
      <c r="S33" s="114" t="s">
        <v>677</v>
      </c>
      <c r="T33" s="116"/>
      <c r="U33" s="891">
        <f>($D33*dpsStr+$E33*dpsAgi+$G33*dpsCrit+$H33*dpsHit+$F33*dpsAP+$I33*dpsHaste+$J33*dpsArmor+$K33*dpsExp+IF(MID($Q33,1,1)+MID($Q33,3,1)+MID($Q33,5,1)&gt;0,VLOOKUP('Gear &amp; Buffs'!$B$33,GenSocketStats,18,FALSE)+IF(MID($Q33,1,1)+MID($Q33,3,1)+MID($Q33,5,1)&gt;1,VLOOKUP('Gear &amp; Buffs'!$B$34,GenSocketStats,18,FALSE),0),0))-'Gear &amp; Buffs'!$AF$32</f>
        <v>-78.591512949969001</v>
      </c>
      <c r="V33" s="221" t="str">
        <f>IF(AND(IF('Gear &amp; Buffs'!$AC$50,U33&gt;0+'Gear &amp; Buffs'!$U$42,TRUE),OR(IF(includep1,$C33&lt;=1), IF(includep2,$C33&lt;=2), IF(includep3,$C33&lt;=3), IF(includep4,$C33&lt;=4), IF(includep5,$C33&lt;=5)), OR(IF(includeblacksmith,S33="Blacksmithing"),IF(includeleatherwork,S33="Leatherworking"),IF(includeengineer,S33="Engineering"),IF(includejewelcrafting,S33="Jewelcrafting"),IF(includeboecrafted,S33="BoE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8">
        <v>30</v>
      </c>
      <c r="X33" s="714" t="str">
        <f t="shared" si="0"/>
        <v/>
      </c>
    </row>
    <row r="34" spans="1:24">
      <c r="A34" s="10" t="s">
        <v>158</v>
      </c>
      <c r="B34" s="116">
        <v>33923</v>
      </c>
      <c r="C34" s="116">
        <v>3</v>
      </c>
      <c r="D34" s="114"/>
      <c r="E34" s="114"/>
      <c r="F34" s="114">
        <v>50</v>
      </c>
      <c r="G34" s="116">
        <v>22</v>
      </c>
      <c r="H34" s="116"/>
      <c r="I34" s="116"/>
      <c r="J34" s="114"/>
      <c r="K34" s="116"/>
      <c r="L34" s="114">
        <v>35</v>
      </c>
      <c r="M34" s="116"/>
      <c r="N34" s="114">
        <v>18</v>
      </c>
      <c r="O34" s="116"/>
      <c r="P34" s="114"/>
      <c r="Q34" s="114" t="s">
        <v>1043</v>
      </c>
      <c r="R34" s="114" t="s">
        <v>1338</v>
      </c>
      <c r="S34" s="114" t="s">
        <v>677</v>
      </c>
      <c r="T34" s="116"/>
      <c r="U34" s="891">
        <f>($D34*dpsStr+$E34*dpsAgi+$G34*dpsCrit+$H34*dpsHit+$F34*dpsAP+$I34*dpsHaste+$J34*dpsArmor+$K34*dpsExp+IF(MID($Q34,1,1)+MID($Q34,3,1)+MID($Q34,5,1)&gt;0,VLOOKUP('Gear &amp; Buffs'!$B$33,GenSocketStats,18,FALSE)+IF(MID($Q34,1,1)+MID($Q34,3,1)+MID($Q34,5,1)&gt;1,VLOOKUP('Gear &amp; Buffs'!$B$34,GenSocketStats,18,FALSE),0),0))-'Gear &amp; Buffs'!$AF$32</f>
        <v>-72.989687521089763</v>
      </c>
      <c r="V34" s="221" t="str">
        <f>IF(AND(IF('Gear &amp; Buffs'!$AC$50,U34&gt;0+'Gear &amp; Buffs'!$U$42,TRUE),OR(IF(includep1,$C34&lt;=1), IF(includep2,$C34&lt;=2), IF(includep3,$C34&lt;=3), IF(includep4,$C34&lt;=4), IF(includep5,$C34&lt;=5)), OR(IF(includeblacksmith,S34="Blacksmithing"),IF(includeleatherwork,S34="Leatherworking"),IF(includeengineer,S34="Engineering"),IF(includejewelcrafting,S34="Jewelcrafting"),IF(includeboecrafted,S34="BoE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8">
        <v>31</v>
      </c>
      <c r="X34" s="714" t="str">
        <f t="shared" si="0"/>
        <v/>
      </c>
    </row>
    <row r="35" spans="1:24">
      <c r="A35" s="126" t="s">
        <v>1339</v>
      </c>
      <c r="B35" s="114">
        <v>28509</v>
      </c>
      <c r="C35" s="114">
        <v>1</v>
      </c>
      <c r="D35" s="114"/>
      <c r="E35" s="114">
        <v>20</v>
      </c>
      <c r="F35" s="114">
        <v>42</v>
      </c>
      <c r="G35" s="116"/>
      <c r="H35" s="116">
        <v>17</v>
      </c>
      <c r="I35" s="114"/>
      <c r="J35" s="114"/>
      <c r="K35" s="114"/>
      <c r="L35" s="114">
        <v>21</v>
      </c>
      <c r="M35" s="116"/>
      <c r="N35" s="127"/>
      <c r="O35" s="114"/>
      <c r="P35" s="114"/>
      <c r="Q35" s="114" t="s">
        <v>1033</v>
      </c>
      <c r="R35" s="114"/>
      <c r="S35" s="114" t="s">
        <v>672</v>
      </c>
      <c r="T35" s="114"/>
      <c r="U35" s="891">
        <f>($D35*dpsStr+$E35*dpsAgi+$G35*dpsCrit+$H35*dpsHit+$F35*dpsAP+$I35*dpsHaste+$J35*dpsArmor+$K35*dpsExp+IF(MID($Q35,1,1)+MID($Q35,3,1)+MID($Q35,5,1)&gt;0,VLOOKUP('Gear &amp; Buffs'!$B$33,GenSocketStats,18,FALSE)+IF(MID($Q35,1,1)+MID($Q35,3,1)+MID($Q35,5,1)&gt;1,VLOOKUP('Gear &amp; Buffs'!$B$34,GenSocketStats,18,FALSE),0),0))-'Gear &amp; Buffs'!$AF$32</f>
        <v>-5.5500314671271553</v>
      </c>
      <c r="V35" s="221">
        <f>IF(AND(IF('Gear &amp; Buffs'!$AC$50,U35&gt;0+'Gear &amp; Buffs'!$U$42,TRUE),OR(IF(includep1,$C35&lt;=1), IF(includep2,$C35&lt;=2), IF(includep3,$C35&lt;=3), IF(includep4,$C35&lt;=4), IF(includep5,$C35&lt;=5)), OR(IF(includeblacksmith,S35="Blacksmithing"),IF(includeleatherwork,S35="Leatherworking"),IF(includeengineer,S35="Engineering"),IF(includejewelcrafting,S35="Jewelcrafting"),IF(includeboecrafted,S35="BoE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17</v>
      </c>
      <c r="W35" s="738">
        <v>32</v>
      </c>
      <c r="X35" s="714" t="str">
        <f t="shared" si="0"/>
        <v/>
      </c>
    </row>
    <row r="36" spans="1:24">
      <c r="A36" s="10" t="str">
        <f>'Gear &amp; Buffs'!$B$157</f>
        <v>(Unmodeled)</v>
      </c>
      <c r="B36" s="114"/>
      <c r="C36" s="114"/>
      <c r="D36" s="114">
        <f>'Gear &amp; Buffs'!$D$157</f>
        <v>0</v>
      </c>
      <c r="E36" s="114">
        <f>'Gear &amp; Buffs'!$E$157</f>
        <v>0</v>
      </c>
      <c r="F36" s="114">
        <f>'Gear &amp; Buffs'!$I$157</f>
        <v>0</v>
      </c>
      <c r="G36" s="115">
        <f>'Gear &amp; Buffs'!$G$157</f>
        <v>0</v>
      </c>
      <c r="H36" s="115">
        <f>'Gear &amp; Buffs'!$H$157</f>
        <v>0</v>
      </c>
      <c r="I36" s="115">
        <f>'Gear &amp; Buffs'!$P$157</f>
        <v>0</v>
      </c>
      <c r="J36" s="114">
        <f>'Gear &amp; Buffs'!$Q$157</f>
        <v>0</v>
      </c>
      <c r="K36" s="116">
        <f>'Gear &amp; Buffs'!$L$157</f>
        <v>0</v>
      </c>
      <c r="L36" s="114">
        <f>'Gear &amp; Buffs'!$F$157</f>
        <v>0</v>
      </c>
      <c r="M36" s="116">
        <f>'Gear &amp; Buffs'!$K$157</f>
        <v>0</v>
      </c>
      <c r="N36" s="114">
        <f>'Gear &amp; Buffs'!$J$157</f>
        <v>0</v>
      </c>
      <c r="O36" s="115">
        <f>'Gear &amp; Buffs'!M157</f>
        <v>0</v>
      </c>
      <c r="P36" s="114"/>
      <c r="Q36" s="114" t="str">
        <f>'Gear &amp; Buffs'!$R$157</f>
        <v>0 0 0</v>
      </c>
      <c r="R36" s="720">
        <f>'Gear &amp; Buffs'!$S$157</f>
        <v>0</v>
      </c>
      <c r="S36" s="116"/>
      <c r="T36" s="114"/>
      <c r="U36" s="891">
        <f>($D36*dpsStr+$E36*dpsAgi+$G36*dpsCrit+$H36*dpsHit+$F36*dpsAP+$I36*dpsHaste+$J36*dpsArmor+$K36*dpsExp+IF(MID($Q36,1,1)+MID($Q36,3,1)+MID($Q36,5,1)&gt;0,VLOOKUP('Gear &amp; Buffs'!$B$33,GenSocketStats,18,FALSE)+IF(MID($Q36,1,1)+MID($Q36,3,1)+MID($Q36,5,1)&gt;1,VLOOKUP('Gear &amp; Buffs'!$B$34,GenSocketStats,18,FALSE),0),0))-'Gear &amp; Buffs'!$AF$32</f>
        <v>-131.45268488090505</v>
      </c>
      <c r="V36" s="681">
        <f>MAX($V$1:V35)+1</f>
        <v>18</v>
      </c>
      <c r="W36" s="738">
        <v>33</v>
      </c>
      <c r="X36" s="714" t="str">
        <f t="shared" si="0"/>
        <v/>
      </c>
    </row>
    <row r="37" spans="1:24">
      <c r="A37" s="126" t="s">
        <v>2207</v>
      </c>
      <c r="B37" s="113"/>
      <c r="C37" s="113"/>
      <c r="D37" s="112"/>
      <c r="E37" s="112"/>
      <c r="F37" s="112"/>
      <c r="G37" s="113"/>
      <c r="H37" s="113"/>
      <c r="I37" s="113"/>
      <c r="J37" s="114"/>
      <c r="K37" s="113"/>
      <c r="L37" s="112"/>
      <c r="M37" s="113"/>
      <c r="N37" s="112"/>
      <c r="O37" s="113"/>
      <c r="P37" s="113"/>
      <c r="Q37" s="114" t="s">
        <v>1033</v>
      </c>
      <c r="R37" s="114"/>
      <c r="S37" s="114"/>
      <c r="T37" s="113"/>
      <c r="U37" s="721"/>
      <c r="V37" s="681"/>
      <c r="W37" s="738">
        <v>34</v>
      </c>
      <c r="X37" s="714" t="str">
        <f t="shared" si="0"/>
        <v/>
      </c>
    </row>
    <row r="38" spans="1:24">
      <c r="R38" s="114"/>
      <c r="S38" s="114"/>
      <c r="T38" s="114"/>
      <c r="V38" s="681"/>
      <c r="W38" s="738">
        <v>35</v>
      </c>
      <c r="X38" s="714" t="str">
        <f t="shared" si="0"/>
        <v/>
      </c>
    </row>
    <row r="39" spans="1:24">
      <c r="R39" s="114"/>
      <c r="S39" s="114"/>
      <c r="T39" s="114"/>
      <c r="W39" s="678"/>
      <c r="X39" s="677"/>
    </row>
    <row r="40" spans="1:24">
      <c r="A40" s="126"/>
      <c r="B40" s="114"/>
      <c r="C40" s="114"/>
      <c r="D40" s="114"/>
      <c r="E40" s="114"/>
      <c r="F40" s="127"/>
      <c r="G40" s="114"/>
      <c r="H40" s="114"/>
      <c r="I40" s="114"/>
      <c r="J40" s="116"/>
      <c r="K40" s="116"/>
      <c r="L40" s="116"/>
      <c r="M40" s="116"/>
      <c r="N40" s="114"/>
      <c r="O40" s="114"/>
      <c r="P40" s="114"/>
      <c r="Q40" s="114"/>
      <c r="R40" s="114"/>
      <c r="S40" s="114"/>
      <c r="T40" s="114"/>
      <c r="V40" s="114"/>
      <c r="W40" s="678"/>
      <c r="X40" s="677"/>
    </row>
    <row r="41" spans="1:24">
      <c r="A41" s="169"/>
      <c r="B41" s="170"/>
      <c r="C41" s="170"/>
      <c r="D41" s="170"/>
      <c r="E41" s="170"/>
      <c r="F41" s="171"/>
      <c r="G41" s="171"/>
      <c r="H41" s="170"/>
      <c r="I41" s="171"/>
      <c r="J41" s="170"/>
      <c r="K41" s="171"/>
      <c r="L41" s="171"/>
      <c r="M41" s="171"/>
      <c r="N41" s="171"/>
      <c r="O41" s="171"/>
      <c r="P41" s="171"/>
      <c r="Q41" s="170"/>
      <c r="R41" s="114"/>
      <c r="S41" s="114"/>
      <c r="T41" s="114"/>
    </row>
    <row r="42" spans="1:24">
      <c r="A42" s="10"/>
      <c r="B42" s="114"/>
      <c r="C42" s="114"/>
      <c r="D42" s="114"/>
      <c r="E42" s="114"/>
      <c r="F42" s="116"/>
      <c r="G42" s="116"/>
      <c r="H42" s="114"/>
      <c r="I42" s="116"/>
      <c r="J42" s="114"/>
      <c r="K42" s="116"/>
      <c r="L42" s="116"/>
      <c r="M42" s="116"/>
      <c r="N42" s="116"/>
      <c r="O42" s="116"/>
      <c r="P42" s="114"/>
      <c r="Q42" s="114"/>
      <c r="R42" s="114"/>
      <c r="S42" s="114"/>
      <c r="T42" s="114"/>
    </row>
    <row r="43" spans="1:24">
      <c r="F43" s="171"/>
      <c r="G43" s="171"/>
      <c r="H43" s="170"/>
      <c r="I43" s="171"/>
      <c r="J43" s="170"/>
      <c r="K43" s="171"/>
      <c r="L43" s="171"/>
      <c r="M43" s="171"/>
      <c r="N43" s="171"/>
      <c r="O43" s="171"/>
      <c r="P43" s="170"/>
      <c r="Q43" s="170"/>
    </row>
    <row r="44" spans="1:24">
      <c r="F44" s="171"/>
      <c r="G44" s="171"/>
      <c r="H44" s="170"/>
      <c r="I44" s="171"/>
      <c r="J44" s="170"/>
      <c r="K44" s="171"/>
      <c r="L44" s="171"/>
      <c r="M44" s="171"/>
      <c r="N44" s="171"/>
      <c r="O44" s="171"/>
      <c r="P44" s="170"/>
      <c r="Q44" s="170"/>
    </row>
    <row r="45" spans="1:24">
      <c r="A45" s="6"/>
      <c r="F45" s="171"/>
      <c r="G45" s="171"/>
      <c r="H45" s="170"/>
      <c r="I45" s="171"/>
      <c r="J45" s="170"/>
      <c r="K45" s="171"/>
      <c r="L45" s="171"/>
      <c r="M45" s="171"/>
      <c r="N45" s="171"/>
      <c r="O45" s="171"/>
      <c r="P45" s="170"/>
      <c r="Q45" s="170"/>
    </row>
    <row r="46" spans="1:24">
      <c r="A46" s="6"/>
      <c r="F46" s="171"/>
      <c r="G46" s="171"/>
      <c r="H46" s="170"/>
      <c r="I46" s="171"/>
      <c r="J46" s="170"/>
      <c r="K46" s="171"/>
      <c r="L46" s="171"/>
      <c r="M46" s="171"/>
      <c r="N46" s="171"/>
      <c r="O46" s="171"/>
      <c r="P46" s="170"/>
      <c r="Q46" s="170"/>
    </row>
    <row r="47" spans="1:24">
      <c r="A47" s="6"/>
      <c r="F47" s="171"/>
      <c r="G47" s="171"/>
      <c r="H47" s="170"/>
      <c r="I47" s="171"/>
      <c r="J47" s="170"/>
      <c r="K47" s="171"/>
      <c r="L47" s="171"/>
      <c r="M47" s="171"/>
      <c r="N47" s="171"/>
      <c r="O47" s="171"/>
      <c r="P47" s="171"/>
      <c r="Q47" s="170"/>
    </row>
    <row r="48" spans="1:24">
      <c r="A48" s="6"/>
      <c r="F48" s="171"/>
      <c r="G48" s="171"/>
      <c r="H48" s="170"/>
      <c r="I48" s="171"/>
      <c r="J48" s="170"/>
      <c r="K48" s="171"/>
      <c r="L48" s="171"/>
      <c r="M48" s="171"/>
      <c r="N48" s="171"/>
      <c r="O48" s="171"/>
      <c r="P48" s="170"/>
      <c r="Q48" s="170"/>
    </row>
    <row r="49" spans="1:17">
      <c r="A49" s="6"/>
      <c r="D49" s="114"/>
      <c r="F49" s="170"/>
      <c r="G49" s="170"/>
      <c r="H49" s="170"/>
      <c r="I49" s="170"/>
      <c r="J49" s="170"/>
      <c r="K49" s="170"/>
      <c r="L49" s="170"/>
      <c r="M49" s="170"/>
      <c r="N49" s="170"/>
      <c r="O49" s="170"/>
      <c r="P49" s="170"/>
      <c r="Q49" s="170"/>
    </row>
    <row r="50" spans="1:17">
      <c r="A50" s="6"/>
      <c r="F50" s="171"/>
      <c r="G50" s="171"/>
      <c r="H50" s="170"/>
      <c r="I50" s="171"/>
      <c r="J50" s="170"/>
      <c r="K50" s="171"/>
      <c r="L50" s="171"/>
      <c r="M50" s="171"/>
      <c r="N50" s="171"/>
      <c r="O50" s="171"/>
      <c r="P50" s="170"/>
      <c r="Q50" s="170"/>
    </row>
    <row r="51" spans="1:17">
      <c r="A51" s="6"/>
      <c r="F51" s="171"/>
      <c r="G51" s="171"/>
      <c r="H51" s="170"/>
      <c r="I51" s="171"/>
      <c r="J51" s="170"/>
      <c r="K51" s="171"/>
      <c r="L51" s="171"/>
      <c r="M51" s="171"/>
      <c r="N51" s="171"/>
      <c r="O51" s="171"/>
      <c r="P51" s="170"/>
      <c r="Q51" s="170"/>
    </row>
    <row r="52" spans="1:17">
      <c r="A52" s="6"/>
      <c r="F52" s="171"/>
      <c r="G52" s="171"/>
      <c r="H52" s="170"/>
      <c r="I52" s="171"/>
      <c r="J52" s="170"/>
      <c r="K52" s="171"/>
      <c r="L52" s="171"/>
      <c r="M52" s="171"/>
      <c r="N52" s="171"/>
      <c r="O52" s="171"/>
      <c r="P52" s="170"/>
      <c r="Q52" s="170"/>
    </row>
    <row r="53" spans="1:17">
      <c r="A53" s="6"/>
      <c r="D53" s="120"/>
      <c r="F53" s="171"/>
      <c r="G53" s="171"/>
      <c r="H53" s="170"/>
      <c r="I53" s="171"/>
      <c r="J53" s="170"/>
      <c r="K53" s="171"/>
      <c r="L53" s="171"/>
      <c r="M53" s="171"/>
      <c r="N53" s="171"/>
      <c r="O53" s="171"/>
      <c r="P53" s="170"/>
      <c r="Q53" s="170"/>
    </row>
    <row r="54" spans="1:17">
      <c r="A54" s="6"/>
      <c r="F54" s="171"/>
      <c r="G54" s="171"/>
      <c r="H54" s="170"/>
      <c r="I54" s="171"/>
      <c r="J54" s="170"/>
      <c r="K54" s="171"/>
      <c r="L54" s="171"/>
      <c r="M54" s="171"/>
      <c r="N54" s="171"/>
      <c r="O54" s="171"/>
      <c r="P54" s="170"/>
      <c r="Q54" s="170"/>
    </row>
    <row r="55" spans="1:17">
      <c r="A55" s="6"/>
      <c r="F55" s="171"/>
      <c r="G55" s="171"/>
      <c r="H55" s="170"/>
      <c r="I55" s="171"/>
      <c r="J55" s="170"/>
      <c r="K55" s="171"/>
      <c r="L55" s="171"/>
      <c r="M55" s="171"/>
      <c r="N55" s="171"/>
      <c r="O55" s="171"/>
      <c r="P55" s="170"/>
      <c r="Q55" s="170"/>
    </row>
    <row r="56" spans="1:17">
      <c r="A56" s="6"/>
      <c r="F56" s="171"/>
      <c r="G56" s="171"/>
      <c r="H56" s="170"/>
      <c r="I56" s="171"/>
      <c r="J56" s="170"/>
      <c r="K56" s="171"/>
      <c r="L56" s="171"/>
      <c r="M56" s="171"/>
      <c r="N56" s="171"/>
      <c r="O56" s="171"/>
      <c r="P56" s="170"/>
      <c r="Q56" s="170"/>
    </row>
    <row r="57" spans="1:17">
      <c r="A57" s="6"/>
      <c r="F57" s="171"/>
      <c r="G57" s="171"/>
      <c r="H57" s="170"/>
      <c r="I57" s="171"/>
      <c r="J57" s="177"/>
      <c r="K57" s="170"/>
      <c r="L57" s="170"/>
      <c r="M57" s="170"/>
      <c r="N57" s="170"/>
      <c r="O57" s="170"/>
      <c r="P57" s="170"/>
      <c r="Q57" s="170"/>
    </row>
    <row r="58" spans="1:17">
      <c r="A58" s="6"/>
      <c r="F58" s="171"/>
      <c r="G58" s="171"/>
      <c r="H58" s="170"/>
      <c r="I58" s="171"/>
      <c r="J58" s="177"/>
      <c r="K58" s="170"/>
      <c r="L58" s="170"/>
      <c r="M58" s="170"/>
      <c r="N58" s="170"/>
      <c r="O58" s="170"/>
      <c r="P58" s="170"/>
      <c r="Q58" s="170"/>
    </row>
    <row r="59" spans="1:17">
      <c r="A59" s="6"/>
      <c r="F59" s="171"/>
      <c r="G59" s="171"/>
      <c r="H59" s="170"/>
      <c r="I59" s="171"/>
      <c r="J59" s="170"/>
      <c r="K59" s="171"/>
      <c r="L59" s="171"/>
      <c r="M59" s="171"/>
      <c r="N59" s="171"/>
      <c r="O59" s="171"/>
      <c r="P59" s="171"/>
      <c r="Q59" s="170"/>
    </row>
    <row r="60" spans="1:17">
      <c r="A60" s="6"/>
      <c r="F60" s="170"/>
      <c r="G60" s="170"/>
      <c r="H60" s="170"/>
      <c r="I60" s="170"/>
      <c r="J60" s="170"/>
      <c r="K60" s="170"/>
      <c r="L60" s="170"/>
      <c r="M60" s="170"/>
      <c r="N60" s="170"/>
      <c r="O60" s="170"/>
      <c r="P60" s="170"/>
      <c r="Q60" s="170"/>
    </row>
    <row r="61" spans="1:17">
      <c r="A61" s="6"/>
      <c r="F61" s="171"/>
      <c r="G61" s="171"/>
      <c r="H61" s="170"/>
      <c r="I61" s="171"/>
      <c r="J61" s="170"/>
      <c r="K61" s="171"/>
      <c r="L61" s="171"/>
      <c r="M61" s="171"/>
      <c r="N61" s="171"/>
      <c r="O61" s="171"/>
      <c r="P61" s="170"/>
      <c r="Q61" s="170"/>
    </row>
    <row r="62" spans="1:17">
      <c r="A62" s="6"/>
      <c r="F62" s="171"/>
      <c r="G62" s="171"/>
      <c r="H62" s="170"/>
      <c r="I62" s="171"/>
      <c r="J62" s="170"/>
      <c r="K62" s="171"/>
      <c r="L62" s="171"/>
      <c r="M62" s="171"/>
      <c r="N62" s="171"/>
      <c r="O62" s="171"/>
      <c r="P62" s="170"/>
      <c r="Q62" s="170"/>
    </row>
    <row r="63" spans="1:17">
      <c r="A63" s="6"/>
      <c r="F63" s="171"/>
      <c r="G63" s="171"/>
      <c r="H63" s="170"/>
      <c r="I63" s="171"/>
      <c r="J63" s="170"/>
      <c r="K63" s="171"/>
      <c r="L63" s="171"/>
      <c r="M63" s="171"/>
      <c r="N63" s="171"/>
      <c r="O63" s="171"/>
      <c r="P63" s="170"/>
      <c r="Q63" s="170"/>
    </row>
    <row r="64" spans="1:17">
      <c r="A64" s="6"/>
      <c r="F64" s="171"/>
      <c r="G64" s="171"/>
      <c r="H64" s="170"/>
      <c r="I64" s="171"/>
      <c r="J64" s="170"/>
      <c r="K64" s="171"/>
      <c r="L64" s="171"/>
      <c r="M64" s="171"/>
      <c r="N64" s="171"/>
      <c r="O64" s="171"/>
      <c r="P64" s="170"/>
      <c r="Q64" s="170"/>
    </row>
    <row r="65" spans="1:17">
      <c r="F65" s="170"/>
      <c r="G65" s="177"/>
      <c r="H65" s="170"/>
      <c r="I65" s="170"/>
      <c r="J65" s="171"/>
      <c r="K65" s="171"/>
      <c r="L65" s="171"/>
      <c r="M65" s="171"/>
      <c r="N65" s="172"/>
      <c r="O65" s="172"/>
      <c r="P65" s="172"/>
      <c r="Q65" s="172"/>
    </row>
    <row r="66" spans="1:17">
      <c r="F66" s="133"/>
      <c r="G66" s="133"/>
      <c r="H66" s="133"/>
      <c r="I66" s="133"/>
      <c r="J66" s="134"/>
      <c r="K66" s="134"/>
      <c r="L66" s="134"/>
      <c r="M66" s="134"/>
    </row>
    <row r="67" spans="1:17">
      <c r="F67" s="118"/>
      <c r="G67" s="118"/>
      <c r="H67" s="118"/>
      <c r="I67" s="118"/>
      <c r="J67" s="119"/>
      <c r="K67" s="119"/>
      <c r="L67" s="119"/>
      <c r="M67" s="119"/>
    </row>
    <row r="68" spans="1:17">
      <c r="F68" s="114"/>
      <c r="G68" s="127"/>
      <c r="H68" s="114"/>
      <c r="I68" s="114"/>
      <c r="J68" s="116"/>
      <c r="K68" s="116"/>
      <c r="L68" s="116"/>
      <c r="M68" s="116"/>
    </row>
    <row r="69" spans="1:17">
      <c r="F69" s="114"/>
      <c r="G69" s="114"/>
      <c r="H69" s="114"/>
      <c r="I69" s="114"/>
      <c r="J69" s="116"/>
      <c r="K69" s="116"/>
      <c r="L69" s="116"/>
      <c r="M69" s="116"/>
    </row>
    <row r="70" spans="1:17">
      <c r="F70" s="114"/>
      <c r="G70" s="114"/>
      <c r="H70" s="114"/>
      <c r="I70" s="114"/>
      <c r="J70" s="116"/>
      <c r="K70" s="116"/>
      <c r="L70" s="116"/>
      <c r="M70" s="116"/>
    </row>
    <row r="71" spans="1:17">
      <c r="F71" s="114"/>
      <c r="G71" s="114"/>
      <c r="H71" s="114"/>
      <c r="I71" s="127"/>
      <c r="J71" s="116"/>
      <c r="K71" s="116"/>
      <c r="L71" s="116"/>
      <c r="M71" s="116"/>
    </row>
    <row r="72" spans="1:17">
      <c r="F72" s="114"/>
      <c r="G72" s="114"/>
      <c r="H72" s="114"/>
      <c r="I72" s="114"/>
      <c r="J72" s="116"/>
      <c r="K72" s="116"/>
      <c r="L72" s="116"/>
      <c r="M72" s="116"/>
    </row>
    <row r="73" spans="1:17">
      <c r="F73" s="114"/>
      <c r="G73" s="127"/>
      <c r="H73" s="114"/>
      <c r="I73" s="114"/>
      <c r="J73" s="116"/>
      <c r="K73" s="116"/>
      <c r="L73" s="116"/>
      <c r="M73" s="116"/>
    </row>
    <row r="74" spans="1:17">
      <c r="F74" s="127"/>
      <c r="G74" s="114"/>
      <c r="H74" s="114"/>
      <c r="I74" s="114"/>
      <c r="J74" s="116"/>
      <c r="K74" s="116"/>
      <c r="L74" s="116"/>
      <c r="M74" s="116"/>
    </row>
    <row r="75" spans="1:17">
      <c r="F75" s="133"/>
      <c r="G75" s="133"/>
      <c r="H75" s="133"/>
      <c r="I75" s="133"/>
      <c r="J75" s="134"/>
      <c r="K75" s="134"/>
      <c r="L75" s="134"/>
      <c r="M75" s="134"/>
    </row>
    <row r="76" spans="1:17">
      <c r="F76" s="118"/>
      <c r="G76" s="118"/>
      <c r="H76" s="118"/>
      <c r="I76" s="118"/>
      <c r="J76" s="119"/>
      <c r="K76" s="119"/>
      <c r="L76" s="119"/>
      <c r="M76" s="119"/>
    </row>
    <row r="77" spans="1:17">
      <c r="A77" s="10"/>
      <c r="B77" s="114"/>
      <c r="C77" s="114"/>
      <c r="D77" s="114"/>
      <c r="E77" s="114"/>
      <c r="F77" s="127"/>
      <c r="G77" s="127"/>
      <c r="H77" s="114"/>
      <c r="I77" s="127"/>
      <c r="J77" s="116"/>
      <c r="K77" s="116"/>
      <c r="L77" s="116"/>
      <c r="M77" s="116"/>
      <c r="N77" s="152"/>
      <c r="O77" s="152"/>
    </row>
    <row r="78" spans="1:17">
      <c r="A78" s="10"/>
      <c r="B78" s="114"/>
      <c r="C78" s="114"/>
      <c r="D78" s="114"/>
      <c r="E78" s="114"/>
      <c r="F78" s="127"/>
      <c r="G78" s="127"/>
      <c r="H78" s="114"/>
      <c r="I78" s="127"/>
      <c r="J78" s="116"/>
      <c r="K78" s="116"/>
      <c r="L78" s="116"/>
      <c r="M78" s="116"/>
    </row>
    <row r="79" spans="1:17">
      <c r="A79" s="10"/>
      <c r="B79" s="114"/>
      <c r="C79" s="114"/>
      <c r="D79" s="114"/>
      <c r="E79" s="114"/>
      <c r="F79" s="114"/>
      <c r="G79" s="114"/>
      <c r="H79" s="114"/>
      <c r="I79" s="114"/>
      <c r="J79" s="116"/>
      <c r="K79" s="116"/>
      <c r="L79" s="116"/>
      <c r="M79" s="116"/>
    </row>
    <row r="80" spans="1:17">
      <c r="A80" s="10"/>
      <c r="B80" s="114"/>
      <c r="C80" s="114"/>
      <c r="D80" s="114"/>
      <c r="E80" s="114"/>
      <c r="F80" s="114"/>
      <c r="G80" s="114"/>
      <c r="H80" s="114"/>
      <c r="I80" s="114"/>
      <c r="J80" s="116"/>
      <c r="K80" s="116"/>
      <c r="L80" s="116"/>
      <c r="M80" s="116"/>
    </row>
    <row r="81" spans="1:13">
      <c r="A81" s="10"/>
      <c r="B81" s="114"/>
      <c r="C81" s="114"/>
      <c r="D81" s="114"/>
      <c r="E81" s="114"/>
      <c r="F81" s="114"/>
      <c r="G81" s="127"/>
      <c r="H81" s="118"/>
      <c r="I81" s="114"/>
      <c r="J81" s="116"/>
      <c r="K81" s="116"/>
      <c r="L81" s="116"/>
      <c r="M81" s="116"/>
    </row>
    <row r="82" spans="1:13">
      <c r="A82" s="10"/>
      <c r="B82" s="114"/>
      <c r="C82" s="114"/>
      <c r="D82" s="114"/>
      <c r="E82" s="114"/>
      <c r="F82" s="114"/>
      <c r="G82" s="114"/>
      <c r="H82" s="114"/>
      <c r="I82" s="114"/>
      <c r="J82" s="116"/>
      <c r="K82" s="116"/>
      <c r="L82" s="116"/>
      <c r="M82" s="116"/>
    </row>
    <row r="83" spans="1:13">
      <c r="A83" s="10"/>
      <c r="B83" s="114"/>
      <c r="C83" s="114"/>
      <c r="D83" s="114"/>
      <c r="E83" s="114"/>
      <c r="F83" s="127"/>
      <c r="G83" s="127"/>
      <c r="H83" s="114"/>
      <c r="I83" s="114"/>
      <c r="J83" s="116"/>
      <c r="K83" s="116"/>
      <c r="L83" s="116"/>
      <c r="M83" s="116"/>
    </row>
    <row r="84" spans="1:13">
      <c r="A84" s="135"/>
      <c r="B84" s="133"/>
      <c r="C84" s="133"/>
      <c r="D84" s="133"/>
      <c r="E84" s="133"/>
      <c r="F84" s="133"/>
      <c r="G84" s="133"/>
      <c r="H84" s="133"/>
      <c r="I84" s="133"/>
      <c r="J84" s="134"/>
      <c r="K84" s="134"/>
      <c r="L84" s="134"/>
      <c r="M84" s="134"/>
    </row>
    <row r="85" spans="1:13">
      <c r="A85" s="132"/>
      <c r="B85" s="118"/>
      <c r="C85" s="118"/>
      <c r="D85" s="118"/>
      <c r="E85" s="118"/>
      <c r="F85" s="118"/>
      <c r="G85" s="118"/>
      <c r="H85" s="118"/>
      <c r="I85" s="118"/>
      <c r="J85" s="119"/>
      <c r="K85" s="119"/>
      <c r="L85" s="119"/>
      <c r="M85" s="119"/>
    </row>
    <row r="86" spans="1:13">
      <c r="A86" s="10"/>
      <c r="B86" s="114"/>
      <c r="C86" s="114"/>
      <c r="D86" s="114"/>
      <c r="E86" s="114"/>
      <c r="F86" s="127"/>
      <c r="G86" s="127"/>
      <c r="H86" s="114"/>
      <c r="I86" s="114"/>
      <c r="J86" s="116"/>
      <c r="K86" s="116"/>
      <c r="L86" s="116"/>
      <c r="M86" s="116"/>
    </row>
    <row r="87" spans="1:13">
      <c r="A87" s="10"/>
      <c r="B87" s="114"/>
      <c r="C87" s="114"/>
      <c r="D87" s="114"/>
      <c r="E87" s="114"/>
      <c r="F87" s="114"/>
      <c r="G87" s="127"/>
      <c r="H87" s="114"/>
      <c r="I87" s="114"/>
      <c r="J87" s="116"/>
      <c r="K87" s="116"/>
      <c r="L87" s="116"/>
      <c r="M87" s="116"/>
    </row>
    <row r="88" spans="1:13">
      <c r="A88" s="10"/>
      <c r="B88" s="114"/>
      <c r="C88" s="114"/>
      <c r="D88" s="114"/>
      <c r="E88" s="114"/>
      <c r="F88" s="114"/>
      <c r="G88" s="127"/>
      <c r="H88" s="114"/>
      <c r="I88" s="114"/>
      <c r="J88" s="116"/>
      <c r="K88" s="116"/>
      <c r="L88" s="116"/>
      <c r="M88" s="116"/>
    </row>
    <row r="89" spans="1:13">
      <c r="A89" s="10"/>
      <c r="B89" s="114"/>
      <c r="C89" s="114"/>
      <c r="D89" s="114"/>
      <c r="E89" s="114"/>
      <c r="F89" s="127"/>
      <c r="G89" s="127"/>
      <c r="H89" s="114"/>
      <c r="I89" s="114"/>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14"/>
      <c r="H91" s="114"/>
      <c r="I91" s="114"/>
      <c r="J91" s="116"/>
      <c r="K91" s="116"/>
      <c r="L91" s="116"/>
      <c r="M91" s="116"/>
    </row>
    <row r="92" spans="1:13">
      <c r="A92" s="10"/>
      <c r="B92" s="114"/>
      <c r="C92" s="114"/>
      <c r="D92" s="114"/>
      <c r="E92" s="114"/>
      <c r="F92" s="114"/>
      <c r="G92" s="127"/>
      <c r="H92" s="114"/>
      <c r="I92" s="127"/>
      <c r="J92" s="116"/>
      <c r="K92" s="116"/>
      <c r="L92" s="116"/>
      <c r="M92" s="116"/>
    </row>
    <row r="93" spans="1:13">
      <c r="A93" s="10"/>
      <c r="B93" s="114"/>
      <c r="C93" s="114"/>
      <c r="D93" s="114"/>
      <c r="E93" s="114"/>
      <c r="F93" s="127"/>
      <c r="G93" s="127"/>
      <c r="H93" s="114"/>
      <c r="I93" s="114"/>
      <c r="J93" s="116"/>
      <c r="K93" s="116"/>
      <c r="L93" s="116"/>
      <c r="M93" s="116"/>
    </row>
    <row r="94" spans="1:13">
      <c r="A94" s="10"/>
      <c r="B94" s="114"/>
      <c r="C94" s="114"/>
      <c r="D94" s="114"/>
      <c r="E94" s="114"/>
      <c r="F94" s="127"/>
      <c r="G94" s="127"/>
      <c r="H94" s="114"/>
      <c r="I94" s="114"/>
      <c r="J94" s="116"/>
      <c r="K94" s="116"/>
      <c r="L94" s="116"/>
      <c r="M94" s="116"/>
    </row>
    <row r="95" spans="1:13">
      <c r="A95" s="10"/>
      <c r="B95" s="114"/>
      <c r="C95" s="114"/>
      <c r="D95" s="114"/>
      <c r="E95" s="114"/>
      <c r="F95" s="114"/>
      <c r="G95" s="127"/>
      <c r="H95" s="114"/>
      <c r="I95" s="114"/>
      <c r="J95" s="116"/>
      <c r="K95" s="116"/>
      <c r="L95" s="116"/>
      <c r="M95" s="116"/>
    </row>
    <row r="96" spans="1:13">
      <c r="A96" s="136"/>
      <c r="B96" s="114"/>
      <c r="C96" s="114"/>
      <c r="D96" s="114"/>
      <c r="E96" s="114"/>
      <c r="F96" s="114"/>
      <c r="G96" s="114"/>
      <c r="H96" s="114"/>
      <c r="I96" s="114"/>
      <c r="J96" s="116"/>
      <c r="K96" s="116"/>
      <c r="L96" s="116"/>
      <c r="M96" s="116"/>
    </row>
    <row r="97" spans="1:13">
      <c r="A97" s="132"/>
      <c r="B97" s="118"/>
      <c r="C97" s="118"/>
      <c r="D97" s="118"/>
      <c r="E97" s="118"/>
      <c r="F97" s="118"/>
      <c r="G97" s="118"/>
      <c r="H97" s="118"/>
      <c r="I97" s="118"/>
      <c r="J97" s="119"/>
      <c r="K97" s="119"/>
      <c r="L97" s="119"/>
      <c r="M97" s="119"/>
    </row>
    <row r="98" spans="1:13">
      <c r="A98" s="10"/>
      <c r="B98" s="114"/>
      <c r="C98" s="114"/>
      <c r="D98" s="114"/>
      <c r="E98" s="114"/>
      <c r="F98" s="127"/>
      <c r="G98" s="114"/>
      <c r="H98" s="114"/>
      <c r="I98" s="114"/>
      <c r="J98" s="116"/>
      <c r="K98" s="116"/>
      <c r="L98" s="116"/>
      <c r="M98" s="116"/>
    </row>
    <row r="99" spans="1:13">
      <c r="A99" s="10"/>
      <c r="B99" s="114"/>
      <c r="C99" s="114"/>
      <c r="D99" s="114"/>
      <c r="E99" s="114"/>
      <c r="F99" s="114"/>
      <c r="G99" s="127"/>
      <c r="H99" s="114"/>
      <c r="I99" s="127"/>
      <c r="J99" s="116"/>
      <c r="K99" s="116"/>
      <c r="L99" s="116"/>
      <c r="M99" s="116"/>
    </row>
    <row r="100" spans="1:13">
      <c r="A100" s="10"/>
      <c r="B100" s="114"/>
      <c r="C100" s="114"/>
      <c r="D100" s="114"/>
      <c r="E100" s="114"/>
      <c r="F100" s="114"/>
      <c r="G100" s="127"/>
      <c r="H100" s="114"/>
      <c r="I100" s="127"/>
      <c r="J100" s="116"/>
      <c r="K100" s="116"/>
      <c r="L100" s="116"/>
      <c r="M100" s="116"/>
    </row>
    <row r="101" spans="1:13">
      <c r="A101" s="10"/>
      <c r="B101" s="114"/>
      <c r="C101" s="114"/>
      <c r="D101" s="114"/>
      <c r="E101" s="114"/>
      <c r="F101" s="114"/>
      <c r="G101" s="127"/>
      <c r="H101" s="114"/>
      <c r="I101" s="114"/>
      <c r="J101" s="116"/>
      <c r="K101" s="116"/>
      <c r="L101" s="116"/>
      <c r="M101" s="116"/>
    </row>
    <row r="102" spans="1:13">
      <c r="A102" s="10"/>
      <c r="B102" s="114"/>
      <c r="C102" s="114"/>
      <c r="D102" s="114"/>
      <c r="E102" s="114"/>
      <c r="F102" s="114"/>
      <c r="G102" s="127"/>
      <c r="H102" s="114"/>
      <c r="I102" s="114"/>
      <c r="J102" s="116"/>
      <c r="K102" s="116"/>
      <c r="L102" s="116"/>
      <c r="M102" s="116"/>
    </row>
    <row r="103" spans="1:13">
      <c r="A103" s="136"/>
      <c r="B103" s="114"/>
      <c r="C103" s="114"/>
      <c r="D103" s="114"/>
      <c r="E103" s="114"/>
      <c r="F103" s="114"/>
      <c r="G103" s="114"/>
      <c r="H103" s="114"/>
      <c r="I103" s="114"/>
      <c r="J103" s="116"/>
      <c r="K103" s="116"/>
      <c r="L103" s="116"/>
      <c r="M103" s="116"/>
    </row>
    <row r="104" spans="1:13">
      <c r="A104" s="132"/>
      <c r="B104" s="118"/>
      <c r="C104" s="118"/>
      <c r="D104" s="118"/>
      <c r="E104" s="118"/>
      <c r="F104" s="118"/>
      <c r="G104" s="118"/>
      <c r="H104" s="118"/>
      <c r="I104" s="118"/>
      <c r="J104" s="119"/>
      <c r="K104" s="119"/>
      <c r="L104" s="119"/>
      <c r="M104" s="119"/>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14"/>
      <c r="G106" s="127"/>
      <c r="H106" s="114"/>
      <c r="I106" s="114"/>
      <c r="J106" s="116"/>
      <c r="K106" s="116"/>
      <c r="L106" s="116"/>
      <c r="M106" s="116"/>
    </row>
    <row r="107" spans="1:13">
      <c r="A107" s="10"/>
      <c r="B107" s="114"/>
      <c r="C107" s="114"/>
      <c r="D107" s="114"/>
      <c r="E107" s="114"/>
      <c r="F107" s="114"/>
      <c r="G107" s="114"/>
      <c r="H107" s="114"/>
      <c r="I107" s="127"/>
      <c r="J107" s="116"/>
      <c r="K107" s="116"/>
      <c r="L107" s="116"/>
      <c r="M107" s="116"/>
    </row>
    <row r="108" spans="1:13">
      <c r="A108" s="10"/>
      <c r="B108" s="114"/>
      <c r="C108" s="114"/>
      <c r="D108" s="114"/>
      <c r="E108" s="114"/>
      <c r="F108" s="114"/>
      <c r="G108" s="114"/>
      <c r="H108" s="114"/>
      <c r="I108" s="114"/>
      <c r="J108" s="116"/>
      <c r="K108" s="116"/>
      <c r="L108" s="116"/>
      <c r="M108" s="116"/>
    </row>
    <row r="109" spans="1:13">
      <c r="A109" s="10"/>
      <c r="B109" s="114"/>
      <c r="C109" s="114"/>
      <c r="D109" s="114"/>
      <c r="E109" s="114"/>
      <c r="F109" s="127"/>
      <c r="G109" s="127"/>
      <c r="H109" s="114"/>
      <c r="I109" s="114"/>
      <c r="J109" s="116"/>
      <c r="K109" s="116"/>
      <c r="L109" s="116"/>
      <c r="M109" s="116"/>
    </row>
    <row r="110" spans="1:13">
      <c r="A110" s="10"/>
      <c r="B110" s="114"/>
      <c r="C110" s="114"/>
      <c r="D110" s="114"/>
      <c r="E110" s="114"/>
      <c r="F110" s="127"/>
      <c r="G110" s="127"/>
      <c r="H110" s="114"/>
      <c r="I110" s="114"/>
      <c r="J110" s="116"/>
      <c r="K110" s="116"/>
      <c r="L110" s="116"/>
      <c r="M110" s="116"/>
    </row>
    <row r="111" spans="1:13">
      <c r="A111" s="10"/>
      <c r="B111" s="114"/>
      <c r="C111" s="114"/>
      <c r="D111" s="114"/>
      <c r="E111" s="114"/>
      <c r="F111" s="114"/>
      <c r="G111" s="127"/>
      <c r="H111" s="114"/>
      <c r="I111" s="114"/>
      <c r="J111" s="116"/>
      <c r="K111" s="116"/>
      <c r="L111" s="116"/>
      <c r="M111" s="116"/>
    </row>
    <row r="112" spans="1:13">
      <c r="A112" s="10"/>
      <c r="B112" s="114"/>
      <c r="C112" s="114"/>
      <c r="D112" s="114"/>
      <c r="E112" s="114"/>
      <c r="F112" s="114"/>
      <c r="G112" s="114"/>
      <c r="H112" s="114"/>
      <c r="I112" s="127"/>
      <c r="J112" s="116"/>
      <c r="K112" s="116"/>
      <c r="L112" s="116"/>
      <c r="M112" s="116"/>
    </row>
    <row r="113" spans="1:13">
      <c r="A113" s="10"/>
      <c r="B113" s="114"/>
      <c r="C113" s="114"/>
      <c r="D113" s="114"/>
      <c r="E113" s="114"/>
      <c r="F113" s="127"/>
      <c r="G113" s="114"/>
      <c r="H113" s="114"/>
      <c r="I113" s="114"/>
      <c r="J113" s="116"/>
      <c r="K113" s="116"/>
      <c r="L113" s="116"/>
      <c r="M113" s="116"/>
    </row>
    <row r="114" spans="1:13">
      <c r="A114" s="10"/>
      <c r="B114" s="114"/>
      <c r="C114" s="114"/>
      <c r="D114" s="114"/>
      <c r="E114" s="114"/>
      <c r="F114" s="127"/>
      <c r="G114" s="127"/>
      <c r="H114" s="114"/>
      <c r="I114" s="114"/>
      <c r="J114" s="116"/>
      <c r="K114" s="116"/>
      <c r="L114" s="116"/>
      <c r="M114" s="116"/>
    </row>
    <row r="115" spans="1:13">
      <c r="A115" s="10"/>
      <c r="B115" s="114"/>
      <c r="C115" s="114"/>
      <c r="D115" s="114"/>
      <c r="E115" s="114"/>
      <c r="F115" s="114"/>
      <c r="G115" s="114"/>
      <c r="H115" s="114"/>
      <c r="I115" s="114"/>
      <c r="J115" s="116"/>
      <c r="K115" s="116"/>
      <c r="L115" s="116"/>
      <c r="M115" s="116"/>
    </row>
    <row r="116" spans="1:13">
      <c r="A116" s="132"/>
      <c r="B116" s="118"/>
      <c r="C116" s="118"/>
      <c r="D116" s="118"/>
      <c r="E116" s="118"/>
      <c r="F116" s="118"/>
      <c r="G116" s="118"/>
      <c r="H116" s="118"/>
      <c r="I116" s="118"/>
      <c r="J116" s="119"/>
      <c r="K116" s="119"/>
      <c r="L116" s="119"/>
      <c r="M116" s="119"/>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14"/>
      <c r="H119" s="114"/>
      <c r="I119" s="127"/>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27"/>
      <c r="H121" s="114"/>
      <c r="I121" s="114"/>
      <c r="J121" s="116"/>
      <c r="K121" s="116"/>
      <c r="L121" s="116"/>
      <c r="M121" s="116"/>
    </row>
    <row r="122" spans="1:13">
      <c r="A122" s="10"/>
      <c r="B122" s="114"/>
      <c r="C122" s="114"/>
      <c r="D122" s="114"/>
      <c r="E122" s="114"/>
      <c r="F122" s="114"/>
      <c r="G122" s="127"/>
      <c r="H122" s="114"/>
      <c r="I122" s="114"/>
      <c r="J122" s="116"/>
      <c r="K122" s="116"/>
      <c r="L122" s="116"/>
      <c r="M122" s="116"/>
    </row>
    <row r="123" spans="1:13">
      <c r="A123" s="10"/>
      <c r="B123" s="114"/>
      <c r="C123" s="114"/>
      <c r="D123" s="114"/>
      <c r="E123" s="114"/>
      <c r="F123" s="127"/>
      <c r="G123" s="114"/>
      <c r="H123" s="114"/>
      <c r="I123" s="114"/>
      <c r="J123" s="116"/>
      <c r="K123" s="116"/>
      <c r="L123" s="116"/>
      <c r="M123" s="116"/>
    </row>
    <row r="124" spans="1:13">
      <c r="A124" s="10"/>
      <c r="B124" s="114"/>
      <c r="C124" s="114"/>
      <c r="D124" s="114"/>
      <c r="E124" s="114"/>
      <c r="F124" s="114"/>
      <c r="G124" s="114"/>
      <c r="H124" s="114"/>
      <c r="I124" s="114"/>
      <c r="J124" s="116"/>
      <c r="K124" s="116"/>
      <c r="L124" s="116"/>
      <c r="M124" s="116"/>
    </row>
    <row r="125" spans="1:13">
      <c r="A125" s="10"/>
      <c r="B125" s="114"/>
      <c r="C125" s="114"/>
      <c r="D125" s="114"/>
      <c r="E125" s="114"/>
      <c r="F125" s="114"/>
      <c r="G125" s="127"/>
      <c r="H125" s="114"/>
      <c r="I125" s="114"/>
      <c r="J125" s="116"/>
      <c r="K125" s="116"/>
      <c r="L125" s="116"/>
      <c r="M125" s="116"/>
    </row>
  </sheetData>
  <phoneticPr fontId="2" type="noConversion"/>
  <conditionalFormatting sqref="U2:U36">
    <cfRule type="cellIs" dxfId="45" priority="1" stopIfTrue="1" operator="lessThan">
      <formula>0</formula>
    </cfRule>
    <cfRule type="cellIs" dxfId="4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AE129"/>
  <sheetViews>
    <sheetView topLeftCell="A7" workbookViewId="0">
      <selection activeCell="X4" sqref="X4"/>
    </sheetView>
  </sheetViews>
  <sheetFormatPr defaultRowHeight="11.25"/>
  <cols>
    <col min="1" max="1" width="34.140625" style="48" bestFit="1" customWidth="1"/>
    <col min="2" max="2" width="6.42578125" style="122" bestFit="1" customWidth="1"/>
    <col min="3" max="3" width="2" style="122"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7109375" style="48" customWidth="1"/>
    <col min="18" max="18" width="6.42578125" style="48" bestFit="1" customWidth="1"/>
    <col min="19" max="19" width="11.85546875" style="129" bestFit="1" customWidth="1"/>
    <col min="20" max="20" width="8.85546875" style="48" bestFit="1" customWidth="1"/>
    <col min="21" max="21" width="6.28515625" style="129" bestFit="1" customWidth="1"/>
    <col min="22" max="23" width="2.7109375" style="129" bestFit="1" customWidth="1"/>
    <col min="24" max="24" width="34.140625" style="48" bestFit="1" customWidth="1"/>
    <col min="25" max="25" width="4.7109375" style="48" bestFit="1" customWidth="1"/>
    <col min="26" max="26" width="2.7109375" style="48" bestFit="1" customWidth="1"/>
    <col min="27" max="16384" width="9.140625" style="48"/>
  </cols>
  <sheetData>
    <row r="1" spans="1:24" s="47" customFormat="1" ht="23.25" thickBot="1">
      <c r="A1" s="700" t="s">
        <v>164</v>
      </c>
      <c r="B1" s="700" t="s">
        <v>1934</v>
      </c>
      <c r="C1" s="700" t="s">
        <v>2798</v>
      </c>
      <c r="D1" s="700" t="s">
        <v>1214</v>
      </c>
      <c r="E1" s="700" t="s">
        <v>1215</v>
      </c>
      <c r="F1" s="700" t="s">
        <v>768</v>
      </c>
      <c r="G1" s="705" t="s">
        <v>2140</v>
      </c>
      <c r="H1" s="705" t="s">
        <v>2139</v>
      </c>
      <c r="I1" s="700" t="s">
        <v>771</v>
      </c>
      <c r="J1" s="700" t="s">
        <v>1219</v>
      </c>
      <c r="K1" s="705" t="s">
        <v>760</v>
      </c>
      <c r="L1" s="700" t="s">
        <v>1216</v>
      </c>
      <c r="M1" s="705" t="s">
        <v>264</v>
      </c>
      <c r="N1" s="705" t="s">
        <v>1217</v>
      </c>
      <c r="O1" s="705" t="s">
        <v>1287</v>
      </c>
      <c r="P1" s="706" t="s">
        <v>1046</v>
      </c>
      <c r="Q1" s="704" t="s">
        <v>1047</v>
      </c>
      <c r="R1" s="704" t="s">
        <v>1941</v>
      </c>
      <c r="S1" s="704" t="s">
        <v>666</v>
      </c>
      <c r="T1" s="704"/>
      <c r="U1" s="702" t="s">
        <v>265</v>
      </c>
      <c r="V1" s="743">
        <v>0</v>
      </c>
      <c r="W1" s="743"/>
      <c r="X1" s="700" t="s">
        <v>660</v>
      </c>
    </row>
    <row r="2" spans="1:24">
      <c r="A2" s="695" t="s">
        <v>2812</v>
      </c>
      <c r="B2" s="696">
        <v>30938</v>
      </c>
      <c r="C2" s="696">
        <v>1</v>
      </c>
      <c r="D2" s="696"/>
      <c r="E2" s="696"/>
      <c r="F2" s="696">
        <v>44</v>
      </c>
      <c r="G2" s="697">
        <v>21</v>
      </c>
      <c r="H2" s="697">
        <v>10</v>
      </c>
      <c r="I2" s="696"/>
      <c r="J2" s="696"/>
      <c r="K2" s="696"/>
      <c r="L2" s="696">
        <v>11</v>
      </c>
      <c r="M2" s="697"/>
      <c r="N2" s="697"/>
      <c r="O2" s="696"/>
      <c r="P2" s="696"/>
      <c r="Q2" s="696" t="s">
        <v>1033</v>
      </c>
      <c r="R2" s="696"/>
      <c r="S2" s="696" t="s">
        <v>675</v>
      </c>
      <c r="T2" s="696"/>
      <c r="U2" s="891">
        <f>($D2*dpsStr+$E2*dpsAgi+$G2*dpsCrit+$H2*dpsHit+$F2*dpsAP+$I2*dpsHaste+$J2*dpsArmor+$K2*dpsExp+IF(MID(Q2,1,1)+MID(Q2,3,1)+MID(Q2,5,1)&gt;0,VLOOKUP('Gear &amp; Buffs'!$B$37,GenSocketStats,18,FALSE)+IF(MID(Q2,1,1)+MID(Q2,3,1)+MID(Q2,5,1)&gt;1,VLOOKUP('Gear &amp; Buffs'!$B$38,GenSocketStats,18,FALSE)+IF(MID(Q2,1,1)+MID(Q2,3,1)+MID(Q2,5,1)&gt;2,VLOOKUP('Gear &amp; Buffs'!$B$39,GenSocketStats,18,FALSE),0)),0))-'Gear &amp; Buffs'!$AF$35</f>
        <v>-124.80599133592091</v>
      </c>
      <c r="V2" s="221">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1689</v>
      </c>
    </row>
    <row r="3" spans="1:24">
      <c r="A3" s="736" t="s">
        <v>1569</v>
      </c>
      <c r="B3" s="696">
        <v>29148</v>
      </c>
      <c r="C3" s="696">
        <v>3</v>
      </c>
      <c r="D3" s="696"/>
      <c r="E3" s="696">
        <v>20</v>
      </c>
      <c r="F3" s="696">
        <v>70</v>
      </c>
      <c r="G3" s="697"/>
      <c r="H3" s="697">
        <v>15</v>
      </c>
      <c r="I3" s="696"/>
      <c r="J3" s="696"/>
      <c r="K3" s="696"/>
      <c r="L3" s="696"/>
      <c r="M3" s="697"/>
      <c r="N3" s="697"/>
      <c r="O3" s="696"/>
      <c r="P3" s="696"/>
      <c r="Q3" s="696" t="s">
        <v>1033</v>
      </c>
      <c r="R3" s="696"/>
      <c r="S3" s="696" t="s">
        <v>676</v>
      </c>
      <c r="T3" s="696"/>
      <c r="U3" s="891">
        <f>($D3*dpsStr+$E3*dpsAgi+$G3*dpsCrit+$H3*dpsHit+$F3*dpsAP+$I3*dpsHaste+$J3*dpsArmor+$K3*dpsExp+IF(MID(Q3,1,1)+MID(Q3,3,1)+MID(Q3,5,1)&gt;0,VLOOKUP('Gear &amp; Buffs'!$B$37,GenSocketStats,18,FALSE)+IF(MID(Q3,1,1)+MID(Q3,3,1)+MID(Q3,5,1)&gt;1,VLOOKUP('Gear &amp; Buffs'!$B$38,GenSocketStats,18,FALSE)+IF(MID(Q3,1,1)+MID(Q3,3,1)+MID(Q3,5,1)&gt;2,VLOOKUP('Gear &amp; Buffs'!$B$39,GenSocketStats,18,FALSE),0)),0))-'Gear &amp; Buffs'!$AF$35</f>
        <v>-85.622718357050644</v>
      </c>
      <c r="V3" s="221"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row>
    <row r="4" spans="1:24">
      <c r="A4" s="677" t="s">
        <v>1445</v>
      </c>
      <c r="B4" s="678">
        <v>28755</v>
      </c>
      <c r="C4" s="678">
        <v>1</v>
      </c>
      <c r="D4" s="678"/>
      <c r="E4" s="678"/>
      <c r="F4" s="678">
        <v>58</v>
      </c>
      <c r="G4" s="679">
        <v>21</v>
      </c>
      <c r="H4" s="679">
        <v>13</v>
      </c>
      <c r="I4" s="678"/>
      <c r="J4" s="678"/>
      <c r="K4" s="678"/>
      <c r="L4" s="678">
        <v>30</v>
      </c>
      <c r="M4" s="679"/>
      <c r="N4" s="679"/>
      <c r="O4" s="678"/>
      <c r="P4" s="678"/>
      <c r="Q4" s="678" t="s">
        <v>1446</v>
      </c>
      <c r="R4" s="678" t="s">
        <v>1447</v>
      </c>
      <c r="S4" s="678" t="s">
        <v>672</v>
      </c>
      <c r="T4" s="678"/>
      <c r="U4" s="891">
        <f>($D4*dpsStr+$E4*dpsAgi+$G4*dpsCrit+$H4*dpsHit+$F4*dpsAP+$I4*dpsHaste+$J4*dpsArmor+$K4*dpsExp+IF(MID(Q4,1,1)+MID(Q4,3,1)+MID(Q4,5,1)&gt;0,VLOOKUP('Gear &amp; Buffs'!$B$37,GenSocketStats,18,FALSE)+IF(MID(Q4,1,1)+MID(Q4,3,1)+MID(Q4,5,1)&gt;1,VLOOKUP('Gear &amp; Buffs'!$B$38,GenSocketStats,18,FALSE)+IF(MID(Q4,1,1)+MID(Q4,3,1)+MID(Q4,5,1)&gt;2,VLOOKUP('Gear &amp; Buffs'!$B$39,GenSocketStats,18,FALSE),0)),0))-'Gear &amp; Buffs'!$AF$35</f>
        <v>-14.35277309853268</v>
      </c>
      <c r="V4" s="221">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8">
        <v>1</v>
      </c>
      <c r="X4" s="714" t="str">
        <f t="shared" ref="X4:X32" si="0">IF(ISNA(INDEX($A$2:$A$30,MATCH(W4,V$2:V$30,0))), "", INDEX($A$2:$A$30,MATCH(W4,V$2:V$30,0)))</f>
        <v>Azurestrike Shoulders</v>
      </c>
    </row>
    <row r="5" spans="1:24">
      <c r="A5" s="677" t="s">
        <v>2338</v>
      </c>
      <c r="B5" s="678">
        <v>22479</v>
      </c>
      <c r="C5" s="678">
        <v>1</v>
      </c>
      <c r="D5" s="678">
        <v>22</v>
      </c>
      <c r="E5" s="678">
        <v>22</v>
      </c>
      <c r="F5" s="678"/>
      <c r="G5" s="679">
        <v>14</v>
      </c>
      <c r="H5" s="679">
        <v>10</v>
      </c>
      <c r="I5" s="678"/>
      <c r="J5" s="678"/>
      <c r="K5" s="678"/>
      <c r="L5" s="678">
        <v>15</v>
      </c>
      <c r="M5" s="679"/>
      <c r="N5" s="679"/>
      <c r="O5" s="678"/>
      <c r="P5" s="678" t="s">
        <v>2335</v>
      </c>
      <c r="Q5" s="678" t="s">
        <v>1033</v>
      </c>
      <c r="R5" s="678"/>
      <c r="S5" s="678" t="s">
        <v>668</v>
      </c>
      <c r="T5" s="678"/>
      <c r="U5" s="891">
        <f>($D5*dpsStr+$E5*dpsAgi+$G5*dpsCrit+$H5*dpsHit+$F5*dpsAP+$I5*dpsHaste+$J5*dpsArmor+$K5*dpsExp+IF(MID(Q5,1,1)+MID(Q5,3,1)+MID(Q5,5,1)&gt;0,VLOOKUP('Gear &amp; Buffs'!$B$37,GenSocketStats,18,FALSE)+IF(MID(Q5,1,1)+MID(Q5,3,1)+MID(Q5,5,1)&gt;1,VLOOKUP('Gear &amp; Buffs'!$B$38,GenSocketStats,18,FALSE)+IF(MID(Q5,1,1)+MID(Q5,3,1)+MID(Q5,5,1)&gt;2,VLOOKUP('Gear &amp; Buffs'!$B$39,GenSocketStats,18,FALSE),0)),0))-'Gear &amp; Buffs'!$AF$35</f>
        <v>-118.48301686103764</v>
      </c>
      <c r="V5" s="221">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3</v>
      </c>
      <c r="W5" s="738">
        <v>2</v>
      </c>
      <c r="X5" s="714" t="str">
        <f t="shared" si="0"/>
        <v>Bladed Shoulderpads of the Merciless</v>
      </c>
    </row>
    <row r="6" spans="1:24">
      <c r="A6" s="677" t="s">
        <v>1487</v>
      </c>
      <c r="B6" s="678">
        <v>35035</v>
      </c>
      <c r="C6" s="678">
        <v>5</v>
      </c>
      <c r="D6" s="678"/>
      <c r="E6" s="678">
        <v>39</v>
      </c>
      <c r="F6" s="678">
        <v>38</v>
      </c>
      <c r="G6" s="679">
        <v>31</v>
      </c>
      <c r="H6" s="679"/>
      <c r="I6" s="678"/>
      <c r="J6" s="678"/>
      <c r="K6" s="678"/>
      <c r="L6" s="678">
        <v>55</v>
      </c>
      <c r="M6" s="679"/>
      <c r="N6" s="679">
        <v>25</v>
      </c>
      <c r="O6" s="678"/>
      <c r="P6" s="678" t="s">
        <v>1068</v>
      </c>
      <c r="Q6" s="678" t="s">
        <v>1045</v>
      </c>
      <c r="R6" s="678" t="s">
        <v>1452</v>
      </c>
      <c r="S6" s="678" t="s">
        <v>677</v>
      </c>
      <c r="T6" s="678"/>
      <c r="U6" s="891">
        <f>($D6*dpsStr+$E6*dpsAgi+$G6*dpsCrit+$H6*dpsHit+$F6*dpsAP+$I6*dpsHaste+$J6*dpsArmor+$K6*dpsExp+IF(MID(Q6,1,1)+MID(Q6,3,1)+MID(Q6,5,1)&gt;0,VLOOKUP('Gear &amp; Buffs'!$B$37,GenSocketStats,18,FALSE)+IF(MID(Q6,1,1)+MID(Q6,3,1)+MID(Q6,5,1)&gt;1,VLOOKUP('Gear &amp; Buffs'!$B$38,GenSocketStats,18,FALSE)+IF(MID(Q6,1,1)+MID(Q6,3,1)+MID(Q6,5,1)&gt;2,VLOOKUP('Gear &amp; Buffs'!$B$39,GenSocketStats,18,FALSE),0)),0))-'Gear &amp; Buffs'!$AF$35</f>
        <v>-54.530517729130224</v>
      </c>
      <c r="V6" s="221"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8">
        <v>3</v>
      </c>
      <c r="X6" s="714" t="str">
        <f t="shared" si="0"/>
        <v>Bonescythe Pauldrons</v>
      </c>
    </row>
    <row r="7" spans="1:24">
      <c r="A7" s="677" t="s">
        <v>1448</v>
      </c>
      <c r="B7" s="678">
        <v>30149</v>
      </c>
      <c r="C7" s="678">
        <v>2</v>
      </c>
      <c r="D7" s="678"/>
      <c r="E7" s="678">
        <v>34</v>
      </c>
      <c r="F7" s="678">
        <v>54</v>
      </c>
      <c r="G7" s="679">
        <v>13</v>
      </c>
      <c r="H7" s="679"/>
      <c r="I7" s="678"/>
      <c r="J7" s="678"/>
      <c r="K7" s="678"/>
      <c r="L7" s="678">
        <v>37</v>
      </c>
      <c r="M7" s="679"/>
      <c r="N7" s="679"/>
      <c r="O7" s="678"/>
      <c r="P7" s="678" t="s">
        <v>1063</v>
      </c>
      <c r="Q7" s="678" t="s">
        <v>1037</v>
      </c>
      <c r="R7" s="678" t="s">
        <v>1449</v>
      </c>
      <c r="S7" s="678" t="s">
        <v>680</v>
      </c>
      <c r="T7" s="678"/>
      <c r="U7" s="891">
        <f>($D7*dpsStr+$E7*dpsAgi+$G7*dpsCrit+$H7*dpsHit+$F7*dpsAP+$I7*dpsHaste+$J7*dpsArmor+$K7*dpsExp+IF(MID(Q7,1,1)+MID(Q7,3,1)+MID(Q7,5,1)&gt;0,VLOOKUP('Gear &amp; Buffs'!$B$37,GenSocketStats,18,FALSE)+IF(MID(Q7,1,1)+MID(Q7,3,1)+MID(Q7,5,1)&gt;1,VLOOKUP('Gear &amp; Buffs'!$B$38,GenSocketStats,18,FALSE)+IF(MID(Q7,1,1)+MID(Q7,3,1)+MID(Q7,5,1)&gt;2,VLOOKUP('Gear &amp; Buffs'!$B$39,GenSocketStats,18,FALSE),0)),0))-'Gear &amp; Buffs'!$AF$35</f>
        <v>-65.293635161293196</v>
      </c>
      <c r="V7" s="221"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8">
        <v>4</v>
      </c>
      <c r="X7" s="714" t="str">
        <f t="shared" si="0"/>
        <v>Expedition Scout's Epaulets</v>
      </c>
    </row>
    <row r="8" spans="1:24">
      <c r="A8" s="677" t="s">
        <v>966</v>
      </c>
      <c r="B8" s="678">
        <v>34392</v>
      </c>
      <c r="C8" s="678">
        <v>5</v>
      </c>
      <c r="D8" s="678">
        <v>38</v>
      </c>
      <c r="E8" s="678">
        <v>38</v>
      </c>
      <c r="F8" s="678"/>
      <c r="G8" s="679">
        <v>20</v>
      </c>
      <c r="H8" s="679"/>
      <c r="I8" s="678"/>
      <c r="J8" s="678">
        <v>105</v>
      </c>
      <c r="K8" s="678"/>
      <c r="L8" s="678">
        <v>38</v>
      </c>
      <c r="M8" s="679"/>
      <c r="N8" s="679"/>
      <c r="O8" s="678"/>
      <c r="P8" s="678"/>
      <c r="Q8" s="678" t="s">
        <v>1037</v>
      </c>
      <c r="R8" s="678" t="s">
        <v>22</v>
      </c>
      <c r="S8" s="678" t="s">
        <v>871</v>
      </c>
      <c r="T8" s="678"/>
      <c r="U8" s="891">
        <f>($D8*dpsStr+$E8*dpsAgi+$G8*dpsCrit+$H8*dpsHit+$F8*dpsAP+$I8*dpsHaste+$J8*dpsArmor+$K8*dpsExp+IF(MID(Q8,1,1)+MID(Q8,3,1)+MID(Q8,5,1)&gt;0,VLOOKUP('Gear &amp; Buffs'!$B$37,GenSocketStats,18,FALSE)+IF(MID(Q8,1,1)+MID(Q8,3,1)+MID(Q8,5,1)&gt;1,VLOOKUP('Gear &amp; Buffs'!$B$38,GenSocketStats,18,FALSE)+IF(MID(Q8,1,1)+MID(Q8,3,1)+MID(Q8,5,1)&gt;2,VLOOKUP('Gear &amp; Buffs'!$B$39,GenSocketStats,18,FALSE),0)),0))-'Gear &amp; Buffs'!$AF$35</f>
        <v>-48.638232720457836</v>
      </c>
      <c r="V8" s="221"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8">
        <v>5</v>
      </c>
      <c r="X8" s="714" t="str">
        <f t="shared" si="0"/>
        <v>Gladiator's Leather Spaulders</v>
      </c>
    </row>
    <row r="9" spans="1:24">
      <c r="A9" s="677" t="s">
        <v>1450</v>
      </c>
      <c r="B9" s="678">
        <v>25790</v>
      </c>
      <c r="C9" s="678">
        <v>1</v>
      </c>
      <c r="D9" s="678"/>
      <c r="E9" s="678">
        <v>25</v>
      </c>
      <c r="F9" s="678">
        <v>50</v>
      </c>
      <c r="G9" s="679"/>
      <c r="H9" s="679">
        <v>24</v>
      </c>
      <c r="I9" s="678"/>
      <c r="J9" s="678"/>
      <c r="K9" s="678"/>
      <c r="L9" s="678"/>
      <c r="M9" s="679"/>
      <c r="N9" s="679"/>
      <c r="O9" s="678"/>
      <c r="P9" s="678"/>
      <c r="Q9" s="678" t="s">
        <v>1033</v>
      </c>
      <c r="R9" s="678"/>
      <c r="S9" s="678" t="s">
        <v>675</v>
      </c>
      <c r="T9" s="678"/>
      <c r="U9" s="891">
        <f>($D9*dpsStr+$E9*dpsAgi+$G9*dpsCrit+$H9*dpsHit+$F9*dpsAP+$I9*dpsHaste+$J9*dpsArmor+$K9*dpsExp+IF(MID(Q9,1,1)+MID(Q9,3,1)+MID(Q9,5,1)&gt;0,VLOOKUP('Gear &amp; Buffs'!$B$37,GenSocketStats,18,FALSE)+IF(MID(Q9,1,1)+MID(Q9,3,1)+MID(Q9,5,1)&gt;1,VLOOKUP('Gear &amp; Buffs'!$B$38,GenSocketStats,18,FALSE)+IF(MID(Q9,1,1)+MID(Q9,3,1)+MID(Q9,5,1)&gt;2,VLOOKUP('Gear &amp; Buffs'!$B$39,GenSocketStats,18,FALSE),0)),0))-'Gear &amp; Buffs'!$AF$35</f>
        <v>-38.682971323334641</v>
      </c>
      <c r="V9" s="221">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4</v>
      </c>
      <c r="W9" s="738">
        <v>6</v>
      </c>
      <c r="X9" s="714" t="str">
        <f t="shared" si="0"/>
        <v>Mantle of Perenolde</v>
      </c>
    </row>
    <row r="10" spans="1:24">
      <c r="A10" s="677" t="s">
        <v>1451</v>
      </c>
      <c r="B10" s="678">
        <v>25832</v>
      </c>
      <c r="C10" s="678">
        <v>1</v>
      </c>
      <c r="D10" s="678"/>
      <c r="E10" s="678">
        <v>29</v>
      </c>
      <c r="F10" s="678">
        <v>18</v>
      </c>
      <c r="G10" s="679">
        <v>21</v>
      </c>
      <c r="H10" s="679"/>
      <c r="I10" s="678"/>
      <c r="J10" s="678"/>
      <c r="K10" s="678"/>
      <c r="L10" s="678">
        <v>39</v>
      </c>
      <c r="M10" s="679"/>
      <c r="N10" s="679">
        <v>23</v>
      </c>
      <c r="O10" s="678"/>
      <c r="P10" s="678" t="s">
        <v>1068</v>
      </c>
      <c r="Q10" s="678" t="s">
        <v>1045</v>
      </c>
      <c r="R10" s="678" t="s">
        <v>1452</v>
      </c>
      <c r="S10" s="678" t="s">
        <v>677</v>
      </c>
      <c r="T10" s="678"/>
      <c r="U10" s="891">
        <f>($D10*dpsStr+$E10*dpsAgi+$G10*dpsCrit+$H10*dpsHit+$F10*dpsAP+$I10*dpsHaste+$J10*dpsArmor+$K10*dpsExp+IF(MID(Q10,1,1)+MID(Q10,3,1)+MID(Q10,5,1)&gt;0,VLOOKUP('Gear &amp; Buffs'!$B$37,GenSocketStats,18,FALSE)+IF(MID(Q10,1,1)+MID(Q10,3,1)+MID(Q10,5,1)&gt;1,VLOOKUP('Gear &amp; Buffs'!$B$38,GenSocketStats,18,FALSE)+IF(MID(Q10,1,1)+MID(Q10,3,1)+MID(Q10,5,1)&gt;2,VLOOKUP('Gear &amp; Buffs'!$B$39,GenSocketStats,18,FALSE),0)),0))-'Gear &amp; Buffs'!$AF$35</f>
        <v>-76.807209994678033</v>
      </c>
      <c r="V10" s="221">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5</v>
      </c>
      <c r="W10" s="738">
        <v>7</v>
      </c>
      <c r="X10" s="714" t="str">
        <f t="shared" si="0"/>
        <v>Mantle of the Unforgiven</v>
      </c>
    </row>
    <row r="11" spans="1:24">
      <c r="A11" s="677" t="s">
        <v>1456</v>
      </c>
      <c r="B11" s="678">
        <v>32377</v>
      </c>
      <c r="C11" s="678">
        <v>3</v>
      </c>
      <c r="D11" s="678"/>
      <c r="E11" s="678"/>
      <c r="F11" s="678">
        <v>94</v>
      </c>
      <c r="G11" s="679">
        <v>33</v>
      </c>
      <c r="H11" s="679">
        <v>22</v>
      </c>
      <c r="I11" s="678"/>
      <c r="J11" s="678"/>
      <c r="K11" s="678"/>
      <c r="L11" s="678">
        <v>34</v>
      </c>
      <c r="M11" s="679"/>
      <c r="N11" s="679"/>
      <c r="O11" s="678"/>
      <c r="P11" s="678"/>
      <c r="Q11" s="678" t="s">
        <v>1033</v>
      </c>
      <c r="R11" s="678"/>
      <c r="S11" s="678" t="s">
        <v>683</v>
      </c>
      <c r="T11" s="678"/>
      <c r="U11" s="891">
        <f>($D11*dpsStr+$E11*dpsAgi+$G11*dpsCrit+$H11*dpsHit+$F11*dpsAP+$I11*dpsHaste+$J11*dpsArmor+$K11*dpsExp+IF(MID(Q11,1,1)+MID(Q11,3,1)+MID(Q11,5,1)&gt;0,VLOOKUP('Gear &amp; Buffs'!$B$37,GenSocketStats,18,FALSE)+IF(MID(Q11,1,1)+MID(Q11,3,1)+MID(Q11,5,1)&gt;1,VLOOKUP('Gear &amp; Buffs'!$B$38,GenSocketStats,18,FALSE)+IF(MID(Q11,1,1)+MID(Q11,3,1)+MID(Q11,5,1)&gt;2,VLOOKUP('Gear &amp; Buffs'!$B$39,GenSocketStats,18,FALSE),0)),0))-'Gear &amp; Buffs'!$AF$35</f>
        <v>-32.109556771523103</v>
      </c>
      <c r="V11" s="221"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8">
        <v>8</v>
      </c>
      <c r="X11" s="714" t="str">
        <f t="shared" si="0"/>
        <v>Netherblade Shoulderpads</v>
      </c>
    </row>
    <row r="12" spans="1:24">
      <c r="A12" s="677" t="s">
        <v>1453</v>
      </c>
      <c r="B12" s="678">
        <v>27434</v>
      </c>
      <c r="C12" s="678">
        <v>1</v>
      </c>
      <c r="D12" s="678"/>
      <c r="E12" s="678"/>
      <c r="F12" s="678">
        <v>20</v>
      </c>
      <c r="G12" s="679">
        <v>23</v>
      </c>
      <c r="H12" s="679">
        <v>23</v>
      </c>
      <c r="I12" s="678"/>
      <c r="J12" s="678"/>
      <c r="K12" s="678"/>
      <c r="L12" s="678">
        <v>24</v>
      </c>
      <c r="M12" s="679"/>
      <c r="N12" s="679"/>
      <c r="O12" s="678"/>
      <c r="P12" s="678"/>
      <c r="Q12" s="678" t="s">
        <v>1454</v>
      </c>
      <c r="R12" s="678" t="s">
        <v>1455</v>
      </c>
      <c r="S12" s="678" t="s">
        <v>673</v>
      </c>
      <c r="T12" s="678"/>
      <c r="U12" s="891">
        <f>($D12*dpsStr+$E12*dpsAgi+$G12*dpsCrit+$H12*dpsHit+$F12*dpsAP+$I12*dpsHaste+$J12*dpsArmor+$K12*dpsExp+IF(MID(Q12,1,1)+MID(Q12,3,1)+MID(Q12,5,1)&gt;0,VLOOKUP('Gear &amp; Buffs'!$B$37,GenSocketStats,18,FALSE)+IF(MID(Q12,1,1)+MID(Q12,3,1)+MID(Q12,5,1)&gt;1,VLOOKUP('Gear &amp; Buffs'!$B$38,GenSocketStats,18,FALSE)+IF(MID(Q12,1,1)+MID(Q12,3,1)+MID(Q12,5,1)&gt;2,VLOOKUP('Gear &amp; Buffs'!$B$39,GenSocketStats,18,FALSE),0)),0))-'Gear &amp; Buffs'!$AF$35</f>
        <v>28.940593201261663</v>
      </c>
      <c r="V12" s="221">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8">
        <v>9</v>
      </c>
      <c r="X12" s="714" t="str">
        <f t="shared" si="0"/>
        <v>Opportunist's Leather Spaulders</v>
      </c>
    </row>
    <row r="13" spans="1:24">
      <c r="A13" s="683" t="s">
        <v>2339</v>
      </c>
      <c r="B13" s="678">
        <v>32080</v>
      </c>
      <c r="C13" s="678">
        <v>3</v>
      </c>
      <c r="D13" s="678"/>
      <c r="E13" s="678">
        <v>39</v>
      </c>
      <c r="F13" s="678">
        <v>34</v>
      </c>
      <c r="G13" s="679"/>
      <c r="H13" s="679"/>
      <c r="I13" s="678"/>
      <c r="J13" s="678"/>
      <c r="K13" s="678"/>
      <c r="L13" s="678">
        <v>33</v>
      </c>
      <c r="M13" s="679"/>
      <c r="N13" s="679"/>
      <c r="O13" s="678"/>
      <c r="P13" s="678"/>
      <c r="Q13" s="678" t="s">
        <v>1033</v>
      </c>
      <c r="R13" s="678"/>
      <c r="S13" s="678" t="s">
        <v>691</v>
      </c>
      <c r="T13" s="678"/>
      <c r="U13" s="891">
        <f>($D13*dpsStr+$E13*dpsAgi+$G13*dpsCrit+$H13*dpsHit+$F13*dpsAP+$I13*dpsHaste+$J13*dpsArmor+$K13*dpsExp+IF(MID(Q13,1,1)+MID(Q13,3,1)+MID(Q13,5,1)&gt;0,VLOOKUP('Gear &amp; Buffs'!$B$37,GenSocketStats,18,FALSE)+IF(MID(Q13,1,1)+MID(Q13,3,1)+MID(Q13,5,1)&gt;1,VLOOKUP('Gear &amp; Buffs'!$B$38,GenSocketStats,18,FALSE)+IF(MID(Q13,1,1)+MID(Q13,3,1)+MID(Q13,5,1)&gt;2,VLOOKUP('Gear &amp; Buffs'!$B$39,GenSocketStats,18,FALSE),0)),0))-'Gear &amp; Buffs'!$AF$35</f>
        <v>-166.02002677737937</v>
      </c>
      <c r="V13" s="221"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8">
        <v>10</v>
      </c>
      <c r="X13" s="714" t="str">
        <f t="shared" si="0"/>
        <v>Shoulderpads of Assassination</v>
      </c>
    </row>
    <row r="14" spans="1:24">
      <c r="A14" s="677" t="s">
        <v>2340</v>
      </c>
      <c r="B14" s="678">
        <v>27831</v>
      </c>
      <c r="C14" s="678">
        <v>1</v>
      </c>
      <c r="D14" s="678"/>
      <c r="E14" s="678"/>
      <c r="F14" s="678">
        <v>52</v>
      </c>
      <c r="G14" s="679">
        <v>21</v>
      </c>
      <c r="H14" s="679">
        <v>12</v>
      </c>
      <c r="I14" s="678"/>
      <c r="J14" s="678"/>
      <c r="K14" s="678"/>
      <c r="L14" s="678">
        <v>25</v>
      </c>
      <c r="M14" s="679"/>
      <c r="N14" s="679"/>
      <c r="O14" s="678"/>
      <c r="P14" s="678"/>
      <c r="Q14" s="678" t="s">
        <v>1033</v>
      </c>
      <c r="R14" s="678"/>
      <c r="S14" s="678" t="s">
        <v>691</v>
      </c>
      <c r="T14" s="678"/>
      <c r="U14" s="891">
        <f>($D14*dpsStr+$E14*dpsAgi+$G14*dpsCrit+$H14*dpsHit+$F14*dpsAP+$I14*dpsHaste+$J14*dpsArmor+$K14*dpsExp+IF(MID(Q14,1,1)+MID(Q14,3,1)+MID(Q14,5,1)&gt;0,VLOOKUP('Gear &amp; Buffs'!$B$37,GenSocketStats,18,FALSE)+IF(MID(Q14,1,1)+MID(Q14,3,1)+MID(Q14,5,1)&gt;1,VLOOKUP('Gear &amp; Buffs'!$B$38,GenSocketStats,18,FALSE)+IF(MID(Q14,1,1)+MID(Q14,3,1)+MID(Q14,5,1)&gt;2,VLOOKUP('Gear &amp; Buffs'!$B$39,GenSocketStats,18,FALSE),0)),0))-'Gear &amp; Buffs'!$AF$35</f>
        <v>-110.8472881948253</v>
      </c>
      <c r="V14" s="221">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8">
        <v>11</v>
      </c>
      <c r="X14" s="714" t="str">
        <f t="shared" si="0"/>
        <v>Sun-Gilded Shouldercaps</v>
      </c>
    </row>
    <row r="15" spans="1:24">
      <c r="A15" s="677" t="s">
        <v>1457</v>
      </c>
      <c r="B15" s="678">
        <v>32001</v>
      </c>
      <c r="C15" s="678">
        <v>2</v>
      </c>
      <c r="D15" s="678"/>
      <c r="E15" s="678">
        <v>32</v>
      </c>
      <c r="F15" s="678">
        <v>24</v>
      </c>
      <c r="G15" s="679">
        <v>24</v>
      </c>
      <c r="H15" s="679"/>
      <c r="I15" s="678"/>
      <c r="J15" s="678"/>
      <c r="K15" s="678"/>
      <c r="L15" s="678">
        <v>45</v>
      </c>
      <c r="M15" s="679"/>
      <c r="N15" s="679">
        <v>25</v>
      </c>
      <c r="O15" s="678"/>
      <c r="P15" s="678" t="s">
        <v>1068</v>
      </c>
      <c r="Q15" s="678" t="s">
        <v>1045</v>
      </c>
      <c r="R15" s="678" t="s">
        <v>1452</v>
      </c>
      <c r="S15" s="678" t="s">
        <v>677</v>
      </c>
      <c r="T15" s="678"/>
      <c r="U15" s="891">
        <f>($D15*dpsStr+$E15*dpsAgi+$G15*dpsCrit+$H15*dpsHit+$F15*dpsAP+$I15*dpsHaste+$J15*dpsArmor+$K15*dpsExp+IF(MID(Q15,1,1)+MID(Q15,3,1)+MID(Q15,5,1)&gt;0,VLOOKUP('Gear &amp; Buffs'!$B$37,GenSocketStats,18,FALSE)+IF(MID(Q15,1,1)+MID(Q15,3,1)+MID(Q15,5,1)&gt;1,VLOOKUP('Gear &amp; Buffs'!$B$38,GenSocketStats,18,FALSE)+IF(MID(Q15,1,1)+MID(Q15,3,1)+MID(Q15,5,1)&gt;2,VLOOKUP('Gear &amp; Buffs'!$B$39,GenSocketStats,18,FALSE),0)),0))-'Gear &amp; Buffs'!$AF$35</f>
        <v>-70.12420231501369</v>
      </c>
      <c r="V15" s="221"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8">
        <v>12</v>
      </c>
      <c r="X15" s="714" t="str">
        <f t="shared" si="0"/>
        <v>Talbuk Hide Spaulders</v>
      </c>
    </row>
    <row r="16" spans="1:24">
      <c r="A16" s="677" t="s">
        <v>1458</v>
      </c>
      <c r="B16" s="678">
        <v>29047</v>
      </c>
      <c r="C16" s="678">
        <v>1</v>
      </c>
      <c r="D16" s="678"/>
      <c r="E16" s="678">
        <v>20</v>
      </c>
      <c r="F16" s="678">
        <v>52</v>
      </c>
      <c r="G16" s="679"/>
      <c r="H16" s="679">
        <v>13</v>
      </c>
      <c r="I16" s="678"/>
      <c r="J16" s="678"/>
      <c r="K16" s="678"/>
      <c r="L16" s="678">
        <v>38</v>
      </c>
      <c r="M16" s="679"/>
      <c r="N16" s="679"/>
      <c r="O16" s="678"/>
      <c r="P16" s="678" t="s">
        <v>1078</v>
      </c>
      <c r="Q16" s="678" t="s">
        <v>1454</v>
      </c>
      <c r="R16" s="678" t="s">
        <v>1459</v>
      </c>
      <c r="S16" s="678" t="s">
        <v>678</v>
      </c>
      <c r="T16" s="678"/>
      <c r="U16" s="891">
        <f>($D16*dpsStr+$E16*dpsAgi+$G16*dpsCrit+$H16*dpsHit+$F16*dpsAP+$I16*dpsHaste+$J16*dpsArmor+$K16*dpsExp+IF(MID(Q16,1,1)+MID(Q16,3,1)+MID(Q16,5,1)&gt;0,VLOOKUP('Gear &amp; Buffs'!$B$37,GenSocketStats,18,FALSE)+IF(MID(Q16,1,1)+MID(Q16,3,1)+MID(Q16,5,1)&gt;1,VLOOKUP('Gear &amp; Buffs'!$B$38,GenSocketStats,18,FALSE)+IF(MID(Q16,1,1)+MID(Q16,3,1)+MID(Q16,5,1)&gt;2,VLOOKUP('Gear &amp; Buffs'!$B$39,GenSocketStats,18,FALSE),0)),0))-'Gear &amp; Buffs'!$AF$35</f>
        <v>-14.354218282663396</v>
      </c>
      <c r="V16" s="221">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8">
        <v>13</v>
      </c>
      <c r="X16" s="714" t="str">
        <f t="shared" si="0"/>
        <v>Wastewalker Shoulderpads</v>
      </c>
    </row>
    <row r="17" spans="1:31" s="47" customFormat="1">
      <c r="A17" s="677" t="s">
        <v>702</v>
      </c>
      <c r="B17" s="678">
        <v>35369</v>
      </c>
      <c r="C17" s="678">
        <v>1</v>
      </c>
      <c r="D17" s="678"/>
      <c r="E17" s="678">
        <v>13</v>
      </c>
      <c r="F17" s="678">
        <v>22</v>
      </c>
      <c r="G17" s="679">
        <v>11</v>
      </c>
      <c r="H17" s="679"/>
      <c r="I17" s="678"/>
      <c r="J17" s="678"/>
      <c r="K17" s="678"/>
      <c r="L17" s="678">
        <v>31</v>
      </c>
      <c r="M17" s="679"/>
      <c r="N17" s="679">
        <v>13</v>
      </c>
      <c r="O17" s="678"/>
      <c r="P17" s="678" t="s">
        <v>2861</v>
      </c>
      <c r="Q17" s="678" t="s">
        <v>1045</v>
      </c>
      <c r="R17" s="678" t="s">
        <v>1452</v>
      </c>
      <c r="S17" s="678" t="s">
        <v>676</v>
      </c>
      <c r="T17" s="678"/>
      <c r="U17" s="891">
        <f>($D17*dpsStr+$E17*dpsAgi+$G17*dpsCrit+$H17*dpsHit+$F17*dpsAP+$I17*dpsHaste+$J17*dpsArmor+$K17*dpsExp+IF(MID(Q17,1,1)+MID(Q17,3,1)+MID(Q17,5,1)&gt;0,VLOOKUP('Gear &amp; Buffs'!$B$37,GenSocketStats,18,FALSE)+IF(MID(Q17,1,1)+MID(Q17,3,1)+MID(Q17,5,1)&gt;1,VLOOKUP('Gear &amp; Buffs'!$B$38,GenSocketStats,18,FALSE)+IF(MID(Q17,1,1)+MID(Q17,3,1)+MID(Q17,5,1)&gt;2,VLOOKUP('Gear &amp; Buffs'!$B$39,GenSocketStats,18,FALSE),0)),0))-'Gear &amp; Buffs'!$AF$35</f>
        <v>-95.471258855711767</v>
      </c>
      <c r="V17" s="221">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9</v>
      </c>
      <c r="W17" s="738">
        <v>14</v>
      </c>
      <c r="X17" s="714" t="str">
        <f t="shared" si="0"/>
        <v>(Unmodeled)</v>
      </c>
    </row>
    <row r="18" spans="1:31" s="47" customFormat="1">
      <c r="A18" s="677" t="s">
        <v>1460</v>
      </c>
      <c r="B18" s="678">
        <v>30917</v>
      </c>
      <c r="C18" s="678">
        <v>3</v>
      </c>
      <c r="D18" s="678"/>
      <c r="E18" s="678">
        <v>28</v>
      </c>
      <c r="F18" s="678">
        <v>76</v>
      </c>
      <c r="G18" s="679">
        <v>23</v>
      </c>
      <c r="H18" s="679"/>
      <c r="I18" s="678"/>
      <c r="J18" s="678"/>
      <c r="K18" s="678"/>
      <c r="L18" s="678">
        <v>55</v>
      </c>
      <c r="M18" s="679"/>
      <c r="N18" s="679"/>
      <c r="O18" s="678"/>
      <c r="P18" s="678"/>
      <c r="Q18" s="678" t="s">
        <v>1033</v>
      </c>
      <c r="R18" s="678"/>
      <c r="S18" s="678" t="s">
        <v>684</v>
      </c>
      <c r="T18" s="678"/>
      <c r="U18" s="891">
        <f>($D18*dpsStr+$E18*dpsAgi+$G18*dpsCrit+$H18*dpsHit+$F18*dpsAP+$I18*dpsHaste+$J18*dpsArmor+$K18*dpsExp+IF(MID(Q18,1,1)+MID(Q18,3,1)+MID(Q18,5,1)&gt;0,VLOOKUP('Gear &amp; Buffs'!$B$37,GenSocketStats,18,FALSE)+IF(MID(Q18,1,1)+MID(Q18,3,1)+MID(Q18,5,1)&gt;1,VLOOKUP('Gear &amp; Buffs'!$B$38,GenSocketStats,18,FALSE)+IF(MID(Q18,1,1)+MID(Q18,3,1)+MID(Q18,5,1)&gt;2,VLOOKUP('Gear &amp; Buffs'!$B$39,GenSocketStats,18,FALSE),0)),0))-'Gear &amp; Buffs'!$AF$35</f>
        <v>-144.33819222742909</v>
      </c>
      <c r="V18" s="221"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8">
        <v>15</v>
      </c>
      <c r="X18" s="714" t="str">
        <f t="shared" si="0"/>
        <v/>
      </c>
    </row>
    <row r="19" spans="1:31" s="47" customFormat="1">
      <c r="A19" s="677" t="s">
        <v>1461</v>
      </c>
      <c r="B19" s="678">
        <v>27776</v>
      </c>
      <c r="C19" s="678">
        <v>1</v>
      </c>
      <c r="D19" s="678"/>
      <c r="E19" s="678">
        <v>25</v>
      </c>
      <c r="F19" s="678">
        <v>42</v>
      </c>
      <c r="G19" s="679"/>
      <c r="H19" s="679"/>
      <c r="I19" s="678"/>
      <c r="J19" s="678"/>
      <c r="K19" s="678"/>
      <c r="L19" s="678">
        <v>25</v>
      </c>
      <c r="M19" s="679"/>
      <c r="N19" s="679"/>
      <c r="O19" s="678"/>
      <c r="P19" s="678" t="s">
        <v>2146</v>
      </c>
      <c r="Q19" s="678" t="s">
        <v>1446</v>
      </c>
      <c r="R19" s="678" t="s">
        <v>1459</v>
      </c>
      <c r="S19" s="678" t="s">
        <v>673</v>
      </c>
      <c r="T19" s="678"/>
      <c r="U19" s="891">
        <f>($D19*dpsStr+$E19*dpsAgi+$G19*dpsCrit+$H19*dpsHit+$F19*dpsAP+$I19*dpsHaste+$J19*dpsArmor+$K19*dpsExp+IF(MID(Q19,1,1)+MID(Q19,3,1)+MID(Q19,5,1)&gt;0,VLOOKUP('Gear &amp; Buffs'!$B$37,GenSocketStats,18,FALSE)+IF(MID(Q19,1,1)+MID(Q19,3,1)+MID(Q19,5,1)&gt;1,VLOOKUP('Gear &amp; Buffs'!$B$38,GenSocketStats,18,FALSE)+IF(MID(Q19,1,1)+MID(Q19,3,1)+MID(Q19,5,1)&gt;2,VLOOKUP('Gear &amp; Buffs'!$B$39,GenSocketStats,18,FALSE),0)),0))-'Gear &amp; Buffs'!$AF$35</f>
        <v>-85.941863267193185</v>
      </c>
      <c r="V19" s="221">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8">
        <v>16</v>
      </c>
      <c r="X19" s="714" t="str">
        <f t="shared" si="0"/>
        <v/>
      </c>
    </row>
    <row r="20" spans="1:31" s="47" customFormat="1">
      <c r="A20" s="677" t="s">
        <v>1302</v>
      </c>
      <c r="B20" s="678">
        <v>33300</v>
      </c>
      <c r="C20" s="678">
        <v>4</v>
      </c>
      <c r="D20" s="678"/>
      <c r="E20" s="678">
        <v>33</v>
      </c>
      <c r="F20" s="678">
        <v>68</v>
      </c>
      <c r="G20" s="679"/>
      <c r="H20" s="679">
        <v>16</v>
      </c>
      <c r="I20" s="678"/>
      <c r="J20" s="678"/>
      <c r="K20" s="678"/>
      <c r="L20" s="678">
        <v>39</v>
      </c>
      <c r="M20" s="679"/>
      <c r="N20" s="679"/>
      <c r="O20" s="678"/>
      <c r="P20" s="678"/>
      <c r="Q20" s="678" t="s">
        <v>1033</v>
      </c>
      <c r="R20" s="678"/>
      <c r="S20" s="678" t="s">
        <v>664</v>
      </c>
      <c r="T20" s="678"/>
      <c r="U20" s="891">
        <f>($D20*dpsStr+$E20*dpsAgi+$G20*dpsCrit+$H20*dpsHit+$F20*dpsAP+$I20*dpsHaste+$J20*dpsArmor+$K20*dpsExp+IF(MID(Q20,1,1)+MID(Q20,3,1)+MID(Q20,5,1)&gt;0,VLOOKUP('Gear &amp; Buffs'!$B$37,GenSocketStats,18,FALSE)+IF(MID(Q20,1,1)+MID(Q20,3,1)+MID(Q20,5,1)&gt;1,VLOOKUP('Gear &amp; Buffs'!$B$38,GenSocketStats,18,FALSE)+IF(MID(Q20,1,1)+MID(Q20,3,1)+MID(Q20,5,1)&gt;2,VLOOKUP('Gear &amp; Buffs'!$B$39,GenSocketStats,18,FALSE),0)),0))-'Gear &amp; Buffs'!$AF$35</f>
        <v>-70.033579640279186</v>
      </c>
      <c r="V20" s="221"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8">
        <v>17</v>
      </c>
      <c r="X20" s="714" t="str">
        <f t="shared" si="0"/>
        <v/>
      </c>
    </row>
    <row r="21" spans="1:31">
      <c r="A21" s="677" t="s">
        <v>1143</v>
      </c>
      <c r="B21" s="678">
        <v>34613</v>
      </c>
      <c r="C21" s="678">
        <v>5</v>
      </c>
      <c r="D21" s="678"/>
      <c r="E21" s="678">
        <v>35</v>
      </c>
      <c r="F21" s="678">
        <v>62</v>
      </c>
      <c r="G21" s="679"/>
      <c r="H21" s="679">
        <v>23</v>
      </c>
      <c r="I21" s="678"/>
      <c r="J21" s="678"/>
      <c r="K21" s="678"/>
      <c r="L21" s="678">
        <v>32</v>
      </c>
      <c r="M21" s="679"/>
      <c r="N21" s="679"/>
      <c r="O21" s="678"/>
      <c r="P21" s="678"/>
      <c r="Q21" s="678" t="s">
        <v>1033</v>
      </c>
      <c r="R21" s="678"/>
      <c r="S21" s="678" t="s">
        <v>691</v>
      </c>
      <c r="T21" s="678"/>
      <c r="U21" s="891">
        <f>($D21*dpsStr+$E21*dpsAgi+$G21*dpsCrit+$H21*dpsHit+$F21*dpsAP+$I21*dpsHaste+$J21*dpsArmor+$K21*dpsExp+IF(MID(Q21,1,1)+MID(Q21,3,1)+MID(Q21,5,1)&gt;0,VLOOKUP('Gear &amp; Buffs'!$B$37,GenSocketStats,18,FALSE)+IF(MID(Q21,1,1)+MID(Q21,3,1)+MID(Q21,5,1)&gt;1,VLOOKUP('Gear &amp; Buffs'!$B$38,GenSocketStats,18,FALSE)+IF(MID(Q21,1,1)+MID(Q21,3,1)+MID(Q21,5,1)&gt;2,VLOOKUP('Gear &amp; Buffs'!$B$39,GenSocketStats,18,FALSE),0)),0))-'Gear &amp; Buffs'!$AF$35</f>
        <v>-31.672913786850131</v>
      </c>
      <c r="V21" s="221"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8">
        <v>18</v>
      </c>
      <c r="X21" s="714" t="str">
        <f t="shared" si="0"/>
        <v/>
      </c>
    </row>
    <row r="22" spans="1:31" s="129" customFormat="1">
      <c r="A22" s="677" t="s">
        <v>1462</v>
      </c>
      <c r="B22" s="678">
        <v>30055</v>
      </c>
      <c r="C22" s="678">
        <v>2</v>
      </c>
      <c r="D22" s="678"/>
      <c r="E22" s="678">
        <v>33</v>
      </c>
      <c r="F22" s="678">
        <v>60</v>
      </c>
      <c r="G22" s="679">
        <v>16</v>
      </c>
      <c r="H22" s="679"/>
      <c r="I22" s="678"/>
      <c r="J22" s="678"/>
      <c r="K22" s="678">
        <v>10</v>
      </c>
      <c r="L22" s="678">
        <v>28</v>
      </c>
      <c r="M22" s="679"/>
      <c r="N22" s="679"/>
      <c r="O22" s="678"/>
      <c r="P22" s="678"/>
      <c r="Q22" s="678" t="s">
        <v>1035</v>
      </c>
      <c r="R22" s="678" t="s">
        <v>1463</v>
      </c>
      <c r="S22" s="678" t="s">
        <v>667</v>
      </c>
      <c r="T22" s="678"/>
      <c r="U22" s="891">
        <f>($D22*dpsStr+$E22*dpsAgi+$G22*dpsCrit+$H22*dpsHit+$F22*dpsAP+$I22*dpsHaste+$J22*dpsArmor+$K22*dpsExp+IF(MID(Q22,1,1)+MID(Q22,3,1)+MID(Q22,5,1)&gt;0,VLOOKUP('Gear &amp; Buffs'!$B$37,GenSocketStats,18,FALSE)+IF(MID(Q22,1,1)+MID(Q22,3,1)+MID(Q22,5,1)&gt;1,VLOOKUP('Gear &amp; Buffs'!$B$38,GenSocketStats,18,FALSE)+IF(MID(Q22,1,1)+MID(Q22,3,1)+MID(Q22,5,1)&gt;2,VLOOKUP('Gear &amp; Buffs'!$B$39,GenSocketStats,18,FALSE),0)),0))-'Gear &amp; Buffs'!$AF$35</f>
        <v>-94.53362923269151</v>
      </c>
      <c r="V22" s="221"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8">
        <v>19</v>
      </c>
      <c r="X22" s="714" t="str">
        <f t="shared" si="0"/>
        <v/>
      </c>
    </row>
    <row r="23" spans="1:31">
      <c r="A23" s="677" t="s">
        <v>873</v>
      </c>
      <c r="B23" s="678">
        <v>34195</v>
      </c>
      <c r="C23" s="678">
        <v>5</v>
      </c>
      <c r="D23" s="678"/>
      <c r="E23" s="678">
        <v>33</v>
      </c>
      <c r="F23" s="678">
        <v>90</v>
      </c>
      <c r="G23" s="679"/>
      <c r="H23" s="679">
        <v>26</v>
      </c>
      <c r="I23" s="678">
        <v>30</v>
      </c>
      <c r="J23" s="678"/>
      <c r="K23" s="678"/>
      <c r="L23" s="678">
        <v>45</v>
      </c>
      <c r="M23" s="679"/>
      <c r="N23" s="679"/>
      <c r="O23" s="678"/>
      <c r="P23" s="678"/>
      <c r="Q23" s="678" t="s">
        <v>1033</v>
      </c>
      <c r="R23" s="678"/>
      <c r="S23" s="678" t="s">
        <v>871</v>
      </c>
      <c r="T23" s="678"/>
      <c r="U23" s="891">
        <f>($D23*dpsStr+$E23*dpsAgi+$G23*dpsCrit+$H23*dpsHit+$F23*dpsAP+$I23*dpsHaste+$J23*dpsArmor+$K23*dpsExp+IF(MID(Q23,1,1)+MID(Q23,3,1)+MID(Q23,5,1)&gt;0,VLOOKUP('Gear &amp; Buffs'!$B$37,GenSocketStats,18,FALSE)+IF(MID(Q23,1,1)+MID(Q23,3,1)+MID(Q23,5,1)&gt;1,VLOOKUP('Gear &amp; Buffs'!$B$38,GenSocketStats,18,FALSE)+IF(MID(Q23,1,1)+MID(Q23,3,1)+MID(Q23,5,1)&gt;2,VLOOKUP('Gear &amp; Buffs'!$B$39,GenSocketStats,18,FALSE),0)),0))-'Gear &amp; Buffs'!$AF$35</f>
        <v>103.46953777041017</v>
      </c>
      <c r="V23" s="221"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8">
        <v>20</v>
      </c>
      <c r="X23" s="714" t="str">
        <f t="shared" si="0"/>
        <v/>
      </c>
    </row>
    <row r="24" spans="1:31">
      <c r="A24" s="677" t="s">
        <v>1464</v>
      </c>
      <c r="B24" s="678">
        <v>31030</v>
      </c>
      <c r="C24" s="678">
        <v>3</v>
      </c>
      <c r="D24" s="678"/>
      <c r="E24" s="678">
        <v>34</v>
      </c>
      <c r="F24" s="678">
        <v>68</v>
      </c>
      <c r="G24" s="679"/>
      <c r="H24" s="679"/>
      <c r="I24" s="678"/>
      <c r="J24" s="678">
        <v>175</v>
      </c>
      <c r="K24" s="678"/>
      <c r="L24" s="678">
        <v>37</v>
      </c>
      <c r="M24" s="679"/>
      <c r="N24" s="679"/>
      <c r="O24" s="678"/>
      <c r="P24" s="678" t="s">
        <v>999</v>
      </c>
      <c r="Q24" s="678" t="s">
        <v>1041</v>
      </c>
      <c r="R24" s="678" t="s">
        <v>1465</v>
      </c>
      <c r="S24" s="678" t="s">
        <v>683</v>
      </c>
      <c r="T24" s="678"/>
      <c r="U24" s="891">
        <f>($D24*dpsStr+$E24*dpsAgi+$G24*dpsCrit+$H24*dpsHit+$F24*dpsAP+$I24*dpsHaste+$J24*dpsArmor+$K24*dpsExp+IF(MID(Q24,1,1)+MID(Q24,3,1)+MID(Q24,5,1)&gt;0,VLOOKUP('Gear &amp; Buffs'!$B$37,GenSocketStats,18,FALSE)+IF(MID(Q24,1,1)+MID(Q24,3,1)+MID(Q24,5,1)&gt;1,VLOOKUP('Gear &amp; Buffs'!$B$38,GenSocketStats,18,FALSE)+IF(MID(Q24,1,1)+MID(Q24,3,1)+MID(Q24,5,1)&gt;2,VLOOKUP('Gear &amp; Buffs'!$B$39,GenSocketStats,18,FALSE),0)),0))-'Gear &amp; Buffs'!$AF$35</f>
        <v>-47.697361537043435</v>
      </c>
      <c r="V24" s="221"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8">
        <v>21</v>
      </c>
      <c r="X24" s="714" t="str">
        <f t="shared" si="0"/>
        <v/>
      </c>
    </row>
    <row r="25" spans="1:31">
      <c r="A25" s="677" t="s">
        <v>1466</v>
      </c>
      <c r="B25" s="678">
        <v>27995</v>
      </c>
      <c r="C25" s="678">
        <v>1</v>
      </c>
      <c r="D25" s="678"/>
      <c r="E25" s="678">
        <v>25</v>
      </c>
      <c r="F25" s="678">
        <v>48</v>
      </c>
      <c r="G25" s="679"/>
      <c r="H25" s="679">
        <v>15</v>
      </c>
      <c r="I25" s="678"/>
      <c r="J25" s="678"/>
      <c r="K25" s="678"/>
      <c r="L25" s="678">
        <v>26</v>
      </c>
      <c r="M25" s="679"/>
      <c r="N25" s="679"/>
      <c r="O25" s="678"/>
      <c r="P25" s="678"/>
      <c r="Q25" s="678" t="s">
        <v>1033</v>
      </c>
      <c r="R25" s="678"/>
      <c r="S25" s="678" t="s">
        <v>673</v>
      </c>
      <c r="T25" s="678"/>
      <c r="U25" s="891">
        <f>($D25*dpsStr+$E25*dpsAgi+$G25*dpsCrit+$H25*dpsHit+$F25*dpsAP+$I25*dpsHaste+$J25*dpsArmor+$K25*dpsExp+IF(MID(Q25,1,1)+MID(Q25,3,1)+MID(Q25,5,1)&gt;0,VLOOKUP('Gear &amp; Buffs'!$B$37,GenSocketStats,18,FALSE)+IF(MID(Q25,1,1)+MID(Q25,3,1)+MID(Q25,5,1)&gt;1,VLOOKUP('Gear &amp; Buffs'!$B$38,GenSocketStats,18,FALSE)+IF(MID(Q25,1,1)+MID(Q25,3,1)+MID(Q25,5,1)&gt;2,VLOOKUP('Gear &amp; Buffs'!$B$39,GenSocketStats,18,FALSE),0)),0))-'Gear &amp; Buffs'!$AF$35</f>
        <v>-89.347914579189364</v>
      </c>
      <c r="V25" s="221">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11</v>
      </c>
      <c r="W25" s="738">
        <v>22</v>
      </c>
      <c r="X25" s="714" t="str">
        <f t="shared" si="0"/>
        <v/>
      </c>
    </row>
    <row r="26" spans="1:31">
      <c r="A26" s="677" t="s">
        <v>661</v>
      </c>
      <c r="B26" s="678">
        <v>32581</v>
      </c>
      <c r="C26" s="678">
        <v>3</v>
      </c>
      <c r="D26" s="678"/>
      <c r="E26" s="678">
        <v>29</v>
      </c>
      <c r="F26" s="678">
        <v>74</v>
      </c>
      <c r="G26" s="679"/>
      <c r="H26" s="679"/>
      <c r="I26" s="678">
        <v>38</v>
      </c>
      <c r="J26" s="678"/>
      <c r="K26" s="678"/>
      <c r="L26" s="678">
        <v>34</v>
      </c>
      <c r="M26" s="679"/>
      <c r="N26" s="679"/>
      <c r="O26" s="678"/>
      <c r="P26" s="678"/>
      <c r="Q26" s="678" t="s">
        <v>1033</v>
      </c>
      <c r="R26" s="678"/>
      <c r="S26" s="678" t="s">
        <v>687</v>
      </c>
      <c r="T26" s="678"/>
      <c r="U26" s="891">
        <f>($D26*dpsStr+$E26*dpsAgi+$G26*dpsCrit+$H26*dpsHit+$F26*dpsAP+$I26*dpsHaste+$J26*dpsArmor+$K26*dpsExp+IF(MID(Q26,1,1)+MID(Q26,3,1)+MID(Q26,5,1)&gt;0,VLOOKUP('Gear &amp; Buffs'!$B$37,GenSocketStats,18,FALSE)+IF(MID(Q26,1,1)+MID(Q26,3,1)+MID(Q26,5,1)&gt;1,VLOOKUP('Gear &amp; Buffs'!$B$38,GenSocketStats,18,FALSE)+IF(MID(Q26,1,1)+MID(Q26,3,1)+MID(Q26,5,1)&gt;2,VLOOKUP('Gear &amp; Buffs'!$B$39,GenSocketStats,18,FALSE),0)),0))-'Gear &amp; Buffs'!$AF$35</f>
        <v>-20.486334353757229</v>
      </c>
      <c r="V26" s="221"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8">
        <v>23</v>
      </c>
      <c r="X26" s="714" t="str">
        <f t="shared" si="0"/>
        <v/>
      </c>
    </row>
    <row r="27" spans="1:31">
      <c r="A27" s="677" t="s">
        <v>1467</v>
      </c>
      <c r="B27" s="678">
        <v>29147</v>
      </c>
      <c r="C27" s="678">
        <v>1</v>
      </c>
      <c r="D27" s="678"/>
      <c r="E27" s="678">
        <v>20</v>
      </c>
      <c r="F27" s="678">
        <v>70</v>
      </c>
      <c r="G27" s="679"/>
      <c r="H27" s="679">
        <v>15</v>
      </c>
      <c r="I27" s="678"/>
      <c r="J27" s="678"/>
      <c r="K27" s="678"/>
      <c r="L27" s="678"/>
      <c r="M27" s="679"/>
      <c r="N27" s="679"/>
      <c r="O27" s="678"/>
      <c r="P27" s="678"/>
      <c r="Q27" s="678" t="s">
        <v>1033</v>
      </c>
      <c r="R27" s="678"/>
      <c r="S27" s="678" t="s">
        <v>676</v>
      </c>
      <c r="T27" s="678"/>
      <c r="U27" s="891">
        <f>($D27*dpsStr+$E27*dpsAgi+$G27*dpsCrit+$H27*dpsHit+$F27*dpsAP+$I27*dpsHaste+$J27*dpsArmor+$K27*dpsExp+IF(MID(Q27,1,1)+MID(Q27,3,1)+MID(Q27,5,1)&gt;0,VLOOKUP('Gear &amp; Buffs'!$B$37,GenSocketStats,18,FALSE)+IF(MID(Q27,1,1)+MID(Q27,3,1)+MID(Q27,5,1)&gt;1,VLOOKUP('Gear &amp; Buffs'!$B$38,GenSocketStats,18,FALSE)+IF(MID(Q27,1,1)+MID(Q27,3,1)+MID(Q27,5,1)&gt;2,VLOOKUP('Gear &amp; Buffs'!$B$39,GenSocketStats,18,FALSE),0)),0))-'Gear &amp; Buffs'!$AF$35</f>
        <v>-85.622718357050644</v>
      </c>
      <c r="V27" s="221">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12</v>
      </c>
      <c r="W27" s="738">
        <v>24</v>
      </c>
      <c r="X27" s="714" t="str">
        <f t="shared" si="0"/>
        <v/>
      </c>
    </row>
    <row r="28" spans="1:31">
      <c r="A28" s="724" t="s">
        <v>1526</v>
      </c>
      <c r="B28" s="727">
        <v>33703</v>
      </c>
      <c r="C28" s="727">
        <v>3</v>
      </c>
      <c r="D28" s="727"/>
      <c r="E28" s="727">
        <v>34</v>
      </c>
      <c r="F28" s="727">
        <v>30</v>
      </c>
      <c r="G28" s="728">
        <v>27</v>
      </c>
      <c r="H28" s="728"/>
      <c r="I28" s="727"/>
      <c r="J28" s="727"/>
      <c r="K28" s="727"/>
      <c r="L28" s="727">
        <v>49</v>
      </c>
      <c r="M28" s="728"/>
      <c r="N28" s="728">
        <v>25</v>
      </c>
      <c r="O28" s="727"/>
      <c r="P28" s="727" t="s">
        <v>1068</v>
      </c>
      <c r="Q28" s="727" t="s">
        <v>1045</v>
      </c>
      <c r="R28" s="727" t="s">
        <v>1452</v>
      </c>
      <c r="S28" s="678" t="s">
        <v>677</v>
      </c>
      <c r="T28" s="678"/>
      <c r="U28" s="891">
        <f>($D28*dpsStr+$E28*dpsAgi+$G28*dpsCrit+$H28*dpsHit+$F28*dpsAP+$I28*dpsHaste+$J28*dpsArmor+$K28*dpsExp+IF(MID(Q28,1,1)+MID(Q28,3,1)+MID(Q28,5,1)&gt;0,VLOOKUP('Gear &amp; Buffs'!$B$37,GenSocketStats,18,FALSE)+IF(MID(Q28,1,1)+MID(Q28,3,1)+MID(Q28,5,1)&gt;1,VLOOKUP('Gear &amp; Buffs'!$B$38,GenSocketStats,18,FALSE)+IF(MID(Q28,1,1)+MID(Q28,3,1)+MID(Q28,5,1)&gt;2,VLOOKUP('Gear &amp; Buffs'!$B$39,GenSocketStats,18,FALSE),0)),0))-'Gear &amp; Buffs'!$AF$35</f>
        <v>-64.268407504684319</v>
      </c>
      <c r="V28" s="221"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8">
        <v>25</v>
      </c>
      <c r="X28" s="714" t="str">
        <f t="shared" si="0"/>
        <v/>
      </c>
      <c r="AA28" s="129"/>
      <c r="AB28" s="129"/>
      <c r="AC28" s="129"/>
      <c r="AE28" s="129"/>
    </row>
    <row r="29" spans="1:31">
      <c r="A29" s="10" t="s">
        <v>1015</v>
      </c>
      <c r="B29" s="114">
        <v>27797</v>
      </c>
      <c r="C29" s="114">
        <v>1</v>
      </c>
      <c r="D29" s="114"/>
      <c r="E29" s="114">
        <v>25</v>
      </c>
      <c r="F29" s="114">
        <v>34</v>
      </c>
      <c r="G29" s="116"/>
      <c r="H29" s="116">
        <v>16</v>
      </c>
      <c r="I29" s="114"/>
      <c r="J29" s="114"/>
      <c r="K29" s="114"/>
      <c r="L29" s="114">
        <v>13</v>
      </c>
      <c r="M29" s="116"/>
      <c r="N29" s="116"/>
      <c r="O29" s="114"/>
      <c r="P29" s="114" t="s">
        <v>1004</v>
      </c>
      <c r="Q29" s="114" t="s">
        <v>1037</v>
      </c>
      <c r="R29" s="114" t="s">
        <v>1449</v>
      </c>
      <c r="S29" s="681" t="s">
        <v>691</v>
      </c>
      <c r="T29" s="678"/>
      <c r="U29" s="891">
        <f>($D29*dpsStr+$E29*dpsAgi+$G29*dpsCrit+$H29*dpsHit+$F29*dpsAP+$I29*dpsHaste+$J29*dpsArmor+$K29*dpsExp+IF(MID(Q29,1,1)+MID(Q29,3,1)+MID(Q29,5,1)&gt;0,VLOOKUP('Gear &amp; Buffs'!$B$37,GenSocketStats,18,FALSE)+IF(MID(Q29,1,1)+MID(Q29,3,1)+MID(Q29,5,1)&gt;1,VLOOKUP('Gear &amp; Buffs'!$B$38,GenSocketStats,18,FALSE)+IF(MID(Q29,1,1)+MID(Q29,3,1)+MID(Q29,5,1)&gt;2,VLOOKUP('Gear &amp; Buffs'!$B$39,GenSocketStats,18,FALSE),0)),0))-'Gear &amp; Buffs'!$AF$35</f>
        <v>0</v>
      </c>
      <c r="V29" s="221">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13</v>
      </c>
      <c r="W29" s="738">
        <v>26</v>
      </c>
      <c r="X29" s="714" t="str">
        <f t="shared" si="0"/>
        <v/>
      </c>
      <c r="Z29" s="114"/>
      <c r="AA29" s="129"/>
      <c r="AB29" s="129"/>
      <c r="AC29" s="129"/>
    </row>
    <row r="30" spans="1:31">
      <c r="A30" s="10" t="str">
        <f>'Gear &amp; Buffs'!$B$158</f>
        <v>(Unmodeled)</v>
      </c>
      <c r="B30" s="114"/>
      <c r="C30" s="114"/>
      <c r="D30" s="114">
        <f>'Gear &amp; Buffs'!$D$158</f>
        <v>0</v>
      </c>
      <c r="E30" s="114">
        <f>'Gear &amp; Buffs'!$E$158</f>
        <v>0</v>
      </c>
      <c r="F30" s="114">
        <f>'Gear &amp; Buffs'!$I$158</f>
        <v>0</v>
      </c>
      <c r="G30" s="115">
        <f>'Gear &amp; Buffs'!$G$158</f>
        <v>0</v>
      </c>
      <c r="H30" s="115">
        <f>'Gear &amp; Buffs'!$H$158</f>
        <v>0</v>
      </c>
      <c r="I30" s="115">
        <f>'Gear &amp; Buffs'!$P$158</f>
        <v>0</v>
      </c>
      <c r="J30" s="114">
        <f>'Gear &amp; Buffs'!$Q$158</f>
        <v>0</v>
      </c>
      <c r="K30" s="116">
        <f>'Gear &amp; Buffs'!$L$158</f>
        <v>0</v>
      </c>
      <c r="L30" s="114">
        <f>'Gear &amp; Buffs'!$F$158</f>
        <v>0</v>
      </c>
      <c r="M30" s="116">
        <f>'Gear &amp; Buffs'!$K$158</f>
        <v>0</v>
      </c>
      <c r="N30" s="114">
        <f>'Gear &amp; Buffs'!$J$158</f>
        <v>0</v>
      </c>
      <c r="O30" s="115">
        <f>'Gear &amp; Buffs'!M158</f>
        <v>0</v>
      </c>
      <c r="P30" s="114"/>
      <c r="Q30" s="114" t="str">
        <f>'Gear &amp; Buffs'!$R$158</f>
        <v>0 0 0</v>
      </c>
      <c r="R30" s="720">
        <f>'Gear &amp; Buffs'!$S$158</f>
        <v>0</v>
      </c>
      <c r="S30" s="681"/>
      <c r="T30" s="682"/>
      <c r="U30" s="891">
        <f>($D30*dpsStr+$E30*dpsAgi+$G30*dpsCrit+$H30*dpsHit+$F30*dpsAP+$I30*dpsHaste+$J30*dpsArmor+$K30*dpsExp+IF(MID(Q30,1,1)+MID(Q30,3,1)+MID(Q30,5,1)&gt;0,VLOOKUP('Gear &amp; Buffs'!$B$37,GenSocketStats,18,FALSE)+IF(MID(Q30,1,1)+MID(Q30,3,1)+MID(Q30,5,1)&gt;1,VLOOKUP('Gear &amp; Buffs'!$B$38,GenSocketStats,18,FALSE)+IF(MID(Q30,1,1)+MID(Q30,3,1)+MID(Q30,5,1)&gt;2,VLOOKUP('Gear &amp; Buffs'!$B$39,GenSocketStats,18,FALSE),0)),0))-'Gear &amp; Buffs'!$AF$35</f>
        <v>-210.43054956051878</v>
      </c>
      <c r="V30" s="681">
        <f>MAX($V$1:V29)+1</f>
        <v>14</v>
      </c>
      <c r="W30" s="738">
        <v>27</v>
      </c>
      <c r="X30" s="714" t="str">
        <f t="shared" si="0"/>
        <v/>
      </c>
      <c r="AA30" s="129"/>
      <c r="AB30" s="129"/>
      <c r="AC30" s="129"/>
    </row>
    <row r="31" spans="1:31">
      <c r="A31" s="10" t="s">
        <v>2207</v>
      </c>
      <c r="B31" s="116"/>
      <c r="C31" s="116"/>
      <c r="D31" s="114"/>
      <c r="E31" s="114"/>
      <c r="F31" s="114"/>
      <c r="G31" s="116"/>
      <c r="H31" s="116"/>
      <c r="I31" s="116"/>
      <c r="J31" s="114"/>
      <c r="K31" s="116"/>
      <c r="L31" s="114"/>
      <c r="M31" s="116"/>
      <c r="N31" s="116"/>
      <c r="O31" s="116"/>
      <c r="P31" s="116"/>
      <c r="Q31" s="114" t="s">
        <v>1033</v>
      </c>
      <c r="R31" s="114"/>
      <c r="S31" s="681"/>
      <c r="T31" s="679"/>
      <c r="U31" s="711"/>
      <c r="V31" s="681"/>
      <c r="W31" s="738">
        <v>28</v>
      </c>
      <c r="X31" s="714" t="str">
        <f t="shared" si="0"/>
        <v/>
      </c>
      <c r="Z31" s="114"/>
      <c r="AA31" s="129"/>
      <c r="AB31" s="129"/>
      <c r="AC31" s="129"/>
    </row>
    <row r="32" spans="1:31">
      <c r="J32" s="114"/>
      <c r="R32" s="114"/>
      <c r="U32" s="220"/>
      <c r="V32" s="681"/>
      <c r="W32" s="738">
        <v>29</v>
      </c>
      <c r="X32" s="714" t="str">
        <f t="shared" si="0"/>
        <v/>
      </c>
      <c r="Z32" s="114"/>
      <c r="AA32" s="129"/>
      <c r="AB32" s="129"/>
      <c r="AC32" s="129"/>
    </row>
    <row r="33" spans="1:29">
      <c r="J33" s="114"/>
      <c r="R33" s="114"/>
      <c r="U33" s="739"/>
      <c r="V33" s="114"/>
      <c r="W33" s="727"/>
      <c r="X33" s="724"/>
      <c r="Z33" s="114"/>
      <c r="AA33" s="129"/>
      <c r="AB33" s="129"/>
      <c r="AC33" s="129"/>
    </row>
    <row r="34" spans="1:29" s="47" customFormat="1" ht="23.25" thickBot="1">
      <c r="A34" s="740" t="s">
        <v>1016</v>
      </c>
      <c r="B34" s="730" t="s">
        <v>1934</v>
      </c>
      <c r="C34" s="730" t="s">
        <v>2798</v>
      </c>
      <c r="D34" s="731" t="s">
        <v>1214</v>
      </c>
      <c r="E34" s="731" t="s">
        <v>1215</v>
      </c>
      <c r="F34" s="731" t="s">
        <v>768</v>
      </c>
      <c r="G34" s="730" t="s">
        <v>2140</v>
      </c>
      <c r="H34" s="730" t="s">
        <v>2139</v>
      </c>
      <c r="I34" s="730" t="s">
        <v>771</v>
      </c>
      <c r="J34" s="732" t="s">
        <v>770</v>
      </c>
      <c r="K34" s="730" t="s">
        <v>760</v>
      </c>
      <c r="L34" s="731" t="s">
        <v>1216</v>
      </c>
      <c r="M34" s="730" t="s">
        <v>264</v>
      </c>
      <c r="N34" s="730" t="s">
        <v>1217</v>
      </c>
      <c r="O34" s="730" t="s">
        <v>1287</v>
      </c>
      <c r="P34" s="730" t="s">
        <v>1046</v>
      </c>
      <c r="Q34" s="731" t="s">
        <v>1047</v>
      </c>
      <c r="R34" s="731" t="s">
        <v>1941</v>
      </c>
      <c r="S34" s="731" t="s">
        <v>666</v>
      </c>
      <c r="T34" s="731" t="s">
        <v>921</v>
      </c>
      <c r="U34" s="733" t="s">
        <v>265</v>
      </c>
      <c r="V34" s="829">
        <v>0</v>
      </c>
      <c r="W34" s="741"/>
      <c r="X34" s="742" t="s">
        <v>1689</v>
      </c>
      <c r="Z34" s="114"/>
      <c r="AA34" s="114"/>
      <c r="AB34" s="114"/>
      <c r="AC34" s="114"/>
    </row>
    <row r="35" spans="1:29">
      <c r="A35" s="695" t="s">
        <v>1477</v>
      </c>
      <c r="B35" s="697">
        <v>2997</v>
      </c>
      <c r="C35" s="697">
        <v>1</v>
      </c>
      <c r="D35" s="696"/>
      <c r="E35" s="696"/>
      <c r="F35" s="696">
        <v>20</v>
      </c>
      <c r="G35" s="697">
        <v>15</v>
      </c>
      <c r="H35" s="697"/>
      <c r="I35" s="697"/>
      <c r="J35" s="697"/>
      <c r="K35" s="697"/>
      <c r="L35" s="696"/>
      <c r="M35" s="697"/>
      <c r="N35" s="697"/>
      <c r="O35" s="697"/>
      <c r="P35" s="697"/>
      <c r="Q35" s="697"/>
      <c r="R35" s="697"/>
      <c r="S35" s="697" t="s">
        <v>1689</v>
      </c>
      <c r="T35" s="697" t="b">
        <v>0</v>
      </c>
      <c r="U35" s="891">
        <f>($D35*dpsStr+$E35*dpsAgi+$G35*dpsCrit+$H35*dpsHit+$F35*dpsAP+$I35*dpsHaste+$J35*dpsArmor+$K35*dpsExp)-'Gear &amp; Buffs'!$AF$36</f>
        <v>-1.4581838496214914</v>
      </c>
      <c r="V35" s="221">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NOT(T35))),MAX(V$34:$AA34)+1,"")</f>
        <v>1</v>
      </c>
      <c r="W35" s="737"/>
      <c r="X35" s="713"/>
      <c r="Z35" s="114"/>
      <c r="AA35" s="129"/>
      <c r="AB35" s="129"/>
      <c r="AC35" s="129"/>
    </row>
    <row r="36" spans="1:29">
      <c r="A36" s="677" t="s">
        <v>663</v>
      </c>
      <c r="B36" s="679">
        <v>2986</v>
      </c>
      <c r="C36" s="679">
        <v>1</v>
      </c>
      <c r="D36" s="678"/>
      <c r="E36" s="678"/>
      <c r="F36" s="678">
        <v>30</v>
      </c>
      <c r="G36" s="679">
        <v>10</v>
      </c>
      <c r="H36" s="679"/>
      <c r="I36" s="679"/>
      <c r="J36" s="679"/>
      <c r="K36" s="679"/>
      <c r="L36" s="678"/>
      <c r="M36" s="679"/>
      <c r="N36" s="679"/>
      <c r="O36" s="679"/>
      <c r="P36" s="679"/>
      <c r="Q36" s="679"/>
      <c r="R36" s="679"/>
      <c r="S36" s="679" t="s">
        <v>1689</v>
      </c>
      <c r="T36" s="679" t="b">
        <v>0</v>
      </c>
      <c r="U36" s="891">
        <f>($D36*dpsStr+$E36*dpsAgi+$G36*dpsCrit+$H36*dpsHit+$F36*dpsAP+$I36*dpsHaste+$J36*dpsArmor+$K36*dpsExp)-'Gear &amp; Buffs'!$AF$36</f>
        <v>-1.3138651186172865</v>
      </c>
      <c r="V36" s="221">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NOT(T36))),MAX(V$34:$AA35)+1,"")</f>
        <v>2</v>
      </c>
      <c r="W36" s="738">
        <v>1</v>
      </c>
      <c r="X36" s="714" t="str">
        <f t="shared" ref="X36:X42" si="1">IF(ISNA(INDEX($A$35:$A$41,MATCH(W36,V$35:V$41,0))), "", INDEX($A$35:$A$41,MATCH(W36,V$35:V$41,0)))</f>
        <v>Greater Inscription of the Blade (15crit 20ap)</v>
      </c>
      <c r="Z36" s="114"/>
      <c r="AA36" s="129"/>
      <c r="AB36" s="129"/>
      <c r="AC36" s="129"/>
    </row>
    <row r="37" spans="1:29">
      <c r="A37" s="677" t="s">
        <v>2159</v>
      </c>
      <c r="B37" s="678">
        <v>2978</v>
      </c>
      <c r="C37" s="678">
        <v>1</v>
      </c>
      <c r="D37" s="678"/>
      <c r="E37" s="678"/>
      <c r="F37" s="678"/>
      <c r="G37" s="679"/>
      <c r="H37" s="679"/>
      <c r="I37" s="679"/>
      <c r="J37" s="679"/>
      <c r="K37" s="679"/>
      <c r="L37" s="678"/>
      <c r="M37" s="679">
        <v>15</v>
      </c>
      <c r="N37" s="679"/>
      <c r="O37" s="679">
        <v>10</v>
      </c>
      <c r="P37" s="679"/>
      <c r="Q37" s="679"/>
      <c r="R37" s="678"/>
      <c r="S37" s="679" t="s">
        <v>1689</v>
      </c>
      <c r="T37" s="679" t="b">
        <v>1</v>
      </c>
      <c r="U37" s="891">
        <f>($D37*dpsStr+$E37*dpsAgi+$G37*dpsCrit+$H37*dpsHit+$F37*dpsAP+$I37*dpsHaste+$J37*dpsArmor+$K37*dpsExp)-'Gear &amp; Buffs'!$AF$36</f>
        <v>-18.891728949367007</v>
      </c>
      <c r="V37" s="221"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NOT(T37))),MAX(V$34:$AA36)+1,"")</f>
        <v/>
      </c>
      <c r="W37" s="738">
        <v>2</v>
      </c>
      <c r="X37" s="714" t="str">
        <f t="shared" si="1"/>
        <v>Greater Inscription of Vengeance (10crit 30ap)</v>
      </c>
      <c r="Z37" s="114"/>
    </row>
    <row r="38" spans="1:29">
      <c r="A38" s="677" t="s">
        <v>1409</v>
      </c>
      <c r="B38" s="679">
        <v>2996</v>
      </c>
      <c r="C38" s="679">
        <v>1</v>
      </c>
      <c r="D38" s="678"/>
      <c r="E38" s="678"/>
      <c r="F38" s="678"/>
      <c r="G38" s="679">
        <v>13</v>
      </c>
      <c r="H38" s="679"/>
      <c r="I38" s="679"/>
      <c r="J38" s="679"/>
      <c r="K38" s="679"/>
      <c r="L38" s="678"/>
      <c r="M38" s="679"/>
      <c r="N38" s="679"/>
      <c r="O38" s="679"/>
      <c r="P38" s="679"/>
      <c r="Q38" s="679"/>
      <c r="R38" s="679"/>
      <c r="S38" s="679" t="s">
        <v>1689</v>
      </c>
      <c r="T38" s="679" t="b">
        <v>0</v>
      </c>
      <c r="U38" s="891">
        <f>($D38*dpsStr+$E38*dpsAgi+$G38*dpsCrit+$H38*dpsHit+$F38*dpsAP+$I38*dpsHaste+$J38*dpsArmor+$K38*dpsExp)-'Gear &amp; Buffs'!$AF$36</f>
        <v>-9.9763769777437119</v>
      </c>
      <c r="V38" s="221">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NOT(T38))),MAX(V$34:$AA37)+1,"")</f>
        <v>3</v>
      </c>
      <c r="W38" s="738">
        <v>3</v>
      </c>
      <c r="X38" s="714" t="str">
        <f t="shared" si="1"/>
        <v>Inscription of the Blade(13crit)</v>
      </c>
    </row>
    <row r="39" spans="1:29">
      <c r="A39" s="677" t="s">
        <v>1476</v>
      </c>
      <c r="B39" s="679">
        <v>2983</v>
      </c>
      <c r="C39" s="679">
        <v>1</v>
      </c>
      <c r="D39" s="678"/>
      <c r="E39" s="678"/>
      <c r="F39" s="678">
        <v>26</v>
      </c>
      <c r="G39" s="679"/>
      <c r="H39" s="679"/>
      <c r="I39" s="679"/>
      <c r="J39" s="679"/>
      <c r="K39" s="679"/>
      <c r="L39" s="678"/>
      <c r="M39" s="679"/>
      <c r="N39" s="679"/>
      <c r="O39" s="679"/>
      <c r="P39" s="679"/>
      <c r="Q39" s="679"/>
      <c r="R39" s="679"/>
      <c r="S39" s="679" t="s">
        <v>1689</v>
      </c>
      <c r="T39" s="679" t="b">
        <v>0</v>
      </c>
      <c r="U39" s="891">
        <f>($D39*dpsStr+$E39*dpsAgi+$G39*dpsCrit+$H39*dpsHit+$F39*dpsAP+$I39*dpsHaste+$J39*dpsArmor+$K39*dpsExp)-'Gear &amp; Buffs'!$AF$36</f>
        <v>-9.6011482771327792</v>
      </c>
      <c r="V39" s="221">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NOT(T39))),MAX(V$34:$AA38)+1,"")</f>
        <v>4</v>
      </c>
      <c r="W39" s="738">
        <v>4</v>
      </c>
      <c r="X39" s="714" t="str">
        <f t="shared" si="1"/>
        <v>Inscription of Vengeance (26ap)</v>
      </c>
    </row>
    <row r="40" spans="1:29">
      <c r="A40" s="677" t="s">
        <v>1018</v>
      </c>
      <c r="B40" s="679">
        <v>2717</v>
      </c>
      <c r="C40" s="679">
        <v>1</v>
      </c>
      <c r="D40" s="678"/>
      <c r="E40" s="678"/>
      <c r="F40" s="678">
        <v>26</v>
      </c>
      <c r="G40" s="679">
        <v>14</v>
      </c>
      <c r="H40" s="679"/>
      <c r="I40" s="679"/>
      <c r="J40" s="679"/>
      <c r="K40" s="679"/>
      <c r="L40" s="678"/>
      <c r="M40" s="679"/>
      <c r="N40" s="679"/>
      <c r="O40" s="679"/>
      <c r="P40" s="679"/>
      <c r="Q40" s="679"/>
      <c r="R40" s="679"/>
      <c r="S40" s="679" t="s">
        <v>668</v>
      </c>
      <c r="T40" s="679" t="b">
        <v>0</v>
      </c>
      <c r="U40" s="891">
        <f>($D40*dpsStr+$E40*dpsAgi+$G40*dpsCrit+$H40*dpsHit+$F40*dpsAP+$I40*dpsHaste+$J40*dpsArmor+$K40*dpsExp)-'Gear &amp; Buffs'!$AF$36</f>
        <v>0</v>
      </c>
      <c r="V40" s="221">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NOT(T40))),MAX(V$34:$AA39)+1,"")</f>
        <v>5</v>
      </c>
      <c r="W40" s="738">
        <v>5</v>
      </c>
      <c r="X40" s="714" t="str">
        <f t="shared" si="1"/>
        <v>Might of the Scourge (14crit 26ap)</v>
      </c>
    </row>
    <row r="41" spans="1:29">
      <c r="A41" s="677" t="s">
        <v>744</v>
      </c>
      <c r="B41" s="679">
        <v>2606</v>
      </c>
      <c r="C41" s="679">
        <v>1</v>
      </c>
      <c r="D41" s="678"/>
      <c r="E41" s="678"/>
      <c r="F41" s="678">
        <v>30</v>
      </c>
      <c r="G41" s="679"/>
      <c r="H41" s="679"/>
      <c r="I41" s="679"/>
      <c r="J41" s="679"/>
      <c r="K41" s="679"/>
      <c r="L41" s="678"/>
      <c r="M41" s="679"/>
      <c r="N41" s="679"/>
      <c r="O41" s="679"/>
      <c r="P41" s="679"/>
      <c r="Q41" s="679"/>
      <c r="R41" s="679"/>
      <c r="S41" s="679" t="s">
        <v>668</v>
      </c>
      <c r="T41" s="679" t="b">
        <v>0</v>
      </c>
      <c r="U41" s="891">
        <f>($D41*dpsStr+$E41*dpsAgi+$G41*dpsCrit+$H41*dpsHit+$F41*dpsAP+$I41*dpsHaste+$J41*dpsArmor+$K41*dpsExp)-'Gear &amp; Buffs'!$AF$36</f>
        <v>-8.1718281737121288</v>
      </c>
      <c r="V41" s="221">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NOT(T41))),MAX(V$34:$AA40)+1,"")</f>
        <v>6</v>
      </c>
      <c r="W41" s="738">
        <v>6</v>
      </c>
      <c r="X41" s="714" t="str">
        <f t="shared" si="1"/>
        <v>Zandalar Signet of Might (30ap)</v>
      </c>
    </row>
    <row r="42" spans="1:29">
      <c r="A42" s="677" t="s">
        <v>2207</v>
      </c>
      <c r="B42" s="679"/>
      <c r="C42" s="679"/>
      <c r="D42" s="678"/>
      <c r="E42" s="678"/>
      <c r="F42" s="678"/>
      <c r="G42" s="679"/>
      <c r="H42" s="679"/>
      <c r="I42" s="679"/>
      <c r="J42" s="679"/>
      <c r="K42" s="679"/>
      <c r="L42" s="678"/>
      <c r="M42" s="679"/>
      <c r="N42" s="679"/>
      <c r="O42" s="679"/>
      <c r="P42" s="679"/>
      <c r="Q42" s="679"/>
      <c r="R42" s="679"/>
      <c r="S42" s="679"/>
      <c r="T42" s="679"/>
      <c r="U42" s="718"/>
      <c r="V42" s="116"/>
      <c r="W42" s="738">
        <v>7</v>
      </c>
      <c r="X42" s="714" t="str">
        <f t="shared" si="1"/>
        <v/>
      </c>
    </row>
    <row r="43" spans="1:29">
      <c r="A43" s="10"/>
      <c r="B43" s="114"/>
      <c r="C43" s="114"/>
      <c r="D43" s="114"/>
      <c r="E43" s="114"/>
      <c r="F43" s="114"/>
      <c r="G43" s="114"/>
      <c r="H43" s="127"/>
      <c r="I43" s="114"/>
      <c r="J43" s="114"/>
      <c r="K43" s="114"/>
      <c r="L43" s="114"/>
      <c r="M43" s="114"/>
      <c r="N43" s="114"/>
      <c r="O43" s="114"/>
      <c r="P43" s="114"/>
      <c r="Q43" s="114"/>
      <c r="R43" s="114"/>
      <c r="S43" s="116"/>
      <c r="T43" s="114"/>
      <c r="U43" s="114"/>
      <c r="X43" s="10"/>
    </row>
    <row r="45" spans="1:29">
      <c r="J45" s="114"/>
    </row>
    <row r="46" spans="1:29">
      <c r="J46" s="114"/>
    </row>
    <row r="47" spans="1:29">
      <c r="A47" s="10"/>
      <c r="D47" s="114"/>
      <c r="E47" s="114"/>
      <c r="F47" s="114"/>
      <c r="G47" s="116"/>
      <c r="H47" s="116"/>
      <c r="J47" s="114"/>
      <c r="L47" s="114"/>
      <c r="M47" s="116"/>
      <c r="N47" s="116"/>
    </row>
    <row r="48" spans="1:29">
      <c r="J48" s="114"/>
    </row>
    <row r="49" spans="1:15">
      <c r="J49" s="114"/>
    </row>
    <row r="53" spans="1:15">
      <c r="A53" s="6"/>
    </row>
    <row r="54" spans="1:15">
      <c r="A54" s="6"/>
    </row>
    <row r="55" spans="1:15">
      <c r="A55" s="6"/>
    </row>
    <row r="56" spans="1:15">
      <c r="A56" s="6"/>
    </row>
    <row r="57" spans="1:15">
      <c r="A57" s="6"/>
    </row>
    <row r="58" spans="1:15">
      <c r="A58" s="6"/>
      <c r="B58" s="116"/>
      <c r="C58" s="116"/>
      <c r="E58" s="114"/>
      <c r="F58" s="114"/>
      <c r="G58" s="127"/>
      <c r="H58" s="114"/>
      <c r="K58" s="116"/>
      <c r="L58" s="114"/>
      <c r="M58" s="127"/>
      <c r="N58" s="116"/>
      <c r="O58" s="116"/>
    </row>
    <row r="59" spans="1:15">
      <c r="A59" s="6"/>
    </row>
    <row r="60" spans="1:15">
      <c r="A60" s="6"/>
    </row>
    <row r="61" spans="1:15">
      <c r="A61" s="6"/>
    </row>
    <row r="62" spans="1:15">
      <c r="A62" s="6"/>
    </row>
    <row r="63" spans="1:15">
      <c r="A63" s="6"/>
    </row>
    <row r="64" spans="1:15">
      <c r="A64" s="6"/>
    </row>
    <row r="65" spans="1:1">
      <c r="A65" s="6"/>
    </row>
    <row r="66" spans="1:1">
      <c r="A66" s="6"/>
    </row>
    <row r="67" spans="1:1">
      <c r="A67" s="6"/>
    </row>
    <row r="68" spans="1:1">
      <c r="A68" s="6"/>
    </row>
    <row r="69" spans="1:1">
      <c r="A69" s="6"/>
    </row>
    <row r="70" spans="1:1">
      <c r="A70" s="6"/>
    </row>
    <row r="71" spans="1:1">
      <c r="A71" s="6"/>
    </row>
    <row r="72" spans="1:1">
      <c r="A72" s="6"/>
    </row>
    <row r="81" spans="1:20">
      <c r="A81" s="10"/>
      <c r="B81" s="116"/>
      <c r="C81" s="116"/>
      <c r="D81" s="114"/>
      <c r="E81" s="114"/>
      <c r="F81" s="114"/>
      <c r="G81" s="127"/>
      <c r="H81" s="127"/>
      <c r="I81" s="128"/>
      <c r="K81" s="116"/>
      <c r="L81" s="114"/>
      <c r="M81" s="127"/>
      <c r="N81" s="116"/>
      <c r="O81" s="116"/>
      <c r="T81" s="128"/>
    </row>
    <row r="82" spans="1:20">
      <c r="A82" s="10"/>
      <c r="B82" s="116"/>
      <c r="C82" s="116"/>
      <c r="D82" s="114"/>
      <c r="E82" s="114"/>
      <c r="F82" s="114"/>
      <c r="G82" s="127"/>
      <c r="H82" s="127"/>
      <c r="I82" s="129"/>
      <c r="K82" s="116"/>
      <c r="L82" s="114"/>
      <c r="M82" s="127"/>
      <c r="N82" s="116"/>
      <c r="O82" s="116"/>
      <c r="T82" s="129"/>
    </row>
    <row r="83" spans="1:20">
      <c r="A83" s="10"/>
      <c r="B83" s="116"/>
      <c r="C83" s="116"/>
      <c r="D83" s="114"/>
      <c r="E83" s="114"/>
      <c r="F83" s="114"/>
      <c r="G83" s="114"/>
      <c r="H83" s="114"/>
      <c r="K83" s="116"/>
      <c r="L83" s="114"/>
      <c r="M83" s="114"/>
      <c r="N83" s="116"/>
      <c r="O83" s="116"/>
    </row>
    <row r="84" spans="1:20">
      <c r="A84" s="10"/>
      <c r="B84" s="116"/>
      <c r="C84" s="116"/>
      <c r="D84" s="114"/>
      <c r="E84" s="114"/>
      <c r="F84" s="114"/>
      <c r="G84" s="114"/>
      <c r="H84" s="114"/>
      <c r="K84" s="116"/>
      <c r="L84" s="114"/>
      <c r="M84" s="114"/>
      <c r="N84" s="116"/>
      <c r="O84" s="116"/>
    </row>
    <row r="85" spans="1:20">
      <c r="A85" s="10"/>
      <c r="B85" s="116"/>
      <c r="C85" s="116"/>
      <c r="D85" s="114"/>
      <c r="E85" s="114"/>
      <c r="F85" s="118"/>
      <c r="G85" s="114"/>
      <c r="H85" s="127"/>
      <c r="K85" s="116"/>
      <c r="L85" s="114"/>
      <c r="M85" s="114"/>
      <c r="N85" s="116"/>
      <c r="O85" s="116"/>
    </row>
    <row r="86" spans="1:20">
      <c r="A86" s="10"/>
      <c r="B86" s="116"/>
      <c r="C86" s="116"/>
      <c r="D86" s="114"/>
      <c r="E86" s="114"/>
      <c r="F86" s="114"/>
      <c r="G86" s="114"/>
      <c r="H86" s="114"/>
      <c r="K86" s="116"/>
      <c r="L86" s="114"/>
      <c r="M86" s="114"/>
      <c r="N86" s="116"/>
      <c r="O86" s="116"/>
    </row>
    <row r="87" spans="1:20">
      <c r="A87" s="10"/>
      <c r="B87" s="116"/>
      <c r="C87" s="116"/>
      <c r="D87" s="114"/>
      <c r="E87" s="114"/>
      <c r="F87" s="114"/>
      <c r="G87" s="127"/>
      <c r="H87" s="127"/>
      <c r="K87" s="116"/>
      <c r="L87" s="114"/>
      <c r="M87" s="114"/>
      <c r="N87" s="116"/>
      <c r="O87" s="116"/>
    </row>
    <row r="88" spans="1:20">
      <c r="A88" s="135"/>
      <c r="B88" s="134"/>
      <c r="C88" s="134"/>
      <c r="D88" s="133"/>
      <c r="E88" s="133"/>
      <c r="F88" s="133"/>
      <c r="G88" s="133"/>
      <c r="H88" s="133"/>
      <c r="K88" s="134"/>
      <c r="L88" s="133"/>
      <c r="M88" s="133"/>
      <c r="N88" s="134"/>
      <c r="O88" s="134"/>
    </row>
    <row r="89" spans="1:20">
      <c r="A89" s="132"/>
      <c r="B89" s="119"/>
      <c r="C89" s="119"/>
      <c r="D89" s="118"/>
      <c r="E89" s="118"/>
      <c r="F89" s="118"/>
      <c r="G89" s="118"/>
      <c r="H89" s="118"/>
      <c r="K89" s="119"/>
      <c r="L89" s="118"/>
      <c r="M89" s="118"/>
      <c r="N89" s="119"/>
      <c r="O89" s="119"/>
    </row>
    <row r="90" spans="1:20">
      <c r="A90" s="10"/>
      <c r="B90" s="116"/>
      <c r="C90" s="116"/>
      <c r="D90" s="114"/>
      <c r="E90" s="114"/>
      <c r="F90" s="114"/>
      <c r="G90" s="127"/>
      <c r="H90" s="127"/>
      <c r="K90" s="116"/>
      <c r="L90" s="114"/>
      <c r="M90" s="114"/>
      <c r="N90" s="116"/>
      <c r="O90" s="116"/>
    </row>
    <row r="91" spans="1:20">
      <c r="A91" s="10"/>
      <c r="B91" s="116"/>
      <c r="C91" s="116"/>
      <c r="D91" s="114"/>
      <c r="E91" s="114"/>
      <c r="F91" s="114"/>
      <c r="G91" s="114"/>
      <c r="H91" s="127"/>
      <c r="K91" s="116"/>
      <c r="L91" s="114"/>
      <c r="M91" s="114"/>
      <c r="N91" s="116"/>
      <c r="O91" s="116"/>
    </row>
    <row r="92" spans="1:20">
      <c r="A92" s="10"/>
      <c r="B92" s="116"/>
      <c r="C92" s="116"/>
      <c r="D92" s="114"/>
      <c r="E92" s="114"/>
      <c r="F92" s="114"/>
      <c r="G92" s="114"/>
      <c r="H92" s="127"/>
      <c r="K92" s="116"/>
      <c r="L92" s="114"/>
      <c r="M92" s="114"/>
      <c r="N92" s="116"/>
      <c r="O92" s="116"/>
    </row>
    <row r="93" spans="1:20">
      <c r="A93" s="10"/>
      <c r="B93" s="116"/>
      <c r="C93" s="116"/>
      <c r="D93" s="114"/>
      <c r="E93" s="114"/>
      <c r="F93" s="114"/>
      <c r="G93" s="127"/>
      <c r="H93" s="127"/>
      <c r="K93" s="116"/>
      <c r="L93" s="114"/>
      <c r="M93" s="114"/>
      <c r="N93" s="116"/>
      <c r="O93" s="116"/>
    </row>
    <row r="94" spans="1:20">
      <c r="A94" s="10"/>
      <c r="B94" s="116"/>
      <c r="C94" s="116"/>
      <c r="D94" s="114"/>
      <c r="E94" s="114"/>
      <c r="F94" s="114"/>
      <c r="G94" s="127"/>
      <c r="H94" s="127"/>
      <c r="K94" s="116"/>
      <c r="L94" s="114"/>
      <c r="M94" s="114"/>
      <c r="N94" s="116"/>
      <c r="O94" s="116"/>
    </row>
    <row r="95" spans="1:20">
      <c r="A95" s="10"/>
      <c r="B95" s="116"/>
      <c r="C95" s="116"/>
      <c r="D95" s="114"/>
      <c r="E95" s="114"/>
      <c r="F95" s="114"/>
      <c r="G95" s="127"/>
      <c r="H95" s="114"/>
      <c r="I95" s="131"/>
      <c r="K95" s="116"/>
      <c r="L95" s="114"/>
      <c r="M95" s="114"/>
      <c r="N95" s="116"/>
      <c r="O95" s="116"/>
      <c r="T95" s="131"/>
    </row>
    <row r="96" spans="1:20">
      <c r="A96" s="10"/>
      <c r="B96" s="116"/>
      <c r="C96" s="116"/>
      <c r="D96" s="114"/>
      <c r="E96" s="114"/>
      <c r="F96" s="114"/>
      <c r="G96" s="114"/>
      <c r="H96" s="127"/>
      <c r="K96" s="116"/>
      <c r="L96" s="114"/>
      <c r="M96" s="127"/>
      <c r="N96" s="116"/>
      <c r="O96" s="116"/>
    </row>
    <row r="97" spans="1:15">
      <c r="A97" s="10"/>
      <c r="B97" s="116"/>
      <c r="C97" s="116"/>
      <c r="D97" s="114"/>
      <c r="E97" s="114"/>
      <c r="F97" s="114"/>
      <c r="G97" s="127"/>
      <c r="H97" s="127"/>
      <c r="K97" s="116"/>
      <c r="L97" s="114"/>
      <c r="M97" s="114"/>
      <c r="N97" s="116"/>
      <c r="O97" s="116"/>
    </row>
    <row r="98" spans="1:15">
      <c r="A98" s="10"/>
      <c r="B98" s="116"/>
      <c r="C98" s="116"/>
      <c r="D98" s="114"/>
      <c r="E98" s="114"/>
      <c r="F98" s="114"/>
      <c r="G98" s="127"/>
      <c r="H98" s="127"/>
      <c r="K98" s="116"/>
      <c r="L98" s="114"/>
      <c r="M98" s="114"/>
      <c r="N98" s="116"/>
      <c r="O98" s="116"/>
    </row>
    <row r="99" spans="1:15">
      <c r="A99" s="10"/>
      <c r="B99" s="116"/>
      <c r="C99" s="116"/>
      <c r="D99" s="114"/>
      <c r="E99" s="114"/>
      <c r="F99" s="114"/>
      <c r="G99" s="114"/>
      <c r="H99" s="127"/>
      <c r="K99" s="116"/>
      <c r="L99" s="114"/>
      <c r="M99" s="114"/>
      <c r="N99" s="116"/>
      <c r="O99" s="116"/>
    </row>
    <row r="100" spans="1:15">
      <c r="A100" s="136"/>
      <c r="B100" s="116"/>
      <c r="C100" s="116"/>
      <c r="D100" s="114"/>
      <c r="E100" s="114"/>
      <c r="F100" s="114"/>
      <c r="G100" s="114"/>
      <c r="H100" s="114"/>
      <c r="K100" s="116"/>
      <c r="L100" s="114"/>
      <c r="M100" s="114"/>
      <c r="N100" s="116"/>
      <c r="O100" s="116"/>
    </row>
    <row r="101" spans="1:15">
      <c r="A101" s="132"/>
      <c r="B101" s="119"/>
      <c r="C101" s="119"/>
      <c r="D101" s="118"/>
      <c r="E101" s="118"/>
      <c r="F101" s="118"/>
      <c r="G101" s="118"/>
      <c r="H101" s="118"/>
      <c r="K101" s="119"/>
      <c r="L101" s="118"/>
      <c r="M101" s="118"/>
      <c r="N101" s="119"/>
      <c r="O101" s="119"/>
    </row>
    <row r="102" spans="1:15">
      <c r="A102" s="10"/>
      <c r="B102" s="116"/>
      <c r="C102" s="116"/>
      <c r="D102" s="114"/>
      <c r="E102" s="114"/>
      <c r="F102" s="114"/>
      <c r="G102" s="127"/>
      <c r="H102" s="114"/>
      <c r="K102" s="116"/>
      <c r="L102" s="114"/>
      <c r="M102" s="114"/>
      <c r="N102" s="116"/>
      <c r="O102" s="116"/>
    </row>
    <row r="103" spans="1:15">
      <c r="A103" s="10"/>
      <c r="B103" s="116"/>
      <c r="C103" s="116"/>
      <c r="D103" s="114"/>
      <c r="E103" s="114"/>
      <c r="F103" s="114"/>
      <c r="G103" s="114"/>
      <c r="H103" s="127"/>
      <c r="K103" s="116"/>
      <c r="L103" s="114"/>
      <c r="M103" s="127"/>
      <c r="N103" s="116"/>
      <c r="O103" s="116"/>
    </row>
    <row r="104" spans="1:15">
      <c r="A104" s="10"/>
      <c r="B104" s="116"/>
      <c r="C104" s="116"/>
      <c r="D104" s="114"/>
      <c r="E104" s="114"/>
      <c r="F104" s="114"/>
      <c r="G104" s="114"/>
      <c r="H104" s="127"/>
      <c r="K104" s="116"/>
      <c r="L104" s="114"/>
      <c r="M104" s="127"/>
      <c r="N104" s="116"/>
      <c r="O104" s="116"/>
    </row>
    <row r="105" spans="1:15">
      <c r="A105" s="10"/>
      <c r="B105" s="116"/>
      <c r="C105" s="116"/>
      <c r="D105" s="114"/>
      <c r="E105" s="114"/>
      <c r="F105" s="114"/>
      <c r="G105" s="114"/>
      <c r="H105" s="127"/>
      <c r="K105" s="116"/>
      <c r="L105" s="114"/>
      <c r="M105" s="114"/>
      <c r="N105" s="116"/>
      <c r="O105" s="116"/>
    </row>
    <row r="106" spans="1:15">
      <c r="A106" s="10"/>
      <c r="B106" s="116"/>
      <c r="C106" s="116"/>
      <c r="D106" s="114"/>
      <c r="E106" s="114"/>
      <c r="F106" s="114"/>
      <c r="G106" s="114"/>
      <c r="H106" s="127"/>
      <c r="K106" s="116"/>
      <c r="L106" s="114"/>
      <c r="M106" s="114"/>
      <c r="N106" s="116"/>
      <c r="O106" s="116"/>
    </row>
    <row r="107" spans="1:15">
      <c r="A107" s="136"/>
      <c r="B107" s="116"/>
      <c r="C107" s="116"/>
      <c r="D107" s="114"/>
      <c r="E107" s="114"/>
      <c r="F107" s="114"/>
      <c r="G107" s="114"/>
      <c r="H107" s="114"/>
      <c r="K107" s="116"/>
      <c r="L107" s="114"/>
      <c r="M107" s="114"/>
      <c r="N107" s="116"/>
      <c r="O107" s="116"/>
    </row>
    <row r="108" spans="1:15">
      <c r="A108" s="132"/>
      <c r="B108" s="119"/>
      <c r="C108" s="119"/>
      <c r="D108" s="118"/>
      <c r="E108" s="118"/>
      <c r="F108" s="118"/>
      <c r="G108" s="118"/>
      <c r="H108" s="118"/>
      <c r="K108" s="119"/>
      <c r="L108" s="118"/>
      <c r="M108" s="118"/>
      <c r="N108" s="119"/>
      <c r="O108" s="119"/>
    </row>
    <row r="109" spans="1:15">
      <c r="A109" s="10"/>
      <c r="B109" s="116"/>
      <c r="C109" s="116"/>
      <c r="D109" s="114"/>
      <c r="E109" s="114"/>
      <c r="F109" s="114"/>
      <c r="G109" s="114"/>
      <c r="H109" s="114"/>
      <c r="K109" s="116"/>
      <c r="L109" s="114"/>
      <c r="M109" s="114"/>
      <c r="N109" s="116"/>
      <c r="O109" s="116"/>
    </row>
    <row r="110" spans="1:15">
      <c r="A110" s="10"/>
      <c r="B110" s="116"/>
      <c r="C110" s="116"/>
      <c r="D110" s="114"/>
      <c r="E110" s="114"/>
      <c r="F110" s="114"/>
      <c r="G110" s="114"/>
      <c r="H110" s="127"/>
      <c r="K110" s="116"/>
      <c r="L110" s="114"/>
      <c r="M110" s="114"/>
      <c r="N110" s="116"/>
      <c r="O110" s="116"/>
    </row>
    <row r="111" spans="1:15">
      <c r="A111" s="10"/>
      <c r="B111" s="116"/>
      <c r="C111" s="116"/>
      <c r="D111" s="114"/>
      <c r="E111" s="114"/>
      <c r="F111" s="114"/>
      <c r="G111" s="114"/>
      <c r="H111" s="114"/>
      <c r="K111" s="116"/>
      <c r="L111" s="114"/>
      <c r="M111" s="127"/>
      <c r="N111" s="116"/>
      <c r="O111" s="116"/>
    </row>
    <row r="112" spans="1:15">
      <c r="A112" s="10"/>
      <c r="B112" s="116"/>
      <c r="C112" s="116"/>
      <c r="D112" s="114"/>
      <c r="E112" s="114"/>
      <c r="F112" s="114"/>
      <c r="G112" s="114"/>
      <c r="H112" s="114"/>
      <c r="K112" s="116"/>
      <c r="L112" s="114"/>
      <c r="M112" s="114"/>
      <c r="N112" s="116"/>
      <c r="O112" s="116"/>
    </row>
    <row r="113" spans="1:15">
      <c r="A113" s="10"/>
      <c r="B113" s="116"/>
      <c r="C113" s="116"/>
      <c r="D113" s="114"/>
      <c r="E113" s="114"/>
      <c r="F113" s="114"/>
      <c r="G113" s="127"/>
      <c r="H113" s="127"/>
      <c r="K113" s="116"/>
      <c r="L113" s="114"/>
      <c r="M113" s="114"/>
      <c r="N113" s="116"/>
      <c r="O113" s="116"/>
    </row>
    <row r="114" spans="1:15">
      <c r="A114" s="10"/>
      <c r="B114" s="116"/>
      <c r="C114" s="116"/>
      <c r="D114" s="114"/>
      <c r="E114" s="114"/>
      <c r="F114" s="114"/>
      <c r="G114" s="127"/>
      <c r="H114" s="127"/>
      <c r="K114" s="116"/>
      <c r="L114" s="114"/>
      <c r="M114" s="114"/>
      <c r="N114" s="116"/>
      <c r="O114" s="116"/>
    </row>
    <row r="115" spans="1:15">
      <c r="A115" s="10"/>
      <c r="B115" s="116"/>
      <c r="C115" s="116"/>
      <c r="D115" s="114"/>
      <c r="E115" s="114"/>
      <c r="F115" s="114"/>
      <c r="G115" s="114"/>
      <c r="H115" s="127"/>
      <c r="K115" s="116"/>
      <c r="L115" s="114"/>
      <c r="M115" s="114"/>
      <c r="N115" s="116"/>
      <c r="O115" s="116"/>
    </row>
    <row r="116" spans="1:15">
      <c r="A116" s="10"/>
      <c r="B116" s="116"/>
      <c r="C116" s="116"/>
      <c r="D116" s="114"/>
      <c r="E116" s="114"/>
      <c r="F116" s="114"/>
      <c r="G116" s="114"/>
      <c r="H116" s="114"/>
      <c r="K116" s="116"/>
      <c r="L116" s="114"/>
      <c r="M116" s="127"/>
      <c r="N116" s="116"/>
      <c r="O116" s="116"/>
    </row>
    <row r="117" spans="1:15">
      <c r="A117" s="10"/>
      <c r="B117" s="116"/>
      <c r="C117" s="116"/>
      <c r="D117" s="114"/>
      <c r="E117" s="114"/>
      <c r="F117" s="114"/>
      <c r="G117" s="127"/>
      <c r="H117" s="114"/>
      <c r="K117" s="116"/>
      <c r="L117" s="114"/>
      <c r="M117" s="114"/>
      <c r="N117" s="116"/>
      <c r="O117" s="116"/>
    </row>
    <row r="118" spans="1:15">
      <c r="A118" s="10"/>
      <c r="B118" s="116"/>
      <c r="C118" s="116"/>
      <c r="D118" s="114"/>
      <c r="E118" s="114"/>
      <c r="F118" s="114"/>
      <c r="G118" s="127"/>
      <c r="H118" s="127"/>
      <c r="K118" s="116"/>
      <c r="L118" s="114"/>
      <c r="M118" s="114"/>
      <c r="N118" s="116"/>
      <c r="O118" s="116"/>
    </row>
    <row r="119" spans="1:15">
      <c r="A119" s="10"/>
      <c r="B119" s="116"/>
      <c r="C119" s="116"/>
      <c r="D119" s="114"/>
      <c r="E119" s="114"/>
      <c r="F119" s="114"/>
      <c r="G119" s="114"/>
      <c r="H119" s="114"/>
      <c r="K119" s="116"/>
      <c r="L119" s="114"/>
      <c r="M119" s="114"/>
      <c r="N119" s="116"/>
      <c r="O119" s="116"/>
    </row>
    <row r="120" spans="1:15">
      <c r="A120" s="132"/>
      <c r="B120" s="119"/>
      <c r="C120" s="119"/>
      <c r="D120" s="118"/>
      <c r="E120" s="118"/>
      <c r="F120" s="118"/>
      <c r="G120" s="118"/>
      <c r="H120" s="118"/>
      <c r="K120" s="119"/>
      <c r="L120" s="118"/>
      <c r="M120" s="118"/>
      <c r="N120" s="119"/>
      <c r="O120" s="119"/>
    </row>
    <row r="121" spans="1:15">
      <c r="A121" s="10"/>
      <c r="B121" s="116"/>
      <c r="C121" s="116"/>
      <c r="D121" s="114"/>
      <c r="E121" s="114"/>
      <c r="F121" s="114"/>
      <c r="G121" s="127"/>
      <c r="H121" s="114"/>
      <c r="K121" s="116"/>
      <c r="L121" s="114"/>
      <c r="M121" s="114"/>
      <c r="N121" s="116"/>
      <c r="O121" s="116"/>
    </row>
    <row r="122" spans="1:15">
      <c r="A122" s="10"/>
      <c r="B122" s="116"/>
      <c r="C122" s="116"/>
      <c r="D122" s="114"/>
      <c r="E122" s="114"/>
      <c r="F122" s="114"/>
      <c r="G122" s="114"/>
      <c r="H122" s="127"/>
      <c r="K122" s="116"/>
      <c r="L122" s="114"/>
      <c r="M122" s="114"/>
      <c r="N122" s="116"/>
      <c r="O122" s="116"/>
    </row>
    <row r="123" spans="1:15">
      <c r="A123" s="10"/>
      <c r="B123" s="116"/>
      <c r="C123" s="116"/>
      <c r="D123" s="114"/>
      <c r="E123" s="114"/>
      <c r="F123" s="114"/>
      <c r="G123" s="114"/>
      <c r="H123" s="114"/>
      <c r="K123" s="116"/>
      <c r="L123" s="114"/>
      <c r="M123" s="127"/>
      <c r="N123" s="116"/>
      <c r="O123" s="116"/>
    </row>
    <row r="124" spans="1:15">
      <c r="A124" s="10"/>
      <c r="B124" s="116"/>
      <c r="C124" s="116"/>
      <c r="D124" s="114"/>
      <c r="E124" s="114"/>
      <c r="F124" s="114"/>
      <c r="G124" s="127"/>
      <c r="H124" s="114"/>
      <c r="K124" s="116"/>
      <c r="L124" s="114"/>
      <c r="M124" s="114"/>
      <c r="N124" s="116"/>
      <c r="O124" s="116"/>
    </row>
    <row r="125" spans="1:15">
      <c r="A125" s="10"/>
      <c r="B125" s="116"/>
      <c r="C125" s="116"/>
      <c r="D125" s="114"/>
      <c r="E125" s="114"/>
      <c r="F125" s="114"/>
      <c r="G125" s="114"/>
      <c r="H125" s="127"/>
      <c r="K125" s="116"/>
      <c r="L125" s="114"/>
      <c r="M125" s="114"/>
      <c r="N125" s="116"/>
      <c r="O125" s="116"/>
    </row>
    <row r="126" spans="1:15">
      <c r="A126" s="10"/>
      <c r="B126" s="116"/>
      <c r="C126" s="116"/>
      <c r="D126" s="114"/>
      <c r="E126" s="114"/>
      <c r="F126" s="114"/>
      <c r="G126" s="114"/>
      <c r="H126" s="127"/>
      <c r="K126" s="116"/>
      <c r="L126" s="114"/>
      <c r="M126" s="114"/>
      <c r="N126" s="116"/>
      <c r="O126" s="116"/>
    </row>
    <row r="127" spans="1:15">
      <c r="A127" s="10"/>
      <c r="B127" s="116"/>
      <c r="C127" s="116"/>
      <c r="D127" s="114"/>
      <c r="E127" s="114"/>
      <c r="F127" s="114"/>
      <c r="G127" s="127"/>
      <c r="H127" s="114"/>
      <c r="K127" s="116"/>
      <c r="L127" s="114"/>
      <c r="M127" s="114"/>
      <c r="N127" s="116"/>
      <c r="O127" s="116"/>
    </row>
    <row r="128" spans="1:15">
      <c r="A128" s="10"/>
      <c r="B128" s="116"/>
      <c r="C128" s="116"/>
      <c r="D128" s="114"/>
      <c r="E128" s="114"/>
      <c r="F128" s="114"/>
      <c r="G128" s="114"/>
      <c r="H128" s="114"/>
      <c r="K128" s="116"/>
      <c r="L128" s="114"/>
      <c r="M128" s="114"/>
      <c r="N128" s="116"/>
      <c r="O128" s="116"/>
    </row>
    <row r="129" spans="1:15">
      <c r="A129" s="10"/>
      <c r="B129" s="116"/>
      <c r="C129" s="116"/>
      <c r="D129" s="114"/>
      <c r="E129" s="114"/>
      <c r="F129" s="114"/>
      <c r="G129" s="114"/>
      <c r="H129" s="127"/>
      <c r="K129" s="116"/>
      <c r="L129" s="114"/>
      <c r="M129" s="114"/>
      <c r="N129" s="116"/>
      <c r="O129" s="116"/>
    </row>
  </sheetData>
  <phoneticPr fontId="2" type="noConversion"/>
  <conditionalFormatting sqref="U35:U41">
    <cfRule type="cellIs" dxfId="43" priority="1" stopIfTrue="1" operator="lessThan">
      <formula>0</formula>
    </cfRule>
    <cfRule type="cellIs" dxfId="42" priority="2" stopIfTrue="1" operator="greaterThan">
      <formula>0</formula>
    </cfRule>
  </conditionalFormatting>
  <conditionalFormatting sqref="U2:U30">
    <cfRule type="cellIs" dxfId="41" priority="3" stopIfTrue="1" operator="lessThan">
      <formula>0</formula>
    </cfRule>
    <cfRule type="cellIs" dxfId="40"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X118"/>
  <sheetViews>
    <sheetView topLeftCell="A22" workbookViewId="0">
      <selection activeCell="X4" sqref="X4"/>
    </sheetView>
  </sheetViews>
  <sheetFormatPr defaultRowHeight="11.25"/>
  <cols>
    <col min="1" max="1" width="24"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8.5703125" style="48" bestFit="1" customWidth="1"/>
    <col min="17" max="17" width="8.710937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4" style="48" bestFit="1" customWidth="1"/>
    <col min="25" max="16384" width="9.140625" style="48"/>
  </cols>
  <sheetData>
    <row r="1" spans="1:24" s="725" customFormat="1" ht="23.25" thickBot="1">
      <c r="A1" s="700" t="s">
        <v>164</v>
      </c>
      <c r="B1" s="700" t="s">
        <v>1934</v>
      </c>
      <c r="C1" s="700" t="s">
        <v>2798</v>
      </c>
      <c r="D1" s="700" t="s">
        <v>1214</v>
      </c>
      <c r="E1" s="700" t="s">
        <v>1215</v>
      </c>
      <c r="F1" s="700" t="s">
        <v>768</v>
      </c>
      <c r="G1" s="705" t="s">
        <v>2140</v>
      </c>
      <c r="H1" s="705" t="s">
        <v>2139</v>
      </c>
      <c r="I1" s="700" t="s">
        <v>771</v>
      </c>
      <c r="J1" s="700" t="s">
        <v>1219</v>
      </c>
      <c r="K1" s="705" t="s">
        <v>760</v>
      </c>
      <c r="L1" s="700" t="s">
        <v>1216</v>
      </c>
      <c r="M1" s="705" t="s">
        <v>264</v>
      </c>
      <c r="N1" s="705" t="s">
        <v>1217</v>
      </c>
      <c r="O1" s="705" t="s">
        <v>1287</v>
      </c>
      <c r="P1" s="706" t="s">
        <v>1046</v>
      </c>
      <c r="Q1" s="704" t="s">
        <v>1047</v>
      </c>
      <c r="R1" s="704" t="s">
        <v>1941</v>
      </c>
      <c r="S1" s="704" t="s">
        <v>666</v>
      </c>
      <c r="T1" s="706"/>
      <c r="U1" s="702" t="s">
        <v>265</v>
      </c>
      <c r="V1" s="743">
        <v>0</v>
      </c>
      <c r="W1" s="743"/>
      <c r="X1" s="700" t="s">
        <v>669</v>
      </c>
    </row>
    <row r="2" spans="1:24">
      <c r="A2" s="695" t="s">
        <v>1410</v>
      </c>
      <c r="B2" s="696">
        <v>27878</v>
      </c>
      <c r="C2" s="696">
        <v>1</v>
      </c>
      <c r="D2" s="696"/>
      <c r="E2" s="696">
        <v>15</v>
      </c>
      <c r="F2" s="696">
        <v>36</v>
      </c>
      <c r="G2" s="696"/>
      <c r="H2" s="696">
        <v>17</v>
      </c>
      <c r="I2" s="696"/>
      <c r="J2" s="696"/>
      <c r="K2" s="696"/>
      <c r="L2" s="696">
        <v>15</v>
      </c>
      <c r="M2" s="696"/>
      <c r="N2" s="696"/>
      <c r="O2" s="696"/>
      <c r="P2" s="696"/>
      <c r="Q2" s="696" t="s">
        <v>1033</v>
      </c>
      <c r="R2" s="696"/>
      <c r="S2" s="696" t="s">
        <v>691</v>
      </c>
      <c r="T2" s="696"/>
      <c r="U2" s="891">
        <f>($D2*dpsStr+$E2*dpsAgi+$G2*dpsCrit+$H2*dpsHit+$F2*dpsAP+$I2*dpsHaste+$J2*dpsArmor+$K2*dpsExp+IF(MID(Q2,1,1)+MID(Q2,3,1)+MID(Q2,5,1)&gt;0,VLOOKUP('Gear &amp; Buffs'!$B$41,GenSocketStats,18,FALSE)+IF(MID(Q2,1,1)+MID(Q2,3,1)+MID(Q2,5,1)&gt;1,VLOOKUP('Gear &amp; Buffs'!$B$42,GenSocketStats,18,FALSE)+IF(MID(Q2,1,1)+MID(Q2,3,1)+MID(Q2,5,1)&gt;2,VLOOKUP('Gear &amp; Buffs'!$B$43,GenSocketStats,18,FALSE),0)),0))-'Gear &amp; Buffs'!$AF$39</f>
        <v>-6.7302557723044174</v>
      </c>
      <c r="V2" s="221">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1689</v>
      </c>
    </row>
    <row r="3" spans="1:24">
      <c r="A3" s="677" t="s">
        <v>1411</v>
      </c>
      <c r="B3" s="678">
        <v>30729</v>
      </c>
      <c r="C3" s="678">
        <v>1</v>
      </c>
      <c r="D3" s="678"/>
      <c r="E3" s="678"/>
      <c r="F3" s="678">
        <v>60</v>
      </c>
      <c r="G3" s="678">
        <v>30</v>
      </c>
      <c r="H3" s="678"/>
      <c r="I3" s="678"/>
      <c r="J3" s="678"/>
      <c r="K3" s="678"/>
      <c r="L3" s="678"/>
      <c r="M3" s="678"/>
      <c r="N3" s="678"/>
      <c r="O3" s="678"/>
      <c r="P3" s="678"/>
      <c r="Q3" s="678" t="s">
        <v>1033</v>
      </c>
      <c r="R3" s="678"/>
      <c r="S3" s="678" t="s">
        <v>681</v>
      </c>
      <c r="T3" s="678"/>
      <c r="U3" s="891">
        <f>($D3*dpsStr+$E3*dpsAgi+$G3*dpsCrit+$H3*dpsHit+$F3*dpsAP+$I3*dpsHaste+$J3*dpsArmor+$K3*dpsExp+IF(MID(Q3,1,1)+MID(Q3,3,1)+MID(Q3,5,1)&gt;0,VLOOKUP('Gear &amp; Buffs'!$B$41,GenSocketStats,18,FALSE)+IF(MID(Q3,1,1)+MID(Q3,3,1)+MID(Q3,5,1)&gt;1,VLOOKUP('Gear &amp; Buffs'!$B$42,GenSocketStats,18,FALSE)+IF(MID(Q3,1,1)+MID(Q3,3,1)+MID(Q3,5,1)&gt;2,VLOOKUP('Gear &amp; Buffs'!$B$43,GenSocketStats,18,FALSE),0)),0))-'Gear &amp; Buffs'!$AF$39</f>
        <v>-84.3391739676822</v>
      </c>
      <c r="V3" s="221">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8"/>
      <c r="X3" s="714" t="str">
        <f>" "</f>
        <v xml:space="preserve"> </v>
      </c>
    </row>
    <row r="4" spans="1:24">
      <c r="A4" s="677" t="s">
        <v>1412</v>
      </c>
      <c r="B4" s="678">
        <v>29382</v>
      </c>
      <c r="C4" s="678">
        <v>1</v>
      </c>
      <c r="D4" s="678"/>
      <c r="E4" s="678">
        <v>23</v>
      </c>
      <c r="F4" s="678">
        <v>48</v>
      </c>
      <c r="G4" s="678"/>
      <c r="H4" s="678"/>
      <c r="I4" s="678"/>
      <c r="J4" s="678"/>
      <c r="K4" s="678"/>
      <c r="L4" s="678">
        <v>22</v>
      </c>
      <c r="M4" s="678"/>
      <c r="N4" s="678"/>
      <c r="O4" s="678"/>
      <c r="P4" s="678"/>
      <c r="Q4" s="678" t="s">
        <v>1033</v>
      </c>
      <c r="R4" s="678"/>
      <c r="S4" s="678" t="s">
        <v>691</v>
      </c>
      <c r="T4" s="678"/>
      <c r="U4" s="891">
        <f>($D4*dpsStr+$E4*dpsAgi+$G4*dpsCrit+$H4*dpsHit+$F4*dpsAP+$I4*dpsHaste+$J4*dpsArmor+$K4*dpsExp+IF(MID(Q4,1,1)+MID(Q4,3,1)+MID(Q4,5,1)&gt;0,VLOOKUP('Gear &amp; Buffs'!$B$41,GenSocketStats,18,FALSE)+IF(MID(Q4,1,1)+MID(Q4,3,1)+MID(Q4,5,1)&gt;1,VLOOKUP('Gear &amp; Buffs'!$B$42,GenSocketStats,18,FALSE)+IF(MID(Q4,1,1)+MID(Q4,3,1)+MID(Q4,5,1)&gt;2,VLOOKUP('Gear &amp; Buffs'!$B$43,GenSocketStats,18,FALSE),0)),0))-'Gear &amp; Buffs'!$AF$39</f>
        <v>-90.175127448524336</v>
      </c>
      <c r="V4" s="221">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8">
        <v>1</v>
      </c>
      <c r="X4" s="714" t="str">
        <f>IF(ISNA(INDEX($A$2:$A$36,MATCH(W4,V$2:V$36,0))), "", INDEX($A$2:$A$36,MATCH(W4,V$2:V$36,0)))</f>
        <v>Auchenai Death Shroud</v>
      </c>
    </row>
    <row r="5" spans="1:24">
      <c r="A5" s="677" t="s">
        <v>2402</v>
      </c>
      <c r="B5" s="678">
        <v>21701</v>
      </c>
      <c r="C5" s="678">
        <v>1</v>
      </c>
      <c r="D5" s="678">
        <v>11</v>
      </c>
      <c r="E5" s="678">
        <v>16</v>
      </c>
      <c r="F5" s="678"/>
      <c r="G5" s="678"/>
      <c r="H5" s="678">
        <v>10</v>
      </c>
      <c r="I5" s="678"/>
      <c r="J5" s="678"/>
      <c r="K5" s="678"/>
      <c r="L5" s="678">
        <v>15</v>
      </c>
      <c r="M5" s="678"/>
      <c r="N5" s="678"/>
      <c r="O5" s="678"/>
      <c r="P5" s="678"/>
      <c r="Q5" s="678" t="s">
        <v>1033</v>
      </c>
      <c r="R5" s="678"/>
      <c r="S5" s="678" t="s">
        <v>668</v>
      </c>
      <c r="T5" s="678"/>
      <c r="U5" s="891">
        <f>($D5*dpsStr+$E5*dpsAgi+$G5*dpsCrit+$H5*dpsHit+$F5*dpsAP+$I5*dpsHaste+$J5*dpsArmor+$K5*dpsExp+IF(MID(Q5,1,1)+MID(Q5,3,1)+MID(Q5,5,1)&gt;0,VLOOKUP('Gear &amp; Buffs'!$B$41,GenSocketStats,18,FALSE)+IF(MID(Q5,1,1)+MID(Q5,3,1)+MID(Q5,5,1)&gt;1,VLOOKUP('Gear &amp; Buffs'!$B$42,GenSocketStats,18,FALSE)+IF(MID(Q5,1,1)+MID(Q5,3,1)+MID(Q5,5,1)&gt;2,VLOOKUP('Gear &amp; Buffs'!$B$43,GenSocketStats,18,FALSE),0)),0))-'Gear &amp; Buffs'!$AF$39</f>
        <v>-53.293450790791667</v>
      </c>
      <c r="V5" s="221">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8">
        <v>2</v>
      </c>
      <c r="X5" s="714" t="str">
        <f t="shared" ref="X5:X38" si="0">IF(ISNA(INDEX($A$2:$A$36,MATCH(W5,V$2:V$36,0))), "", INDEX($A$2:$A$36,MATCH(W5,V$2:V$36,0)))</f>
        <v>Black-Iron Battlecloak</v>
      </c>
    </row>
    <row r="6" spans="1:24">
      <c r="A6" s="683" t="s">
        <v>1472</v>
      </c>
      <c r="B6" s="678">
        <v>33122</v>
      </c>
      <c r="C6" s="678">
        <v>3</v>
      </c>
      <c r="D6" s="678">
        <v>23</v>
      </c>
      <c r="E6" s="678"/>
      <c r="F6" s="678"/>
      <c r="G6" s="678">
        <v>24</v>
      </c>
      <c r="H6" s="678"/>
      <c r="I6" s="678"/>
      <c r="J6" s="678"/>
      <c r="K6" s="678"/>
      <c r="L6" s="678">
        <v>25</v>
      </c>
      <c r="M6" s="678"/>
      <c r="N6" s="678"/>
      <c r="O6" s="678"/>
      <c r="P6" s="678"/>
      <c r="Q6" s="678" t="s">
        <v>1039</v>
      </c>
      <c r="R6" s="678" t="s">
        <v>1473</v>
      </c>
      <c r="S6" s="678" t="s">
        <v>676</v>
      </c>
      <c r="T6" s="678"/>
      <c r="U6" s="891">
        <f>($D6*dpsStr+$E6*dpsAgi+$G6*dpsCrit+$H6*dpsHit+$F6*dpsAP+$I6*dpsHaste+$J6*dpsArmor+$K6*dpsExp+IF(MID(Q6,1,1)+MID(Q6,3,1)+MID(Q6,5,1)&gt;0,VLOOKUP('Gear &amp; Buffs'!$B$41,GenSocketStats,18,FALSE)+IF(MID(Q6,1,1)+MID(Q6,3,1)+MID(Q6,5,1)&gt;1,VLOOKUP('Gear &amp; Buffs'!$B$42,GenSocketStats,18,FALSE)+IF(MID(Q6,1,1)+MID(Q6,3,1)+MID(Q6,5,1)&gt;2,VLOOKUP('Gear &amp; Buffs'!$B$43,GenSocketStats,18,FALSE),0)),0))-'Gear &amp; Buffs'!$AF$39</f>
        <v>-75.344326352051667</v>
      </c>
      <c r="V6" s="221"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8">
        <v>3</v>
      </c>
      <c r="X6" s="714" t="str">
        <f t="shared" si="0"/>
        <v>Blood Knight War Cloak</v>
      </c>
    </row>
    <row r="7" spans="1:24">
      <c r="A7" s="677" t="s">
        <v>545</v>
      </c>
      <c r="B7" s="678">
        <v>33590</v>
      </c>
      <c r="C7" s="678">
        <v>4</v>
      </c>
      <c r="D7" s="678"/>
      <c r="E7" s="678">
        <v>20</v>
      </c>
      <c r="F7" s="678">
        <v>46</v>
      </c>
      <c r="G7" s="678"/>
      <c r="H7" s="678"/>
      <c r="I7" s="678">
        <v>25</v>
      </c>
      <c r="J7" s="678"/>
      <c r="K7" s="678"/>
      <c r="L7" s="678">
        <v>22</v>
      </c>
      <c r="M7" s="678"/>
      <c r="N7" s="678"/>
      <c r="O7" s="678"/>
      <c r="P7" s="678"/>
      <c r="Q7" s="678" t="s">
        <v>1033</v>
      </c>
      <c r="R7" s="678"/>
      <c r="S7" s="678" t="s">
        <v>664</v>
      </c>
      <c r="T7" s="678"/>
      <c r="U7" s="891">
        <f>($D7*dpsStr+$E7*dpsAgi+$G7*dpsCrit+$H7*dpsHit+$F7*dpsAP+$I7*dpsHaste+$J7*dpsArmor+$K7*dpsExp+IF(MID(Q7,1,1)+MID(Q7,3,1)+MID(Q7,5,1)&gt;0,VLOOKUP('Gear &amp; Buffs'!$B$41,GenSocketStats,18,FALSE)+IF(MID(Q7,1,1)+MID(Q7,3,1)+MID(Q7,5,1)&gt;1,VLOOKUP('Gear &amp; Buffs'!$B$42,GenSocketStats,18,FALSE)+IF(MID(Q7,1,1)+MID(Q7,3,1)+MID(Q7,5,1)&gt;2,VLOOKUP('Gear &amp; Buffs'!$B$43,GenSocketStats,18,FALSE),0)),0))-'Gear &amp; Buffs'!$AF$39</f>
        <v>-1.5868076327360541</v>
      </c>
      <c r="V7" s="221"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8">
        <v>4</v>
      </c>
      <c r="X7" s="714" t="str">
        <f t="shared" si="0"/>
        <v>Cloak of Concentrated Hatred</v>
      </c>
    </row>
    <row r="8" spans="1:24">
      <c r="A8" s="677" t="s">
        <v>2386</v>
      </c>
      <c r="B8" s="678">
        <v>25965</v>
      </c>
      <c r="C8" s="678">
        <v>1</v>
      </c>
      <c r="D8" s="678"/>
      <c r="E8" s="678">
        <v>11</v>
      </c>
      <c r="F8" s="678">
        <v>22</v>
      </c>
      <c r="G8" s="678"/>
      <c r="H8" s="678">
        <v>11</v>
      </c>
      <c r="I8" s="678"/>
      <c r="J8" s="678"/>
      <c r="K8" s="678"/>
      <c r="L8" s="678">
        <v>16</v>
      </c>
      <c r="M8" s="678"/>
      <c r="N8" s="678"/>
      <c r="O8" s="678"/>
      <c r="P8" s="678"/>
      <c r="Q8" s="678" t="s">
        <v>1033</v>
      </c>
      <c r="R8" s="678"/>
      <c r="S8" s="678" t="s">
        <v>675</v>
      </c>
      <c r="T8" s="678"/>
      <c r="U8" s="891">
        <f>($D8*dpsStr+$E8*dpsAgi+$G8*dpsCrit+$H8*dpsHit+$F8*dpsAP+$I8*dpsHaste+$J8*dpsArmor+$K8*dpsExp+IF(MID(Q8,1,1)+MID(Q8,3,1)+MID(Q8,5,1)&gt;0,VLOOKUP('Gear &amp; Buffs'!$B$41,GenSocketStats,18,FALSE)+IF(MID(Q8,1,1)+MID(Q8,3,1)+MID(Q8,5,1)&gt;1,VLOOKUP('Gear &amp; Buffs'!$B$42,GenSocketStats,18,FALSE)+IF(MID(Q8,1,1)+MID(Q8,3,1)+MID(Q8,5,1)&gt;2,VLOOKUP('Gear &amp; Buffs'!$B$43,GenSocketStats,18,FALSE),0)),0))-'Gear &amp; Buffs'!$AF$39</f>
        <v>-48.341916414379511</v>
      </c>
      <c r="V8" s="221">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5</v>
      </c>
      <c r="W8" s="738">
        <v>5</v>
      </c>
      <c r="X8" s="714" t="str">
        <f t="shared" si="0"/>
        <v>Cloak of Grasping Talons</v>
      </c>
    </row>
    <row r="9" spans="1:24">
      <c r="A9" s="677" t="s">
        <v>2387</v>
      </c>
      <c r="B9" s="678">
        <v>27423</v>
      </c>
      <c r="C9" s="678">
        <v>1</v>
      </c>
      <c r="D9" s="678"/>
      <c r="E9" s="678">
        <v>18</v>
      </c>
      <c r="F9" s="678">
        <v>40</v>
      </c>
      <c r="G9" s="678"/>
      <c r="H9" s="678"/>
      <c r="I9" s="678"/>
      <c r="J9" s="678"/>
      <c r="K9" s="678"/>
      <c r="L9" s="678">
        <v>19</v>
      </c>
      <c r="M9" s="678"/>
      <c r="N9" s="678"/>
      <c r="O9" s="678"/>
      <c r="P9" s="678"/>
      <c r="Q9" s="678" t="s">
        <v>1033</v>
      </c>
      <c r="R9" s="678"/>
      <c r="S9" s="678" t="s">
        <v>673</v>
      </c>
      <c r="T9" s="678"/>
      <c r="U9" s="891">
        <f>($D9*dpsStr+$E9*dpsAgi+$G9*dpsCrit+$H9*dpsHit+$F9*dpsAP+$I9*dpsHaste+$J9*dpsArmor+$K9*dpsExp+IF(MID(Q9,1,1)+MID(Q9,3,1)+MID(Q9,5,1)&gt;0,VLOOKUP('Gear &amp; Buffs'!$B$41,GenSocketStats,18,FALSE)+IF(MID(Q9,1,1)+MID(Q9,3,1)+MID(Q9,5,1)&gt;1,VLOOKUP('Gear &amp; Buffs'!$B$42,GenSocketStats,18,FALSE)+IF(MID(Q9,1,1)+MID(Q9,3,1)+MID(Q9,5,1)&gt;2,VLOOKUP('Gear &amp; Buffs'!$B$43,GenSocketStats,18,FALSE),0)),0))-'Gear &amp; Buffs'!$AF$39</f>
        <v>-97.169832002040494</v>
      </c>
      <c r="V9" s="221">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6</v>
      </c>
      <c r="W9" s="738">
        <v>6</v>
      </c>
      <c r="X9" s="714" t="str">
        <f t="shared" si="0"/>
        <v>Cloak of Impulsiveness</v>
      </c>
    </row>
    <row r="10" spans="1:24">
      <c r="A10" s="677" t="s">
        <v>1413</v>
      </c>
      <c r="B10" s="678">
        <v>27519</v>
      </c>
      <c r="C10" s="678">
        <v>1</v>
      </c>
      <c r="D10" s="678"/>
      <c r="E10" s="678">
        <v>21</v>
      </c>
      <c r="F10" s="678">
        <v>38</v>
      </c>
      <c r="G10" s="678"/>
      <c r="H10" s="678"/>
      <c r="I10" s="678"/>
      <c r="J10" s="678"/>
      <c r="K10" s="678"/>
      <c r="L10" s="678">
        <v>18</v>
      </c>
      <c r="M10" s="678"/>
      <c r="N10" s="678"/>
      <c r="O10" s="678"/>
      <c r="P10" s="678"/>
      <c r="Q10" s="678" t="s">
        <v>1033</v>
      </c>
      <c r="R10" s="678"/>
      <c r="S10" s="678" t="s">
        <v>673</v>
      </c>
      <c r="T10" s="678"/>
      <c r="U10" s="891">
        <f>($D10*dpsStr+$E10*dpsAgi+$G10*dpsCrit+$H10*dpsHit+$F10*dpsAP+$I10*dpsHaste+$J10*dpsArmor+$K10*dpsExp+IF(MID(Q10,1,1)+MID(Q10,3,1)+MID(Q10,5,1)&gt;0,VLOOKUP('Gear &amp; Buffs'!$B$41,GenSocketStats,18,FALSE)+IF(MID(Q10,1,1)+MID(Q10,3,1)+MID(Q10,5,1)&gt;1,VLOOKUP('Gear &amp; Buffs'!$B$42,GenSocketStats,18,FALSE)+IF(MID(Q10,1,1)+MID(Q10,3,1)+MID(Q10,5,1)&gt;2,VLOOKUP('Gear &amp; Buffs'!$B$43,GenSocketStats,18,FALSE),0)),0))-'Gear &amp; Buffs'!$AF$39</f>
        <v>-95.402853445745905</v>
      </c>
      <c r="V10" s="221">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7</v>
      </c>
      <c r="W10" s="738">
        <v>7</v>
      </c>
      <c r="X10" s="714" t="str">
        <f t="shared" si="0"/>
        <v>Cloak of Malice</v>
      </c>
    </row>
    <row r="11" spans="1:24">
      <c r="A11" s="677" t="s">
        <v>11</v>
      </c>
      <c r="B11" s="678">
        <v>34708</v>
      </c>
      <c r="C11" s="678">
        <v>5</v>
      </c>
      <c r="D11" s="678"/>
      <c r="E11" s="678"/>
      <c r="F11" s="678">
        <v>38</v>
      </c>
      <c r="G11" s="678"/>
      <c r="H11" s="678">
        <v>12</v>
      </c>
      <c r="I11" s="678">
        <v>18</v>
      </c>
      <c r="J11" s="678"/>
      <c r="K11" s="678"/>
      <c r="L11" s="678">
        <v>18</v>
      </c>
      <c r="M11" s="678"/>
      <c r="N11" s="678"/>
      <c r="O11" s="678"/>
      <c r="P11" s="678"/>
      <c r="Q11" s="678" t="s">
        <v>1033</v>
      </c>
      <c r="R11" s="678"/>
      <c r="S11" s="678" t="s">
        <v>673</v>
      </c>
      <c r="T11" s="678"/>
      <c r="U11" s="891">
        <f>($D11*dpsStr+$E11*dpsAgi+$G11*dpsCrit+$H11*dpsHit+$F11*dpsAP+$I11*dpsHaste+$J11*dpsArmor+$K11*dpsExp+IF(MID(Q11,1,1)+MID(Q11,3,1)+MID(Q11,5,1)&gt;0,VLOOKUP('Gear &amp; Buffs'!$B$41,GenSocketStats,18,FALSE)+IF(MID(Q11,1,1)+MID(Q11,3,1)+MID(Q11,5,1)&gt;1,VLOOKUP('Gear &amp; Buffs'!$B$42,GenSocketStats,18,FALSE)+IF(MID(Q11,1,1)+MID(Q11,3,1)+MID(Q11,5,1)&gt;2,VLOOKUP('Gear &amp; Buffs'!$B$43,GenSocketStats,18,FALSE),0)),0))-'Gear &amp; Buffs'!$AF$39</f>
        <v>19.910979206108095</v>
      </c>
      <c r="V11" s="221"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8">
        <v>8</v>
      </c>
      <c r="X11" s="714" t="str">
        <f t="shared" si="0"/>
        <v>Cloak of the Craft</v>
      </c>
    </row>
    <row r="12" spans="1:24">
      <c r="A12" s="677" t="s">
        <v>884</v>
      </c>
      <c r="B12" s="678">
        <v>31255</v>
      </c>
      <c r="C12" s="678">
        <v>1</v>
      </c>
      <c r="D12" s="678"/>
      <c r="E12" s="678">
        <v>23</v>
      </c>
      <c r="F12" s="678">
        <v>20</v>
      </c>
      <c r="G12" s="678"/>
      <c r="H12" s="678">
        <v>13</v>
      </c>
      <c r="I12" s="678"/>
      <c r="J12" s="678"/>
      <c r="K12" s="678"/>
      <c r="L12" s="678"/>
      <c r="M12" s="678"/>
      <c r="N12" s="678"/>
      <c r="O12" s="678"/>
      <c r="P12" s="678"/>
      <c r="Q12" s="678" t="s">
        <v>1033</v>
      </c>
      <c r="R12" s="678"/>
      <c r="S12" s="678" t="s">
        <v>674</v>
      </c>
      <c r="T12" s="678"/>
      <c r="U12" s="891">
        <f>($D12*dpsStr+$E12*dpsAgi+$G12*dpsCrit+$H12*dpsHit+$F12*dpsAP+$I12*dpsHaste+$J12*dpsArmor+$K12*dpsExp+IF(MID(Q12,1,1)+MID(Q12,3,1)+MID(Q12,5,1)&gt;0,VLOOKUP('Gear &amp; Buffs'!$B$41,GenSocketStats,18,FALSE)+IF(MID(Q12,1,1)+MID(Q12,3,1)+MID(Q12,5,1)&gt;1,VLOOKUP('Gear &amp; Buffs'!$B$42,GenSocketStats,18,FALSE)+IF(MID(Q12,1,1)+MID(Q12,3,1)+MID(Q12,5,1)&gt;2,VLOOKUP('Gear &amp; Buffs'!$B$43,GenSocketStats,18,FALSE),0)),0))-'Gear &amp; Buffs'!$AF$39</f>
        <v>-28.029959099815869</v>
      </c>
      <c r="V12" s="221">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8</v>
      </c>
      <c r="W12" s="738">
        <v>9</v>
      </c>
      <c r="X12" s="714" t="str">
        <f t="shared" si="0"/>
        <v>Cloak of the Inciter</v>
      </c>
    </row>
    <row r="13" spans="1:24">
      <c r="A13" s="677" t="s">
        <v>885</v>
      </c>
      <c r="B13" s="678">
        <v>27892</v>
      </c>
      <c r="C13" s="678">
        <v>1</v>
      </c>
      <c r="D13" s="678"/>
      <c r="E13" s="678"/>
      <c r="F13" s="678">
        <v>30</v>
      </c>
      <c r="G13" s="678">
        <v>18</v>
      </c>
      <c r="H13" s="678">
        <v>16</v>
      </c>
      <c r="I13" s="678"/>
      <c r="J13" s="678"/>
      <c r="K13" s="678"/>
      <c r="L13" s="678">
        <v>15</v>
      </c>
      <c r="M13" s="678"/>
      <c r="N13" s="678"/>
      <c r="O13" s="678"/>
      <c r="P13" s="678"/>
      <c r="Q13" s="678" t="s">
        <v>1033</v>
      </c>
      <c r="R13" s="678"/>
      <c r="S13" s="678" t="s">
        <v>673</v>
      </c>
      <c r="T13" s="678"/>
      <c r="U13" s="891">
        <f>($D13*dpsStr+$E13*dpsAgi+$G13*dpsCrit+$H13*dpsHit+$F13*dpsAP+$I13*dpsHaste+$J13*dpsArmor+$K13*dpsExp+IF(MID(Q13,1,1)+MID(Q13,3,1)+MID(Q13,5,1)&gt;0,VLOOKUP('Gear &amp; Buffs'!$B$41,GenSocketStats,18,FALSE)+IF(MID(Q13,1,1)+MID(Q13,3,1)+MID(Q13,5,1)&gt;1,VLOOKUP('Gear &amp; Buffs'!$B$42,GenSocketStats,18,FALSE)+IF(MID(Q13,1,1)+MID(Q13,3,1)+MID(Q13,5,1)&gt;2,VLOOKUP('Gear &amp; Buffs'!$B$43,GenSocketStats,18,FALSE),0)),0))-'Gear &amp; Buffs'!$AF$39</f>
        <v>-14.488126935416403</v>
      </c>
      <c r="V13" s="221">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9</v>
      </c>
      <c r="W13" s="738">
        <v>10</v>
      </c>
      <c r="X13" s="714" t="str">
        <f t="shared" si="0"/>
        <v>Cloak of the Pit Stalker</v>
      </c>
    </row>
    <row r="14" spans="1:24" s="47" customFormat="1">
      <c r="A14" s="677" t="s">
        <v>886</v>
      </c>
      <c r="B14" s="678">
        <v>28777</v>
      </c>
      <c r="C14" s="678">
        <v>1</v>
      </c>
      <c r="D14" s="678"/>
      <c r="E14" s="678"/>
      <c r="F14" s="678">
        <v>56</v>
      </c>
      <c r="G14" s="678">
        <v>24</v>
      </c>
      <c r="H14" s="678"/>
      <c r="I14" s="678"/>
      <c r="J14" s="678"/>
      <c r="K14" s="678"/>
      <c r="L14" s="678">
        <v>28</v>
      </c>
      <c r="M14" s="678"/>
      <c r="N14" s="678"/>
      <c r="O14" s="678"/>
      <c r="P14" s="678"/>
      <c r="Q14" s="678" t="s">
        <v>1033</v>
      </c>
      <c r="R14" s="678"/>
      <c r="S14" s="678" t="s">
        <v>679</v>
      </c>
      <c r="T14" s="678"/>
      <c r="U14" s="891">
        <f>($D14*dpsStr+$E14*dpsAgi+$G14*dpsCrit+$H14*dpsHit+$F14*dpsAP+$I14*dpsHaste+$J14*dpsArmor+$K14*dpsExp+IF(MID(Q14,1,1)+MID(Q14,3,1)+MID(Q14,5,1)&gt;0,VLOOKUP('Gear &amp; Buffs'!$B$41,GenSocketStats,18,FALSE)+IF(MID(Q14,1,1)+MID(Q14,3,1)+MID(Q14,5,1)&gt;1,VLOOKUP('Gear &amp; Buffs'!$B$42,GenSocketStats,18,FALSE)+IF(MID(Q14,1,1)+MID(Q14,3,1)+MID(Q14,5,1)&gt;2,VLOOKUP('Gear &amp; Buffs'!$B$43,GenSocketStats,18,FALSE),0)),0))-'Gear &amp; Buffs'!$AF$39</f>
        <v>-89.883271904159756</v>
      </c>
      <c r="V14" s="221">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10</v>
      </c>
      <c r="W14" s="738">
        <v>11</v>
      </c>
      <c r="X14" s="714" t="str">
        <f t="shared" si="0"/>
        <v>Consortium Cloak of the Quick</v>
      </c>
    </row>
    <row r="15" spans="1:24">
      <c r="A15" s="677" t="s">
        <v>1730</v>
      </c>
      <c r="B15" s="678">
        <v>34241</v>
      </c>
      <c r="C15" s="678">
        <v>5</v>
      </c>
      <c r="D15" s="678"/>
      <c r="E15" s="678">
        <v>26</v>
      </c>
      <c r="F15" s="678">
        <v>72</v>
      </c>
      <c r="G15" s="678"/>
      <c r="H15" s="678"/>
      <c r="I15" s="678">
        <v>32</v>
      </c>
      <c r="J15" s="678"/>
      <c r="K15" s="678"/>
      <c r="L15" s="678">
        <v>25</v>
      </c>
      <c r="M15" s="678"/>
      <c r="N15" s="678"/>
      <c r="O15" s="678"/>
      <c r="P15" s="678"/>
      <c r="Q15" s="678" t="s">
        <v>1043</v>
      </c>
      <c r="R15" s="678" t="s">
        <v>1066</v>
      </c>
      <c r="S15" s="678" t="s">
        <v>871</v>
      </c>
      <c r="T15" s="678"/>
      <c r="U15" s="891">
        <f>($D15*dpsStr+$E15*dpsAgi+$G15*dpsCrit+$H15*dpsHit+$F15*dpsAP+$I15*dpsHaste+$J15*dpsArmor+$K15*dpsExp+IF(MID(Q15,1,1)+MID(Q15,3,1)+MID(Q15,5,1)&gt;0,VLOOKUP('Gear &amp; Buffs'!$B$41,GenSocketStats,18,FALSE)+IF(MID(Q15,1,1)+MID(Q15,3,1)+MID(Q15,5,1)&gt;1,VLOOKUP('Gear &amp; Buffs'!$B$42,GenSocketStats,18,FALSE)+IF(MID(Q15,1,1)+MID(Q15,3,1)+MID(Q15,5,1)&gt;2,VLOOKUP('Gear &amp; Buffs'!$B$43,GenSocketStats,18,FALSE),0)),0))-'Gear &amp; Buffs'!$AF$39</f>
        <v>63.875720774497495</v>
      </c>
      <c r="V15" s="221"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8">
        <v>12</v>
      </c>
      <c r="X15" s="714" t="str">
        <f t="shared" si="0"/>
        <v>Dawnstrike's Cloak</v>
      </c>
    </row>
    <row r="16" spans="1:24">
      <c r="A16" s="677" t="s">
        <v>887</v>
      </c>
      <c r="B16" s="678">
        <v>25927</v>
      </c>
      <c r="C16" s="678">
        <v>1</v>
      </c>
      <c r="D16" s="678"/>
      <c r="E16" s="678">
        <v>14</v>
      </c>
      <c r="F16" s="678">
        <v>26</v>
      </c>
      <c r="G16" s="678"/>
      <c r="H16" s="678">
        <v>14</v>
      </c>
      <c r="I16" s="678"/>
      <c r="J16" s="678"/>
      <c r="K16" s="678"/>
      <c r="L16" s="678"/>
      <c r="M16" s="678"/>
      <c r="N16" s="678"/>
      <c r="O16" s="678"/>
      <c r="P16" s="678"/>
      <c r="Q16" s="678" t="s">
        <v>1033</v>
      </c>
      <c r="R16" s="678"/>
      <c r="S16" s="678" t="s">
        <v>675</v>
      </c>
      <c r="T16" s="678"/>
      <c r="U16" s="891">
        <f>($D16*dpsStr+$E16*dpsAgi+$G16*dpsCrit+$H16*dpsHit+$F16*dpsAP+$I16*dpsHaste+$J16*dpsArmor+$K16*dpsExp+IF(MID(Q16,1,1)+MID(Q16,3,1)+MID(Q16,5,1)&gt;0,VLOOKUP('Gear &amp; Buffs'!$B$41,GenSocketStats,18,FALSE)+IF(MID(Q16,1,1)+MID(Q16,3,1)+MID(Q16,5,1)&gt;1,VLOOKUP('Gear &amp; Buffs'!$B$42,GenSocketStats,18,FALSE)+IF(MID(Q16,1,1)+MID(Q16,3,1)+MID(Q16,5,1)&gt;2,VLOOKUP('Gear &amp; Buffs'!$B$43,GenSocketStats,18,FALSE),0)),0))-'Gear &amp; Buffs'!$AF$39</f>
        <v>-27.780863301572481</v>
      </c>
      <c r="V16" s="221">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11</v>
      </c>
      <c r="W16" s="738">
        <v>13</v>
      </c>
      <c r="X16" s="714" t="str">
        <f t="shared" si="0"/>
        <v>Delicate Green Poncho</v>
      </c>
    </row>
    <row r="17" spans="1:24">
      <c r="A17" s="677" t="s">
        <v>2388</v>
      </c>
      <c r="B17" s="678">
        <v>34190</v>
      </c>
      <c r="C17" s="678">
        <v>5</v>
      </c>
      <c r="D17" s="678"/>
      <c r="E17" s="678"/>
      <c r="F17" s="678"/>
      <c r="G17" s="678"/>
      <c r="H17" s="678"/>
      <c r="I17" s="678"/>
      <c r="J17" s="678"/>
      <c r="K17" s="678">
        <v>28</v>
      </c>
      <c r="L17" s="678">
        <v>61</v>
      </c>
      <c r="M17" s="678">
        <v>28</v>
      </c>
      <c r="N17" s="678"/>
      <c r="O17" s="678"/>
      <c r="P17" s="678"/>
      <c r="Q17" s="678" t="s">
        <v>1033</v>
      </c>
      <c r="R17" s="678"/>
      <c r="S17" s="678" t="s">
        <v>871</v>
      </c>
      <c r="T17" s="678"/>
      <c r="U17" s="891">
        <f>($D17*dpsStr+$E17*dpsAgi+$G17*dpsCrit+$H17*dpsHit+$F17*dpsAP+$I17*dpsHaste+$J17*dpsArmor+$K17*dpsExp+IF(MID(Q17,1,1)+MID(Q17,3,1)+MID(Q17,5,1)&gt;0,VLOOKUP('Gear &amp; Buffs'!$B$41,GenSocketStats,18,FALSE)+IF(MID(Q17,1,1)+MID(Q17,3,1)+MID(Q17,5,1)&gt;1,VLOOKUP('Gear &amp; Buffs'!$B$42,GenSocketStats,18,FALSE)+IF(MID(Q17,1,1)+MID(Q17,3,1)+MID(Q17,5,1)&gt;2,VLOOKUP('Gear &amp; Buffs'!$B$43,GenSocketStats,18,FALSE),0)),0))-'Gear &amp; Buffs'!$AF$39</f>
        <v>-93.351780587051962</v>
      </c>
      <c r="V17" s="221"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8">
        <v>14</v>
      </c>
      <c r="X17" s="714" t="str">
        <f t="shared" si="0"/>
        <v>Drape of the Dark Reavers</v>
      </c>
    </row>
    <row r="18" spans="1:24">
      <c r="A18" s="683" t="s">
        <v>1146</v>
      </c>
      <c r="B18" s="678">
        <v>32665</v>
      </c>
      <c r="C18" s="678">
        <v>3</v>
      </c>
      <c r="D18" s="678"/>
      <c r="E18" s="678">
        <v>15</v>
      </c>
      <c r="F18" s="678"/>
      <c r="G18" s="678"/>
      <c r="H18" s="678"/>
      <c r="I18" s="678">
        <v>26</v>
      </c>
      <c r="J18" s="678"/>
      <c r="K18" s="678"/>
      <c r="L18" s="678">
        <v>15</v>
      </c>
      <c r="M18" s="678"/>
      <c r="N18" s="678"/>
      <c r="O18" s="678"/>
      <c r="P18" s="678"/>
      <c r="Q18" s="678" t="s">
        <v>1033</v>
      </c>
      <c r="R18" s="678"/>
      <c r="S18" s="678" t="s">
        <v>674</v>
      </c>
      <c r="T18" s="678"/>
      <c r="U18" s="891">
        <f>($D18*dpsStr+$E18*dpsAgi+$G18*dpsCrit+$H18*dpsHit+$F18*dpsAP+$I18*dpsHaste+$J18*dpsArmor+$K18*dpsExp+IF(MID(Q18,1,1)+MID(Q18,3,1)+MID(Q18,5,1)&gt;0,VLOOKUP('Gear &amp; Buffs'!$B$41,GenSocketStats,18,FALSE)+IF(MID(Q18,1,1)+MID(Q18,3,1)+MID(Q18,5,1)&gt;1,VLOOKUP('Gear &amp; Buffs'!$B$42,GenSocketStats,18,FALSE)+IF(MID(Q18,1,1)+MID(Q18,3,1)+MID(Q18,5,1)&gt;2,VLOOKUP('Gear &amp; Buffs'!$B$43,GenSocketStats,18,FALSE),0)),0))-'Gear &amp; Buffs'!$AF$39</f>
        <v>-18.48866842972825</v>
      </c>
      <c r="V18" s="221"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8">
        <v>15</v>
      </c>
      <c r="X18" s="714" t="str">
        <f t="shared" si="0"/>
        <v>Farstrider Wildercloak</v>
      </c>
    </row>
    <row r="19" spans="1:24">
      <c r="A19" s="677" t="s">
        <v>1614</v>
      </c>
      <c r="B19" s="678">
        <v>29792</v>
      </c>
      <c r="C19" s="678">
        <v>1</v>
      </c>
      <c r="D19" s="678"/>
      <c r="E19" s="678">
        <v>12</v>
      </c>
      <c r="F19" s="678">
        <v>42</v>
      </c>
      <c r="G19" s="678"/>
      <c r="H19" s="678">
        <v>9</v>
      </c>
      <c r="I19" s="678"/>
      <c r="J19" s="678"/>
      <c r="K19" s="678"/>
      <c r="L19" s="678"/>
      <c r="M19" s="678"/>
      <c r="N19" s="678"/>
      <c r="O19" s="678"/>
      <c r="P19" s="678"/>
      <c r="Q19" s="678" t="s">
        <v>1033</v>
      </c>
      <c r="R19" s="678"/>
      <c r="S19" s="678" t="s">
        <v>675</v>
      </c>
      <c r="T19" s="678"/>
      <c r="U19" s="891">
        <f>($D19*dpsStr+$E19*dpsAgi+$G19*dpsCrit+$H19*dpsHit+$F19*dpsAP+$I19*dpsHaste+$J19*dpsArmor+$K19*dpsExp+IF(MID(Q19,1,1)+MID(Q19,3,1)+MID(Q19,5,1)&gt;0,VLOOKUP('Gear &amp; Buffs'!$B$41,GenSocketStats,18,FALSE)+IF(MID(Q19,1,1)+MID(Q19,3,1)+MID(Q19,5,1)&gt;1,VLOOKUP('Gear &amp; Buffs'!$B$42,GenSocketStats,18,FALSE)+IF(MID(Q19,1,1)+MID(Q19,3,1)+MID(Q19,5,1)&gt;2,VLOOKUP('Gear &amp; Buffs'!$B$43,GenSocketStats,18,FALSE),0)),0))-'Gear &amp; Buffs'!$AF$39</f>
        <v>-51.468165962195599</v>
      </c>
      <c r="V19" s="221">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12</v>
      </c>
      <c r="W19" s="738">
        <v>16</v>
      </c>
      <c r="X19" s="714" t="str">
        <f t="shared" si="0"/>
        <v>Netherfury Cape</v>
      </c>
    </row>
    <row r="20" spans="1:24">
      <c r="A20" s="683" t="s">
        <v>2389</v>
      </c>
      <c r="B20" s="678">
        <v>31942</v>
      </c>
      <c r="C20" s="678">
        <v>3</v>
      </c>
      <c r="D20" s="678"/>
      <c r="E20" s="678">
        <v>18</v>
      </c>
      <c r="F20" s="678">
        <v>42</v>
      </c>
      <c r="G20" s="678"/>
      <c r="H20" s="678"/>
      <c r="I20" s="678"/>
      <c r="J20" s="678"/>
      <c r="K20" s="678"/>
      <c r="L20" s="678">
        <v>27</v>
      </c>
      <c r="M20" s="678"/>
      <c r="N20" s="678"/>
      <c r="O20" s="678"/>
      <c r="P20" s="678"/>
      <c r="Q20" s="678" t="s">
        <v>1033</v>
      </c>
      <c r="R20" s="678"/>
      <c r="S20" s="678" t="s">
        <v>675</v>
      </c>
      <c r="T20" s="678"/>
      <c r="U20" s="891">
        <f>($D20*dpsStr+$E20*dpsAgi+$G20*dpsCrit+$H20*dpsHit+$F20*dpsAP+$I20*dpsHaste+$J20*dpsArmor+$K20*dpsExp+IF(MID(Q20,1,1)+MID(Q20,3,1)+MID(Q20,5,1)&gt;0,VLOOKUP('Gear &amp; Buffs'!$B$41,GenSocketStats,18,FALSE)+IF(MID(Q20,1,1)+MID(Q20,3,1)+MID(Q20,5,1)&gt;1,VLOOKUP('Gear &amp; Buffs'!$B$42,GenSocketStats,18,FALSE)+IF(MID(Q20,1,1)+MID(Q20,3,1)+MID(Q20,5,1)&gt;2,VLOOKUP('Gear &amp; Buffs'!$B$43,GenSocketStats,18,FALSE),0)),0))-'Gear &amp; Buffs'!$AF$39</f>
        <v>-96.455171950330168</v>
      </c>
      <c r="V20" s="221"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8">
        <v>17</v>
      </c>
      <c r="X20" s="714" t="str">
        <f t="shared" si="0"/>
        <v>Royal Cloak of Arathi Kings</v>
      </c>
    </row>
    <row r="21" spans="1:24">
      <c r="A21" s="677" t="s">
        <v>1615</v>
      </c>
      <c r="B21" s="678">
        <v>28032</v>
      </c>
      <c r="C21" s="678">
        <v>1</v>
      </c>
      <c r="D21" s="678"/>
      <c r="E21" s="678">
        <v>14</v>
      </c>
      <c r="F21" s="678">
        <v>28</v>
      </c>
      <c r="G21" s="678"/>
      <c r="H21" s="678">
        <v>14</v>
      </c>
      <c r="I21" s="678"/>
      <c r="J21" s="678"/>
      <c r="K21" s="678"/>
      <c r="L21" s="678">
        <v>19</v>
      </c>
      <c r="M21" s="678"/>
      <c r="N21" s="678"/>
      <c r="O21" s="678"/>
      <c r="P21" s="678"/>
      <c r="Q21" s="678" t="s">
        <v>1033</v>
      </c>
      <c r="R21" s="678"/>
      <c r="S21" s="678" t="s">
        <v>675</v>
      </c>
      <c r="T21" s="678"/>
      <c r="U21" s="891">
        <f>($D21*dpsStr+$E21*dpsAgi+$G21*dpsCrit+$H21*dpsHit+$F21*dpsAP+$I21*dpsHaste+$J21*dpsArmor+$K21*dpsExp+IF(MID(Q21,1,1)+MID(Q21,3,1)+MID(Q21,5,1)&gt;0,VLOOKUP('Gear &amp; Buffs'!$B$41,GenSocketStats,18,FALSE)+IF(MID(Q21,1,1)+MID(Q21,3,1)+MID(Q21,5,1)&gt;1,VLOOKUP('Gear &amp; Buffs'!$B$42,GenSocketStats,18,FALSE)+IF(MID(Q21,1,1)+MID(Q21,3,1)+MID(Q21,5,1)&gt;2,VLOOKUP('Gear &amp; Buffs'!$B$43,GenSocketStats,18,FALSE),0)),0))-'Gear &amp; Buffs'!$AF$39</f>
        <v>-27.066203249862156</v>
      </c>
      <c r="V21" s="221">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13</v>
      </c>
      <c r="W21" s="738">
        <v>18</v>
      </c>
      <c r="X21" s="714" t="str">
        <f t="shared" si="0"/>
        <v>Sergeant's Heavy Cloak (H)</v>
      </c>
    </row>
    <row r="22" spans="1:24">
      <c r="A22" s="683" t="s">
        <v>1428</v>
      </c>
      <c r="B22" s="678">
        <v>33484</v>
      </c>
      <c r="C22" s="678">
        <v>4</v>
      </c>
      <c r="D22" s="678"/>
      <c r="E22" s="678"/>
      <c r="F22" s="678">
        <v>46</v>
      </c>
      <c r="G22" s="678">
        <v>20</v>
      </c>
      <c r="H22" s="678"/>
      <c r="I22" s="678"/>
      <c r="J22" s="678">
        <v>112</v>
      </c>
      <c r="K22" s="678"/>
      <c r="L22" s="678">
        <v>34</v>
      </c>
      <c r="M22" s="678"/>
      <c r="N22" s="678">
        <v>20</v>
      </c>
      <c r="O22" s="678"/>
      <c r="P22" s="678"/>
      <c r="Q22" s="678" t="s">
        <v>1033</v>
      </c>
      <c r="R22" s="678"/>
      <c r="S22" s="678" t="s">
        <v>677</v>
      </c>
      <c r="T22" s="678"/>
      <c r="U22" s="891">
        <f>($D22*dpsStr+$E22*dpsAgi+$G22*dpsCrit+$H22*dpsHit+$F22*dpsAP+$I22*dpsHaste+$J22*dpsArmor+$K22*dpsExp+IF(MID(Q22,1,1)+MID(Q22,3,1)+MID(Q22,5,1)&gt;0,VLOOKUP('Gear &amp; Buffs'!$B$41,GenSocketStats,18,FALSE)+IF(MID(Q22,1,1)+MID(Q22,3,1)+MID(Q22,5,1)&gt;1,VLOOKUP('Gear &amp; Buffs'!$B$42,GenSocketStats,18,FALSE)+IF(MID(Q22,1,1)+MID(Q22,3,1)+MID(Q22,5,1)&gt;2,VLOOKUP('Gear &amp; Buffs'!$B$43,GenSocketStats,18,FALSE),0)),0))-'Gear &amp; Buffs'!$AF$39</f>
        <v>-82.43399403505282</v>
      </c>
      <c r="V22" s="221"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8">
        <v>19</v>
      </c>
      <c r="X22" s="714" t="str">
        <f t="shared" si="0"/>
        <v>Sergeant's Heavy Cloak (A)</v>
      </c>
    </row>
    <row r="23" spans="1:24">
      <c r="A23" s="677" t="s">
        <v>1118</v>
      </c>
      <c r="B23" s="678">
        <v>28672</v>
      </c>
      <c r="C23" s="678">
        <v>1</v>
      </c>
      <c r="D23" s="678"/>
      <c r="E23" s="678">
        <v>24</v>
      </c>
      <c r="F23" s="678">
        <v>34</v>
      </c>
      <c r="G23" s="678"/>
      <c r="H23" s="678">
        <v>17</v>
      </c>
      <c r="I23" s="678"/>
      <c r="J23" s="678"/>
      <c r="K23" s="678"/>
      <c r="L23" s="678">
        <v>21</v>
      </c>
      <c r="M23" s="678"/>
      <c r="N23" s="678"/>
      <c r="O23" s="678"/>
      <c r="P23" s="678"/>
      <c r="Q23" s="678" t="s">
        <v>1033</v>
      </c>
      <c r="R23" s="678"/>
      <c r="S23" s="678" t="s">
        <v>672</v>
      </c>
      <c r="T23" s="678"/>
      <c r="U23" s="891">
        <f>($D23*dpsStr+$E23*dpsAgi+$G23*dpsCrit+$H23*dpsHit+$F23*dpsAP+$I23*dpsHaste+$J23*dpsArmor+$K23*dpsExp+IF(MID(Q23,1,1)+MID(Q23,3,1)+MID(Q23,5,1)&gt;0,VLOOKUP('Gear &amp; Buffs'!$B$41,GenSocketStats,18,FALSE)+IF(MID(Q23,1,1)+MID(Q23,3,1)+MID(Q23,5,1)&gt;1,VLOOKUP('Gear &amp; Buffs'!$B$42,GenSocketStats,18,FALSE)+IF(MID(Q23,1,1)+MID(Q23,3,1)+MID(Q23,5,1)&gt;2,VLOOKUP('Gear &amp; Buffs'!$B$43,GenSocketStats,18,FALSE),0)),0))-'Gear &amp; Buffs'!$AF$39</f>
        <v>0</v>
      </c>
      <c r="V23" s="221">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8">
        <v>20</v>
      </c>
      <c r="X23" s="714" t="str">
        <f t="shared" si="0"/>
        <v>Shroud of Dominion</v>
      </c>
    </row>
    <row r="24" spans="1:24">
      <c r="A24" s="677" t="s">
        <v>2490</v>
      </c>
      <c r="B24" s="678">
        <v>28764</v>
      </c>
      <c r="C24" s="678">
        <v>1</v>
      </c>
      <c r="D24" s="678"/>
      <c r="E24" s="678"/>
      <c r="F24" s="678">
        <v>70</v>
      </c>
      <c r="G24" s="678"/>
      <c r="H24" s="678"/>
      <c r="I24" s="678"/>
      <c r="J24" s="678"/>
      <c r="K24" s="678"/>
      <c r="L24" s="678">
        <v>36</v>
      </c>
      <c r="M24" s="678"/>
      <c r="N24" s="678"/>
      <c r="O24" s="678"/>
      <c r="P24" s="678"/>
      <c r="Q24" s="678" t="s">
        <v>1033</v>
      </c>
      <c r="R24" s="678"/>
      <c r="S24" s="678" t="s">
        <v>672</v>
      </c>
      <c r="T24" s="678"/>
      <c r="U24" s="891">
        <f>($D24*dpsStr+$E24*dpsAgi+$G24*dpsCrit+$H24*dpsHit+$F24*dpsAP+$I24*dpsHaste+$J24*dpsArmor+$K24*dpsExp+IF(MID(Q24,1,1)+MID(Q24,3,1)+MID(Q24,5,1)&gt;0,VLOOKUP('Gear &amp; Buffs'!$B$41,GenSocketStats,18,FALSE)+IF(MID(Q24,1,1)+MID(Q24,3,1)+MID(Q24,5,1)&gt;1,VLOOKUP('Gear &amp; Buffs'!$B$42,GenSocketStats,18,FALSE)+IF(MID(Q24,1,1)+MID(Q24,3,1)+MID(Q24,5,1)&gt;2,VLOOKUP('Gear &amp; Buffs'!$B$43,GenSocketStats,18,FALSE),0)),0))-'Gear &amp; Buffs'!$AF$39</f>
        <v>-101.3397628744151</v>
      </c>
      <c r="V24" s="221">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15</v>
      </c>
      <c r="W24" s="738">
        <v>21</v>
      </c>
      <c r="X24" s="714" t="str">
        <f t="shared" si="0"/>
        <v>Vengeance Wrap</v>
      </c>
    </row>
    <row r="25" spans="1:24">
      <c r="A25" s="677" t="s">
        <v>1616</v>
      </c>
      <c r="B25" s="678">
        <v>28371</v>
      </c>
      <c r="C25" s="678">
        <v>1</v>
      </c>
      <c r="D25" s="678">
        <v>19</v>
      </c>
      <c r="E25" s="678">
        <v>19</v>
      </c>
      <c r="F25" s="678"/>
      <c r="G25" s="678">
        <v>21</v>
      </c>
      <c r="H25" s="678"/>
      <c r="I25" s="678"/>
      <c r="J25" s="678"/>
      <c r="K25" s="678"/>
      <c r="L25" s="678"/>
      <c r="M25" s="678"/>
      <c r="N25" s="678"/>
      <c r="O25" s="678"/>
      <c r="P25" s="678"/>
      <c r="Q25" s="678" t="s">
        <v>1033</v>
      </c>
      <c r="R25" s="678"/>
      <c r="S25" s="678" t="s">
        <v>673</v>
      </c>
      <c r="T25" s="678"/>
      <c r="U25" s="891">
        <f>($D25*dpsStr+$E25*dpsAgi+$G25*dpsCrit+$H25*dpsHit+$F25*dpsAP+$I25*dpsHaste+$J25*dpsArmor+$K25*dpsExp+IF(MID(Q25,1,1)+MID(Q25,3,1)+MID(Q25,5,1)&gt;0,VLOOKUP('Gear &amp; Buffs'!$B$41,GenSocketStats,18,FALSE)+IF(MID(Q25,1,1)+MID(Q25,3,1)+MID(Q25,5,1)&gt;1,VLOOKUP('Gear &amp; Buffs'!$B$42,GenSocketStats,18,FALSE)+IF(MID(Q25,1,1)+MID(Q25,3,1)+MID(Q25,5,1)&gt;2,VLOOKUP('Gear &amp; Buffs'!$B$43,GenSocketStats,18,FALSE),0)),0))-'Gear &amp; Buffs'!$AF$39</f>
        <v>-88.765900210829159</v>
      </c>
      <c r="V25" s="221">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16</v>
      </c>
      <c r="W25" s="738">
        <v>22</v>
      </c>
      <c r="X25" s="714" t="str">
        <f t="shared" si="0"/>
        <v>(Unmodeled)</v>
      </c>
    </row>
    <row r="26" spans="1:24">
      <c r="A26" s="677" t="s">
        <v>1617</v>
      </c>
      <c r="B26" s="678">
        <v>30098</v>
      </c>
      <c r="C26" s="678">
        <v>2</v>
      </c>
      <c r="D26" s="678">
        <v>33</v>
      </c>
      <c r="E26" s="678">
        <v>23</v>
      </c>
      <c r="F26" s="678"/>
      <c r="G26" s="678"/>
      <c r="H26" s="678"/>
      <c r="I26" s="678"/>
      <c r="J26" s="678"/>
      <c r="K26" s="678"/>
      <c r="L26" s="678">
        <v>22</v>
      </c>
      <c r="M26" s="678"/>
      <c r="N26" s="678"/>
      <c r="O26" s="678"/>
      <c r="P26" s="678"/>
      <c r="Q26" s="678" t="s">
        <v>1033</v>
      </c>
      <c r="R26" s="678"/>
      <c r="S26" s="678" t="s">
        <v>667</v>
      </c>
      <c r="T26" s="678"/>
      <c r="U26" s="891">
        <f>($D26*dpsStr+$E26*dpsAgi+$G26*dpsCrit+$H26*dpsHit+$F26*dpsAP+$I26*dpsHaste+$J26*dpsArmor+$K26*dpsExp+IF(MID(Q26,1,1)+MID(Q26,3,1)+MID(Q26,5,1)&gt;0,VLOOKUP('Gear &amp; Buffs'!$B$41,GenSocketStats,18,FALSE)+IF(MID(Q26,1,1)+MID(Q26,3,1)+MID(Q26,5,1)&gt;1,VLOOKUP('Gear &amp; Buffs'!$B$42,GenSocketStats,18,FALSE)+IF(MID(Q26,1,1)+MID(Q26,3,1)+MID(Q26,5,1)&gt;2,VLOOKUP('Gear &amp; Buffs'!$B$43,GenSocketStats,18,FALSE),0)),0))-'Gear &amp; Buffs'!$AF$39</f>
        <v>-94.35588875101098</v>
      </c>
      <c r="V26" s="221"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8">
        <v>23</v>
      </c>
      <c r="X26" s="714" t="str">
        <f t="shared" si="0"/>
        <v/>
      </c>
    </row>
    <row r="27" spans="1:24">
      <c r="A27" s="677" t="s">
        <v>2491</v>
      </c>
      <c r="B27" s="678">
        <v>28529</v>
      </c>
      <c r="C27" s="678">
        <v>1</v>
      </c>
      <c r="D27" s="678">
        <v>26</v>
      </c>
      <c r="E27" s="678"/>
      <c r="F27" s="678"/>
      <c r="G27" s="678"/>
      <c r="H27" s="678">
        <v>16</v>
      </c>
      <c r="I27" s="678"/>
      <c r="J27" s="678"/>
      <c r="K27" s="678"/>
      <c r="L27" s="678">
        <v>31</v>
      </c>
      <c r="M27" s="678"/>
      <c r="N27" s="678"/>
      <c r="O27" s="678"/>
      <c r="P27" s="678"/>
      <c r="Q27" s="678" t="s">
        <v>1033</v>
      </c>
      <c r="R27" s="678"/>
      <c r="S27" s="678" t="s">
        <v>672</v>
      </c>
      <c r="T27" s="678"/>
      <c r="U27" s="891">
        <f>($D27*dpsStr+$E27*dpsAgi+$G27*dpsCrit+$H27*dpsHit+$F27*dpsAP+$I27*dpsHaste+$J27*dpsArmor+$K27*dpsExp+IF(MID(Q27,1,1)+MID(Q27,3,1)+MID(Q27,5,1)&gt;0,VLOOKUP('Gear &amp; Buffs'!$B$41,GenSocketStats,18,FALSE)+IF(MID(Q27,1,1)+MID(Q27,3,1)+MID(Q27,5,1)&gt;1,VLOOKUP('Gear &amp; Buffs'!$B$42,GenSocketStats,18,FALSE)+IF(MID(Q27,1,1)+MID(Q27,3,1)+MID(Q27,5,1)&gt;2,VLOOKUP('Gear &amp; Buffs'!$B$43,GenSocketStats,18,FALSE),0)),0))-'Gear &amp; Buffs'!$AF$39</f>
        <v>-27.332722470769568</v>
      </c>
      <c r="V27" s="221">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8">
        <v>24</v>
      </c>
      <c r="X27" s="714" t="str">
        <f t="shared" si="0"/>
        <v/>
      </c>
    </row>
    <row r="28" spans="1:24">
      <c r="A28" s="677" t="s">
        <v>228</v>
      </c>
      <c r="B28" s="678">
        <v>28377</v>
      </c>
      <c r="C28" s="678">
        <v>1</v>
      </c>
      <c r="D28" s="678"/>
      <c r="E28" s="678"/>
      <c r="F28" s="678">
        <v>38</v>
      </c>
      <c r="G28" s="678">
        <v>19</v>
      </c>
      <c r="H28" s="678"/>
      <c r="I28" s="678"/>
      <c r="J28" s="678"/>
      <c r="K28" s="678"/>
      <c r="L28" s="678">
        <v>27</v>
      </c>
      <c r="M28" s="678"/>
      <c r="N28" s="678">
        <v>19</v>
      </c>
      <c r="O28" s="678"/>
      <c r="P28" s="678"/>
      <c r="Q28" s="678" t="s">
        <v>1033</v>
      </c>
      <c r="R28" s="678"/>
      <c r="S28" s="678" t="s">
        <v>677</v>
      </c>
      <c r="T28" s="678"/>
      <c r="U28" s="891">
        <f>($D28*dpsStr+$E28*dpsAgi+$G28*dpsCrit+$H28*dpsHit+$F28*dpsAP+$I28*dpsHaste+$J28*dpsArmor+$K28*dpsExp+IF(MID(Q28,1,1)+MID(Q28,3,1)+MID(Q28,5,1)&gt;0,VLOOKUP('Gear &amp; Buffs'!$B$41,GenSocketStats,18,FALSE)+IF(MID(Q28,1,1)+MID(Q28,3,1)+MID(Q28,5,1)&gt;1,VLOOKUP('Gear &amp; Buffs'!$B$42,GenSocketStats,18,FALSE)+IF(MID(Q28,1,1)+MID(Q28,3,1)+MID(Q28,5,1)&gt;2,VLOOKUP('Gear &amp; Buffs'!$B$43,GenSocketStats,18,FALSE),0)),0))-'Gear &amp; Buffs'!$AF$39</f>
        <v>-99.744193897100104</v>
      </c>
      <c r="V28" s="221">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8">
        <v>25</v>
      </c>
      <c r="X28" s="714" t="str">
        <f t="shared" si="0"/>
        <v/>
      </c>
    </row>
    <row r="29" spans="1:24">
      <c r="A29" s="677" t="s">
        <v>229</v>
      </c>
      <c r="B29" s="678">
        <v>28380</v>
      </c>
      <c r="C29" s="678">
        <v>1</v>
      </c>
      <c r="D29" s="678"/>
      <c r="E29" s="678"/>
      <c r="F29" s="678">
        <v>38</v>
      </c>
      <c r="G29" s="678">
        <v>19</v>
      </c>
      <c r="H29" s="678"/>
      <c r="I29" s="678"/>
      <c r="J29" s="678"/>
      <c r="K29" s="678"/>
      <c r="L29" s="678">
        <v>27</v>
      </c>
      <c r="M29" s="678"/>
      <c r="N29" s="678">
        <v>19</v>
      </c>
      <c r="O29" s="678"/>
      <c r="P29" s="678"/>
      <c r="Q29" s="678" t="s">
        <v>1033</v>
      </c>
      <c r="R29" s="678"/>
      <c r="S29" s="678" t="s">
        <v>677</v>
      </c>
      <c r="T29" s="678"/>
      <c r="U29" s="891">
        <f>($D29*dpsStr+$E29*dpsAgi+$G29*dpsCrit+$H29*dpsHit+$F29*dpsAP+$I29*dpsHaste+$J29*dpsArmor+$K29*dpsExp+IF(MID(Q29,1,1)+MID(Q29,3,1)+MID(Q29,5,1)&gt;0,VLOOKUP('Gear &amp; Buffs'!$B$41,GenSocketStats,18,FALSE)+IF(MID(Q29,1,1)+MID(Q29,3,1)+MID(Q29,5,1)&gt;1,VLOOKUP('Gear &amp; Buffs'!$B$42,GenSocketStats,18,FALSE)+IF(MID(Q29,1,1)+MID(Q29,3,1)+MID(Q29,5,1)&gt;2,VLOOKUP('Gear &amp; Buffs'!$B$43,GenSocketStats,18,FALSE),0)),0))-'Gear &amp; Buffs'!$AF$39</f>
        <v>-99.744193897100104</v>
      </c>
      <c r="V29" s="221">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19</v>
      </c>
      <c r="W29" s="738">
        <v>26</v>
      </c>
      <c r="X29" s="714" t="str">
        <f t="shared" si="0"/>
        <v/>
      </c>
    </row>
    <row r="30" spans="1:24">
      <c r="A30" s="677" t="s">
        <v>1618</v>
      </c>
      <c r="B30" s="678">
        <v>32323</v>
      </c>
      <c r="C30" s="678">
        <v>3</v>
      </c>
      <c r="D30" s="678"/>
      <c r="E30" s="678"/>
      <c r="F30" s="678">
        <v>72</v>
      </c>
      <c r="G30" s="678">
        <v>24</v>
      </c>
      <c r="H30" s="678">
        <v>17</v>
      </c>
      <c r="I30" s="678"/>
      <c r="J30" s="678"/>
      <c r="K30" s="678"/>
      <c r="L30" s="678">
        <v>24</v>
      </c>
      <c r="M30" s="678"/>
      <c r="N30" s="678"/>
      <c r="O30" s="678"/>
      <c r="P30" s="678"/>
      <c r="Q30" s="678" t="s">
        <v>1033</v>
      </c>
      <c r="R30" s="678"/>
      <c r="S30" s="678" t="s">
        <v>683</v>
      </c>
      <c r="T30" s="678"/>
      <c r="U30" s="891">
        <f>($D30*dpsStr+$E30*dpsAgi+$G30*dpsCrit+$H30*dpsHit+$F30*dpsAP+$I30*dpsHaste+$J30*dpsArmor+$K30*dpsExp+IF(MID(Q30,1,1)+MID(Q30,3,1)+MID(Q30,5,1)&gt;0,VLOOKUP('Gear &amp; Buffs'!$B$41,GenSocketStats,18,FALSE)+IF(MID(Q30,1,1)+MID(Q30,3,1)+MID(Q30,5,1)&gt;1,VLOOKUP('Gear &amp; Buffs'!$B$42,GenSocketStats,18,FALSE)+IF(MID(Q30,1,1)+MID(Q30,3,1)+MID(Q30,5,1)&gt;2,VLOOKUP('Gear &amp; Buffs'!$B$43,GenSocketStats,18,FALSE),0)),0))-'Gear &amp; Buffs'!$AF$39</f>
        <v>10.184543450684487</v>
      </c>
      <c r="V30" s="221"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8">
        <v>27</v>
      </c>
      <c r="X30" s="714" t="str">
        <f t="shared" si="0"/>
        <v/>
      </c>
    </row>
    <row r="31" spans="1:24">
      <c r="A31" s="677" t="s">
        <v>2390</v>
      </c>
      <c r="B31" s="678">
        <v>23045</v>
      </c>
      <c r="C31" s="678">
        <v>1</v>
      </c>
      <c r="D31" s="678"/>
      <c r="E31" s="678"/>
      <c r="F31" s="678">
        <v>50</v>
      </c>
      <c r="G31" s="678">
        <v>14</v>
      </c>
      <c r="H31" s="678"/>
      <c r="I31" s="678"/>
      <c r="J31" s="678"/>
      <c r="K31" s="678"/>
      <c r="L31" s="678">
        <v>11</v>
      </c>
      <c r="M31" s="678"/>
      <c r="N31" s="678"/>
      <c r="O31" s="678"/>
      <c r="P31" s="678"/>
      <c r="Q31" s="678" t="s">
        <v>1033</v>
      </c>
      <c r="R31" s="678"/>
      <c r="S31" s="678" t="s">
        <v>668</v>
      </c>
      <c r="T31" s="678"/>
      <c r="U31" s="891">
        <f>($D31*dpsStr+$E31*dpsAgi+$G31*dpsCrit+$H31*dpsHit+$F31*dpsAP+$I31*dpsHaste+$J31*dpsArmor+$K31*dpsExp+IF(MID(Q31,1,1)+MID(Q31,3,1)+MID(Q31,5,1)&gt;0,VLOOKUP('Gear &amp; Buffs'!$B$41,GenSocketStats,18,FALSE)+IF(MID(Q31,1,1)+MID(Q31,3,1)+MID(Q31,5,1)&gt;1,VLOOKUP('Gear &amp; Buffs'!$B$42,GenSocketStats,18,FALSE)+IF(MID(Q31,1,1)+MID(Q31,3,1)+MID(Q31,5,1)&gt;2,VLOOKUP('Gear &amp; Buffs'!$B$43,GenSocketStats,18,FALSE),0)),0))-'Gear &amp; Buffs'!$AF$39</f>
        <v>-98.885215114385574</v>
      </c>
      <c r="V31" s="221">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20</v>
      </c>
      <c r="W31" s="738">
        <v>28</v>
      </c>
      <c r="X31" s="714" t="str">
        <f t="shared" si="0"/>
        <v/>
      </c>
    </row>
    <row r="32" spans="1:24">
      <c r="A32" s="683" t="s">
        <v>2083</v>
      </c>
      <c r="B32" s="678">
        <v>32540</v>
      </c>
      <c r="C32" s="678">
        <v>3</v>
      </c>
      <c r="D32" s="678"/>
      <c r="E32" s="678">
        <v>16</v>
      </c>
      <c r="F32" s="678">
        <v>56</v>
      </c>
      <c r="G32" s="678"/>
      <c r="H32" s="678"/>
      <c r="I32" s="678"/>
      <c r="J32" s="678"/>
      <c r="K32" s="678"/>
      <c r="L32" s="678">
        <v>18</v>
      </c>
      <c r="M32" s="678"/>
      <c r="N32" s="678"/>
      <c r="O32" s="678"/>
      <c r="P32" s="678"/>
      <c r="Q32" s="678" t="s">
        <v>1033</v>
      </c>
      <c r="R32" s="678"/>
      <c r="S32" s="678" t="s">
        <v>674</v>
      </c>
      <c r="T32" s="678"/>
      <c r="U32" s="891">
        <f>($D32*dpsStr+$E32*dpsAgi+$G32*dpsCrit+$H32*dpsHit+$F32*dpsAP+$I32*dpsHaste+$J32*dpsArmor+$K32*dpsExp+IF(MID(Q32,1,1)+MID(Q32,3,1)+MID(Q32,5,1)&gt;0,VLOOKUP('Gear &amp; Buffs'!$B$41,GenSocketStats,18,FALSE)+IF(MID(Q32,1,1)+MID(Q32,3,1)+MID(Q32,5,1)&gt;1,VLOOKUP('Gear &amp; Buffs'!$B$42,GenSocketStats,18,FALSE)+IF(MID(Q32,1,1)+MID(Q32,3,1)+MID(Q32,5,1)&gt;2,VLOOKUP('Gear &amp; Buffs'!$B$43,GenSocketStats,18,FALSE),0)),0))-'Gear &amp; Buffs'!$AF$39</f>
        <v>-93.106977327027835</v>
      </c>
      <c r="V32" s="221"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8">
        <v>29</v>
      </c>
      <c r="X32" s="714" t="str">
        <f t="shared" si="0"/>
        <v/>
      </c>
    </row>
    <row r="33" spans="1:24">
      <c r="A33" s="677" t="s">
        <v>2084</v>
      </c>
      <c r="B33" s="678">
        <v>29994</v>
      </c>
      <c r="C33" s="678">
        <v>2</v>
      </c>
      <c r="D33" s="678"/>
      <c r="E33" s="678">
        <v>28</v>
      </c>
      <c r="F33" s="678">
        <v>68</v>
      </c>
      <c r="G33" s="678"/>
      <c r="H33" s="678"/>
      <c r="I33" s="678"/>
      <c r="J33" s="678"/>
      <c r="K33" s="678"/>
      <c r="L33" s="678">
        <v>28</v>
      </c>
      <c r="M33" s="678"/>
      <c r="N33" s="678"/>
      <c r="O33" s="678"/>
      <c r="P33" s="678"/>
      <c r="Q33" s="678" t="s">
        <v>1033</v>
      </c>
      <c r="R33" s="678"/>
      <c r="S33" s="678" t="s">
        <v>680</v>
      </c>
      <c r="T33" s="678"/>
      <c r="U33" s="891">
        <f>($D33*dpsStr+$E33*dpsAgi+$G33*dpsCrit+$H33*dpsHit+$F33*dpsAP+$I33*dpsHaste+$J33*dpsArmor+$K33*dpsExp+IF(MID(Q33,1,1)+MID(Q33,3,1)+MID(Q33,5,1)&gt;0,VLOOKUP('Gear &amp; Buffs'!$B$41,GenSocketStats,18,FALSE)+IF(MID(Q33,1,1)+MID(Q33,3,1)+MID(Q33,5,1)&gt;1,VLOOKUP('Gear &amp; Buffs'!$B$42,GenSocketStats,18,FALSE)+IF(MID(Q33,1,1)+MID(Q33,3,1)+MID(Q33,5,1)&gt;2,VLOOKUP('Gear &amp; Buffs'!$B$43,GenSocketStats,18,FALSE),0)),0))-'Gear &amp; Buffs'!$AF$39</f>
        <v>-78.892462584746227</v>
      </c>
      <c r="V33" s="221"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8">
        <v>30</v>
      </c>
      <c r="X33" s="714" t="str">
        <f t="shared" si="0"/>
        <v/>
      </c>
    </row>
    <row r="34" spans="1:24">
      <c r="A34" s="745" t="s">
        <v>1355</v>
      </c>
      <c r="B34" s="727">
        <v>35495</v>
      </c>
      <c r="C34" s="727">
        <v>5</v>
      </c>
      <c r="D34" s="727"/>
      <c r="E34" s="727">
        <v>23</v>
      </c>
      <c r="F34" s="727">
        <v>48</v>
      </c>
      <c r="G34" s="727"/>
      <c r="H34" s="727"/>
      <c r="I34" s="727"/>
      <c r="J34" s="727"/>
      <c r="K34" s="727"/>
      <c r="L34" s="727">
        <v>22</v>
      </c>
      <c r="M34" s="727"/>
      <c r="N34" s="727"/>
      <c r="O34" s="727"/>
      <c r="P34" s="727"/>
      <c r="Q34" s="727" t="s">
        <v>1033</v>
      </c>
      <c r="R34" s="727"/>
      <c r="S34" s="727" t="s">
        <v>691</v>
      </c>
      <c r="T34" s="678"/>
      <c r="U34" s="891">
        <f>($D34*dpsStr+$E34*dpsAgi+$G34*dpsCrit+$H34*dpsHit+$F34*dpsAP+$I34*dpsHaste+$J34*dpsArmor+$K34*dpsExp+IF(MID(Q34,1,1)+MID(Q34,3,1)+MID(Q34,5,1)&gt;0,VLOOKUP('Gear &amp; Buffs'!$B$41,GenSocketStats,18,FALSE)+IF(MID(Q34,1,1)+MID(Q34,3,1)+MID(Q34,5,1)&gt;1,VLOOKUP('Gear &amp; Buffs'!$B$42,GenSocketStats,18,FALSE)+IF(MID(Q34,1,1)+MID(Q34,3,1)+MID(Q34,5,1)&gt;2,VLOOKUP('Gear &amp; Buffs'!$B$43,GenSocketStats,18,FALSE),0)),0))-'Gear &amp; Buffs'!$AF$39</f>
        <v>-90.175127448524336</v>
      </c>
      <c r="V34" s="221"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8">
        <v>31</v>
      </c>
      <c r="X34" s="714" t="str">
        <f t="shared" si="0"/>
        <v/>
      </c>
    </row>
    <row r="35" spans="1:24">
      <c r="A35" s="10" t="s">
        <v>2085</v>
      </c>
      <c r="B35" s="114">
        <v>24259</v>
      </c>
      <c r="C35" s="114">
        <v>1</v>
      </c>
      <c r="D35" s="114"/>
      <c r="E35" s="114"/>
      <c r="F35" s="114">
        <v>52</v>
      </c>
      <c r="G35" s="114">
        <v>23</v>
      </c>
      <c r="H35" s="114"/>
      <c r="I35" s="114"/>
      <c r="J35" s="114"/>
      <c r="K35" s="114"/>
      <c r="L35" s="114"/>
      <c r="M35" s="114"/>
      <c r="N35" s="114"/>
      <c r="O35" s="114"/>
      <c r="P35" s="114"/>
      <c r="Q35" s="114" t="s">
        <v>1035</v>
      </c>
      <c r="R35" s="114" t="s">
        <v>1022</v>
      </c>
      <c r="S35" s="114" t="s">
        <v>685</v>
      </c>
      <c r="T35" s="681"/>
      <c r="U35" s="891">
        <f>($D35*dpsStr+$E35*dpsAgi+$G35*dpsCrit+$H35*dpsHit+$F35*dpsAP+$I35*dpsHaste+$J35*dpsArmor+$K35*dpsExp+IF(MID(Q35,1,1)+MID(Q35,3,1)+MID(Q35,5,1)&gt;0,VLOOKUP('Gear &amp; Buffs'!$B$41,GenSocketStats,18,FALSE)+IF(MID(Q35,1,1)+MID(Q35,3,1)+MID(Q35,5,1)&gt;1,VLOOKUP('Gear &amp; Buffs'!$B$42,GenSocketStats,18,FALSE)+IF(MID(Q35,1,1)+MID(Q35,3,1)+MID(Q35,5,1)&gt;2,VLOOKUP('Gear &amp; Buffs'!$B$43,GenSocketStats,18,FALSE),0)),0))-'Gear &amp; Buffs'!$AF$39</f>
        <v>-66.489410967241383</v>
      </c>
      <c r="V35" s="221">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8">
        <v>32</v>
      </c>
      <c r="X35" s="714" t="str">
        <f t="shared" si="0"/>
        <v/>
      </c>
    </row>
    <row r="36" spans="1:24">
      <c r="A36" s="10" t="str">
        <f>'Gear &amp; Buffs'!$B$159</f>
        <v>(Unmodeled)</v>
      </c>
      <c r="B36" s="114"/>
      <c r="C36" s="114"/>
      <c r="D36" s="114">
        <f>'Gear &amp; Buffs'!$D$159</f>
        <v>0</v>
      </c>
      <c r="E36" s="114">
        <f>'Gear &amp; Buffs'!$E$159</f>
        <v>0</v>
      </c>
      <c r="F36" s="114">
        <f>'Gear &amp; Buffs'!$I$159</f>
        <v>0</v>
      </c>
      <c r="G36" s="115">
        <f>'Gear &amp; Buffs'!$G$159</f>
        <v>0</v>
      </c>
      <c r="H36" s="115">
        <f>'Gear &amp; Buffs'!$H$159</f>
        <v>0</v>
      </c>
      <c r="I36" s="115">
        <f>'Gear &amp; Buffs'!$P$159</f>
        <v>0</v>
      </c>
      <c r="J36" s="114">
        <f>'Gear &amp; Buffs'!$Q$159</f>
        <v>0</v>
      </c>
      <c r="K36" s="116">
        <f>'Gear &amp; Buffs'!$L$159</f>
        <v>0</v>
      </c>
      <c r="L36" s="114">
        <f>'Gear &amp; Buffs'!$F$159</f>
        <v>0</v>
      </c>
      <c r="M36" s="116">
        <f>'Gear &amp; Buffs'!$K$159</f>
        <v>0</v>
      </c>
      <c r="N36" s="114">
        <f>'Gear &amp; Buffs'!$J$159</f>
        <v>0</v>
      </c>
      <c r="O36" s="115">
        <f>'Gear &amp; Buffs'!M159</f>
        <v>0</v>
      </c>
      <c r="P36" s="114"/>
      <c r="Q36" s="114" t="str">
        <f>'Gear &amp; Buffs'!$R$159</f>
        <v>0 0 0</v>
      </c>
      <c r="R36" s="720">
        <f>'Gear &amp; Buffs'!$S$159</f>
        <v>0</v>
      </c>
      <c r="S36" s="114"/>
      <c r="T36" s="692"/>
      <c r="U36" s="891">
        <f>($D36*dpsStr+$E36*dpsAgi+$G36*dpsCrit+$H36*dpsHit+$F36*dpsAP+$I36*dpsHaste+$J36*dpsArmor+$K36*dpsExp+IF(MID(Q36,1,1)+MID(Q36,3,1)+MID(Q36,5,1)&gt;0,VLOOKUP('Gear &amp; Buffs'!$B$41,GenSocketStats,18,FALSE)+IF(MID(Q36,1,1)+MID(Q36,3,1)+MID(Q36,5,1)&gt;1,VLOOKUP('Gear &amp; Buffs'!$B$42,GenSocketStats,18,FALSE)+IF(MID(Q36,1,1)+MID(Q36,3,1)+MID(Q36,5,1)&gt;2,VLOOKUP('Gear &amp; Buffs'!$B$43,GenSocketStats,18,FALSE),0)),0))-'Gear &amp; Buffs'!$AF$39</f>
        <v>-126.35286468427648</v>
      </c>
      <c r="V36" s="681">
        <f>MAX($V$1:V35)+1</f>
        <v>22</v>
      </c>
      <c r="W36" s="738">
        <v>33</v>
      </c>
      <c r="X36" s="714" t="str">
        <f t="shared" si="0"/>
        <v/>
      </c>
    </row>
    <row r="37" spans="1:24">
      <c r="A37" s="10" t="s">
        <v>2207</v>
      </c>
      <c r="B37" s="114"/>
      <c r="C37" s="114"/>
      <c r="D37" s="10"/>
      <c r="E37" s="10"/>
      <c r="F37" s="10"/>
      <c r="G37" s="10"/>
      <c r="H37" s="10"/>
      <c r="I37" s="10"/>
      <c r="J37" s="10"/>
      <c r="K37" s="10"/>
      <c r="L37" s="10"/>
      <c r="M37" s="10"/>
      <c r="N37" s="10"/>
      <c r="O37" s="10"/>
      <c r="P37" s="10"/>
      <c r="Q37" s="114" t="s">
        <v>1033</v>
      </c>
      <c r="R37" s="10"/>
      <c r="S37" s="114"/>
      <c r="T37" s="692"/>
      <c r="U37" s="711"/>
      <c r="V37" s="681"/>
      <c r="W37" s="738">
        <v>34</v>
      </c>
      <c r="X37" s="714" t="str">
        <f t="shared" si="0"/>
        <v/>
      </c>
    </row>
    <row r="38" spans="1:24">
      <c r="A38" s="10"/>
      <c r="D38" s="114"/>
      <c r="E38" s="114"/>
      <c r="F38" s="114"/>
      <c r="G38" s="127"/>
      <c r="H38" s="114"/>
      <c r="J38" s="114"/>
      <c r="K38" s="138"/>
      <c r="L38" s="114"/>
      <c r="M38" s="127"/>
      <c r="N38" s="138"/>
      <c r="O38" s="116"/>
      <c r="T38" s="116"/>
      <c r="W38" s="738">
        <v>35</v>
      </c>
      <c r="X38" s="714" t="str">
        <f t="shared" si="0"/>
        <v/>
      </c>
    </row>
    <row r="39" spans="1:24">
      <c r="A39" s="10"/>
      <c r="D39" s="114"/>
      <c r="E39" s="114"/>
      <c r="F39" s="114"/>
      <c r="G39" s="127"/>
      <c r="H39" s="114"/>
      <c r="J39" s="114"/>
      <c r="K39" s="138"/>
      <c r="L39" s="114"/>
      <c r="M39" s="127"/>
      <c r="N39" s="138"/>
      <c r="O39" s="116"/>
      <c r="T39" s="116"/>
      <c r="W39" s="114"/>
      <c r="X39" s="10"/>
    </row>
    <row r="40" spans="1:24" ht="23.25" thickBot="1">
      <c r="A40" s="740" t="s">
        <v>2086</v>
      </c>
      <c r="B40" s="730" t="s">
        <v>1934</v>
      </c>
      <c r="C40" s="730" t="s">
        <v>2798</v>
      </c>
      <c r="D40" s="731" t="s">
        <v>1214</v>
      </c>
      <c r="E40" s="731" t="s">
        <v>1215</v>
      </c>
      <c r="F40" s="731" t="s">
        <v>768</v>
      </c>
      <c r="G40" s="730" t="s">
        <v>2140</v>
      </c>
      <c r="H40" s="730" t="s">
        <v>2139</v>
      </c>
      <c r="I40" s="730" t="s">
        <v>771</v>
      </c>
      <c r="J40" s="732" t="s">
        <v>770</v>
      </c>
      <c r="K40" s="730" t="s">
        <v>760</v>
      </c>
      <c r="L40" s="731" t="s">
        <v>1216</v>
      </c>
      <c r="M40" s="730" t="s">
        <v>264</v>
      </c>
      <c r="N40" s="730" t="s">
        <v>1217</v>
      </c>
      <c r="O40" s="730" t="s">
        <v>1287</v>
      </c>
      <c r="P40" s="730" t="s">
        <v>1046</v>
      </c>
      <c r="Q40" s="731" t="s">
        <v>1047</v>
      </c>
      <c r="R40" s="731" t="s">
        <v>1941</v>
      </c>
      <c r="S40" s="731" t="s">
        <v>666</v>
      </c>
      <c r="T40" s="730" t="s">
        <v>921</v>
      </c>
      <c r="U40" s="733" t="s">
        <v>265</v>
      </c>
      <c r="V40" s="744">
        <v>0</v>
      </c>
      <c r="W40" s="741"/>
      <c r="X40" s="748" t="s">
        <v>1689</v>
      </c>
    </row>
    <row r="41" spans="1:24">
      <c r="A41" s="695" t="s">
        <v>2087</v>
      </c>
      <c r="B41" s="696">
        <v>2622</v>
      </c>
      <c r="C41" s="696">
        <v>1</v>
      </c>
      <c r="D41" s="696"/>
      <c r="E41" s="696"/>
      <c r="F41" s="696"/>
      <c r="G41" s="697"/>
      <c r="H41" s="697"/>
      <c r="I41" s="699"/>
      <c r="J41" s="696"/>
      <c r="K41" s="746"/>
      <c r="L41" s="696"/>
      <c r="M41" s="697">
        <v>12</v>
      </c>
      <c r="N41" s="746"/>
      <c r="O41" s="697"/>
      <c r="P41" s="699"/>
      <c r="Q41" s="699"/>
      <c r="R41" s="699"/>
      <c r="S41" s="696" t="s">
        <v>668</v>
      </c>
      <c r="T41" s="697" t="b">
        <v>1</v>
      </c>
      <c r="U41" s="891">
        <f>($D41*dpsStr+$E41*dpsAgi+$G41*dpsCrit+$H41*dpsHit+$F41*dpsAP+$I41*dpsHaste+$J41*dpsArmor+$K41*dpsExp)-'Gear &amp; Buffs'!$AF$40</f>
        <v>-9.9265544320196568</v>
      </c>
      <c r="V41" s="221"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
      </c>
      <c r="W41" s="749"/>
      <c r="X41" s="750"/>
    </row>
    <row r="42" spans="1:24">
      <c r="A42" s="677" t="s">
        <v>1121</v>
      </c>
      <c r="B42" s="678">
        <v>368</v>
      </c>
      <c r="C42" s="678">
        <v>1</v>
      </c>
      <c r="D42" s="678"/>
      <c r="E42" s="678">
        <v>12</v>
      </c>
      <c r="F42" s="678"/>
      <c r="G42" s="679"/>
      <c r="H42" s="679"/>
      <c r="I42" s="682"/>
      <c r="J42" s="678"/>
      <c r="K42" s="690"/>
      <c r="L42" s="678"/>
      <c r="M42" s="679"/>
      <c r="N42" s="747"/>
      <c r="O42" s="678"/>
      <c r="P42" s="682"/>
      <c r="Q42" s="682"/>
      <c r="R42" s="682"/>
      <c r="S42" s="678" t="s">
        <v>1689</v>
      </c>
      <c r="T42" s="679" t="b">
        <v>0</v>
      </c>
      <c r="U42" s="891">
        <f>($D42*dpsStr+$E42*dpsAgi+$G42*dpsCrit+$H42*dpsHit+$F42*dpsAP+$I42*dpsHaste+$J42*dpsArmor+$K42*dpsExp)-'Gear &amp; Buffs'!$AF$40</f>
        <v>0</v>
      </c>
      <c r="V42" s="221">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1</v>
      </c>
      <c r="W42" s="751">
        <v>1</v>
      </c>
      <c r="X42" s="752" t="str">
        <f>IF(ISNA(INDEX($A$41:$A$45,MATCH(W42,V$41:V$45,0))), "", INDEX($A$41:$A$45,MATCH(W42,V$41:V$45,0)))</f>
        <v>Greater Agility (+12 Agility)</v>
      </c>
    </row>
    <row r="43" spans="1:24">
      <c r="A43" s="677" t="s">
        <v>2813</v>
      </c>
      <c r="B43" s="678">
        <v>849</v>
      </c>
      <c r="C43" s="678">
        <v>1</v>
      </c>
      <c r="D43" s="678"/>
      <c r="E43" s="678">
        <v>3</v>
      </c>
      <c r="F43" s="678"/>
      <c r="G43" s="679"/>
      <c r="H43" s="679"/>
      <c r="I43" s="682"/>
      <c r="J43" s="678"/>
      <c r="K43" s="690"/>
      <c r="L43" s="678"/>
      <c r="M43" s="679"/>
      <c r="N43" s="747"/>
      <c r="O43" s="678"/>
      <c r="P43" s="682"/>
      <c r="Q43" s="682"/>
      <c r="R43" s="682"/>
      <c r="S43" s="678" t="s">
        <v>668</v>
      </c>
      <c r="T43" s="679" t="b">
        <v>0</v>
      </c>
      <c r="U43" s="891">
        <f>($D43*dpsStr+$E43*dpsAgi+$G43*dpsCrit+$H43*dpsHit+$F43*dpsAP+$I43*dpsHaste+$J43*dpsArmor+$K43*dpsExp)-'Gear &amp; Buffs'!$AF$40</f>
        <v>-7.4449158240147426</v>
      </c>
      <c r="V43" s="221">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2</v>
      </c>
      <c r="W43" s="751">
        <v>2</v>
      </c>
      <c r="X43" s="752" t="str">
        <f t="shared" ref="X43:X46" si="1">IF(ISNA(INDEX($A$41:$A$45,MATCH(W43,V$41:V$45,0))), "", INDEX($A$41:$A$45,MATCH(W43,V$41:V$45,0)))</f>
        <v>Lesser Agility (+3 Agility)</v>
      </c>
    </row>
    <row r="44" spans="1:24">
      <c r="A44" s="677" t="s">
        <v>2088</v>
      </c>
      <c r="B44" s="678">
        <v>910</v>
      </c>
      <c r="C44" s="678">
        <v>1</v>
      </c>
      <c r="D44" s="678"/>
      <c r="E44" s="678"/>
      <c r="F44" s="678"/>
      <c r="G44" s="679"/>
      <c r="H44" s="679"/>
      <c r="I44" s="682"/>
      <c r="J44" s="678"/>
      <c r="K44" s="747"/>
      <c r="L44" s="678"/>
      <c r="M44" s="679"/>
      <c r="N44" s="747"/>
      <c r="O44" s="679"/>
      <c r="P44" s="682"/>
      <c r="Q44" s="682"/>
      <c r="R44" s="682"/>
      <c r="S44" s="678" t="s">
        <v>668</v>
      </c>
      <c r="T44" s="679" t="b">
        <v>1</v>
      </c>
      <c r="U44" s="891">
        <f>($D44*dpsStr+$E44*dpsAgi+$G44*dpsCrit+$H44*dpsHit+$F44*dpsAP+$I44*dpsHaste+$J44*dpsArmor+$K44*dpsExp)-'Gear &amp; Buffs'!$AF$40</f>
        <v>-9.9265544320196568</v>
      </c>
      <c r="V44" s="221"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
      </c>
      <c r="W44" s="751">
        <v>3</v>
      </c>
      <c r="X44" s="752" t="str">
        <f t="shared" si="1"/>
        <v/>
      </c>
    </row>
    <row r="45" spans="1:24">
      <c r="A45" s="677" t="s">
        <v>2089</v>
      </c>
      <c r="B45" s="678">
        <v>2621</v>
      </c>
      <c r="C45" s="678">
        <v>1</v>
      </c>
      <c r="D45" s="678"/>
      <c r="E45" s="678"/>
      <c r="F45" s="678"/>
      <c r="G45" s="679"/>
      <c r="H45" s="679"/>
      <c r="I45" s="682"/>
      <c r="J45" s="678"/>
      <c r="K45" s="747"/>
      <c r="L45" s="678"/>
      <c r="M45" s="679"/>
      <c r="N45" s="747"/>
      <c r="O45" s="679"/>
      <c r="P45" s="682"/>
      <c r="Q45" s="682"/>
      <c r="R45" s="682"/>
      <c r="S45" s="678" t="s">
        <v>668</v>
      </c>
      <c r="T45" s="679" t="b">
        <v>1</v>
      </c>
      <c r="U45" s="891">
        <f>($D45*dpsStr+$E45*dpsAgi+$G45*dpsCrit+$H45*dpsHit+$F45*dpsAP+$I45*dpsHaste+$J45*dpsArmor+$K45*dpsExp)-'Gear &amp; Buffs'!$AF$40</f>
        <v>-9.9265544320196568</v>
      </c>
      <c r="V45" s="221" t="str">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
      </c>
      <c r="W45" s="751">
        <v>4</v>
      </c>
      <c r="X45" s="752" t="str">
        <f t="shared" si="1"/>
        <v/>
      </c>
    </row>
    <row r="46" spans="1:24">
      <c r="A46" s="677" t="s">
        <v>2207</v>
      </c>
      <c r="B46" s="678"/>
      <c r="C46" s="678"/>
      <c r="D46" s="678"/>
      <c r="E46" s="678"/>
      <c r="F46" s="678"/>
      <c r="G46" s="679"/>
      <c r="H46" s="679"/>
      <c r="I46" s="682"/>
      <c r="J46" s="678"/>
      <c r="K46" s="690"/>
      <c r="L46" s="678"/>
      <c r="M46" s="679"/>
      <c r="N46" s="747"/>
      <c r="O46" s="678"/>
      <c r="P46" s="682"/>
      <c r="Q46" s="682"/>
      <c r="R46" s="682"/>
      <c r="S46" s="678"/>
      <c r="T46" s="678"/>
      <c r="U46" s="711"/>
      <c r="V46" s="681"/>
      <c r="W46" s="751">
        <v>5</v>
      </c>
      <c r="X46" s="752" t="str">
        <f t="shared" si="1"/>
        <v/>
      </c>
    </row>
    <row r="47" spans="1:24">
      <c r="K47" s="48"/>
      <c r="N47" s="48"/>
      <c r="O47" s="48"/>
      <c r="T47" s="48"/>
    </row>
    <row r="48" spans="1:24">
      <c r="K48" s="48"/>
      <c r="N48" s="48"/>
      <c r="O48" s="48"/>
      <c r="T48" s="48"/>
    </row>
    <row r="49" spans="1:20">
      <c r="K49" s="48"/>
      <c r="N49" s="48"/>
      <c r="O49" s="48"/>
      <c r="T49" s="48"/>
    </row>
    <row r="50" spans="1:20">
      <c r="K50" s="48"/>
      <c r="N50" s="48"/>
      <c r="O50" s="48"/>
      <c r="T50" s="48"/>
    </row>
    <row r="51" spans="1:20">
      <c r="K51" s="48"/>
      <c r="N51" s="48"/>
      <c r="O51" s="48"/>
      <c r="T51" s="48"/>
    </row>
    <row r="52" spans="1:20">
      <c r="K52" s="48"/>
      <c r="N52" s="48"/>
      <c r="O52" s="48"/>
      <c r="T52" s="48"/>
    </row>
    <row r="53" spans="1:20">
      <c r="K53" s="48"/>
      <c r="N53" s="48"/>
      <c r="O53" s="48"/>
      <c r="R53" s="6"/>
      <c r="T53" s="48"/>
    </row>
    <row r="54" spans="1:20">
      <c r="A54" s="6"/>
      <c r="K54" s="48"/>
      <c r="N54" s="48"/>
      <c r="O54" s="48"/>
      <c r="R54" s="6"/>
      <c r="T54" s="48"/>
    </row>
    <row r="55" spans="1:20">
      <c r="A55" s="6"/>
      <c r="K55" s="48"/>
      <c r="N55" s="48"/>
      <c r="O55" s="48"/>
      <c r="R55" s="6"/>
      <c r="T55" s="48"/>
    </row>
    <row r="56" spans="1:20">
      <c r="A56" s="6"/>
      <c r="K56" s="48"/>
      <c r="N56" s="48"/>
      <c r="O56" s="48"/>
      <c r="T56" s="48"/>
    </row>
    <row r="57" spans="1:20">
      <c r="A57" s="6"/>
      <c r="K57" s="48"/>
      <c r="N57" s="48"/>
      <c r="O57" s="48"/>
      <c r="T57" s="48"/>
    </row>
    <row r="58" spans="1:20">
      <c r="A58" s="6"/>
      <c r="K58" s="48"/>
      <c r="N58" s="48"/>
      <c r="O58" s="48"/>
      <c r="T58" s="48"/>
    </row>
    <row r="59" spans="1:20">
      <c r="A59" s="6"/>
      <c r="K59" s="48"/>
      <c r="N59" s="48"/>
      <c r="O59" s="48"/>
      <c r="T59" s="48"/>
    </row>
    <row r="60" spans="1:20">
      <c r="A60" s="6"/>
      <c r="K60" s="48"/>
      <c r="N60" s="48"/>
      <c r="O60" s="48"/>
      <c r="T60" s="48"/>
    </row>
    <row r="61" spans="1:20">
      <c r="A61" s="6"/>
      <c r="K61" s="48"/>
      <c r="N61" s="48"/>
      <c r="O61" s="48"/>
      <c r="T61" s="48"/>
    </row>
    <row r="62" spans="1:20">
      <c r="A62" s="6"/>
      <c r="K62" s="48"/>
      <c r="N62" s="48"/>
      <c r="O62" s="48"/>
      <c r="T62" s="48"/>
    </row>
    <row r="63" spans="1:20">
      <c r="A63" s="6"/>
      <c r="K63" s="48"/>
      <c r="N63" s="48"/>
      <c r="O63" s="48"/>
      <c r="T63" s="48"/>
    </row>
    <row r="64" spans="1:20">
      <c r="A64" s="6"/>
      <c r="K64" s="48"/>
      <c r="N64" s="48"/>
      <c r="O64" s="48"/>
      <c r="T64" s="48"/>
    </row>
    <row r="65" spans="1:20">
      <c r="A65" s="6"/>
      <c r="K65" s="48"/>
      <c r="N65" s="48"/>
      <c r="O65" s="48"/>
      <c r="T65" s="48"/>
    </row>
    <row r="66" spans="1:20">
      <c r="A66" s="6"/>
      <c r="K66" s="48"/>
      <c r="N66" s="48"/>
      <c r="O66" s="48"/>
      <c r="T66" s="48"/>
    </row>
    <row r="67" spans="1:20">
      <c r="A67" s="6"/>
      <c r="K67" s="48"/>
      <c r="N67" s="48"/>
      <c r="O67" s="48"/>
      <c r="T67" s="48"/>
    </row>
    <row r="68" spans="1:20">
      <c r="A68" s="6"/>
      <c r="K68" s="48"/>
      <c r="N68" s="48"/>
      <c r="O68" s="48"/>
      <c r="T68" s="48"/>
    </row>
    <row r="69" spans="1:20">
      <c r="A69" s="6"/>
      <c r="K69" s="48"/>
      <c r="N69" s="48"/>
      <c r="O69" s="48"/>
      <c r="T69" s="48"/>
    </row>
    <row r="70" spans="1:20">
      <c r="A70" s="6"/>
      <c r="K70" s="48"/>
      <c r="N70" s="48"/>
      <c r="O70" s="48"/>
      <c r="T70" s="48"/>
    </row>
    <row r="71" spans="1:20">
      <c r="A71" s="6"/>
      <c r="K71" s="48"/>
      <c r="N71" s="48"/>
      <c r="O71" s="48"/>
      <c r="T71" s="48"/>
    </row>
    <row r="72" spans="1:20">
      <c r="A72" s="6"/>
      <c r="B72" s="172"/>
      <c r="C72" s="172"/>
      <c r="E72" s="170"/>
      <c r="F72" s="170"/>
      <c r="G72" s="170"/>
      <c r="H72" s="170"/>
      <c r="I72" s="175"/>
      <c r="K72" s="171"/>
      <c r="L72" s="170"/>
      <c r="M72" s="170"/>
      <c r="N72" s="171"/>
      <c r="O72" s="171"/>
      <c r="P72" s="175"/>
      <c r="Q72" s="175"/>
      <c r="T72" s="171"/>
    </row>
    <row r="73" spans="1:20">
      <c r="A73" s="6"/>
      <c r="E73" s="114"/>
      <c r="F73" s="114"/>
      <c r="G73" s="114"/>
      <c r="H73" s="114"/>
      <c r="K73" s="116"/>
      <c r="L73" s="114"/>
      <c r="M73" s="114"/>
      <c r="N73" s="116"/>
      <c r="O73" s="116"/>
      <c r="T73" s="116"/>
    </row>
    <row r="74" spans="1:20">
      <c r="E74" s="114"/>
      <c r="F74" s="118"/>
      <c r="G74" s="114"/>
      <c r="H74" s="127"/>
      <c r="K74" s="116"/>
      <c r="L74" s="114"/>
      <c r="M74" s="114"/>
      <c r="N74" s="116"/>
      <c r="O74" s="116"/>
      <c r="T74" s="116"/>
    </row>
    <row r="75" spans="1:20">
      <c r="A75" s="10"/>
      <c r="D75" s="114"/>
      <c r="E75" s="114"/>
      <c r="F75" s="114"/>
      <c r="G75" s="114"/>
      <c r="H75" s="114"/>
      <c r="K75" s="116"/>
      <c r="L75" s="114"/>
      <c r="M75" s="114"/>
      <c r="N75" s="116"/>
      <c r="O75" s="116"/>
      <c r="T75" s="116"/>
    </row>
    <row r="76" spans="1:20">
      <c r="A76" s="10"/>
      <c r="D76" s="114"/>
      <c r="E76" s="114"/>
      <c r="F76" s="114"/>
      <c r="G76" s="127"/>
      <c r="H76" s="127"/>
      <c r="K76" s="116"/>
      <c r="L76" s="114"/>
      <c r="M76" s="114"/>
      <c r="N76" s="116"/>
      <c r="O76" s="116"/>
      <c r="T76" s="116"/>
    </row>
    <row r="77" spans="1:20">
      <c r="A77" s="135"/>
      <c r="D77" s="133"/>
      <c r="E77" s="133"/>
      <c r="F77" s="133"/>
      <c r="G77" s="133"/>
      <c r="H77" s="133"/>
      <c r="K77" s="134"/>
      <c r="L77" s="133"/>
      <c r="M77" s="133"/>
      <c r="N77" s="134"/>
      <c r="O77" s="134"/>
      <c r="T77" s="134"/>
    </row>
    <row r="78" spans="1:20">
      <c r="A78" s="132"/>
      <c r="D78" s="118"/>
      <c r="E78" s="118"/>
      <c r="F78" s="118"/>
      <c r="G78" s="118"/>
      <c r="H78" s="118"/>
      <c r="K78" s="119"/>
      <c r="L78" s="118"/>
      <c r="M78" s="118"/>
      <c r="N78" s="119"/>
      <c r="O78" s="119"/>
      <c r="T78" s="119"/>
    </row>
    <row r="79" spans="1:20">
      <c r="A79" s="10"/>
      <c r="D79" s="114"/>
      <c r="E79" s="114"/>
      <c r="F79" s="114"/>
      <c r="G79" s="127"/>
      <c r="H79" s="127"/>
      <c r="K79" s="116"/>
      <c r="L79" s="114"/>
      <c r="M79" s="114"/>
      <c r="N79" s="116"/>
      <c r="O79" s="116"/>
      <c r="T79" s="116"/>
    </row>
    <row r="80" spans="1:20">
      <c r="A80" s="10"/>
      <c r="D80" s="114"/>
      <c r="E80" s="114"/>
      <c r="F80" s="114"/>
      <c r="G80" s="114"/>
      <c r="H80" s="127"/>
      <c r="K80" s="116"/>
      <c r="L80" s="114"/>
      <c r="M80" s="114"/>
      <c r="N80" s="116"/>
      <c r="O80" s="116"/>
      <c r="T80" s="116"/>
    </row>
    <row r="81" spans="1:20">
      <c r="A81" s="10"/>
      <c r="D81" s="114"/>
      <c r="E81" s="114"/>
      <c r="F81" s="114"/>
      <c r="G81" s="114"/>
      <c r="H81" s="127"/>
      <c r="K81" s="116"/>
      <c r="L81" s="114"/>
      <c r="M81" s="114"/>
      <c r="N81" s="116"/>
      <c r="O81" s="116"/>
      <c r="T81" s="116"/>
    </row>
    <row r="82" spans="1:20">
      <c r="A82" s="10"/>
      <c r="D82" s="114"/>
      <c r="E82" s="114"/>
      <c r="F82" s="114"/>
      <c r="G82" s="127"/>
      <c r="H82" s="127"/>
      <c r="K82" s="116"/>
      <c r="L82" s="114"/>
      <c r="M82" s="114"/>
      <c r="N82" s="116"/>
      <c r="O82" s="116"/>
      <c r="T82" s="116"/>
    </row>
    <row r="83" spans="1:20">
      <c r="A83" s="10"/>
      <c r="D83" s="114"/>
      <c r="E83" s="114"/>
      <c r="F83" s="114"/>
      <c r="G83" s="127"/>
      <c r="H83" s="127"/>
      <c r="K83" s="116"/>
      <c r="L83" s="114"/>
      <c r="M83" s="114"/>
      <c r="N83" s="116"/>
      <c r="O83" s="116"/>
      <c r="T83" s="116"/>
    </row>
    <row r="84" spans="1:20">
      <c r="A84" s="10"/>
      <c r="D84" s="114"/>
      <c r="E84" s="114"/>
      <c r="F84" s="114"/>
      <c r="G84" s="127"/>
      <c r="H84" s="114"/>
      <c r="I84" s="131"/>
      <c r="K84" s="116"/>
      <c r="L84" s="114"/>
      <c r="M84" s="114"/>
      <c r="N84" s="116"/>
      <c r="O84" s="116"/>
      <c r="T84" s="116"/>
    </row>
    <row r="85" spans="1:20">
      <c r="A85" s="10"/>
      <c r="D85" s="114"/>
      <c r="E85" s="114"/>
      <c r="F85" s="114"/>
      <c r="G85" s="114"/>
      <c r="H85" s="127"/>
      <c r="K85" s="116"/>
      <c r="L85" s="114"/>
      <c r="M85" s="127"/>
      <c r="N85" s="116"/>
      <c r="O85" s="116"/>
      <c r="T85" s="116"/>
    </row>
    <row r="86" spans="1:20">
      <c r="A86" s="10"/>
      <c r="D86" s="114"/>
      <c r="E86" s="114"/>
      <c r="F86" s="114"/>
      <c r="G86" s="127"/>
      <c r="H86" s="127"/>
      <c r="K86" s="116"/>
      <c r="L86" s="114"/>
      <c r="M86" s="114"/>
      <c r="N86" s="116"/>
      <c r="O86" s="116"/>
      <c r="T86" s="116"/>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36"/>
      <c r="D89" s="114"/>
      <c r="E89" s="114"/>
      <c r="F89" s="114"/>
      <c r="G89" s="114"/>
      <c r="H89" s="114"/>
      <c r="K89" s="116"/>
      <c r="L89" s="114"/>
      <c r="M89" s="114"/>
      <c r="N89" s="116"/>
      <c r="O89" s="116"/>
      <c r="T89" s="116"/>
    </row>
    <row r="90" spans="1:20">
      <c r="A90" s="132"/>
      <c r="D90" s="118"/>
      <c r="E90" s="118"/>
      <c r="F90" s="118"/>
      <c r="G90" s="118"/>
      <c r="H90" s="118"/>
      <c r="K90" s="119"/>
      <c r="L90" s="118"/>
      <c r="M90" s="118"/>
      <c r="N90" s="119"/>
      <c r="O90" s="119"/>
      <c r="T90" s="119"/>
    </row>
    <row r="91" spans="1:20">
      <c r="A91" s="10"/>
      <c r="D91" s="114"/>
      <c r="E91" s="114"/>
      <c r="F91" s="114"/>
      <c r="G91" s="127"/>
      <c r="H91" s="114"/>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14"/>
      <c r="H93" s="127"/>
      <c r="K93" s="116"/>
      <c r="L93" s="114"/>
      <c r="M93" s="127"/>
      <c r="N93" s="116"/>
      <c r="O93" s="116"/>
      <c r="T93" s="116"/>
    </row>
    <row r="94" spans="1:20">
      <c r="A94" s="10"/>
      <c r="D94" s="114"/>
      <c r="E94" s="114"/>
      <c r="F94" s="114"/>
      <c r="G94" s="114"/>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14"/>
      <c r="H98" s="114"/>
      <c r="K98" s="116"/>
      <c r="L98" s="114"/>
      <c r="M98" s="114"/>
      <c r="N98" s="116"/>
      <c r="O98" s="116"/>
      <c r="T98" s="116"/>
    </row>
    <row r="99" spans="1:20">
      <c r="A99" s="10"/>
      <c r="D99" s="114"/>
      <c r="E99" s="114"/>
      <c r="F99" s="114"/>
      <c r="G99" s="114"/>
      <c r="H99" s="127"/>
      <c r="K99" s="116"/>
      <c r="L99" s="114"/>
      <c r="M99" s="114"/>
      <c r="N99" s="116"/>
      <c r="O99" s="116"/>
      <c r="T99" s="116"/>
    </row>
    <row r="100" spans="1:20">
      <c r="A100" s="10"/>
      <c r="D100" s="114"/>
      <c r="E100" s="114"/>
      <c r="F100" s="114"/>
      <c r="G100" s="114"/>
      <c r="H100" s="114"/>
      <c r="K100" s="116"/>
      <c r="L100" s="114"/>
      <c r="M100" s="127"/>
      <c r="N100" s="116"/>
      <c r="O100" s="116"/>
      <c r="T100" s="116"/>
    </row>
    <row r="101" spans="1:20">
      <c r="A101" s="10"/>
      <c r="D101" s="114"/>
      <c r="E101" s="114"/>
      <c r="F101" s="114"/>
      <c r="G101" s="114"/>
      <c r="H101" s="114"/>
      <c r="K101" s="116"/>
      <c r="L101" s="114"/>
      <c r="M101" s="114"/>
      <c r="N101" s="116"/>
      <c r="O101" s="116"/>
      <c r="T101" s="116"/>
    </row>
    <row r="102" spans="1:20">
      <c r="A102" s="10"/>
      <c r="D102" s="114"/>
      <c r="E102" s="114"/>
      <c r="F102" s="114"/>
      <c r="G102" s="127"/>
      <c r="H102" s="127"/>
      <c r="K102" s="116"/>
      <c r="L102" s="114"/>
      <c r="M102" s="114"/>
      <c r="N102" s="116"/>
      <c r="O102" s="116"/>
      <c r="T102" s="116"/>
    </row>
    <row r="103" spans="1:20">
      <c r="A103" s="10"/>
      <c r="D103" s="114"/>
      <c r="E103" s="114"/>
      <c r="F103" s="114"/>
      <c r="G103" s="127"/>
      <c r="H103" s="127"/>
      <c r="K103" s="116"/>
      <c r="L103" s="114"/>
      <c r="M103" s="114"/>
      <c r="N103" s="116"/>
      <c r="O103" s="116"/>
      <c r="T103" s="116"/>
    </row>
    <row r="104" spans="1:20">
      <c r="A104" s="10"/>
      <c r="D104" s="114"/>
      <c r="E104" s="114"/>
      <c r="F104" s="114"/>
      <c r="G104" s="114"/>
      <c r="H104" s="127"/>
      <c r="K104" s="116"/>
      <c r="L104" s="114"/>
      <c r="M104" s="114"/>
      <c r="N104" s="116"/>
      <c r="O104" s="116"/>
      <c r="T104" s="116"/>
    </row>
    <row r="105" spans="1:20">
      <c r="A105" s="10"/>
      <c r="D105" s="114"/>
      <c r="E105" s="114"/>
      <c r="F105" s="114"/>
      <c r="G105" s="114"/>
      <c r="H105" s="114"/>
      <c r="K105" s="116"/>
      <c r="L105" s="114"/>
      <c r="M105" s="127"/>
      <c r="N105" s="116"/>
      <c r="O105" s="116"/>
      <c r="T105" s="116"/>
    </row>
    <row r="106" spans="1:20">
      <c r="A106" s="10"/>
      <c r="D106" s="114"/>
      <c r="E106" s="114"/>
      <c r="F106" s="114"/>
      <c r="G106" s="127"/>
      <c r="H106" s="114"/>
      <c r="K106" s="116"/>
      <c r="L106" s="114"/>
      <c r="M106" s="114"/>
      <c r="N106" s="116"/>
      <c r="O106" s="116"/>
      <c r="T106" s="116"/>
    </row>
    <row r="107" spans="1:20">
      <c r="A107" s="10"/>
      <c r="D107" s="114"/>
      <c r="E107" s="114"/>
      <c r="F107" s="114"/>
      <c r="G107" s="127"/>
      <c r="H107" s="127"/>
      <c r="K107" s="116"/>
      <c r="L107" s="114"/>
      <c r="M107" s="114"/>
      <c r="N107" s="116"/>
      <c r="O107" s="116"/>
      <c r="T107" s="116"/>
    </row>
    <row r="108" spans="1:20">
      <c r="A108" s="10"/>
      <c r="D108" s="114"/>
      <c r="E108" s="114"/>
      <c r="F108" s="114"/>
      <c r="G108" s="114"/>
      <c r="H108" s="114"/>
      <c r="K108" s="116"/>
      <c r="L108" s="114"/>
      <c r="M108" s="114"/>
      <c r="N108" s="116"/>
      <c r="O108" s="116"/>
      <c r="T108" s="116"/>
    </row>
    <row r="109" spans="1:20">
      <c r="A109" s="132"/>
      <c r="D109" s="118"/>
      <c r="E109" s="118"/>
      <c r="F109" s="118"/>
      <c r="G109" s="118"/>
      <c r="H109" s="118"/>
      <c r="K109" s="119"/>
      <c r="L109" s="118"/>
      <c r="M109" s="118"/>
      <c r="N109" s="119"/>
      <c r="O109" s="119"/>
      <c r="T109" s="119"/>
    </row>
    <row r="110" spans="1:20">
      <c r="A110" s="10"/>
      <c r="D110" s="114"/>
      <c r="E110" s="114"/>
      <c r="F110" s="114"/>
      <c r="G110" s="127"/>
      <c r="H110" s="114"/>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14"/>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27"/>
      <c r="H116" s="114"/>
      <c r="K116" s="116"/>
      <c r="L116" s="114"/>
      <c r="M116" s="114"/>
      <c r="N116" s="116"/>
      <c r="O116" s="116"/>
      <c r="T116" s="116"/>
    </row>
    <row r="117" spans="1:20">
      <c r="A117" s="10"/>
      <c r="D117" s="114"/>
      <c r="E117" s="114"/>
      <c r="F117" s="114"/>
      <c r="G117" s="114"/>
      <c r="H117" s="114"/>
      <c r="K117" s="116"/>
      <c r="L117" s="114"/>
      <c r="M117" s="114"/>
      <c r="N117" s="116"/>
      <c r="O117" s="116"/>
      <c r="T117" s="116"/>
    </row>
    <row r="118" spans="1:20">
      <c r="A118" s="10"/>
      <c r="D118" s="114"/>
      <c r="E118" s="114"/>
      <c r="F118" s="114"/>
      <c r="G118" s="114"/>
      <c r="H118" s="127"/>
      <c r="K118" s="116"/>
      <c r="L118" s="114"/>
      <c r="M118" s="114"/>
      <c r="N118" s="116"/>
      <c r="O118" s="116"/>
      <c r="T118" s="116"/>
    </row>
  </sheetData>
  <phoneticPr fontId="2" type="noConversion"/>
  <conditionalFormatting sqref="U2:U36">
    <cfRule type="cellIs" dxfId="39" priority="3" stopIfTrue="1" operator="lessThan">
      <formula>0</formula>
    </cfRule>
    <cfRule type="cellIs" dxfId="38" priority="4" stopIfTrue="1" operator="greaterThan">
      <formula>0</formula>
    </cfRule>
  </conditionalFormatting>
  <conditionalFormatting sqref="U41:U45">
    <cfRule type="cellIs" dxfId="37" priority="1" stopIfTrue="1" operator="lessThan">
      <formula>0</formula>
    </cfRule>
    <cfRule type="cellIs" dxfId="36"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X125"/>
  <sheetViews>
    <sheetView workbookViewId="0">
      <selection activeCell="X4" sqref="X4"/>
    </sheetView>
  </sheetViews>
  <sheetFormatPr defaultRowHeight="11.25"/>
  <cols>
    <col min="1" max="1" width="25.7109375" style="48" bestFit="1" customWidth="1"/>
    <col min="2" max="2" width="6.42578125" style="129" bestFit="1" customWidth="1"/>
    <col min="3" max="3" width="2" style="129"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1.85546875" style="129" bestFit="1" customWidth="1"/>
    <col min="20" max="20" width="8.85546875" style="122" bestFit="1" customWidth="1"/>
    <col min="21" max="21" width="6.28515625" style="129" customWidth="1"/>
    <col min="22" max="23" width="2.7109375" style="129" bestFit="1" customWidth="1"/>
    <col min="24" max="24" width="25.7109375" style="48" bestFit="1" customWidth="1"/>
    <col min="25" max="16384" width="9.140625" style="48"/>
  </cols>
  <sheetData>
    <row r="1" spans="1:24" s="47" customFormat="1" ht="23.25" thickBot="1">
      <c r="A1" s="753" t="s">
        <v>164</v>
      </c>
      <c r="B1" s="753" t="s">
        <v>1934</v>
      </c>
      <c r="C1" s="753" t="s">
        <v>2798</v>
      </c>
      <c r="D1" s="753" t="s">
        <v>1214</v>
      </c>
      <c r="E1" s="753" t="s">
        <v>1215</v>
      </c>
      <c r="F1" s="753" t="s">
        <v>768</v>
      </c>
      <c r="G1" s="754" t="s">
        <v>2140</v>
      </c>
      <c r="H1" s="754" t="s">
        <v>2139</v>
      </c>
      <c r="I1" s="753" t="s">
        <v>771</v>
      </c>
      <c r="J1" s="753" t="s">
        <v>1219</v>
      </c>
      <c r="K1" s="754" t="s">
        <v>760</v>
      </c>
      <c r="L1" s="753" t="s">
        <v>1216</v>
      </c>
      <c r="M1" s="754" t="s">
        <v>264</v>
      </c>
      <c r="N1" s="754" t="s">
        <v>1217</v>
      </c>
      <c r="O1" s="754" t="s">
        <v>1287</v>
      </c>
      <c r="P1" s="730" t="s">
        <v>1046</v>
      </c>
      <c r="Q1" s="731" t="s">
        <v>1047</v>
      </c>
      <c r="R1" s="731" t="s">
        <v>1941</v>
      </c>
      <c r="S1" s="731" t="s">
        <v>666</v>
      </c>
      <c r="T1" s="730"/>
      <c r="U1" s="733" t="s">
        <v>265</v>
      </c>
      <c r="V1" s="744">
        <v>0</v>
      </c>
      <c r="W1" s="744"/>
      <c r="X1" s="753" t="s">
        <v>1124</v>
      </c>
    </row>
    <row r="2" spans="1:24">
      <c r="A2" s="695" t="s">
        <v>1179</v>
      </c>
      <c r="B2" s="697">
        <v>29340</v>
      </c>
      <c r="C2" s="697">
        <v>1</v>
      </c>
      <c r="D2" s="696"/>
      <c r="E2" s="696">
        <v>24</v>
      </c>
      <c r="F2" s="696">
        <v>18</v>
      </c>
      <c r="G2" s="697"/>
      <c r="H2" s="697">
        <v>19</v>
      </c>
      <c r="I2" s="697"/>
      <c r="J2" s="696"/>
      <c r="K2" s="697"/>
      <c r="L2" s="696"/>
      <c r="M2" s="697">
        <v>24</v>
      </c>
      <c r="N2" s="697"/>
      <c r="O2" s="697"/>
      <c r="P2" s="697"/>
      <c r="Q2" s="696" t="s">
        <v>2090</v>
      </c>
      <c r="R2" s="696" t="s">
        <v>1465</v>
      </c>
      <c r="S2" s="696" t="s">
        <v>675</v>
      </c>
      <c r="T2" s="697"/>
      <c r="U2" s="891">
        <f>($D2*dpsStr+$E2*dpsAgi+$G2*dpsCrit+$H2*dpsHit+$F2*dpsAP+$I2*dpsHaste+$J2*dpsArmor+$K2*dpsExp+IF(MID(Q2,1,1)+MID(Q2,3,1)+MID(Q2,5,1)&gt;0,VLOOKUP('Gear &amp; Buffs'!$B$44,GenSocketStats,18,FALSE)+IF(MID(Q2,1,1)+MID(Q2,3,1)+MID(Q2,5,1)&gt;1,VLOOKUP('Gear &amp; Buffs'!$B$45,GenSocketStats,18,FALSE)+IF(MID(Q2,1,1)+MID(Q2,3,1)+MID(Q2,5,1)&gt;2,VLOOKUP('Gear &amp; Buffs'!$B$46,GenSocketStats,18,FALSE),0)),0))-'Gear &amp; Buffs'!$AF$42</f>
        <v>15.290428726443452</v>
      </c>
      <c r="V2" s="221">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1689</v>
      </c>
    </row>
    <row r="3" spans="1:24">
      <c r="A3" s="677" t="s">
        <v>967</v>
      </c>
      <c r="B3" s="679">
        <v>34397</v>
      </c>
      <c r="C3" s="679">
        <v>5</v>
      </c>
      <c r="D3" s="678"/>
      <c r="E3" s="678">
        <v>42</v>
      </c>
      <c r="F3" s="678">
        <v>120</v>
      </c>
      <c r="G3" s="679">
        <v>38</v>
      </c>
      <c r="H3" s="679"/>
      <c r="I3" s="679"/>
      <c r="J3" s="678">
        <v>210</v>
      </c>
      <c r="K3" s="679"/>
      <c r="L3" s="678">
        <v>45</v>
      </c>
      <c r="M3" s="679"/>
      <c r="N3" s="679"/>
      <c r="O3" s="679"/>
      <c r="P3" s="679"/>
      <c r="Q3" s="678" t="s">
        <v>2093</v>
      </c>
      <c r="R3" s="678" t="s">
        <v>1065</v>
      </c>
      <c r="S3" s="678" t="s">
        <v>871</v>
      </c>
      <c r="T3" s="679"/>
      <c r="U3" s="891">
        <f>($D3*dpsStr+$E3*dpsAgi+$G3*dpsCrit+$H3*dpsHit+$F3*dpsAP+$I3*dpsHaste+$J3*dpsArmor+$K3*dpsExp+IF(MID(Q3,1,1)+MID(Q3,3,1)+MID(Q3,5,1)&gt;0,VLOOKUP('Gear &amp; Buffs'!$B$44,GenSocketStats,18,FALSE)+IF(MID(Q3,1,1)+MID(Q3,3,1)+MID(Q3,5,1)&gt;1,VLOOKUP('Gear &amp; Buffs'!$B$45,GenSocketStats,18,FALSE)+IF(MID(Q3,1,1)+MID(Q3,3,1)+MID(Q3,5,1)&gt;2,VLOOKUP('Gear &amp; Buffs'!$B$46,GenSocketStats,18,FALSE),0)),0))-'Gear &amp; Buffs'!$AF$42</f>
        <v>13.048391026324907</v>
      </c>
      <c r="V3" s="221"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8"/>
      <c r="X3" s="714" t="str">
        <f>" "</f>
        <v xml:space="preserve"> </v>
      </c>
    </row>
    <row r="4" spans="1:24">
      <c r="A4" s="677" t="s">
        <v>2091</v>
      </c>
      <c r="B4" s="679">
        <v>30101</v>
      </c>
      <c r="C4" s="679">
        <v>2</v>
      </c>
      <c r="D4" s="678"/>
      <c r="E4" s="678"/>
      <c r="F4" s="678">
        <v>92</v>
      </c>
      <c r="G4" s="679">
        <v>36</v>
      </c>
      <c r="H4" s="679">
        <v>27</v>
      </c>
      <c r="I4" s="679"/>
      <c r="J4" s="678"/>
      <c r="K4" s="679"/>
      <c r="L4" s="678">
        <v>24</v>
      </c>
      <c r="M4" s="679"/>
      <c r="N4" s="679"/>
      <c r="O4" s="679"/>
      <c r="P4" s="679"/>
      <c r="Q4" s="678" t="s">
        <v>2092</v>
      </c>
      <c r="R4" s="678" t="s">
        <v>1065</v>
      </c>
      <c r="S4" s="678" t="s">
        <v>667</v>
      </c>
      <c r="T4" s="679"/>
      <c r="U4" s="891">
        <f>($D4*dpsStr+$E4*dpsAgi+$G4*dpsCrit+$H4*dpsHit+$F4*dpsAP+$I4*dpsHaste+$J4*dpsArmor+$K4*dpsExp+IF(MID(Q4,1,1)+MID(Q4,3,1)+MID(Q4,5,1)&gt;0,VLOOKUP('Gear &amp; Buffs'!$B$44,GenSocketStats,18,FALSE)+IF(MID(Q4,1,1)+MID(Q4,3,1)+MID(Q4,5,1)&gt;1,VLOOKUP('Gear &amp; Buffs'!$B$45,GenSocketStats,18,FALSE)+IF(MID(Q4,1,1)+MID(Q4,3,1)+MID(Q4,5,1)&gt;2,VLOOKUP('Gear &amp; Buffs'!$B$46,GenSocketStats,18,FALSE),0)),0))-'Gear &amp; Buffs'!$AF$42</f>
        <v>90.968660511044845</v>
      </c>
      <c r="V4" s="221"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8">
        <v>1</v>
      </c>
      <c r="X4" s="714" t="str">
        <f>IF(ISNA(INDEX($A$2:$A$35,MATCH(W4,V$2:V$35,0))), "", INDEX($A$2:$A$35,MATCH(W4,V$2:V$35,0)))</f>
        <v>Auchenai Monk's Tunic</v>
      </c>
    </row>
    <row r="5" spans="1:24">
      <c r="A5" s="677" t="s">
        <v>2341</v>
      </c>
      <c r="B5" s="678">
        <v>22476</v>
      </c>
      <c r="C5" s="678">
        <v>1</v>
      </c>
      <c r="D5" s="678"/>
      <c r="E5" s="678"/>
      <c r="F5" s="678">
        <v>80</v>
      </c>
      <c r="G5" s="679">
        <v>28</v>
      </c>
      <c r="H5" s="679">
        <v>10</v>
      </c>
      <c r="I5" s="678"/>
      <c r="J5" s="678"/>
      <c r="K5" s="678"/>
      <c r="L5" s="678">
        <v>29</v>
      </c>
      <c r="M5" s="679"/>
      <c r="N5" s="679"/>
      <c r="O5" s="678"/>
      <c r="P5" s="678" t="s">
        <v>2335</v>
      </c>
      <c r="Q5" s="678" t="s">
        <v>1033</v>
      </c>
      <c r="R5" s="678"/>
      <c r="S5" s="678" t="s">
        <v>668</v>
      </c>
      <c r="T5" s="678"/>
      <c r="U5" s="891">
        <f>($D5*dpsStr+$E5*dpsAgi+$G5*dpsCrit+$H5*dpsHit+$F5*dpsAP+$I5*dpsHaste+$J5*dpsArmor+$K5*dpsExp+IF(MID(Q5,1,1)+MID(Q5,3,1)+MID(Q5,5,1)&gt;0,VLOOKUP('Gear &amp; Buffs'!$B$44,GenSocketStats,18,FALSE)+IF(MID(Q5,1,1)+MID(Q5,3,1)+MID(Q5,5,1)&gt;1,VLOOKUP('Gear &amp; Buffs'!$B$45,GenSocketStats,18,FALSE)+IF(MID(Q5,1,1)+MID(Q5,3,1)+MID(Q5,5,1)&gt;2,VLOOKUP('Gear &amp; Buffs'!$B$46,GenSocketStats,18,FALSE),0)),0))-'Gear &amp; Buffs'!$AF$42</f>
        <v>-86.374285744660256</v>
      </c>
      <c r="V5" s="221">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8">
        <v>2</v>
      </c>
      <c r="X5" s="714" t="str">
        <f t="shared" ref="X5:X37" si="0">IF(ISNA(INDEX($A$2:$A$35,MATCH(W5,V$2:V$35,0))), "", INDEX($A$2:$A$35,MATCH(W5,V$2:V$35,0)))</f>
        <v>Bonescythe Breastplate</v>
      </c>
    </row>
    <row r="6" spans="1:24">
      <c r="A6" s="677" t="s">
        <v>1986</v>
      </c>
      <c r="B6" s="678">
        <v>35036</v>
      </c>
      <c r="C6" s="678">
        <v>5</v>
      </c>
      <c r="D6" s="678"/>
      <c r="E6" s="678">
        <v>36</v>
      </c>
      <c r="F6" s="678">
        <v>58</v>
      </c>
      <c r="G6" s="679">
        <v>22</v>
      </c>
      <c r="H6" s="679">
        <v>17</v>
      </c>
      <c r="I6" s="678"/>
      <c r="J6" s="678">
        <v>84</v>
      </c>
      <c r="K6" s="678"/>
      <c r="L6" s="678">
        <v>71</v>
      </c>
      <c r="M6" s="679"/>
      <c r="N6" s="679">
        <v>25</v>
      </c>
      <c r="O6" s="678"/>
      <c r="P6" s="678" t="s">
        <v>1068</v>
      </c>
      <c r="Q6" s="678" t="s">
        <v>2090</v>
      </c>
      <c r="R6" s="678" t="s">
        <v>817</v>
      </c>
      <c r="S6" s="678" t="s">
        <v>677</v>
      </c>
      <c r="T6" s="678"/>
      <c r="U6" s="891">
        <f>($D6*dpsStr+$E6*dpsAgi+$G6*dpsCrit+$H6*dpsHit+$F6*dpsAP+$I6*dpsHaste+$J6*dpsArmor+$K6*dpsExp+IF(MID(Q6,1,1)+MID(Q6,3,1)+MID(Q6,5,1)&gt;0,VLOOKUP('Gear &amp; Buffs'!$B$44,GenSocketStats,18,FALSE)+IF(MID(Q6,1,1)+MID(Q6,3,1)+MID(Q6,5,1)&gt;1,VLOOKUP('Gear &amp; Buffs'!$B$45,GenSocketStats,18,FALSE)+IF(MID(Q6,1,1)+MID(Q6,3,1)+MID(Q6,5,1)&gt;2,VLOOKUP('Gear &amp; Buffs'!$B$46,GenSocketStats,18,FALSE),0)),0))-'Gear &amp; Buffs'!$AF$42</f>
        <v>53.821962491896329</v>
      </c>
      <c r="V6" s="221"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8">
        <v>3</v>
      </c>
      <c r="X6" s="714" t="str">
        <f t="shared" si="0"/>
        <v>Chestguard of the Conniver</v>
      </c>
    </row>
    <row r="7" spans="1:24">
      <c r="A7" s="677" t="s">
        <v>708</v>
      </c>
      <c r="B7" s="678">
        <v>34369</v>
      </c>
      <c r="C7" s="678">
        <v>5</v>
      </c>
      <c r="D7" s="678"/>
      <c r="E7" s="678">
        <v>42</v>
      </c>
      <c r="F7" s="678">
        <v>120</v>
      </c>
      <c r="G7" s="679"/>
      <c r="H7" s="679">
        <v>30</v>
      </c>
      <c r="I7" s="678">
        <v>38</v>
      </c>
      <c r="J7" s="678"/>
      <c r="K7" s="678"/>
      <c r="L7" s="678">
        <v>45</v>
      </c>
      <c r="M7" s="679"/>
      <c r="N7" s="679"/>
      <c r="O7" s="678"/>
      <c r="P7" s="688"/>
      <c r="Q7" s="678" t="s">
        <v>2090</v>
      </c>
      <c r="R7" s="678" t="s">
        <v>1065</v>
      </c>
      <c r="S7" s="678" t="s">
        <v>687</v>
      </c>
      <c r="T7" s="678"/>
      <c r="U7" s="891">
        <f>($D7*dpsStr+$E7*dpsAgi+$G7*dpsCrit+$H7*dpsHit+$F7*dpsAP+$I7*dpsHaste+$J7*dpsArmor+$K7*dpsExp+IF(MID(Q7,1,1)+MID(Q7,3,1)+MID(Q7,5,1)&gt;0,VLOOKUP('Gear &amp; Buffs'!$B$44,GenSocketStats,18,FALSE)+IF(MID(Q7,1,1)+MID(Q7,3,1)+MID(Q7,5,1)&gt;1,VLOOKUP('Gear &amp; Buffs'!$B$45,GenSocketStats,18,FALSE)+IF(MID(Q7,1,1)+MID(Q7,3,1)+MID(Q7,5,1)&gt;2,VLOOKUP('Gear &amp; Buffs'!$B$46,GenSocketStats,18,FALSE),0)),0))-'Gear &amp; Buffs'!$AF$42</f>
        <v>267.19088923286358</v>
      </c>
      <c r="V7" s="221"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8">
        <v>4</v>
      </c>
      <c r="X7" s="714" t="str">
        <f t="shared" si="0"/>
        <v>Chestguard of the Prowler</v>
      </c>
    </row>
    <row r="8" spans="1:24" s="47" customFormat="1">
      <c r="A8" s="677" t="s">
        <v>1125</v>
      </c>
      <c r="B8" s="678">
        <v>28601</v>
      </c>
      <c r="C8" s="678">
        <v>1</v>
      </c>
      <c r="D8" s="678"/>
      <c r="E8" s="678">
        <v>37</v>
      </c>
      <c r="F8" s="678">
        <v>90</v>
      </c>
      <c r="G8" s="679"/>
      <c r="H8" s="679">
        <v>22</v>
      </c>
      <c r="I8" s="678"/>
      <c r="J8" s="678"/>
      <c r="K8" s="678"/>
      <c r="L8" s="678">
        <v>36</v>
      </c>
      <c r="M8" s="679"/>
      <c r="N8" s="679"/>
      <c r="O8" s="678"/>
      <c r="P8" s="688"/>
      <c r="Q8" s="678" t="s">
        <v>1033</v>
      </c>
      <c r="R8" s="678"/>
      <c r="S8" s="679" t="s">
        <v>672</v>
      </c>
      <c r="T8" s="678"/>
      <c r="U8" s="891">
        <f>($D8*dpsStr+$E8*dpsAgi+$G8*dpsCrit+$H8*dpsHit+$F8*dpsAP+$I8*dpsHaste+$J8*dpsArmor+$K8*dpsExp+IF(MID(Q8,1,1)+MID(Q8,3,1)+MID(Q8,5,1)&gt;0,VLOOKUP('Gear &amp; Buffs'!$B$44,GenSocketStats,18,FALSE)+IF(MID(Q8,1,1)+MID(Q8,3,1)+MID(Q8,5,1)&gt;1,VLOOKUP('Gear &amp; Buffs'!$B$45,GenSocketStats,18,FALSE)+IF(MID(Q8,1,1)+MID(Q8,3,1)+MID(Q8,5,1)&gt;2,VLOOKUP('Gear &amp; Buffs'!$B$46,GenSocketStats,18,FALSE),0)),0))-'Gear &amp; Buffs'!$AF$42</f>
        <v>-4.7960282694543821</v>
      </c>
      <c r="V8" s="221">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3</v>
      </c>
      <c r="W8" s="738">
        <v>5</v>
      </c>
      <c r="X8" s="714" t="str">
        <f t="shared" si="0"/>
        <v>Gladiator's Leather Tunic</v>
      </c>
    </row>
    <row r="9" spans="1:24">
      <c r="A9" s="677" t="s">
        <v>955</v>
      </c>
      <c r="B9" s="678">
        <v>27461</v>
      </c>
      <c r="C9" s="678">
        <v>1</v>
      </c>
      <c r="D9" s="678"/>
      <c r="E9" s="678">
        <v>31</v>
      </c>
      <c r="F9" s="678">
        <v>70</v>
      </c>
      <c r="G9" s="679"/>
      <c r="H9" s="679">
        <v>17</v>
      </c>
      <c r="I9" s="678"/>
      <c r="J9" s="678"/>
      <c r="K9" s="678"/>
      <c r="L9" s="678">
        <v>26</v>
      </c>
      <c r="M9" s="679"/>
      <c r="N9" s="679"/>
      <c r="O9" s="678"/>
      <c r="P9" s="688"/>
      <c r="Q9" s="678" t="s">
        <v>1033</v>
      </c>
      <c r="R9" s="678"/>
      <c r="S9" s="678" t="s">
        <v>673</v>
      </c>
      <c r="T9" s="678"/>
      <c r="U9" s="891">
        <f>($D9*dpsStr+$E9*dpsAgi+$G9*dpsCrit+$H9*dpsHit+$F9*dpsAP+$I9*dpsHaste+$J9*dpsArmor+$K9*dpsExp+IF(MID(Q9,1,1)+MID(Q9,3,1)+MID(Q9,5,1)&gt;0,VLOOKUP('Gear &amp; Buffs'!$B$44,GenSocketStats,18,FALSE)+IF(MID(Q9,1,1)+MID(Q9,3,1)+MID(Q9,5,1)&gt;1,VLOOKUP('Gear &amp; Buffs'!$B$45,GenSocketStats,18,FALSE)+IF(MID(Q9,1,1)+MID(Q9,3,1)+MID(Q9,5,1)&gt;2,VLOOKUP('Gear &amp; Buffs'!$B$46,GenSocketStats,18,FALSE),0)),0))-'Gear &amp; Buffs'!$AF$42</f>
        <v>-44.656063338203239</v>
      </c>
      <c r="V9" s="221">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4</v>
      </c>
      <c r="W9" s="738">
        <v>6</v>
      </c>
      <c r="X9" s="714" t="str">
        <f t="shared" si="0"/>
        <v>Hauberk of Karabor</v>
      </c>
    </row>
    <row r="10" spans="1:24">
      <c r="A10" s="677" t="s">
        <v>815</v>
      </c>
      <c r="B10" s="678">
        <v>30144</v>
      </c>
      <c r="C10" s="678">
        <v>2</v>
      </c>
      <c r="D10" s="678"/>
      <c r="E10" s="678">
        <v>33</v>
      </c>
      <c r="F10" s="678">
        <v>94</v>
      </c>
      <c r="G10" s="679">
        <v>17</v>
      </c>
      <c r="H10" s="679"/>
      <c r="I10" s="678"/>
      <c r="J10" s="678"/>
      <c r="K10" s="678"/>
      <c r="L10" s="678">
        <v>57</v>
      </c>
      <c r="M10" s="679"/>
      <c r="N10" s="679"/>
      <c r="O10" s="678"/>
      <c r="P10" s="678" t="s">
        <v>1063</v>
      </c>
      <c r="Q10" s="678" t="s">
        <v>2092</v>
      </c>
      <c r="R10" s="678" t="s">
        <v>1056</v>
      </c>
      <c r="S10" s="678" t="s">
        <v>680</v>
      </c>
      <c r="T10" s="678"/>
      <c r="U10" s="891">
        <f>($D10*dpsStr+$E10*dpsAgi+$G10*dpsCrit+$H10*dpsHit+$F10*dpsAP+$I10*dpsHaste+$J10*dpsArmor+$K10*dpsExp+IF(MID(Q10,1,1)+MID(Q10,3,1)+MID(Q10,5,1)&gt;0,VLOOKUP('Gear &amp; Buffs'!$B$44,GenSocketStats,18,FALSE)+IF(MID(Q10,1,1)+MID(Q10,3,1)+MID(Q10,5,1)&gt;1,VLOOKUP('Gear &amp; Buffs'!$B$45,GenSocketStats,18,FALSE)+IF(MID(Q10,1,1)+MID(Q10,3,1)+MID(Q10,5,1)&gt;2,VLOOKUP('Gear &amp; Buffs'!$B$46,GenSocketStats,18,FALSE),0)),0))-'Gear &amp; Buffs'!$AF$42</f>
        <v>-43.899634166304168</v>
      </c>
      <c r="V10" s="221"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8">
        <v>7</v>
      </c>
      <c r="X10" s="714" t="str">
        <f t="shared" si="0"/>
        <v>Mag'hari Scout's Tunic</v>
      </c>
    </row>
    <row r="11" spans="1:24">
      <c r="A11" s="677" t="s">
        <v>1885</v>
      </c>
      <c r="B11" s="678">
        <v>34906</v>
      </c>
      <c r="C11" s="678">
        <v>5</v>
      </c>
      <c r="D11" s="678">
        <v>40</v>
      </c>
      <c r="E11" s="678">
        <v>49</v>
      </c>
      <c r="F11" s="678"/>
      <c r="G11" s="679"/>
      <c r="H11" s="679"/>
      <c r="I11" s="678">
        <v>20</v>
      </c>
      <c r="J11" s="678"/>
      <c r="K11" s="678"/>
      <c r="L11" s="678">
        <v>52</v>
      </c>
      <c r="M11" s="679"/>
      <c r="N11" s="679"/>
      <c r="O11" s="678"/>
      <c r="P11" s="678"/>
      <c r="Q11" s="678" t="s">
        <v>1035</v>
      </c>
      <c r="R11" s="678" t="s">
        <v>1338</v>
      </c>
      <c r="S11" s="678" t="s">
        <v>691</v>
      </c>
      <c r="T11" s="678"/>
      <c r="U11" s="891">
        <f>($D11*dpsStr+$E11*dpsAgi+$G11*dpsCrit+$H11*dpsHit+$F11*dpsAP+$I11*dpsHaste+$J11*dpsArmor+$K11*dpsExp+IF(MID(Q11,1,1)+MID(Q11,3,1)+MID(Q11,5,1)&gt;0,VLOOKUP('Gear &amp; Buffs'!$B$44,GenSocketStats,18,FALSE)+IF(MID(Q11,1,1)+MID(Q11,3,1)+MID(Q11,5,1)&gt;1,VLOOKUP('Gear &amp; Buffs'!$B$45,GenSocketStats,18,FALSE)+IF(MID(Q11,1,1)+MID(Q11,3,1)+MID(Q11,5,1)&gt;2,VLOOKUP('Gear &amp; Buffs'!$B$46,GenSocketStats,18,FALSE),0)),0))-'Gear &amp; Buffs'!$AF$42</f>
        <v>-15.579400786126826</v>
      </c>
      <c r="V11" s="221"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8">
        <v>8</v>
      </c>
      <c r="X11" s="714" t="str">
        <f t="shared" si="0"/>
        <v>Netherblade Chestpiece</v>
      </c>
    </row>
    <row r="12" spans="1:24">
      <c r="A12" s="677" t="s">
        <v>816</v>
      </c>
      <c r="B12" s="678">
        <v>25831</v>
      </c>
      <c r="C12" s="678">
        <v>1</v>
      </c>
      <c r="D12" s="678"/>
      <c r="E12" s="678">
        <v>33</v>
      </c>
      <c r="F12" s="678">
        <v>30</v>
      </c>
      <c r="G12" s="679">
        <v>12</v>
      </c>
      <c r="H12" s="679"/>
      <c r="I12" s="678"/>
      <c r="J12" s="678"/>
      <c r="K12" s="678"/>
      <c r="L12" s="678">
        <v>50</v>
      </c>
      <c r="M12" s="679"/>
      <c r="N12" s="679">
        <v>23</v>
      </c>
      <c r="O12" s="678"/>
      <c r="P12" s="678" t="s">
        <v>1068</v>
      </c>
      <c r="Q12" s="678" t="s">
        <v>2090</v>
      </c>
      <c r="R12" s="678" t="s">
        <v>817</v>
      </c>
      <c r="S12" s="678" t="s">
        <v>677</v>
      </c>
      <c r="T12" s="678"/>
      <c r="U12" s="891">
        <f>($D12*dpsStr+$E12*dpsAgi+$G12*dpsCrit+$H12*dpsHit+$F12*dpsAP+$I12*dpsHaste+$J12*dpsArmor+$K12*dpsExp+IF(MID(Q12,1,1)+MID(Q12,3,1)+MID(Q12,5,1)&gt;0,VLOOKUP('Gear &amp; Buffs'!$B$44,GenSocketStats,18,FALSE)+IF(MID(Q12,1,1)+MID(Q12,3,1)+MID(Q12,5,1)&gt;1,VLOOKUP('Gear &amp; Buffs'!$B$45,GenSocketStats,18,FALSE)+IF(MID(Q12,1,1)+MID(Q12,3,1)+MID(Q12,5,1)&gt;2,VLOOKUP('Gear &amp; Buffs'!$B$46,GenSocketStats,18,FALSE),0)),0))-'Gear &amp; Buffs'!$AF$42</f>
        <v>-70.197737348581995</v>
      </c>
      <c r="V12" s="221">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8">
        <v>9</v>
      </c>
      <c r="X12" s="714" t="str">
        <f t="shared" si="0"/>
        <v>Opportunist's Leather Tunic</v>
      </c>
    </row>
    <row r="13" spans="1:24" s="129" customFormat="1">
      <c r="A13" s="677" t="s">
        <v>870</v>
      </c>
      <c r="B13" s="678">
        <v>34211</v>
      </c>
      <c r="C13" s="678">
        <v>5</v>
      </c>
      <c r="D13" s="678">
        <v>52</v>
      </c>
      <c r="E13" s="678">
        <v>44</v>
      </c>
      <c r="F13" s="678"/>
      <c r="G13" s="678"/>
      <c r="H13" s="678"/>
      <c r="I13" s="678"/>
      <c r="J13" s="678">
        <v>196</v>
      </c>
      <c r="K13" s="678"/>
      <c r="L13" s="678">
        <v>64</v>
      </c>
      <c r="M13" s="678"/>
      <c r="N13" s="678"/>
      <c r="O13" s="678"/>
      <c r="P13" s="678"/>
      <c r="Q13" s="678" t="s">
        <v>2093</v>
      </c>
      <c r="R13" s="678" t="s">
        <v>1056</v>
      </c>
      <c r="S13" s="678" t="s">
        <v>871</v>
      </c>
      <c r="T13" s="678"/>
      <c r="U13" s="891">
        <f>($D13*dpsStr+$E13*dpsAgi+$G13*dpsCrit+$H13*dpsHit+$F13*dpsAP+$I13*dpsHaste+$J13*dpsArmor+$K13*dpsExp+IF(MID(Q13,1,1)+MID(Q13,3,1)+MID(Q13,5,1)&gt;0,VLOOKUP('Gear &amp; Buffs'!$B$44,GenSocketStats,18,FALSE)+IF(MID(Q13,1,1)+MID(Q13,3,1)+MID(Q13,5,1)&gt;1,VLOOKUP('Gear &amp; Buffs'!$B$45,GenSocketStats,18,FALSE)+IF(MID(Q13,1,1)+MID(Q13,3,1)+MID(Q13,5,1)&gt;2,VLOOKUP('Gear &amp; Buffs'!$B$46,GenSocketStats,18,FALSE),0)),0))-'Gear &amp; Buffs'!$AF$42</f>
        <v>-35.518488886752266</v>
      </c>
      <c r="V13" s="221"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8">
        <v>10</v>
      </c>
      <c r="X13" s="714" t="str">
        <f t="shared" si="0"/>
        <v>Protectorate Assassin's Tunic</v>
      </c>
    </row>
    <row r="14" spans="1:24" s="129" customFormat="1">
      <c r="A14" s="677" t="s">
        <v>818</v>
      </c>
      <c r="B14" s="678">
        <v>30933</v>
      </c>
      <c r="C14" s="678">
        <v>1</v>
      </c>
      <c r="D14" s="678"/>
      <c r="E14" s="678">
        <v>25</v>
      </c>
      <c r="F14" s="678">
        <v>90</v>
      </c>
      <c r="G14" s="678"/>
      <c r="H14" s="678">
        <v>12</v>
      </c>
      <c r="I14" s="678"/>
      <c r="J14" s="678"/>
      <c r="K14" s="678"/>
      <c r="L14" s="678">
        <v>18</v>
      </c>
      <c r="M14" s="678"/>
      <c r="N14" s="678"/>
      <c r="O14" s="678"/>
      <c r="P14" s="678"/>
      <c r="Q14" s="678" t="s">
        <v>1033</v>
      </c>
      <c r="R14" s="678"/>
      <c r="S14" s="678" t="s">
        <v>675</v>
      </c>
      <c r="T14" s="678"/>
      <c r="U14" s="891">
        <f>($D14*dpsStr+$E14*dpsAgi+$G14*dpsCrit+$H14*dpsHit+$F14*dpsAP+$I14*dpsHaste+$J14*dpsArmor+$K14*dpsExp+IF(MID(Q14,1,1)+MID(Q14,3,1)+MID(Q14,5,1)&gt;0,VLOOKUP('Gear &amp; Buffs'!$B$44,GenSocketStats,18,FALSE)+IF(MID(Q14,1,1)+MID(Q14,3,1)+MID(Q14,5,1)&gt;1,VLOOKUP('Gear &amp; Buffs'!$B$45,GenSocketStats,18,FALSE)+IF(MID(Q14,1,1)+MID(Q14,3,1)+MID(Q14,5,1)&gt;2,VLOOKUP('Gear &amp; Buffs'!$B$46,GenSocketStats,18,FALSE),0)),0))-'Gear &amp; Buffs'!$AF$42</f>
        <v>-70.222897372745592</v>
      </c>
      <c r="V14" s="221">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6</v>
      </c>
      <c r="W14" s="738">
        <v>11</v>
      </c>
      <c r="X14" s="714" t="str">
        <f t="shared" si="0"/>
        <v>Terrorweave Tunic</v>
      </c>
    </row>
    <row r="15" spans="1:24" s="129" customFormat="1">
      <c r="A15" s="683" t="s">
        <v>2342</v>
      </c>
      <c r="B15" s="678">
        <v>32869</v>
      </c>
      <c r="C15" s="678">
        <v>3</v>
      </c>
      <c r="D15" s="678"/>
      <c r="E15" s="678">
        <v>29</v>
      </c>
      <c r="F15" s="678">
        <v>44</v>
      </c>
      <c r="G15" s="678"/>
      <c r="H15" s="678"/>
      <c r="I15" s="678"/>
      <c r="J15" s="678"/>
      <c r="K15" s="678"/>
      <c r="L15" s="678">
        <v>24</v>
      </c>
      <c r="M15" s="678"/>
      <c r="N15" s="678"/>
      <c r="O15" s="678"/>
      <c r="P15" s="678"/>
      <c r="Q15" s="678" t="s">
        <v>2343</v>
      </c>
      <c r="R15" s="678"/>
      <c r="S15" s="678" t="s">
        <v>675</v>
      </c>
      <c r="T15" s="678"/>
      <c r="U15" s="891">
        <f>($D15*dpsStr+$E15*dpsAgi+$G15*dpsCrit+$H15*dpsHit+$F15*dpsAP+$I15*dpsHaste+$J15*dpsArmor+$K15*dpsExp+IF(MID(Q15,1,1)+MID(Q15,3,1)+MID(Q15,5,1)&gt;0,VLOOKUP('Gear &amp; Buffs'!$B$44,GenSocketStats,18,FALSE)+IF(MID(Q15,1,1)+MID(Q15,3,1)+MID(Q15,5,1)&gt;1,VLOOKUP('Gear &amp; Buffs'!$B$45,GenSocketStats,18,FALSE)+IF(MID(Q15,1,1)+MID(Q15,3,1)+MID(Q15,5,1)&gt;2,VLOOKUP('Gear &amp; Buffs'!$B$46,GenSocketStats,18,FALSE),0)),0))-'Gear &amp; Buffs'!$AF$42</f>
        <v>-76.733524130063415</v>
      </c>
      <c r="V15" s="221"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8">
        <v>12</v>
      </c>
      <c r="X15" s="714" t="str">
        <f t="shared" si="0"/>
        <v>Tunic of Assassination</v>
      </c>
    </row>
    <row r="16" spans="1:24">
      <c r="A16" s="677" t="s">
        <v>819</v>
      </c>
      <c r="B16" s="678">
        <v>28172</v>
      </c>
      <c r="C16" s="678">
        <v>1</v>
      </c>
      <c r="D16" s="678"/>
      <c r="E16" s="678">
        <v>23</v>
      </c>
      <c r="F16" s="678">
        <v>86</v>
      </c>
      <c r="G16" s="678"/>
      <c r="H16" s="678">
        <v>12</v>
      </c>
      <c r="I16" s="678"/>
      <c r="J16" s="678"/>
      <c r="K16" s="678"/>
      <c r="L16" s="678">
        <v>18</v>
      </c>
      <c r="M16" s="678"/>
      <c r="N16" s="678"/>
      <c r="O16" s="678"/>
      <c r="P16" s="678"/>
      <c r="Q16" s="678" t="s">
        <v>1033</v>
      </c>
      <c r="R16" s="678"/>
      <c r="S16" s="678" t="s">
        <v>675</v>
      </c>
      <c r="T16" s="678"/>
      <c r="U16" s="891">
        <f>($D16*dpsStr+$E16*dpsAgi+$G16*dpsCrit+$H16*dpsHit+$F16*dpsAP+$I16*dpsHaste+$J16*dpsArmor+$K16*dpsExp+IF(MID(Q16,1,1)+MID(Q16,3,1)+MID(Q16,5,1)&gt;0,VLOOKUP('Gear &amp; Buffs'!$B$44,GenSocketStats,18,FALSE)+IF(MID(Q16,1,1)+MID(Q16,3,1)+MID(Q16,5,1)&gt;1,VLOOKUP('Gear &amp; Buffs'!$B$45,GenSocketStats,18,FALSE)+IF(MID(Q16,1,1)+MID(Q16,3,1)+MID(Q16,5,1)&gt;2,VLOOKUP('Gear &amp; Buffs'!$B$46,GenSocketStats,18,FALSE),0)),0))-'Gear &amp; Buffs'!$AF$42</f>
        <v>-73.306643214836186</v>
      </c>
      <c r="V16" s="221">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7</v>
      </c>
      <c r="W16" s="738">
        <v>13</v>
      </c>
      <c r="X16" s="714" t="str">
        <f t="shared" si="0"/>
        <v>Vest of Vengeance</v>
      </c>
    </row>
    <row r="17" spans="1:24">
      <c r="A17" s="677" t="s">
        <v>821</v>
      </c>
      <c r="B17" s="678">
        <v>32002</v>
      </c>
      <c r="C17" s="678">
        <v>2</v>
      </c>
      <c r="D17" s="678"/>
      <c r="E17" s="678">
        <v>37</v>
      </c>
      <c r="F17" s="678">
        <v>40</v>
      </c>
      <c r="G17" s="679">
        <v>13</v>
      </c>
      <c r="H17" s="679"/>
      <c r="I17" s="678"/>
      <c r="J17" s="678"/>
      <c r="K17" s="678"/>
      <c r="L17" s="678">
        <v>57</v>
      </c>
      <c r="M17" s="679"/>
      <c r="N17" s="679">
        <v>25</v>
      </c>
      <c r="O17" s="678"/>
      <c r="P17" s="678" t="s">
        <v>1068</v>
      </c>
      <c r="Q17" s="678" t="s">
        <v>2090</v>
      </c>
      <c r="R17" s="678" t="s">
        <v>817</v>
      </c>
      <c r="S17" s="678" t="s">
        <v>677</v>
      </c>
      <c r="T17" s="678"/>
      <c r="U17" s="891">
        <f>($D17*dpsStr+$E17*dpsAgi+$G17*dpsCrit+$H17*dpsHit+$F17*dpsAP+$I17*dpsHaste+$J17*dpsArmor+$K17*dpsExp+IF(MID(Q17,1,1)+MID(Q17,3,1)+MID(Q17,5,1)&gt;0,VLOOKUP('Gear &amp; Buffs'!$B$44,GenSocketStats,18,FALSE)+IF(MID(Q17,1,1)+MID(Q17,3,1)+MID(Q17,5,1)&gt;1,VLOOKUP('Gear &amp; Buffs'!$B$45,GenSocketStats,18,FALSE)+IF(MID(Q17,1,1)+MID(Q17,3,1)+MID(Q17,5,1)&gt;2,VLOOKUP('Gear &amp; Buffs'!$B$46,GenSocketStats,18,FALSE),0)),0))-'Gear &amp; Buffs'!$AF$42</f>
        <v>-62.629789307180999</v>
      </c>
      <c r="V17" s="221"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8">
        <v>14</v>
      </c>
      <c r="X17" s="714" t="str">
        <f t="shared" si="0"/>
        <v>Wastewalker Tunic</v>
      </c>
    </row>
    <row r="18" spans="1:24">
      <c r="A18" s="677" t="s">
        <v>500</v>
      </c>
      <c r="B18" s="678">
        <v>30905</v>
      </c>
      <c r="C18" s="678">
        <v>3</v>
      </c>
      <c r="D18" s="678"/>
      <c r="E18" s="678"/>
      <c r="F18" s="678">
        <v>106</v>
      </c>
      <c r="G18" s="678">
        <v>46</v>
      </c>
      <c r="H18" s="678">
        <v>29</v>
      </c>
      <c r="I18" s="678"/>
      <c r="J18" s="678"/>
      <c r="K18" s="678"/>
      <c r="L18" s="678">
        <v>64</v>
      </c>
      <c r="M18" s="678"/>
      <c r="N18" s="678"/>
      <c r="O18" s="678"/>
      <c r="P18" s="678"/>
      <c r="Q18" s="678" t="s">
        <v>2093</v>
      </c>
      <c r="R18" s="678" t="s">
        <v>1065</v>
      </c>
      <c r="S18" s="678" t="s">
        <v>684</v>
      </c>
      <c r="T18" s="678"/>
      <c r="U18" s="891">
        <f>($D18*dpsStr+$E18*dpsAgi+$G18*dpsCrit+$H18*dpsHit+$F18*dpsAP+$I18*dpsHaste+$J18*dpsArmor+$K18*dpsExp+IF(MID(Q18,1,1)+MID(Q18,3,1)+MID(Q18,5,1)&gt;0,VLOOKUP('Gear &amp; Buffs'!$B$44,GenSocketStats,18,FALSE)+IF(MID(Q18,1,1)+MID(Q18,3,1)+MID(Q18,5,1)&gt;1,VLOOKUP('Gear &amp; Buffs'!$B$45,GenSocketStats,18,FALSE)+IF(MID(Q18,1,1)+MID(Q18,3,1)+MID(Q18,5,1)&gt;2,VLOOKUP('Gear &amp; Buffs'!$B$46,GenSocketStats,18,FALSE),0)),0))-'Gear &amp; Buffs'!$AF$42</f>
        <v>113.92930686236627</v>
      </c>
      <c r="V18" s="221"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8">
        <v>15</v>
      </c>
      <c r="X18" s="714" t="str">
        <f t="shared" si="0"/>
        <v>(Unmodeled)</v>
      </c>
    </row>
    <row r="19" spans="1:24">
      <c r="A19" s="677" t="s">
        <v>823</v>
      </c>
      <c r="B19" s="678">
        <v>32252</v>
      </c>
      <c r="C19" s="678">
        <v>3</v>
      </c>
      <c r="D19" s="678"/>
      <c r="E19" s="678">
        <v>36</v>
      </c>
      <c r="F19" s="678">
        <v>86</v>
      </c>
      <c r="G19" s="679"/>
      <c r="H19" s="679">
        <v>35</v>
      </c>
      <c r="I19" s="678"/>
      <c r="J19" s="678"/>
      <c r="K19" s="678"/>
      <c r="L19" s="678">
        <v>52</v>
      </c>
      <c r="M19" s="679"/>
      <c r="N19" s="679"/>
      <c r="O19" s="678"/>
      <c r="P19" s="678"/>
      <c r="Q19" s="678" t="s">
        <v>2093</v>
      </c>
      <c r="R19" s="678" t="s">
        <v>1065</v>
      </c>
      <c r="S19" s="678" t="s">
        <v>683</v>
      </c>
      <c r="T19" s="678"/>
      <c r="U19" s="891">
        <f>($D19*dpsStr+$E19*dpsAgi+$G19*dpsCrit+$H19*dpsHit+$F19*dpsAP+$I19*dpsHaste+$J19*dpsArmor+$K19*dpsExp+IF(MID(Q19,1,1)+MID(Q19,3,1)+MID(Q19,5,1)&gt;0,VLOOKUP('Gear &amp; Buffs'!$B$44,GenSocketStats,18,FALSE)+IF(MID(Q19,1,1)+MID(Q19,3,1)+MID(Q19,5,1)&gt;1,VLOOKUP('Gear &amp; Buffs'!$B$45,GenSocketStats,18,FALSE)+IF(MID(Q19,1,1)+MID(Q19,3,1)+MID(Q19,5,1)&gt;2,VLOOKUP('Gear &amp; Buffs'!$B$46,GenSocketStats,18,FALSE),0)),0))-'Gear &amp; Buffs'!$AF$42</f>
        <v>138.31592839064865</v>
      </c>
      <c r="V19" s="221"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8">
        <v>16</v>
      </c>
      <c r="X19" s="714" t="str">
        <f t="shared" si="0"/>
        <v/>
      </c>
    </row>
    <row r="20" spans="1:24">
      <c r="A20" s="677" t="s">
        <v>822</v>
      </c>
      <c r="B20" s="678">
        <v>29045</v>
      </c>
      <c r="C20" s="678">
        <v>1</v>
      </c>
      <c r="D20" s="678"/>
      <c r="E20" s="678">
        <v>35</v>
      </c>
      <c r="F20" s="678">
        <v>74</v>
      </c>
      <c r="G20" s="679"/>
      <c r="H20" s="679">
        <v>11</v>
      </c>
      <c r="I20" s="678"/>
      <c r="J20" s="678"/>
      <c r="K20" s="678"/>
      <c r="L20" s="678">
        <v>39</v>
      </c>
      <c r="M20" s="679"/>
      <c r="N20" s="679"/>
      <c r="O20" s="678"/>
      <c r="P20" s="678" t="s">
        <v>1078</v>
      </c>
      <c r="Q20" s="678" t="s">
        <v>2093</v>
      </c>
      <c r="R20" s="678" t="s">
        <v>1056</v>
      </c>
      <c r="S20" s="678" t="s">
        <v>679</v>
      </c>
      <c r="T20" s="678"/>
      <c r="U20" s="891">
        <f>($D20*dpsStr+$E20*dpsAgi+$G20*dpsCrit+$H20*dpsHit+$F20*dpsAP+$I20*dpsHaste+$J20*dpsArmor+$K20*dpsExp+IF(MID(Q20,1,1)+MID(Q20,3,1)+MID(Q20,5,1)&gt;0,VLOOKUP('Gear &amp; Buffs'!$B$44,GenSocketStats,18,FALSE)+IF(MID(Q20,1,1)+MID(Q20,3,1)+MID(Q20,5,1)&gt;1,VLOOKUP('Gear &amp; Buffs'!$B$45,GenSocketStats,18,FALSE)+IF(MID(Q20,1,1)+MID(Q20,3,1)+MID(Q20,5,1)&gt;2,VLOOKUP('Gear &amp; Buffs'!$B$46,GenSocketStats,18,FALSE),0)),0))-'Gear &amp; Buffs'!$AF$42</f>
        <v>0</v>
      </c>
      <c r="V20" s="221">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8</v>
      </c>
      <c r="W20" s="738">
        <v>17</v>
      </c>
      <c r="X20" s="714" t="str">
        <f t="shared" si="0"/>
        <v/>
      </c>
    </row>
    <row r="21" spans="1:24">
      <c r="A21" s="677" t="s">
        <v>706</v>
      </c>
      <c r="B21" s="678">
        <v>35370</v>
      </c>
      <c r="C21" s="678">
        <v>1</v>
      </c>
      <c r="D21" s="678"/>
      <c r="E21" s="678">
        <v>20</v>
      </c>
      <c r="F21" s="678">
        <v>12</v>
      </c>
      <c r="G21" s="679">
        <v>10</v>
      </c>
      <c r="H21" s="679"/>
      <c r="I21" s="678"/>
      <c r="J21" s="678"/>
      <c r="K21" s="678"/>
      <c r="L21" s="678">
        <v>42</v>
      </c>
      <c r="M21" s="679"/>
      <c r="N21" s="679">
        <v>24</v>
      </c>
      <c r="O21" s="678"/>
      <c r="P21" s="678" t="s">
        <v>2861</v>
      </c>
      <c r="Q21" s="678" t="s">
        <v>2090</v>
      </c>
      <c r="R21" s="678" t="s">
        <v>817</v>
      </c>
      <c r="S21" s="678" t="s">
        <v>676</v>
      </c>
      <c r="T21" s="678"/>
      <c r="U21" s="891">
        <f>($D21*dpsStr+$E21*dpsAgi+$G21*dpsCrit+$H21*dpsHit+$F21*dpsAP+$I21*dpsHaste+$J21*dpsArmor+$K21*dpsExp+IF(MID(Q21,1,1)+MID(Q21,3,1)+MID(Q21,5,1)&gt;0,VLOOKUP('Gear &amp; Buffs'!$B$44,GenSocketStats,18,FALSE)+IF(MID(Q21,1,1)+MID(Q21,3,1)+MID(Q21,5,1)&gt;1,VLOOKUP('Gear &amp; Buffs'!$B$45,GenSocketStats,18,FALSE)+IF(MID(Q21,1,1)+MID(Q21,3,1)+MID(Q21,5,1)&gt;2,VLOOKUP('Gear &amp; Buffs'!$B$46,GenSocketStats,18,FALSE),0)),0))-'Gear &amp; Buffs'!$AF$42</f>
        <v>-88.755037726348519</v>
      </c>
      <c r="V21" s="221">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9</v>
      </c>
      <c r="W21" s="738">
        <v>18</v>
      </c>
      <c r="X21" s="714" t="str">
        <f t="shared" ref="X21" si="1">IF(ISNA(INDEX($A$2:$A$35,MATCH(W21,V$2:V$35,0))), "", INDEX($A$2:$A$35,MATCH(W21,V$2:V$35,0)))</f>
        <v/>
      </c>
    </row>
    <row r="22" spans="1:24">
      <c r="A22" s="677" t="s">
        <v>827</v>
      </c>
      <c r="B22" s="678">
        <v>29973</v>
      </c>
      <c r="C22" s="678">
        <v>1</v>
      </c>
      <c r="D22" s="678"/>
      <c r="E22" s="678">
        <v>30</v>
      </c>
      <c r="F22" s="678">
        <v>60</v>
      </c>
      <c r="G22" s="679"/>
      <c r="H22" s="679">
        <v>17</v>
      </c>
      <c r="I22" s="678"/>
      <c r="J22" s="678"/>
      <c r="K22" s="678"/>
      <c r="L22" s="678">
        <v>27</v>
      </c>
      <c r="M22" s="679"/>
      <c r="N22" s="679"/>
      <c r="O22" s="678"/>
      <c r="P22" s="678"/>
      <c r="Q22" s="678" t="s">
        <v>1033</v>
      </c>
      <c r="R22" s="678"/>
      <c r="S22" s="678" t="s">
        <v>687</v>
      </c>
      <c r="T22" s="678"/>
      <c r="U22" s="891">
        <f>($D22*dpsStr+$E22*dpsAgi+$G22*dpsCrit+$H22*dpsHit+$F22*dpsAP+$I22*dpsHaste+$J22*dpsArmor+$K22*dpsExp+IF(MID(Q22,1,1)+MID(Q22,3,1)+MID(Q22,5,1)&gt;0,VLOOKUP('Gear &amp; Buffs'!$B$44,GenSocketStats,18,FALSE)+IF(MID(Q22,1,1)+MID(Q22,3,1)+MID(Q22,5,1)&gt;1,VLOOKUP('Gear &amp; Buffs'!$B$45,GenSocketStats,18,FALSE)+IF(MID(Q22,1,1)+MID(Q22,3,1)+MID(Q22,5,1)&gt;2,VLOOKUP('Gear &amp; Buffs'!$B$46,GenSocketStats,18,FALSE),0)),0))-'Gear &amp; Buffs'!$AF$42</f>
        <v>-49.056576466089837</v>
      </c>
      <c r="V22" s="221"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8">
        <v>19</v>
      </c>
      <c r="X22" s="714" t="str">
        <f t="shared" si="0"/>
        <v/>
      </c>
    </row>
    <row r="23" spans="1:24">
      <c r="A23" s="677" t="s">
        <v>825</v>
      </c>
      <c r="B23" s="678">
        <v>29525</v>
      </c>
      <c r="C23" s="678">
        <v>1</v>
      </c>
      <c r="D23" s="678"/>
      <c r="E23" s="678">
        <v>38</v>
      </c>
      <c r="F23" s="678">
        <v>108</v>
      </c>
      <c r="G23" s="679"/>
      <c r="H23" s="679">
        <v>12</v>
      </c>
      <c r="I23" s="678"/>
      <c r="J23" s="678"/>
      <c r="K23" s="678"/>
      <c r="L23" s="678">
        <v>39</v>
      </c>
      <c r="M23" s="679"/>
      <c r="N23" s="679"/>
      <c r="O23" s="678"/>
      <c r="P23" s="678" t="s">
        <v>826</v>
      </c>
      <c r="Q23" s="678" t="s">
        <v>1033</v>
      </c>
      <c r="R23" s="678"/>
      <c r="S23" s="678" t="s">
        <v>687</v>
      </c>
      <c r="T23" s="678"/>
      <c r="U23" s="891">
        <f>($D23*dpsStr+$E23*dpsAgi+$G23*dpsCrit+$H23*dpsHit+$F23*dpsAP+$I23*dpsHaste+$J23*dpsArmor+$K23*dpsExp+IF(MID(Q23,1,1)+MID(Q23,3,1)+MID(Q23,5,1)&gt;0,VLOOKUP('Gear &amp; Buffs'!$B$44,GenSocketStats,18,FALSE)+IF(MID(Q23,1,1)+MID(Q23,3,1)+MID(Q23,5,1)&gt;1,VLOOKUP('Gear &amp; Buffs'!$B$45,GenSocketStats,18,FALSE)+IF(MID(Q23,1,1)+MID(Q23,3,1)+MID(Q23,5,1)&gt;2,VLOOKUP('Gear &amp; Buffs'!$B$46,GenSocketStats,18,FALSE),0)),0))-'Gear &amp; Buffs'!$AF$42</f>
        <v>-53.037189605998037</v>
      </c>
      <c r="V23" s="221"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8">
        <v>20</v>
      </c>
      <c r="X23" s="714" t="str">
        <f t="shared" si="0"/>
        <v/>
      </c>
    </row>
    <row r="24" spans="1:24">
      <c r="A24" s="677" t="s">
        <v>828</v>
      </c>
      <c r="B24" s="678">
        <v>30328</v>
      </c>
      <c r="C24" s="678">
        <v>1</v>
      </c>
      <c r="D24" s="678"/>
      <c r="E24" s="678">
        <v>26</v>
      </c>
      <c r="F24" s="678">
        <v>52</v>
      </c>
      <c r="G24" s="679"/>
      <c r="H24" s="679">
        <v>21</v>
      </c>
      <c r="I24" s="678"/>
      <c r="J24" s="678"/>
      <c r="K24" s="678"/>
      <c r="L24" s="678">
        <v>24</v>
      </c>
      <c r="M24" s="679"/>
      <c r="N24" s="679"/>
      <c r="O24" s="678"/>
      <c r="P24" s="678"/>
      <c r="Q24" s="678" t="s">
        <v>1033</v>
      </c>
      <c r="R24" s="678"/>
      <c r="S24" s="678" t="s">
        <v>675</v>
      </c>
      <c r="T24" s="678"/>
      <c r="U24" s="891">
        <f>($D24*dpsStr+$E24*dpsAgi+$G24*dpsCrit+$H24*dpsHit+$F24*dpsAP+$I24*dpsHaste+$J24*dpsArmor+$K24*dpsExp+IF(MID(Q24,1,1)+MID(Q24,3,1)+MID(Q24,5,1)&gt;0,VLOOKUP('Gear &amp; Buffs'!$B$44,GenSocketStats,18,FALSE)+IF(MID(Q24,1,1)+MID(Q24,3,1)+MID(Q24,5,1)&gt;1,VLOOKUP('Gear &amp; Buffs'!$B$45,GenSocketStats,18,FALSE)+IF(MID(Q24,1,1)+MID(Q24,3,1)+MID(Q24,5,1)&gt;2,VLOOKUP('Gear &amp; Buffs'!$B$46,GenSocketStats,18,FALSE),0)),0))-'Gear &amp; Buffs'!$AF$42</f>
        <v>-33.023942281762402</v>
      </c>
      <c r="V24" s="221">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10</v>
      </c>
      <c r="W24" s="738">
        <v>21</v>
      </c>
      <c r="X24" s="714" t="str">
        <f t="shared" si="0"/>
        <v/>
      </c>
    </row>
    <row r="25" spans="1:24">
      <c r="A25" s="683" t="s">
        <v>1471</v>
      </c>
      <c r="B25" s="678">
        <v>33204</v>
      </c>
      <c r="C25" s="678">
        <v>3</v>
      </c>
      <c r="D25" s="678">
        <v>32</v>
      </c>
      <c r="E25" s="678">
        <v>40</v>
      </c>
      <c r="F25" s="678"/>
      <c r="G25" s="679"/>
      <c r="H25" s="679">
        <v>8</v>
      </c>
      <c r="I25" s="678"/>
      <c r="J25" s="678"/>
      <c r="K25" s="678"/>
      <c r="L25" s="678">
        <v>12</v>
      </c>
      <c r="M25" s="679"/>
      <c r="N25" s="679"/>
      <c r="O25" s="678"/>
      <c r="P25" s="678"/>
      <c r="Q25" s="678" t="s">
        <v>2093</v>
      </c>
      <c r="R25" s="678" t="s">
        <v>1056</v>
      </c>
      <c r="S25" s="678" t="s">
        <v>685</v>
      </c>
      <c r="T25" s="678"/>
      <c r="U25" s="891">
        <f>($D25*dpsStr+$E25*dpsAgi+$G25*dpsCrit+$H25*dpsHit+$F25*dpsAP+$I25*dpsHaste+$J25*dpsArmor+$K25*dpsExp+IF(MID(Q25,1,1)+MID(Q25,3,1)+MID(Q25,5,1)&gt;0,VLOOKUP('Gear &amp; Buffs'!$B$44,GenSocketStats,18,FALSE)+IF(MID(Q25,1,1)+MID(Q25,3,1)+MID(Q25,5,1)&gt;1,VLOOKUP('Gear &amp; Buffs'!$B$45,GenSocketStats,18,FALSE)+IF(MID(Q25,1,1)+MID(Q25,3,1)+MID(Q25,5,1)&gt;2,VLOOKUP('Gear &amp; Buffs'!$B$46,GenSocketStats,18,FALSE),0)),0))-'Gear &amp; Buffs'!$AF$42</f>
        <v>-26.378435057868728</v>
      </c>
      <c r="V25" s="221"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8">
        <v>22</v>
      </c>
      <c r="X25" s="714" t="str">
        <f t="shared" si="0"/>
        <v/>
      </c>
    </row>
    <row r="26" spans="1:24">
      <c r="A26" s="677" t="s">
        <v>546</v>
      </c>
      <c r="B26" s="678">
        <v>33329</v>
      </c>
      <c r="C26" s="678">
        <v>4</v>
      </c>
      <c r="D26" s="678"/>
      <c r="E26" s="678">
        <v>45</v>
      </c>
      <c r="F26" s="678">
        <v>92</v>
      </c>
      <c r="G26" s="679"/>
      <c r="H26" s="679"/>
      <c r="I26" s="678"/>
      <c r="J26" s="678">
        <v>210</v>
      </c>
      <c r="K26" s="678"/>
      <c r="L26" s="678">
        <v>46</v>
      </c>
      <c r="M26" s="679"/>
      <c r="N26" s="679"/>
      <c r="O26" s="678"/>
      <c r="P26" s="678"/>
      <c r="Q26" s="678" t="s">
        <v>1033</v>
      </c>
      <c r="R26" s="678"/>
      <c r="S26" s="678" t="s">
        <v>664</v>
      </c>
      <c r="T26" s="678"/>
      <c r="U26" s="891">
        <f>($D26*dpsStr+$E26*dpsAgi+$G26*dpsCrit+$H26*dpsHit+$F26*dpsAP+$I26*dpsHaste+$J26*dpsArmor+$K26*dpsExp+IF(MID(Q26,1,1)+MID(Q26,3,1)+MID(Q26,5,1)&gt;0,VLOOKUP('Gear &amp; Buffs'!$B$44,GenSocketStats,18,FALSE)+IF(MID(Q26,1,1)+MID(Q26,3,1)+MID(Q26,5,1)&gt;1,VLOOKUP('Gear &amp; Buffs'!$B$45,GenSocketStats,18,FALSE)+IF(MID(Q26,1,1)+MID(Q26,3,1)+MID(Q26,5,1)&gt;2,VLOOKUP('Gear &amp; Buffs'!$B$46,GenSocketStats,18,FALSE),0)),0))-'Gear &amp; Buffs'!$AF$42</f>
        <v>-93.753551259180767</v>
      </c>
      <c r="V26" s="221"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8">
        <v>23</v>
      </c>
      <c r="X26" s="714" t="str">
        <f t="shared" si="0"/>
        <v/>
      </c>
    </row>
    <row r="27" spans="1:24">
      <c r="A27" s="677" t="s">
        <v>829</v>
      </c>
      <c r="B27" s="678">
        <v>31028</v>
      </c>
      <c r="C27" s="678">
        <v>3</v>
      </c>
      <c r="D27" s="678"/>
      <c r="E27" s="678">
        <v>45</v>
      </c>
      <c r="F27" s="678">
        <v>92</v>
      </c>
      <c r="G27" s="679">
        <v>28</v>
      </c>
      <c r="H27" s="679">
        <v>15</v>
      </c>
      <c r="I27" s="678"/>
      <c r="J27" s="678"/>
      <c r="K27" s="678"/>
      <c r="L27" s="678">
        <v>55</v>
      </c>
      <c r="M27" s="679"/>
      <c r="N27" s="679"/>
      <c r="O27" s="678"/>
      <c r="P27" s="678" t="s">
        <v>999</v>
      </c>
      <c r="Q27" s="678" t="s">
        <v>2092</v>
      </c>
      <c r="R27" s="678" t="s">
        <v>1065</v>
      </c>
      <c r="S27" s="678" t="s">
        <v>683</v>
      </c>
      <c r="T27" s="678"/>
      <c r="U27" s="891">
        <f>($D27*dpsStr+$E27*dpsAgi+$G27*dpsCrit+$H27*dpsHit+$F27*dpsAP+$I27*dpsHaste+$J27*dpsArmor+$K27*dpsExp+IF(MID(Q27,1,1)+MID(Q27,3,1)+MID(Q27,5,1)&gt;0,VLOOKUP('Gear &amp; Buffs'!$B$44,GenSocketStats,18,FALSE)+IF(MID(Q27,1,1)+MID(Q27,3,1)+MID(Q27,5,1)&gt;1,VLOOKUP('Gear &amp; Buffs'!$B$45,GenSocketStats,18,FALSE)+IF(MID(Q27,1,1)+MID(Q27,3,1)+MID(Q27,5,1)&gt;2,VLOOKUP('Gear &amp; Buffs'!$B$46,GenSocketStats,18,FALSE),0)),0))-'Gear &amp; Buffs'!$AF$42</f>
        <v>56.106491581516821</v>
      </c>
      <c r="V27" s="221" t="str">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8">
        <v>24</v>
      </c>
      <c r="X27" s="714" t="str">
        <f t="shared" si="0"/>
        <v/>
      </c>
    </row>
    <row r="28" spans="1:24">
      <c r="A28" s="677" t="s">
        <v>830</v>
      </c>
      <c r="B28" s="678">
        <v>30730</v>
      </c>
      <c r="C28" s="678">
        <v>1</v>
      </c>
      <c r="D28" s="678"/>
      <c r="E28" s="678"/>
      <c r="F28" s="678">
        <v>96</v>
      </c>
      <c r="G28" s="679">
        <v>25</v>
      </c>
      <c r="H28" s="679">
        <v>21</v>
      </c>
      <c r="I28" s="678"/>
      <c r="J28" s="678"/>
      <c r="K28" s="678"/>
      <c r="L28" s="678"/>
      <c r="M28" s="679"/>
      <c r="N28" s="679"/>
      <c r="O28" s="678"/>
      <c r="P28" s="678"/>
      <c r="Q28" s="678" t="s">
        <v>831</v>
      </c>
      <c r="R28" s="678" t="s">
        <v>817</v>
      </c>
      <c r="S28" s="678" t="s">
        <v>681</v>
      </c>
      <c r="T28" s="678"/>
      <c r="U28" s="891">
        <f>($D28*dpsStr+$E28*dpsAgi+$G28*dpsCrit+$H28*dpsHit+$F28*dpsAP+$I28*dpsHaste+$J28*dpsArmor+$K28*dpsExp+IF(MID(Q28,1,1)+MID(Q28,3,1)+MID(Q28,5,1)&gt;0,VLOOKUP('Gear &amp; Buffs'!$B$44,GenSocketStats,18,FALSE)+IF(MID(Q28,1,1)+MID(Q28,3,1)+MID(Q28,5,1)&gt;1,VLOOKUP('Gear &amp; Buffs'!$B$45,GenSocketStats,18,FALSE)+IF(MID(Q28,1,1)+MID(Q28,3,1)+MID(Q28,5,1)&gt;2,VLOOKUP('Gear &amp; Buffs'!$B$46,GenSocketStats,18,FALSE),0)),0))-'Gear &amp; Buffs'!$AF$42</f>
        <v>51.554032451098237</v>
      </c>
      <c r="V28" s="221">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11</v>
      </c>
      <c r="W28" s="738">
        <v>25</v>
      </c>
      <c r="X28" s="714" t="str">
        <f t="shared" si="0"/>
        <v/>
      </c>
    </row>
    <row r="29" spans="1:24">
      <c r="A29" s="677" t="s">
        <v>2053</v>
      </c>
      <c r="B29" s="678">
        <v>28204</v>
      </c>
      <c r="C29" s="678">
        <v>1</v>
      </c>
      <c r="D29" s="678"/>
      <c r="E29" s="678">
        <v>28</v>
      </c>
      <c r="F29" s="678">
        <v>54</v>
      </c>
      <c r="G29" s="679"/>
      <c r="H29" s="679"/>
      <c r="I29" s="678"/>
      <c r="J29" s="678"/>
      <c r="K29" s="678"/>
      <c r="L29" s="678">
        <v>21</v>
      </c>
      <c r="M29" s="679"/>
      <c r="N29" s="679"/>
      <c r="O29" s="678"/>
      <c r="P29" s="678" t="s">
        <v>2146</v>
      </c>
      <c r="Q29" s="678" t="s">
        <v>2054</v>
      </c>
      <c r="R29" s="678" t="s">
        <v>1072</v>
      </c>
      <c r="S29" s="678" t="s">
        <v>673</v>
      </c>
      <c r="T29" s="678"/>
      <c r="U29" s="891">
        <f>($D29*dpsStr+$E29*dpsAgi+$G29*dpsCrit+$H29*dpsHit+$F29*dpsAP+$I29*dpsHaste+$J29*dpsArmor+$K29*dpsExp+IF(MID(Q29,1,1)+MID(Q29,3,1)+MID(Q29,5,1)&gt;0,VLOOKUP('Gear &amp; Buffs'!$B$44,GenSocketStats,18,FALSE)+IF(MID(Q29,1,1)+MID(Q29,3,1)+MID(Q29,5,1)&gt;1,VLOOKUP('Gear &amp; Buffs'!$B$45,GenSocketStats,18,FALSE)+IF(MID(Q29,1,1)+MID(Q29,3,1)+MID(Q29,5,1)&gt;2,VLOOKUP('Gear &amp; Buffs'!$B$46,GenSocketStats,18,FALSE),0)),0))-'Gear &amp; Buffs'!$AF$42</f>
        <v>-73.987436740846761</v>
      </c>
      <c r="V29" s="221">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12</v>
      </c>
      <c r="W29" s="738">
        <v>26</v>
      </c>
      <c r="X29" s="714" t="str">
        <f t="shared" si="0"/>
        <v/>
      </c>
    </row>
    <row r="30" spans="1:24">
      <c r="A30" s="677" t="s">
        <v>1891</v>
      </c>
      <c r="B30" s="678">
        <v>34927</v>
      </c>
      <c r="C30" s="678">
        <v>5</v>
      </c>
      <c r="D30" s="678"/>
      <c r="E30" s="678">
        <v>44</v>
      </c>
      <c r="F30" s="678">
        <v>102</v>
      </c>
      <c r="G30" s="679"/>
      <c r="H30" s="679">
        <v>34</v>
      </c>
      <c r="I30" s="678"/>
      <c r="J30" s="678"/>
      <c r="K30" s="678"/>
      <c r="L30" s="678">
        <v>51</v>
      </c>
      <c r="M30" s="679"/>
      <c r="N30" s="679"/>
      <c r="O30" s="678"/>
      <c r="P30" s="678"/>
      <c r="Q30" s="678" t="s">
        <v>1035</v>
      </c>
      <c r="R30" s="678" t="s">
        <v>1338</v>
      </c>
      <c r="S30" s="678" t="s">
        <v>691</v>
      </c>
      <c r="T30" s="678"/>
      <c r="U30" s="891">
        <f>($D30*dpsStr+$E30*dpsAgi+$G30*dpsCrit+$H30*dpsHit+$F30*dpsAP+$I30*dpsHaste+$J30*dpsArmor+$K30*dpsExp+IF(MID(Q30,1,1)+MID(Q30,3,1)+MID(Q30,5,1)&gt;0,VLOOKUP('Gear &amp; Buffs'!$B$44,GenSocketStats,18,FALSE)+IF(MID(Q30,1,1)+MID(Q30,3,1)+MID(Q30,5,1)&gt;1,VLOOKUP('Gear &amp; Buffs'!$B$45,GenSocketStats,18,FALSE)+IF(MID(Q30,1,1)+MID(Q30,3,1)+MID(Q30,5,1)&gt;2,VLOOKUP('Gear &amp; Buffs'!$B$46,GenSocketStats,18,FALSE),0)),0))-'Gear &amp; Buffs'!$AF$42</f>
        <v>116.28305146869548</v>
      </c>
      <c r="V30" s="221"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8">
        <v>27</v>
      </c>
      <c r="X30" s="714" t="str">
        <f t="shared" si="0"/>
        <v/>
      </c>
    </row>
    <row r="31" spans="1:24">
      <c r="A31" s="677" t="s">
        <v>1527</v>
      </c>
      <c r="B31" s="678">
        <v>33704</v>
      </c>
      <c r="C31" s="678">
        <v>3</v>
      </c>
      <c r="D31" s="678"/>
      <c r="E31" s="678">
        <v>31</v>
      </c>
      <c r="F31" s="678">
        <v>48</v>
      </c>
      <c r="G31" s="679">
        <v>17</v>
      </c>
      <c r="H31" s="679">
        <v>12</v>
      </c>
      <c r="I31" s="678"/>
      <c r="J31" s="678">
        <v>84</v>
      </c>
      <c r="K31" s="678"/>
      <c r="L31" s="678">
        <v>64</v>
      </c>
      <c r="M31" s="679"/>
      <c r="N31" s="679">
        <v>25</v>
      </c>
      <c r="O31" s="678"/>
      <c r="P31" s="678" t="s">
        <v>1068</v>
      </c>
      <c r="Q31" s="678" t="s">
        <v>2090</v>
      </c>
      <c r="R31" s="678" t="s">
        <v>817</v>
      </c>
      <c r="S31" s="678" t="s">
        <v>677</v>
      </c>
      <c r="T31" s="678"/>
      <c r="U31" s="891">
        <f>($D31*dpsStr+$E31*dpsAgi+$G31*dpsCrit+$H31*dpsHit+$F31*dpsAP+$I31*dpsHaste+$J31*dpsArmor+$K31*dpsExp+IF(MID(Q31,1,1)+MID(Q31,3,1)+MID(Q31,5,1)&gt;0,VLOOKUP('Gear &amp; Buffs'!$B$44,GenSocketStats,18,FALSE)+IF(MID(Q31,1,1)+MID(Q31,3,1)+MID(Q31,5,1)&gt;1,VLOOKUP('Gear &amp; Buffs'!$B$45,GenSocketStats,18,FALSE)+IF(MID(Q31,1,1)+MID(Q31,3,1)+MID(Q31,5,1)&gt;2,VLOOKUP('Gear &amp; Buffs'!$B$46,GenSocketStats,18,FALSE),0)),0))-'Gear &amp; Buffs'!$AF$42</f>
        <v>14.933459023486648</v>
      </c>
      <c r="V31" s="221"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8">
        <v>28</v>
      </c>
      <c r="X31" s="714" t="str">
        <f t="shared" si="0"/>
        <v/>
      </c>
    </row>
    <row r="32" spans="1:24">
      <c r="A32" s="724" t="s">
        <v>2055</v>
      </c>
      <c r="B32" s="727">
        <v>24396</v>
      </c>
      <c r="C32" s="727">
        <v>1</v>
      </c>
      <c r="D32" s="727"/>
      <c r="E32" s="727">
        <v>27</v>
      </c>
      <c r="F32" s="727">
        <v>42</v>
      </c>
      <c r="G32" s="728"/>
      <c r="H32" s="728">
        <v>11</v>
      </c>
      <c r="I32" s="727"/>
      <c r="J32" s="727"/>
      <c r="K32" s="727"/>
      <c r="L32" s="727">
        <v>18</v>
      </c>
      <c r="M32" s="728"/>
      <c r="N32" s="728"/>
      <c r="O32" s="727"/>
      <c r="P32" s="727"/>
      <c r="Q32" s="727" t="s">
        <v>2093</v>
      </c>
      <c r="R32" s="727" t="s">
        <v>1072</v>
      </c>
      <c r="S32" s="678" t="s">
        <v>673</v>
      </c>
      <c r="T32" s="678"/>
      <c r="U32" s="891">
        <f>($D32*dpsStr+$E32*dpsAgi+$G32*dpsCrit+$H32*dpsHit+$F32*dpsAP+$I32*dpsHaste+$J32*dpsArmor+$K32*dpsExp+IF(MID(Q32,1,1)+MID(Q32,3,1)+MID(Q32,5,1)&gt;0,VLOOKUP('Gear &amp; Buffs'!$B$44,GenSocketStats,18,FALSE)+IF(MID(Q32,1,1)+MID(Q32,3,1)+MID(Q32,5,1)&gt;1,VLOOKUP('Gear &amp; Buffs'!$B$45,GenSocketStats,18,FALSE)+IF(MID(Q32,1,1)+MID(Q32,3,1)+MID(Q32,5,1)&gt;2,VLOOKUP('Gear &amp; Buffs'!$B$46,GenSocketStats,18,FALSE),0)),0))-'Gear &amp; Buffs'!$AF$42</f>
        <v>-18.052263782044975</v>
      </c>
      <c r="V32" s="221">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13</v>
      </c>
      <c r="W32" s="738">
        <v>29</v>
      </c>
      <c r="X32" s="714" t="str">
        <f t="shared" si="0"/>
        <v/>
      </c>
    </row>
    <row r="33" spans="1:24">
      <c r="A33" s="130" t="s">
        <v>2344</v>
      </c>
      <c r="B33" s="114">
        <v>33579</v>
      </c>
      <c r="C33" s="114">
        <v>4</v>
      </c>
      <c r="D33" s="114">
        <v>46</v>
      </c>
      <c r="E33" s="114">
        <v>45</v>
      </c>
      <c r="F33" s="114"/>
      <c r="G33" s="116"/>
      <c r="H33" s="116"/>
      <c r="I33" s="114"/>
      <c r="J33" s="114">
        <v>150</v>
      </c>
      <c r="K33" s="114"/>
      <c r="L33" s="114">
        <v>36</v>
      </c>
      <c r="M33" s="116"/>
      <c r="N33" s="116"/>
      <c r="O33" s="114"/>
      <c r="P33" s="114"/>
      <c r="Q33" s="114" t="s">
        <v>1033</v>
      </c>
      <c r="R33" s="114"/>
      <c r="S33" s="681" t="s">
        <v>691</v>
      </c>
      <c r="T33" s="678"/>
      <c r="U33" s="891">
        <f>($D33*dpsStr+$E33*dpsAgi+$G33*dpsCrit+$H33*dpsHit+$F33*dpsAP+$I33*dpsHaste+$J33*dpsArmor+$K33*dpsExp+IF(MID(Q33,1,1)+MID(Q33,3,1)+MID(Q33,5,1)&gt;0,VLOOKUP('Gear &amp; Buffs'!$B$44,GenSocketStats,18,FALSE)+IF(MID(Q33,1,1)+MID(Q33,3,1)+MID(Q33,5,1)&gt;1,VLOOKUP('Gear &amp; Buffs'!$B$45,GenSocketStats,18,FALSE)+IF(MID(Q33,1,1)+MID(Q33,3,1)+MID(Q33,5,1)&gt;2,VLOOKUP('Gear &amp; Buffs'!$B$46,GenSocketStats,18,FALSE),0)),0))-'Gear &amp; Buffs'!$AF$42</f>
        <v>-115.9215304097529</v>
      </c>
      <c r="V33" s="221"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8">
        <v>30</v>
      </c>
      <c r="X33" s="714" t="str">
        <f t="shared" si="0"/>
        <v/>
      </c>
    </row>
    <row r="34" spans="1:24">
      <c r="A34" s="10" t="s">
        <v>2021</v>
      </c>
      <c r="B34" s="114">
        <v>28264</v>
      </c>
      <c r="C34" s="114">
        <v>1</v>
      </c>
      <c r="D34" s="114"/>
      <c r="E34" s="114">
        <v>28</v>
      </c>
      <c r="F34" s="114">
        <v>56</v>
      </c>
      <c r="G34" s="116"/>
      <c r="H34" s="116"/>
      <c r="I34" s="114"/>
      <c r="J34" s="114"/>
      <c r="K34" s="114"/>
      <c r="L34" s="114">
        <v>36</v>
      </c>
      <c r="M34" s="116"/>
      <c r="N34" s="116"/>
      <c r="O34" s="114"/>
      <c r="P34" s="114" t="s">
        <v>1004</v>
      </c>
      <c r="Q34" s="114" t="s">
        <v>2022</v>
      </c>
      <c r="R34" s="114" t="s">
        <v>1056</v>
      </c>
      <c r="S34" s="681" t="s">
        <v>691</v>
      </c>
      <c r="T34" s="678"/>
      <c r="U34" s="891">
        <f>($D34*dpsStr+$E34*dpsAgi+$G34*dpsCrit+$H34*dpsHit+$F34*dpsAP+$I34*dpsHaste+$J34*dpsArmor+$K34*dpsExp+IF(MID(Q34,1,1)+MID(Q34,3,1)+MID(Q34,5,1)&gt;0,VLOOKUP('Gear &amp; Buffs'!$B$44,GenSocketStats,18,FALSE)+IF(MID(Q34,1,1)+MID(Q34,3,1)+MID(Q34,5,1)&gt;1,VLOOKUP('Gear &amp; Buffs'!$B$45,GenSocketStats,18,FALSE)+IF(MID(Q34,1,1)+MID(Q34,3,1)+MID(Q34,5,1)&gt;2,VLOOKUP('Gear &amp; Buffs'!$B$46,GenSocketStats,18,FALSE),0)),0))-'Gear &amp; Buffs'!$AF$42</f>
        <v>-73.272776689136435</v>
      </c>
      <c r="V34" s="221">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14</v>
      </c>
      <c r="W34" s="738">
        <v>31</v>
      </c>
      <c r="X34" s="714" t="str">
        <f t="shared" si="0"/>
        <v/>
      </c>
    </row>
    <row r="35" spans="1:24">
      <c r="A35" s="10" t="str">
        <f>'Gear &amp; Buffs'!$B$160</f>
        <v>(Unmodeled)</v>
      </c>
      <c r="B35" s="114"/>
      <c r="C35" s="114"/>
      <c r="D35" s="114">
        <f>'Gear &amp; Buffs'!$D$160</f>
        <v>0</v>
      </c>
      <c r="E35" s="114">
        <f>'Gear &amp; Buffs'!$E$160</f>
        <v>0</v>
      </c>
      <c r="F35" s="114">
        <f>'Gear &amp; Buffs'!$I$160</f>
        <v>0</v>
      </c>
      <c r="G35" s="115">
        <f>'Gear &amp; Buffs'!$G$160</f>
        <v>0</v>
      </c>
      <c r="H35" s="115">
        <f>'Gear &amp; Buffs'!$H$160</f>
        <v>0</v>
      </c>
      <c r="I35" s="115">
        <f>'Gear &amp; Buffs'!$P$160</f>
        <v>0</v>
      </c>
      <c r="J35" s="114">
        <f>'Gear &amp; Buffs'!$Q$160</f>
        <v>0</v>
      </c>
      <c r="K35" s="116">
        <f>'Gear &amp; Buffs'!$L$160</f>
        <v>0</v>
      </c>
      <c r="L35" s="114">
        <f>'Gear &amp; Buffs'!$F$160</f>
        <v>0</v>
      </c>
      <c r="M35" s="116">
        <f>'Gear &amp; Buffs'!$K$160</f>
        <v>0</v>
      </c>
      <c r="N35" s="114">
        <f>'Gear &amp; Buffs'!$J$160</f>
        <v>0</v>
      </c>
      <c r="O35" s="115">
        <f>'Gear &amp; Buffs'!M160</f>
        <v>0</v>
      </c>
      <c r="P35" s="114"/>
      <c r="Q35" s="114" t="str">
        <f>'Gear &amp; Buffs'!$R$160</f>
        <v>0 0 0</v>
      </c>
      <c r="R35" s="720">
        <f>'Gear &amp; Buffs'!$S$160</f>
        <v>0</v>
      </c>
      <c r="S35" s="681"/>
      <c r="T35" s="678"/>
      <c r="U35" s="891">
        <f>($D35*dpsStr+$E35*dpsAgi+$G35*dpsCrit+$H35*dpsHit+$F35*dpsAP+$I35*dpsHaste+$J35*dpsArmor+$K35*dpsExp+IF(MID(Q35,1,1)+MID(Q35,3,1)+MID(Q35,5,1)&gt;0,VLOOKUP('Gear &amp; Buffs'!$B$44,GenSocketStats,18,FALSE)+IF(MID(Q35,1,1)+MID(Q35,3,1)+MID(Q35,5,1)&gt;1,VLOOKUP('Gear &amp; Buffs'!$B$45,GenSocketStats,18,FALSE)+IF(MID(Q35,1,1)+MID(Q35,3,1)+MID(Q35,5,1)&gt;2,VLOOKUP('Gear &amp; Buffs'!$B$46,GenSocketStats,18,FALSE),0)),0))-'Gear &amp; Buffs'!$AF$42</f>
        <v>-189.66329903861038</v>
      </c>
      <c r="V35" s="681">
        <f>MAX($V$1:V34)+1</f>
        <v>15</v>
      </c>
      <c r="W35" s="738">
        <v>32</v>
      </c>
      <c r="X35" s="714" t="str">
        <f t="shared" si="0"/>
        <v/>
      </c>
    </row>
    <row r="36" spans="1:24">
      <c r="A36" s="10" t="s">
        <v>2207</v>
      </c>
      <c r="B36" s="114"/>
      <c r="C36" s="114"/>
      <c r="D36" s="114"/>
      <c r="E36" s="114"/>
      <c r="F36" s="114"/>
      <c r="G36" s="116"/>
      <c r="H36" s="116"/>
      <c r="I36" s="47"/>
      <c r="J36" s="114"/>
      <c r="K36" s="114"/>
      <c r="L36" s="114"/>
      <c r="M36" s="116"/>
      <c r="N36" s="116"/>
      <c r="O36" s="755"/>
      <c r="P36" s="47"/>
      <c r="Q36" s="114" t="s">
        <v>1033</v>
      </c>
      <c r="R36" s="47"/>
      <c r="S36" s="681"/>
      <c r="T36" s="717"/>
      <c r="U36" s="711"/>
      <c r="V36" s="681"/>
      <c r="W36" s="738">
        <v>33</v>
      </c>
      <c r="X36" s="714" t="str">
        <f t="shared" si="0"/>
        <v/>
      </c>
    </row>
    <row r="37" spans="1:24">
      <c r="A37" s="10"/>
      <c r="D37" s="114"/>
      <c r="E37" s="114"/>
      <c r="F37" s="114"/>
      <c r="G37" s="116"/>
      <c r="H37" s="116"/>
      <c r="J37" s="114"/>
      <c r="K37" s="114"/>
      <c r="L37" s="114"/>
      <c r="M37" s="116"/>
      <c r="N37" s="116"/>
      <c r="W37" s="738">
        <v>34</v>
      </c>
      <c r="X37" s="714" t="str">
        <f t="shared" si="0"/>
        <v/>
      </c>
    </row>
    <row r="38" spans="1:24">
      <c r="J38" s="114"/>
    </row>
    <row r="39" spans="1:24" ht="23.25" thickBot="1">
      <c r="A39" s="740" t="s">
        <v>2023</v>
      </c>
      <c r="B39" s="730" t="s">
        <v>1934</v>
      </c>
      <c r="C39" s="730" t="s">
        <v>2798</v>
      </c>
      <c r="D39" s="731" t="s">
        <v>1214</v>
      </c>
      <c r="E39" s="731" t="s">
        <v>1215</v>
      </c>
      <c r="F39" s="731" t="s">
        <v>768</v>
      </c>
      <c r="G39" s="730" t="s">
        <v>2140</v>
      </c>
      <c r="H39" s="730" t="s">
        <v>2139</v>
      </c>
      <c r="I39" s="730" t="s">
        <v>771</v>
      </c>
      <c r="J39" s="732" t="s">
        <v>770</v>
      </c>
      <c r="K39" s="730" t="s">
        <v>760</v>
      </c>
      <c r="L39" s="731" t="s">
        <v>1216</v>
      </c>
      <c r="M39" s="730" t="s">
        <v>264</v>
      </c>
      <c r="N39" s="730" t="s">
        <v>1217</v>
      </c>
      <c r="O39" s="730" t="s">
        <v>1287</v>
      </c>
      <c r="P39" s="730" t="s">
        <v>1046</v>
      </c>
      <c r="Q39" s="731" t="s">
        <v>1047</v>
      </c>
      <c r="R39" s="731" t="s">
        <v>1941</v>
      </c>
      <c r="S39" s="731" t="s">
        <v>666</v>
      </c>
      <c r="T39" s="730" t="s">
        <v>921</v>
      </c>
      <c r="U39" s="733" t="s">
        <v>265</v>
      </c>
      <c r="V39" s="744">
        <v>0</v>
      </c>
      <c r="W39" s="741"/>
      <c r="X39" s="759" t="s">
        <v>1689</v>
      </c>
    </row>
    <row r="40" spans="1:24">
      <c r="A40" s="695" t="s">
        <v>2161</v>
      </c>
      <c r="B40" s="696">
        <v>1950</v>
      </c>
      <c r="C40" s="696">
        <v>5</v>
      </c>
      <c r="D40" s="696"/>
      <c r="E40" s="696"/>
      <c r="F40" s="696"/>
      <c r="G40" s="697"/>
      <c r="H40" s="697"/>
      <c r="I40" s="697"/>
      <c r="J40" s="697"/>
      <c r="K40" s="697"/>
      <c r="L40" s="696"/>
      <c r="M40" s="697"/>
      <c r="N40" s="697"/>
      <c r="O40" s="697">
        <v>15</v>
      </c>
      <c r="P40" s="697"/>
      <c r="Q40" s="697"/>
      <c r="R40" s="696"/>
      <c r="S40" s="697" t="s">
        <v>1689</v>
      </c>
      <c r="T40" s="715" t="b">
        <v>1</v>
      </c>
      <c r="U40" s="891">
        <f>($D40*dpsStr+$E40*dpsAgi+$G40*dpsCrit+$H40*dpsHit+$F40*dpsAP+$I40*dpsHaste+$J40*dpsArmor+$K40*dpsExp)-'Gear &amp; Buffs'!$AF$43</f>
        <v>-7.3216553866573122</v>
      </c>
      <c r="V40" s="221"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NOT(T40))),MAX(V$39:$V39)+1,"")</f>
        <v/>
      </c>
      <c r="W40" s="737"/>
      <c r="X40" s="712"/>
    </row>
    <row r="41" spans="1:24">
      <c r="A41" s="677" t="s">
        <v>2025</v>
      </c>
      <c r="B41" s="678">
        <v>2659</v>
      </c>
      <c r="C41" s="678">
        <v>1</v>
      </c>
      <c r="D41" s="678"/>
      <c r="E41" s="678"/>
      <c r="F41" s="678"/>
      <c r="G41" s="679"/>
      <c r="H41" s="679"/>
      <c r="I41" s="682"/>
      <c r="J41" s="678"/>
      <c r="K41" s="679"/>
      <c r="L41" s="678">
        <v>15</v>
      </c>
      <c r="M41" s="679"/>
      <c r="N41" s="679"/>
      <c r="O41" s="717"/>
      <c r="P41" s="682"/>
      <c r="Q41" s="682"/>
      <c r="R41" s="682"/>
      <c r="S41" s="678" t="s">
        <v>1689</v>
      </c>
      <c r="T41" s="715" t="b">
        <v>1</v>
      </c>
      <c r="U41" s="891">
        <f>($D41*dpsStr+$E41*dpsAgi+$G41*dpsCrit+$H41*dpsHit+$F41*dpsAP+$I41*dpsHaste+$J41*dpsArmor+$K41*dpsExp)-'Gear &amp; Buffs'!$AF$43</f>
        <v>-7.3216553866573122</v>
      </c>
      <c r="V41" s="221"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NOT(T41))),MAX(V$39:$V40)+1,"")</f>
        <v/>
      </c>
      <c r="W41" s="738">
        <v>1</v>
      </c>
      <c r="X41" s="752" t="str">
        <f>IF(ISNA(INDEX($A$40:$A$45,MATCH(W41,V$40:V$45,0))), "", INDEX($A$40:$A$45,MATCH(W41,V$40:V$45,0)))</f>
        <v>Exceptional Stats (+6 All Stats)</v>
      </c>
    </row>
    <row r="42" spans="1:24">
      <c r="A42" s="677" t="s">
        <v>1268</v>
      </c>
      <c r="B42" s="678">
        <v>2661</v>
      </c>
      <c r="C42" s="678">
        <v>1</v>
      </c>
      <c r="D42" s="678">
        <v>6</v>
      </c>
      <c r="E42" s="678">
        <v>6</v>
      </c>
      <c r="F42" s="678"/>
      <c r="G42" s="679"/>
      <c r="H42" s="679"/>
      <c r="I42" s="678"/>
      <c r="J42" s="678"/>
      <c r="K42" s="679"/>
      <c r="L42" s="678">
        <v>6</v>
      </c>
      <c r="M42" s="679"/>
      <c r="N42" s="679"/>
      <c r="O42" s="678"/>
      <c r="P42" s="678"/>
      <c r="Q42" s="678"/>
      <c r="R42" s="678"/>
      <c r="S42" s="678" t="s">
        <v>1689</v>
      </c>
      <c r="T42" s="678" t="b">
        <v>0</v>
      </c>
      <c r="U42" s="891">
        <f>($D42*dpsStr+$E42*dpsAgi+$G42*dpsCrit+$H42*dpsHit+$F42*dpsAP+$I42*dpsHaste+$J42*dpsArmor+$K42*dpsExp)-'Gear &amp; Buffs'!$AF$43</f>
        <v>0</v>
      </c>
      <c r="V42" s="221">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NOT(T42))),MAX(V$39:$V41)+1,"")</f>
        <v>1</v>
      </c>
      <c r="W42" s="738">
        <v>2</v>
      </c>
      <c r="X42" s="752" t="str">
        <f t="shared" ref="X42:X46" si="2">IF(ISNA(INDEX($A$40:$A$45,MATCH(W42,V$40:V$45,0))), "", INDEX($A$40:$A$45,MATCH(W42,V$40:V$45,0)))</f>
        <v>Greater Stats (+4 All Stats)</v>
      </c>
    </row>
    <row r="43" spans="1:24">
      <c r="A43" s="677" t="s">
        <v>2024</v>
      </c>
      <c r="B43" s="678">
        <v>1891</v>
      </c>
      <c r="C43" s="678">
        <v>1</v>
      </c>
      <c r="D43" s="678">
        <v>4</v>
      </c>
      <c r="E43" s="678">
        <v>4</v>
      </c>
      <c r="F43" s="678"/>
      <c r="G43" s="679"/>
      <c r="H43" s="679"/>
      <c r="I43" s="682"/>
      <c r="J43" s="678"/>
      <c r="K43" s="679"/>
      <c r="L43" s="678">
        <v>4</v>
      </c>
      <c r="M43" s="679"/>
      <c r="N43" s="679"/>
      <c r="O43" s="717"/>
      <c r="P43" s="682"/>
      <c r="Q43" s="682"/>
      <c r="R43" s="682"/>
      <c r="S43" s="678" t="s">
        <v>668</v>
      </c>
      <c r="T43" s="717" t="b">
        <v>0</v>
      </c>
      <c r="U43" s="891">
        <f>($D43*dpsStr+$E43*dpsAgi+$G43*dpsCrit+$H43*dpsHit+$F43*dpsAP+$I43*dpsHaste+$J43*dpsArmor+$K43*dpsExp)-'Gear &amp; Buffs'!$AF$43</f>
        <v>-2.4405517955524374</v>
      </c>
      <c r="V43" s="221">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NOT(T43))),MAX(V$39:$V42)+1,"")</f>
        <v>2</v>
      </c>
      <c r="W43" s="738">
        <v>3</v>
      </c>
      <c r="X43" s="752" t="str">
        <f t="shared" si="2"/>
        <v>Stats (+3 All Stats)</v>
      </c>
    </row>
    <row r="44" spans="1:24">
      <c r="A44" s="677" t="s">
        <v>2026</v>
      </c>
      <c r="B44" s="678">
        <v>2933</v>
      </c>
      <c r="C44" s="678">
        <v>1</v>
      </c>
      <c r="D44" s="678"/>
      <c r="E44" s="678"/>
      <c r="F44" s="678"/>
      <c r="G44" s="679"/>
      <c r="H44" s="679"/>
      <c r="I44" s="690"/>
      <c r="J44" s="690"/>
      <c r="K44" s="679"/>
      <c r="L44" s="678"/>
      <c r="M44" s="679"/>
      <c r="N44" s="679">
        <v>15</v>
      </c>
      <c r="O44" s="757"/>
      <c r="P44" s="690"/>
      <c r="Q44" s="690"/>
      <c r="R44" s="690"/>
      <c r="S44" s="678" t="s">
        <v>1689</v>
      </c>
      <c r="T44" s="747" t="b">
        <v>1</v>
      </c>
      <c r="U44" s="891">
        <f>($D44*dpsStr+$E44*dpsAgi+$G44*dpsCrit+$H44*dpsHit+$F44*dpsAP+$I44*dpsHaste+$J44*dpsArmor+$K44*dpsExp)-'Gear &amp; Buffs'!$AF$43</f>
        <v>-7.3216553866573122</v>
      </c>
      <c r="V44" s="221"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NOT(T44))),MAX(V$39:$V43)+1,"")</f>
        <v/>
      </c>
      <c r="W44" s="738">
        <v>4</v>
      </c>
      <c r="X44" s="752" t="str">
        <f t="shared" si="2"/>
        <v/>
      </c>
    </row>
    <row r="45" spans="1:24">
      <c r="A45" s="677" t="s">
        <v>2814</v>
      </c>
      <c r="B45" s="678">
        <v>928</v>
      </c>
      <c r="C45" s="678">
        <v>1</v>
      </c>
      <c r="D45" s="678">
        <v>3</v>
      </c>
      <c r="E45" s="678">
        <v>3</v>
      </c>
      <c r="F45" s="678"/>
      <c r="G45" s="679"/>
      <c r="H45" s="679"/>
      <c r="I45" s="690"/>
      <c r="J45" s="690"/>
      <c r="K45" s="679"/>
      <c r="L45" s="678">
        <v>3</v>
      </c>
      <c r="M45" s="679"/>
      <c r="N45" s="679"/>
      <c r="O45" s="757"/>
      <c r="P45" s="690"/>
      <c r="Q45" s="690"/>
      <c r="R45" s="690"/>
      <c r="S45" s="678" t="s">
        <v>668</v>
      </c>
      <c r="T45" s="747" t="b">
        <v>0</v>
      </c>
      <c r="U45" s="891">
        <f>($D45*dpsStr+$E45*dpsAgi+$G45*dpsCrit+$H45*dpsHit+$F45*dpsAP+$I45*dpsHaste+$J45*dpsArmor+$K45*dpsExp)-'Gear &amp; Buffs'!$AF$43</f>
        <v>-3.6608276933286561</v>
      </c>
      <c r="V45" s="221">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NOT(T45))),MAX(V$39:$V44)+1,"")</f>
        <v>3</v>
      </c>
      <c r="W45" s="738">
        <v>5</v>
      </c>
      <c r="X45" s="752" t="str">
        <f t="shared" si="2"/>
        <v/>
      </c>
    </row>
    <row r="46" spans="1:24">
      <c r="A46" s="677" t="s">
        <v>2207</v>
      </c>
      <c r="B46" s="678"/>
      <c r="C46" s="678"/>
      <c r="D46" s="682"/>
      <c r="E46" s="682"/>
      <c r="F46" s="682"/>
      <c r="G46" s="682"/>
      <c r="H46" s="682"/>
      <c r="I46" s="758"/>
      <c r="J46" s="682"/>
      <c r="K46" s="679"/>
      <c r="L46" s="682"/>
      <c r="M46" s="682"/>
      <c r="N46" s="717"/>
      <c r="O46" s="679"/>
      <c r="P46" s="682"/>
      <c r="Q46" s="682"/>
      <c r="R46" s="682"/>
      <c r="S46" s="678"/>
      <c r="T46" s="679"/>
      <c r="U46" s="711"/>
      <c r="V46" s="681"/>
      <c r="W46" s="738">
        <v>6</v>
      </c>
      <c r="X46" s="752" t="str">
        <f t="shared" si="2"/>
        <v/>
      </c>
    </row>
    <row r="47" spans="1:24">
      <c r="A47" s="10"/>
      <c r="D47" s="114"/>
      <c r="E47" s="114"/>
      <c r="F47" s="114"/>
      <c r="G47" s="127"/>
      <c r="H47" s="114"/>
      <c r="K47" s="116"/>
      <c r="L47" s="114"/>
      <c r="M47" s="114"/>
      <c r="N47" s="116"/>
      <c r="O47" s="116"/>
      <c r="T47" s="116"/>
    </row>
    <row r="48" spans="1:24">
      <c r="A48" s="10"/>
      <c r="D48" s="114"/>
      <c r="E48" s="114"/>
      <c r="F48" s="114"/>
      <c r="G48" s="114"/>
      <c r="H48" s="114"/>
      <c r="K48" s="116"/>
      <c r="L48" s="114"/>
      <c r="M48" s="127"/>
      <c r="N48" s="116"/>
      <c r="O48" s="116"/>
      <c r="T48" s="116"/>
    </row>
    <row r="49" spans="1:21">
      <c r="A49" s="10"/>
      <c r="B49" s="152"/>
      <c r="C49" s="152"/>
      <c r="D49" s="114"/>
      <c r="E49" s="114"/>
      <c r="F49" s="114"/>
      <c r="G49" s="127"/>
      <c r="H49" s="114"/>
      <c r="I49" s="128"/>
      <c r="K49" s="116"/>
      <c r="L49" s="114"/>
      <c r="M49" s="127"/>
      <c r="N49" s="116"/>
      <c r="O49" s="116"/>
      <c r="T49" s="116"/>
    </row>
    <row r="50" spans="1:21">
      <c r="E50" s="114"/>
      <c r="F50" s="114"/>
      <c r="G50" s="127"/>
      <c r="H50" s="114"/>
      <c r="I50" s="129"/>
      <c r="K50" s="116"/>
      <c r="L50" s="114"/>
      <c r="M50" s="114"/>
      <c r="N50" s="116"/>
      <c r="O50" s="116"/>
      <c r="T50" s="116"/>
    </row>
    <row r="51" spans="1:21">
      <c r="E51" s="114"/>
      <c r="F51" s="114"/>
      <c r="G51" s="127"/>
      <c r="H51" s="114"/>
      <c r="K51" s="116"/>
      <c r="L51" s="114"/>
      <c r="M51" s="127"/>
      <c r="N51" s="116"/>
      <c r="O51" s="116"/>
      <c r="T51" s="116"/>
    </row>
    <row r="52" spans="1:21">
      <c r="A52" s="6"/>
      <c r="E52" s="118"/>
      <c r="F52" s="118"/>
      <c r="G52" s="119"/>
      <c r="H52" s="119"/>
      <c r="K52" s="119"/>
      <c r="L52" s="118"/>
      <c r="M52" s="119"/>
      <c r="N52" s="119"/>
      <c r="O52" s="119"/>
      <c r="T52" s="119"/>
    </row>
    <row r="53" spans="1:21">
      <c r="A53" s="6"/>
      <c r="E53" s="114"/>
      <c r="F53" s="114"/>
      <c r="G53" s="116"/>
      <c r="H53" s="116"/>
      <c r="K53" s="116"/>
      <c r="L53" s="114"/>
      <c r="M53" s="116"/>
      <c r="N53" s="116"/>
      <c r="O53" s="116"/>
      <c r="T53" s="116"/>
    </row>
    <row r="54" spans="1:21">
      <c r="A54" s="6"/>
      <c r="E54" s="114"/>
      <c r="F54" s="114"/>
      <c r="G54" s="116"/>
      <c r="H54" s="116"/>
      <c r="K54" s="116"/>
      <c r="L54" s="114"/>
      <c r="M54" s="116"/>
      <c r="N54" s="116"/>
      <c r="O54" s="116"/>
      <c r="T54" s="116"/>
    </row>
    <row r="55" spans="1:21">
      <c r="A55" s="6"/>
      <c r="E55" s="114"/>
      <c r="F55" s="114"/>
      <c r="G55" s="116"/>
      <c r="H55" s="116"/>
      <c r="K55" s="116"/>
      <c r="L55" s="114"/>
      <c r="M55" s="116"/>
      <c r="N55" s="116"/>
      <c r="O55" s="116"/>
      <c r="T55" s="116"/>
    </row>
    <row r="56" spans="1:21">
      <c r="A56" s="6"/>
      <c r="E56" s="114"/>
      <c r="F56" s="114"/>
      <c r="G56" s="116"/>
      <c r="H56" s="116"/>
      <c r="K56" s="114"/>
      <c r="L56" s="114"/>
      <c r="M56" s="116"/>
      <c r="N56" s="116"/>
      <c r="O56" s="114"/>
      <c r="T56" s="114"/>
    </row>
    <row r="57" spans="1:21">
      <c r="A57" s="6"/>
      <c r="E57" s="114"/>
      <c r="F57" s="114"/>
      <c r="G57" s="116"/>
      <c r="H57" s="116"/>
      <c r="I57" s="131"/>
      <c r="K57" s="116"/>
      <c r="L57" s="114"/>
      <c r="M57" s="116"/>
      <c r="N57" s="116"/>
      <c r="O57" s="116"/>
      <c r="T57" s="116"/>
    </row>
    <row r="58" spans="1:21">
      <c r="A58" s="6"/>
    </row>
    <row r="59" spans="1:21">
      <c r="A59" s="6"/>
      <c r="J59" s="170"/>
      <c r="S59" s="172"/>
      <c r="U59" s="172"/>
    </row>
    <row r="60" spans="1:21">
      <c r="A60" s="6"/>
      <c r="J60" s="175"/>
      <c r="S60" s="172"/>
      <c r="U60" s="172"/>
    </row>
    <row r="61" spans="1:21">
      <c r="A61" s="6"/>
      <c r="J61" s="175"/>
      <c r="S61" s="172"/>
      <c r="U61" s="172"/>
    </row>
    <row r="62" spans="1:21">
      <c r="A62" s="6"/>
      <c r="J62" s="175"/>
      <c r="S62" s="172"/>
      <c r="U62" s="172"/>
    </row>
    <row r="63" spans="1:21">
      <c r="A63" s="6"/>
      <c r="J63" s="175"/>
      <c r="S63" s="172"/>
      <c r="U63" s="172"/>
    </row>
    <row r="64" spans="1:21">
      <c r="A64" s="6"/>
      <c r="J64" s="175"/>
      <c r="S64" s="172"/>
      <c r="U64" s="172"/>
    </row>
    <row r="65" spans="1:21">
      <c r="A65" s="6"/>
      <c r="J65" s="175"/>
      <c r="S65" s="172"/>
      <c r="U65" s="172"/>
    </row>
    <row r="66" spans="1:21">
      <c r="A66" s="6"/>
      <c r="J66" s="175"/>
      <c r="S66" s="172"/>
      <c r="U66" s="172"/>
    </row>
    <row r="67" spans="1:21">
      <c r="A67" s="6"/>
      <c r="J67" s="175"/>
      <c r="S67" s="172"/>
      <c r="U67" s="172"/>
    </row>
    <row r="68" spans="1:21">
      <c r="A68" s="6"/>
      <c r="J68" s="175"/>
      <c r="S68" s="172"/>
      <c r="U68" s="172"/>
    </row>
    <row r="69" spans="1:21">
      <c r="A69" s="6"/>
      <c r="J69" s="175"/>
      <c r="S69" s="172"/>
      <c r="U69" s="172"/>
    </row>
    <row r="70" spans="1:21">
      <c r="A70" s="6"/>
      <c r="J70" s="175"/>
      <c r="S70" s="172"/>
      <c r="U70" s="172"/>
    </row>
    <row r="71" spans="1:21">
      <c r="A71" s="6"/>
      <c r="E71" s="114"/>
      <c r="F71" s="114"/>
      <c r="G71" s="114"/>
      <c r="H71" s="114"/>
      <c r="K71" s="116"/>
      <c r="L71" s="114"/>
      <c r="M71" s="127"/>
      <c r="N71" s="116"/>
      <c r="O71" s="116"/>
      <c r="T71" s="116"/>
    </row>
    <row r="72" spans="1:21">
      <c r="E72" s="114"/>
      <c r="F72" s="114"/>
      <c r="G72" s="114"/>
      <c r="H72" s="114"/>
      <c r="K72" s="116"/>
      <c r="L72" s="114"/>
      <c r="M72" s="114"/>
      <c r="N72" s="116"/>
      <c r="O72" s="116"/>
      <c r="T72" s="116"/>
    </row>
    <row r="73" spans="1:21">
      <c r="A73" s="10"/>
      <c r="D73" s="114"/>
      <c r="E73" s="114"/>
      <c r="F73" s="114"/>
      <c r="G73" s="114"/>
      <c r="H73" s="127"/>
      <c r="K73" s="116"/>
      <c r="L73" s="114"/>
      <c r="M73" s="114"/>
      <c r="N73" s="116"/>
      <c r="O73" s="116"/>
      <c r="T73" s="116"/>
    </row>
    <row r="74" spans="1:21">
      <c r="A74" s="10"/>
      <c r="D74" s="114"/>
      <c r="E74" s="114"/>
      <c r="F74" s="114"/>
      <c r="G74" s="127"/>
      <c r="H74" s="114"/>
      <c r="K74" s="116"/>
      <c r="L74" s="114"/>
      <c r="M74" s="114"/>
      <c r="N74" s="116"/>
      <c r="O74" s="116"/>
      <c r="T74" s="116"/>
    </row>
    <row r="75" spans="1:21">
      <c r="A75" s="130"/>
      <c r="D75" s="133"/>
      <c r="E75" s="133"/>
      <c r="F75" s="133"/>
      <c r="G75" s="133"/>
      <c r="H75" s="133"/>
      <c r="K75" s="134"/>
      <c r="L75" s="133"/>
      <c r="M75" s="133"/>
      <c r="N75" s="134"/>
      <c r="O75" s="134"/>
      <c r="T75" s="134"/>
    </row>
    <row r="76" spans="1:21">
      <c r="A76" s="132"/>
      <c r="D76" s="118"/>
      <c r="E76" s="118"/>
      <c r="F76" s="118"/>
      <c r="G76" s="118"/>
      <c r="H76" s="118"/>
      <c r="K76" s="119"/>
      <c r="L76" s="118"/>
      <c r="M76" s="118"/>
      <c r="N76" s="119"/>
      <c r="O76" s="119"/>
      <c r="T76" s="119"/>
    </row>
    <row r="77" spans="1:21">
      <c r="A77" s="10"/>
      <c r="B77" s="152"/>
      <c r="C77" s="152"/>
      <c r="D77" s="114"/>
      <c r="E77" s="114"/>
      <c r="F77" s="114"/>
      <c r="G77" s="127"/>
      <c r="H77" s="127"/>
      <c r="I77" s="128"/>
      <c r="K77" s="116"/>
      <c r="L77" s="114"/>
      <c r="M77" s="127"/>
      <c r="N77" s="116"/>
      <c r="O77" s="116"/>
      <c r="T77" s="116"/>
    </row>
    <row r="78" spans="1:21">
      <c r="A78" s="10"/>
      <c r="D78" s="114"/>
      <c r="E78" s="114"/>
      <c r="F78" s="114"/>
      <c r="G78" s="127"/>
      <c r="H78" s="127"/>
      <c r="I78" s="129"/>
      <c r="K78" s="116"/>
      <c r="L78" s="114"/>
      <c r="M78" s="127"/>
      <c r="N78" s="116"/>
      <c r="O78" s="116"/>
      <c r="T78" s="116"/>
    </row>
    <row r="79" spans="1:21">
      <c r="A79" s="10"/>
      <c r="D79" s="114"/>
      <c r="E79" s="114"/>
      <c r="F79" s="114"/>
      <c r="G79" s="114"/>
      <c r="H79" s="114"/>
      <c r="K79" s="116"/>
      <c r="L79" s="114"/>
      <c r="M79" s="114"/>
      <c r="N79" s="116"/>
      <c r="O79" s="116"/>
      <c r="T79" s="116"/>
    </row>
    <row r="80" spans="1:21">
      <c r="A80" s="10"/>
      <c r="D80" s="114"/>
      <c r="E80" s="114"/>
      <c r="F80" s="114"/>
      <c r="G80" s="114"/>
      <c r="H80" s="114"/>
      <c r="K80" s="116"/>
      <c r="L80" s="114"/>
      <c r="M80" s="114"/>
      <c r="N80" s="116"/>
      <c r="O80" s="116"/>
      <c r="T80" s="116"/>
    </row>
    <row r="81" spans="1:20">
      <c r="A81" s="10"/>
      <c r="D81" s="114"/>
      <c r="E81" s="114"/>
      <c r="F81" s="118"/>
      <c r="G81" s="114"/>
      <c r="H81" s="127"/>
      <c r="K81" s="116"/>
      <c r="L81" s="114"/>
      <c r="M81" s="114"/>
      <c r="N81" s="116"/>
      <c r="O81" s="116"/>
      <c r="T81" s="116"/>
    </row>
    <row r="82" spans="1:20">
      <c r="A82" s="10"/>
      <c r="D82" s="114"/>
      <c r="E82" s="114"/>
      <c r="F82" s="114"/>
      <c r="G82" s="114"/>
      <c r="H82" s="114"/>
      <c r="K82" s="116"/>
      <c r="L82" s="114"/>
      <c r="M82" s="114"/>
      <c r="N82" s="116"/>
      <c r="O82" s="116"/>
      <c r="T82" s="116"/>
    </row>
    <row r="83" spans="1:20">
      <c r="A83" s="10"/>
      <c r="D83" s="114"/>
      <c r="E83" s="114"/>
      <c r="F83" s="114"/>
      <c r="G83" s="127"/>
      <c r="H83" s="127"/>
      <c r="K83" s="116"/>
      <c r="L83" s="114"/>
      <c r="M83" s="114"/>
      <c r="N83" s="116"/>
      <c r="O83" s="116"/>
      <c r="T83" s="116"/>
    </row>
    <row r="84" spans="1:20">
      <c r="A84" s="135"/>
      <c r="D84" s="133"/>
      <c r="E84" s="133"/>
      <c r="F84" s="133"/>
      <c r="G84" s="133"/>
      <c r="H84" s="133"/>
      <c r="K84" s="134"/>
      <c r="L84" s="133"/>
      <c r="M84" s="133"/>
      <c r="N84" s="134"/>
      <c r="O84" s="134"/>
      <c r="T84" s="134"/>
    </row>
    <row r="85" spans="1:20">
      <c r="A85" s="132"/>
      <c r="D85" s="118"/>
      <c r="E85" s="118"/>
      <c r="F85" s="118"/>
      <c r="G85" s="118"/>
      <c r="H85" s="118"/>
      <c r="K85" s="119"/>
      <c r="L85" s="118"/>
      <c r="M85" s="118"/>
      <c r="N85" s="119"/>
      <c r="O85" s="119"/>
      <c r="T85" s="119"/>
    </row>
    <row r="86" spans="1:20">
      <c r="A86" s="10"/>
      <c r="D86" s="114"/>
      <c r="E86" s="114"/>
      <c r="F86" s="114"/>
      <c r="G86" s="127"/>
      <c r="H86" s="127"/>
      <c r="K86" s="116"/>
      <c r="L86" s="114"/>
      <c r="M86" s="114"/>
      <c r="N86" s="116"/>
      <c r="O86" s="116"/>
      <c r="T86" s="116"/>
    </row>
    <row r="87" spans="1:20">
      <c r="A87" s="10"/>
      <c r="D87" s="114"/>
      <c r="E87" s="114"/>
      <c r="F87" s="114"/>
      <c r="G87" s="114"/>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27"/>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14"/>
      <c r="I91" s="131"/>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27"/>
      <c r="H98" s="114"/>
      <c r="K98" s="116"/>
      <c r="L98" s="114"/>
      <c r="M98" s="114"/>
      <c r="N98" s="116"/>
      <c r="O98" s="116"/>
      <c r="T98" s="116"/>
    </row>
    <row r="99" spans="1:20">
      <c r="A99" s="10"/>
      <c r="D99" s="114"/>
      <c r="E99" s="114"/>
      <c r="F99" s="114"/>
      <c r="G99" s="114"/>
      <c r="H99" s="127"/>
      <c r="K99" s="116"/>
      <c r="L99" s="114"/>
      <c r="M99" s="127"/>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14"/>
      <c r="N101" s="116"/>
      <c r="O101" s="116"/>
      <c r="T101" s="116"/>
    </row>
    <row r="102" spans="1:20">
      <c r="A102" s="10"/>
      <c r="D102" s="114"/>
      <c r="E102" s="114"/>
      <c r="F102" s="114"/>
      <c r="G102" s="114"/>
      <c r="H102" s="127"/>
      <c r="K102" s="116"/>
      <c r="L102" s="114"/>
      <c r="M102" s="114"/>
      <c r="N102" s="116"/>
      <c r="O102" s="116"/>
      <c r="T102" s="116"/>
    </row>
    <row r="103" spans="1:20">
      <c r="A103" s="136"/>
      <c r="D103" s="114"/>
      <c r="E103" s="114"/>
      <c r="F103" s="114"/>
      <c r="G103" s="114"/>
      <c r="H103" s="114"/>
      <c r="K103" s="116"/>
      <c r="L103" s="114"/>
      <c r="M103" s="114"/>
      <c r="N103" s="116"/>
      <c r="O103" s="116"/>
      <c r="T103" s="116"/>
    </row>
    <row r="104" spans="1:20">
      <c r="A104" s="132"/>
      <c r="D104" s="118"/>
      <c r="E104" s="118"/>
      <c r="F104" s="118"/>
      <c r="G104" s="118"/>
      <c r="H104" s="118"/>
      <c r="K104" s="119"/>
      <c r="L104" s="118"/>
      <c r="M104" s="118"/>
      <c r="N104" s="119"/>
      <c r="O104" s="119"/>
      <c r="T104" s="119"/>
    </row>
    <row r="105" spans="1:20">
      <c r="A105" s="10"/>
      <c r="D105" s="114"/>
      <c r="E105" s="114"/>
      <c r="F105" s="114"/>
      <c r="G105" s="114"/>
      <c r="H105" s="114"/>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0"/>
      <c r="D107" s="114"/>
      <c r="E107" s="114"/>
      <c r="F107" s="114"/>
      <c r="G107" s="114"/>
      <c r="H107" s="114"/>
      <c r="K107" s="116"/>
      <c r="L107" s="114"/>
      <c r="M107" s="127"/>
      <c r="N107" s="116"/>
      <c r="O107" s="116"/>
      <c r="T107" s="116"/>
    </row>
    <row r="108" spans="1:20">
      <c r="A108" s="10"/>
      <c r="D108" s="114"/>
      <c r="E108" s="114"/>
      <c r="F108" s="114"/>
      <c r="G108" s="114"/>
      <c r="H108" s="114"/>
      <c r="K108" s="116"/>
      <c r="L108" s="114"/>
      <c r="M108" s="114"/>
      <c r="N108" s="116"/>
      <c r="O108" s="116"/>
      <c r="T108" s="116"/>
    </row>
    <row r="109" spans="1:20">
      <c r="A109" s="10"/>
      <c r="D109" s="114"/>
      <c r="E109" s="114"/>
      <c r="F109" s="114"/>
      <c r="G109" s="127"/>
      <c r="H109" s="127"/>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14"/>
      <c r="K115" s="116"/>
      <c r="L115" s="114"/>
      <c r="M115" s="114"/>
      <c r="N115" s="116"/>
      <c r="O115" s="116"/>
      <c r="T115" s="116"/>
    </row>
    <row r="116" spans="1:20">
      <c r="A116" s="132"/>
      <c r="D116" s="118"/>
      <c r="E116" s="118"/>
      <c r="F116" s="118"/>
      <c r="G116" s="118"/>
      <c r="H116" s="118"/>
      <c r="K116" s="119"/>
      <c r="L116" s="118"/>
      <c r="M116" s="118"/>
      <c r="N116" s="119"/>
      <c r="O116" s="119"/>
      <c r="T116" s="119"/>
    </row>
    <row r="117" spans="1:20">
      <c r="A117" s="10"/>
      <c r="D117" s="114"/>
      <c r="E117" s="114"/>
      <c r="F117" s="114"/>
      <c r="G117" s="127"/>
      <c r="H117" s="114"/>
      <c r="K117" s="116"/>
      <c r="L117" s="114"/>
      <c r="M117" s="114"/>
      <c r="N117" s="116"/>
      <c r="O117" s="116"/>
      <c r="T117" s="116"/>
    </row>
    <row r="118" spans="1:20">
      <c r="A118" s="10"/>
      <c r="D118" s="114"/>
      <c r="E118" s="114"/>
      <c r="F118" s="114"/>
      <c r="G118" s="114"/>
      <c r="H118" s="127"/>
      <c r="K118" s="116"/>
      <c r="L118" s="114"/>
      <c r="M118" s="114"/>
      <c r="N118" s="116"/>
      <c r="O118" s="116"/>
      <c r="T118" s="116"/>
    </row>
    <row r="119" spans="1:20">
      <c r="A119" s="10"/>
      <c r="D119" s="114"/>
      <c r="E119" s="114"/>
      <c r="F119" s="114"/>
      <c r="G119" s="114"/>
      <c r="H119" s="114"/>
      <c r="K119" s="116"/>
      <c r="L119" s="114"/>
      <c r="M119" s="127"/>
      <c r="N119" s="116"/>
      <c r="O119" s="116"/>
      <c r="T119" s="116"/>
    </row>
    <row r="120" spans="1:20">
      <c r="A120" s="10"/>
      <c r="D120" s="114"/>
      <c r="E120" s="114"/>
      <c r="F120" s="114"/>
      <c r="G120" s="127"/>
      <c r="H120" s="114"/>
      <c r="K120" s="116"/>
      <c r="L120" s="114"/>
      <c r="M120" s="114"/>
      <c r="N120" s="116"/>
      <c r="O120" s="116"/>
      <c r="T120" s="116"/>
    </row>
    <row r="121" spans="1:20">
      <c r="A121" s="10"/>
      <c r="D121" s="114"/>
      <c r="E121" s="114"/>
      <c r="F121" s="114"/>
      <c r="G121" s="114"/>
      <c r="H121" s="127"/>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27"/>
      <c r="H123" s="114"/>
      <c r="K123" s="116"/>
      <c r="L123" s="114"/>
      <c r="M123" s="114"/>
      <c r="N123" s="116"/>
      <c r="O123" s="116"/>
      <c r="T123" s="116"/>
    </row>
    <row r="124" spans="1:20">
      <c r="A124" s="10"/>
      <c r="D124" s="114"/>
      <c r="E124" s="114"/>
      <c r="F124" s="114"/>
      <c r="G124" s="114"/>
      <c r="H124" s="114"/>
      <c r="K124" s="116"/>
      <c r="L124" s="114"/>
      <c r="M124" s="114"/>
      <c r="N124" s="116"/>
      <c r="O124" s="116"/>
      <c r="T124" s="116"/>
    </row>
    <row r="125" spans="1:20">
      <c r="A125" s="10"/>
      <c r="D125" s="114"/>
      <c r="E125" s="114"/>
      <c r="F125" s="114"/>
      <c r="G125" s="114"/>
      <c r="H125" s="127"/>
      <c r="K125" s="116"/>
      <c r="L125" s="114"/>
      <c r="M125" s="114"/>
      <c r="N125" s="116"/>
      <c r="O125" s="116"/>
      <c r="T125" s="116"/>
    </row>
  </sheetData>
  <phoneticPr fontId="2" type="noConversion"/>
  <conditionalFormatting sqref="U2:U35">
    <cfRule type="cellIs" dxfId="35" priority="3" stopIfTrue="1" operator="lessThan">
      <formula>0</formula>
    </cfRule>
    <cfRule type="cellIs" dxfId="34" priority="4" stopIfTrue="1" operator="greaterThan">
      <formula>0</formula>
    </cfRule>
  </conditionalFormatting>
  <conditionalFormatting sqref="U40:U45">
    <cfRule type="cellIs" dxfId="33" priority="1" stopIfTrue="1" operator="lessThan">
      <formula>0</formula>
    </cfRule>
    <cfRule type="cellIs" dxfId="3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E123"/>
  <sheetViews>
    <sheetView workbookViewId="0">
      <selection activeCell="AH27" sqref="AH27"/>
    </sheetView>
  </sheetViews>
  <sheetFormatPr defaultRowHeight="11.25"/>
  <cols>
    <col min="1" max="1" width="27"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1.85546875" style="129" bestFit="1" customWidth="1"/>
    <col min="20" max="20" width="1.85546875" style="122" bestFit="1" customWidth="1"/>
    <col min="21" max="21" width="1.85546875" style="48" bestFit="1" customWidth="1"/>
    <col min="22" max="22" width="1.85546875" style="122" bestFit="1" customWidth="1"/>
    <col min="23" max="23" width="8.5703125" style="48" bestFit="1" customWidth="1"/>
    <col min="24" max="24" width="3.5703125" style="48" bestFit="1" customWidth="1"/>
    <col min="25" max="25" width="7" style="48" customWidth="1"/>
    <col min="26" max="26" width="6.28515625" style="129" customWidth="1"/>
    <col min="27" max="27" width="1.85546875" style="129" bestFit="1" customWidth="1"/>
    <col min="28" max="29" width="2.7109375" style="129" bestFit="1" customWidth="1"/>
    <col min="30" max="30" width="26.85546875" style="48" bestFit="1" customWidth="1"/>
    <col min="31" max="16384" width="9.140625" style="48"/>
  </cols>
  <sheetData>
    <row r="1" spans="1:31" ht="23.25" thickBot="1">
      <c r="A1" s="700" t="s">
        <v>164</v>
      </c>
      <c r="B1" s="700" t="s">
        <v>1934</v>
      </c>
      <c r="C1" s="700" t="s">
        <v>2798</v>
      </c>
      <c r="D1" s="700" t="s">
        <v>1214</v>
      </c>
      <c r="E1" s="700" t="s">
        <v>1215</v>
      </c>
      <c r="F1" s="700" t="s">
        <v>768</v>
      </c>
      <c r="G1" s="705" t="s">
        <v>2140</v>
      </c>
      <c r="H1" s="705" t="s">
        <v>2139</v>
      </c>
      <c r="I1" s="700" t="s">
        <v>771</v>
      </c>
      <c r="J1" s="700" t="s">
        <v>1219</v>
      </c>
      <c r="K1" s="705" t="s">
        <v>760</v>
      </c>
      <c r="L1" s="700" t="s">
        <v>1216</v>
      </c>
      <c r="M1" s="705" t="s">
        <v>264</v>
      </c>
      <c r="N1" s="705" t="s">
        <v>1217</v>
      </c>
      <c r="O1" s="705" t="s">
        <v>1287</v>
      </c>
      <c r="P1" s="706" t="s">
        <v>1046</v>
      </c>
      <c r="Q1" s="704" t="s">
        <v>1047</v>
      </c>
      <c r="R1" s="704" t="s">
        <v>1941</v>
      </c>
      <c r="S1" s="704" t="s">
        <v>666</v>
      </c>
      <c r="T1" s="706"/>
      <c r="U1" s="761"/>
      <c r="V1" s="707"/>
      <c r="W1" s="762" t="s">
        <v>568</v>
      </c>
      <c r="X1" s="708" t="s">
        <v>569</v>
      </c>
      <c r="Y1" s="762"/>
      <c r="Z1" s="760" t="s">
        <v>265</v>
      </c>
      <c r="AA1" s="760"/>
      <c r="AB1" s="726">
        <v>0</v>
      </c>
      <c r="AC1" s="726"/>
      <c r="AD1" s="763" t="s">
        <v>59</v>
      </c>
    </row>
    <row r="2" spans="1:31">
      <c r="A2" s="10" t="s">
        <v>2816</v>
      </c>
      <c r="B2" s="116">
        <v>27765</v>
      </c>
      <c r="C2" s="116">
        <v>1</v>
      </c>
      <c r="D2" s="114"/>
      <c r="E2" s="114"/>
      <c r="F2" s="114">
        <v>38</v>
      </c>
      <c r="G2" s="116">
        <v>20</v>
      </c>
      <c r="H2" s="116"/>
      <c r="I2" s="116"/>
      <c r="J2" s="114"/>
      <c r="K2" s="116"/>
      <c r="L2" s="114">
        <v>18</v>
      </c>
      <c r="M2" s="116"/>
      <c r="N2" s="116"/>
      <c r="O2" s="116"/>
      <c r="P2" s="114"/>
      <c r="Q2" s="114" t="s">
        <v>1033</v>
      </c>
      <c r="R2" s="114"/>
      <c r="S2" s="114" t="s">
        <v>691</v>
      </c>
      <c r="T2" s="116"/>
      <c r="U2" s="716"/>
      <c r="V2" s="697"/>
      <c r="W2" s="699" t="s">
        <v>632</v>
      </c>
      <c r="X2" s="699">
        <v>115</v>
      </c>
      <c r="Y2" s="699"/>
      <c r="Z2" s="1354">
        <f>($D2*dpsStr+$E2*dpsAgi+$G2*dpsCrit+$H2*dpsHit+$F2*dpsAP+$I2*dpsHaste+$J2*dpsArmor+$K2*dpsExp+IF(MID(Q2,1,1)+MID(Q2,3,1)+MID(Q2,5,1)&gt;0,VLOOKUP('Gear &amp; Buffs'!$B$49,GenSocketStats,18,FALSE)+IF(MID(Q2,1,1)+MID(Q2,3,1)+MID(Q2,5,1)&gt;1,VLOOKUP('Gear &amp; Buffs'!$B$50,GenSocketStats,18,FALSE)+IF(MID(Q2,1,1)+MID(Q2,3,1)+MID(Q2,5,1)&gt;2,VLOOKUP('Gear &amp; Buffs'!$B$51,GenSocketStats,18,FALSE),0)),0))-'Gear &amp; Buffs'!$AF$47</f>
        <v>-115.24608829926819</v>
      </c>
      <c r="AA2" s="1352"/>
      <c r="AB2" s="221">
        <f>IF(AND(IF('Gear &amp; Buffs'!$AC$50,Z2&gt;0+'Gear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Aman"),IF(includeprebc,S2="Pre-BC"),IF(includesunwell,S2="Sunwell"))),MAX($AB$1:AB1)+1,"")</f>
        <v>1</v>
      </c>
      <c r="AC2" s="737"/>
      <c r="AD2" s="713" t="s">
        <v>1689</v>
      </c>
    </row>
    <row r="3" spans="1:31">
      <c r="A3" s="130" t="s">
        <v>2361</v>
      </c>
      <c r="B3" s="116">
        <v>33580</v>
      </c>
      <c r="C3" s="116">
        <v>4</v>
      </c>
      <c r="D3" s="114">
        <v>21</v>
      </c>
      <c r="E3" s="114">
        <v>22</v>
      </c>
      <c r="F3" s="114"/>
      <c r="G3" s="116"/>
      <c r="H3" s="116"/>
      <c r="I3" s="116"/>
      <c r="J3" s="114"/>
      <c r="K3" s="116"/>
      <c r="L3" s="114">
        <v>31</v>
      </c>
      <c r="M3" s="116"/>
      <c r="N3" s="116"/>
      <c r="O3" s="116"/>
      <c r="P3" s="114"/>
      <c r="Q3" s="114" t="s">
        <v>1043</v>
      </c>
      <c r="R3" s="114" t="s">
        <v>2363</v>
      </c>
      <c r="S3" s="114" t="s">
        <v>691</v>
      </c>
      <c r="T3" s="116"/>
      <c r="U3" s="716"/>
      <c r="V3" s="697"/>
      <c r="W3" s="699" t="s">
        <v>191</v>
      </c>
      <c r="X3" s="699">
        <v>128</v>
      </c>
      <c r="Y3" s="699"/>
      <c r="Z3" s="1355">
        <f>($D3*dpsStr+$E3*dpsAgi+$G3*dpsCrit+$H3*dpsHit+$F3*dpsAP+$I3*dpsHaste+$J3*dpsArmor+$K3*dpsExp+IF(MID(Q3,1,1)+MID(Q3,3,1)+MID(Q3,5,1)&gt;0,VLOOKUP('Gear &amp; Buffs'!$B$49,GenSocketStats,18,FALSE)+IF(MID(Q3,1,1)+MID(Q3,3,1)+MID(Q3,5,1)&gt;1,VLOOKUP('Gear &amp; Buffs'!$B$50,GenSocketStats,18,FALSE)+IF(MID(Q3,1,1)+MID(Q3,3,1)+MID(Q3,5,1)&gt;2,VLOOKUP('Gear &amp; Buffs'!$B$51,GenSocketStats,18,FALSE),0)),0))-'Gear &amp; Buffs'!$AF$47</f>
        <v>-71.687296932301251</v>
      </c>
      <c r="AA3" s="1352"/>
      <c r="AB3" s="221" t="str">
        <f>IF(AND(IF('Gear &amp; Buffs'!$AC$50,Z3&gt;0+'Gear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Aman"),IF(includeprebc,S3="Pre-BC"),IF(includesunwell,S3="Sunwell"))),MAX($AB$1:AB2)+1,"")</f>
        <v/>
      </c>
      <c r="AC3" s="737"/>
      <c r="AD3" s="713" t="str">
        <f>" "</f>
        <v xml:space="preserve"> </v>
      </c>
    </row>
    <row r="4" spans="1:31" s="137" customFormat="1">
      <c r="A4" s="10" t="s">
        <v>2362</v>
      </c>
      <c r="B4" s="116">
        <v>22483</v>
      </c>
      <c r="C4" s="116">
        <v>1</v>
      </c>
      <c r="D4" s="114"/>
      <c r="E4" s="114">
        <v>26</v>
      </c>
      <c r="F4" s="114"/>
      <c r="G4" s="116">
        <v>14</v>
      </c>
      <c r="H4" s="116"/>
      <c r="I4" s="116"/>
      <c r="J4" s="114"/>
      <c r="K4" s="116"/>
      <c r="L4" s="114">
        <v>14</v>
      </c>
      <c r="M4" s="116"/>
      <c r="N4" s="116"/>
      <c r="O4" s="116"/>
      <c r="P4" s="114" t="s">
        <v>2335</v>
      </c>
      <c r="Q4" s="114" t="s">
        <v>1033</v>
      </c>
      <c r="R4" s="114"/>
      <c r="S4" s="114" t="s">
        <v>668</v>
      </c>
      <c r="T4" s="116"/>
      <c r="U4" s="687"/>
      <c r="V4" s="679"/>
      <c r="W4" s="682" t="s">
        <v>191</v>
      </c>
      <c r="X4" s="682">
        <v>88</v>
      </c>
      <c r="Y4" s="682"/>
      <c r="Z4" s="1355">
        <f>($D4*dpsStr+$E4*dpsAgi+$G4*dpsCrit+$H4*dpsHit+$F4*dpsAP+$I4*dpsHaste+$J4*dpsArmor+$K4*dpsExp+IF(MID(Q4,1,1)+MID(Q4,3,1)+MID(Q4,5,1)&gt;0,VLOOKUP('Gear &amp; Buffs'!$B$49,GenSocketStats,18,FALSE)+IF(MID(Q4,1,1)+MID(Q4,3,1)+MID(Q4,5,1)&gt;1,VLOOKUP('Gear &amp; Buffs'!$B$50,GenSocketStats,18,FALSE)+IF(MID(Q4,1,1)+MID(Q4,3,1)+MID(Q4,5,1)&gt;2,VLOOKUP('Gear &amp; Buffs'!$B$51,GenSocketStats,18,FALSE),0)),0))-'Gear &amp; Buffs'!$AF$47</f>
        <v>-111.43187251211202</v>
      </c>
      <c r="AA4" s="1353"/>
      <c r="AB4" s="221">
        <f>IF(AND(IF('Gear &amp; Buffs'!$AC$50,Z4&gt;0+'Gear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Aman"),IF(includeprebc,S4="Pre-BC"),IF(includesunwell,S4="Sunwell"))),MAX($AB$1:AB3)+1,"")</f>
        <v>2</v>
      </c>
      <c r="AC4" s="738">
        <v>1</v>
      </c>
      <c r="AD4" s="714" t="str">
        <f>IF(ISNA(INDEX($A$2:$A$28,MATCH(AC4,AB$2:AB$28,0))), "", INDEX($A$2:$A$28,MATCH(AC4,AB$2:AB$28,0)))</f>
        <v>Armwraps of Disdain</v>
      </c>
      <c r="AE4" s="129"/>
    </row>
    <row r="5" spans="1:31" s="137" customFormat="1">
      <c r="A5" s="10" t="s">
        <v>2817</v>
      </c>
      <c r="B5" s="116">
        <v>24023</v>
      </c>
      <c r="C5" s="116">
        <v>1</v>
      </c>
      <c r="D5" s="114"/>
      <c r="E5" s="114">
        <v>18</v>
      </c>
      <c r="F5" s="114">
        <v>28</v>
      </c>
      <c r="G5" s="116"/>
      <c r="H5" s="116"/>
      <c r="I5" s="116"/>
      <c r="J5" s="114"/>
      <c r="K5" s="116"/>
      <c r="L5" s="114">
        <v>16</v>
      </c>
      <c r="M5" s="116"/>
      <c r="N5" s="116"/>
      <c r="O5" s="116"/>
      <c r="P5" s="114"/>
      <c r="Q5" s="114" t="s">
        <v>1033</v>
      </c>
      <c r="R5" s="114"/>
      <c r="S5" s="114" t="s">
        <v>673</v>
      </c>
      <c r="T5" s="116"/>
      <c r="U5" s="687"/>
      <c r="V5" s="679"/>
      <c r="W5" s="682" t="s">
        <v>632</v>
      </c>
      <c r="X5" s="682">
        <v>85</v>
      </c>
      <c r="Y5" s="682"/>
      <c r="Z5" s="1355">
        <f>($D5*dpsStr+$E5*dpsAgi+$G5*dpsCrit+$H5*dpsHit+$F5*dpsAP+$I5*dpsHaste+$J5*dpsArmor+$K5*dpsExp+IF(MID(Q5,1,1)+MID(Q5,3,1)+MID(Q5,5,1)&gt;0,VLOOKUP('Gear &amp; Buffs'!$B$49,GenSocketStats,18,FALSE)+IF(MID(Q5,1,1)+MID(Q5,3,1)+MID(Q5,5,1)&gt;1,VLOOKUP('Gear &amp; Buffs'!$B$50,GenSocketStats,18,FALSE)+IF(MID(Q5,1,1)+MID(Q5,3,1)+MID(Q5,5,1)&gt;2,VLOOKUP('Gear &amp; Buffs'!$B$51,GenSocketStats,18,FALSE),0)),0))-'Gear &amp; Buffs'!$AF$47</f>
        <v>-117.64548301998002</v>
      </c>
      <c r="AA5" s="1353"/>
      <c r="AB5" s="221">
        <f>IF(AND(IF('Gear &amp; Buffs'!$AC$50,Z5&gt;0+'Gear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Aman"),IF(includeprebc,S5="Pre-BC"),IF(includesunwell,S5="Sunwell"))),MAX($AB$1:AB4)+1,"")</f>
        <v>3</v>
      </c>
      <c r="AC5" s="738">
        <v>2</v>
      </c>
      <c r="AD5" s="714" t="str">
        <f t="shared" ref="AD5:AD30" si="0">IF(ISNA(INDEX($A$2:$A$28,MATCH(AC5,AB$2:AB$28,0))), "", INDEX($A$2:$A$28,MATCH(AC5,AB$2:AB$28,0)))</f>
        <v>Bonescythe Bracers</v>
      </c>
      <c r="AE5" s="129"/>
    </row>
    <row r="6" spans="1:31" s="137" customFormat="1">
      <c r="A6" s="10" t="s">
        <v>1314</v>
      </c>
      <c r="B6" s="116">
        <v>28514</v>
      </c>
      <c r="C6" s="116">
        <v>1</v>
      </c>
      <c r="D6" s="114"/>
      <c r="E6" s="114"/>
      <c r="F6" s="114">
        <v>50</v>
      </c>
      <c r="G6" s="116">
        <v>22</v>
      </c>
      <c r="H6" s="116"/>
      <c r="I6" s="116"/>
      <c r="J6" s="114"/>
      <c r="K6" s="116"/>
      <c r="L6" s="114">
        <v>25</v>
      </c>
      <c r="M6" s="116"/>
      <c r="N6" s="116"/>
      <c r="O6" s="116"/>
      <c r="P6" s="114"/>
      <c r="Q6" s="114" t="s">
        <v>1033</v>
      </c>
      <c r="R6" s="114"/>
      <c r="S6" s="114" t="s">
        <v>672</v>
      </c>
      <c r="T6" s="116"/>
      <c r="U6" s="687"/>
      <c r="V6" s="679"/>
      <c r="W6" s="682" t="s">
        <v>191</v>
      </c>
      <c r="X6" s="682">
        <v>115</v>
      </c>
      <c r="Y6" s="682"/>
      <c r="Z6" s="1355">
        <f>($D6*dpsStr+$E6*dpsAgi+$G6*dpsCrit+$H6*dpsHit+$F6*dpsAP+$I6*dpsHaste+$J6*dpsArmor+$K6*dpsExp+IF(MID(Q6,1,1)+MID(Q6,3,1)+MID(Q6,5,1)&gt;0,VLOOKUP('Gear &amp; Buffs'!$B$49,GenSocketStats,18,FALSE)+IF(MID(Q6,1,1)+MID(Q6,3,1)+MID(Q6,5,1)&gt;1,VLOOKUP('Gear &amp; Buffs'!$B$50,GenSocketStats,18,FALSE)+IF(MID(Q6,1,1)+MID(Q6,3,1)+MID(Q6,5,1)&gt;2,VLOOKUP('Gear &amp; Buffs'!$B$51,GenSocketStats,18,FALSE),0)),0))-'Gear &amp; Buffs'!$AF$47</f>
        <v>-109.58653537798727</v>
      </c>
      <c r="AA6" s="1353"/>
      <c r="AB6" s="221">
        <f>IF(AND(IF('Gear &amp; Buffs'!$AC$50,Z6&gt;0+'Gear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Aman"),IF(includeprebc,S6="Pre-BC"),IF(includesunwell,S6="Sunwell"))),MAX($AB$1:AB5)+1,"")</f>
        <v>4</v>
      </c>
      <c r="AC6" s="738">
        <v>3</v>
      </c>
      <c r="AD6" s="714" t="str">
        <f t="shared" si="0"/>
        <v>Bracers of Finesse</v>
      </c>
      <c r="AE6" s="129"/>
    </row>
    <row r="7" spans="1:31">
      <c r="A7" s="10" t="s">
        <v>1315</v>
      </c>
      <c r="B7" s="116">
        <v>30863</v>
      </c>
      <c r="C7" s="116">
        <v>3</v>
      </c>
      <c r="D7" s="114"/>
      <c r="E7" s="114"/>
      <c r="F7" s="114">
        <v>58</v>
      </c>
      <c r="G7" s="116">
        <v>28</v>
      </c>
      <c r="H7" s="116">
        <v>12</v>
      </c>
      <c r="I7" s="116"/>
      <c r="J7" s="114"/>
      <c r="K7" s="116"/>
      <c r="L7" s="114">
        <v>28</v>
      </c>
      <c r="M7" s="116"/>
      <c r="N7" s="116"/>
      <c r="O7" s="116"/>
      <c r="P7" s="114"/>
      <c r="Q7" s="114" t="s">
        <v>1043</v>
      </c>
      <c r="R7" s="114" t="s">
        <v>1338</v>
      </c>
      <c r="S7" s="114" t="s">
        <v>684</v>
      </c>
      <c r="T7" s="116"/>
      <c r="U7" s="687"/>
      <c r="V7" s="679"/>
      <c r="W7" s="682" t="s">
        <v>191</v>
      </c>
      <c r="X7" s="682">
        <v>141</v>
      </c>
      <c r="Y7" s="682"/>
      <c r="Z7" s="1355">
        <f>($D7*dpsStr+$E7*dpsAgi+$G7*dpsCrit+$H7*dpsHit+$F7*dpsAP+$I7*dpsHaste+$J7*dpsArmor+$K7*dpsExp+IF(MID(Q7,1,1)+MID(Q7,3,1)+MID(Q7,5,1)&gt;0,VLOOKUP('Gear &amp; Buffs'!$B$49,GenSocketStats,18,FALSE)+IF(MID(Q7,1,1)+MID(Q7,3,1)+MID(Q7,5,1)&gt;1,VLOOKUP('Gear &amp; Buffs'!$B$50,GenSocketStats,18,FALSE)+IF(MID(Q7,1,1)+MID(Q7,3,1)+MID(Q7,5,1)&gt;2,VLOOKUP('Gear &amp; Buffs'!$B$51,GenSocketStats,18,FALSE),0)),0))-'Gear &amp; Buffs'!$AF$47</f>
        <v>8.3875120044540381</v>
      </c>
      <c r="AA7" s="1353"/>
      <c r="AB7" s="221" t="str">
        <f>IF(AND(IF('Gear &amp; Buffs'!$AC$50,Z7&gt;0+'Gear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Aman"),IF(includeprebc,S7="Pre-BC"),IF(includesunwell,S7="Sunwell"))),MAX($AB$1:AB6)+1,"")</f>
        <v/>
      </c>
      <c r="AC7" s="738">
        <v>4</v>
      </c>
      <c r="AD7" s="714" t="str">
        <f t="shared" si="0"/>
        <v>Bracers of Maliciousness</v>
      </c>
    </row>
    <row r="8" spans="1:31">
      <c r="A8" s="10" t="s">
        <v>2364</v>
      </c>
      <c r="B8" s="116">
        <v>28424</v>
      </c>
      <c r="C8" s="116">
        <v>1</v>
      </c>
      <c r="D8" s="114"/>
      <c r="E8" s="114">
        <v>19</v>
      </c>
      <c r="F8" s="114">
        <v>16</v>
      </c>
      <c r="G8" s="116">
        <v>7</v>
      </c>
      <c r="H8" s="116"/>
      <c r="I8" s="116"/>
      <c r="J8" s="114"/>
      <c r="K8" s="116"/>
      <c r="L8" s="114">
        <v>25</v>
      </c>
      <c r="M8" s="116"/>
      <c r="N8" s="116">
        <v>13</v>
      </c>
      <c r="O8" s="116"/>
      <c r="P8" s="114"/>
      <c r="Q8" s="114" t="s">
        <v>1043</v>
      </c>
      <c r="R8" s="114" t="s">
        <v>1070</v>
      </c>
      <c r="S8" s="114" t="s">
        <v>677</v>
      </c>
      <c r="T8" s="116"/>
      <c r="U8" s="687"/>
      <c r="V8" s="679"/>
      <c r="W8" s="682" t="s">
        <v>191</v>
      </c>
      <c r="X8" s="682">
        <v>113</v>
      </c>
      <c r="Y8" s="682"/>
      <c r="Z8" s="1355">
        <f>($D8*dpsStr+$E8*dpsAgi+$G8*dpsCrit+$H8*dpsHit+$F8*dpsAP+$I8*dpsHaste+$J8*dpsArmor+$K8*dpsExp+IF(MID(Q8,1,1)+MID(Q8,3,1)+MID(Q8,5,1)&gt;0,VLOOKUP('Gear &amp; Buffs'!$B$49,GenSocketStats,18,FALSE)+IF(MID(Q8,1,1)+MID(Q8,3,1)+MID(Q8,5,1)&gt;1,VLOOKUP('Gear &amp; Buffs'!$B$50,GenSocketStats,18,FALSE)+IF(MID(Q8,1,1)+MID(Q8,3,1)+MID(Q8,5,1)&gt;2,VLOOKUP('Gear &amp; Buffs'!$B$51,GenSocketStats,18,FALSE),0)),0))-'Gear &amp; Buffs'!$AF$47</f>
        <v>-71.905404585323367</v>
      </c>
      <c r="AA8" s="1353"/>
      <c r="AB8" s="221">
        <f>IF(AND(IF('Gear &amp; Buffs'!$AC$50,Z8&gt;0+'Gear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Aman"),IF(includeprebc,S8="Pre-BC"),IF(includesunwell,S8="Sunwell"))),MAX($AB$1:AB7)+1,"")</f>
        <v>5</v>
      </c>
      <c r="AC8" s="738">
        <v>5</v>
      </c>
      <c r="AD8" s="714" t="str">
        <f t="shared" si="0"/>
        <v>General's Leather Bracers</v>
      </c>
    </row>
    <row r="9" spans="1:31" s="208" customFormat="1">
      <c r="A9" s="10" t="s">
        <v>1486</v>
      </c>
      <c r="B9" s="116">
        <v>35167</v>
      </c>
      <c r="C9" s="116">
        <v>5</v>
      </c>
      <c r="D9" s="114">
        <v>25</v>
      </c>
      <c r="E9" s="114">
        <v>25</v>
      </c>
      <c r="F9" s="114"/>
      <c r="G9" s="116">
        <v>24</v>
      </c>
      <c r="H9" s="116"/>
      <c r="I9" s="116"/>
      <c r="J9" s="114"/>
      <c r="K9" s="116"/>
      <c r="L9" s="114">
        <v>33</v>
      </c>
      <c r="M9" s="116"/>
      <c r="N9" s="116">
        <v>17</v>
      </c>
      <c r="O9" s="116"/>
      <c r="P9" s="114"/>
      <c r="Q9" s="114" t="s">
        <v>1035</v>
      </c>
      <c r="R9" s="114" t="s">
        <v>1070</v>
      </c>
      <c r="S9" s="114" t="s">
        <v>677</v>
      </c>
      <c r="T9" s="116"/>
      <c r="U9" s="687"/>
      <c r="V9" s="679"/>
      <c r="W9" s="682" t="s">
        <v>191</v>
      </c>
      <c r="X9" s="682">
        <v>154</v>
      </c>
      <c r="Y9" s="682"/>
      <c r="Z9" s="1355">
        <f>($D9*dpsStr+$E9*dpsAgi+$G9*dpsCrit+$H9*dpsHit+$F9*dpsAP+$I9*dpsHaste+$J9*dpsArmor+$K9*dpsExp+IF(MID(Q9,1,1)+MID(Q9,3,1)+MID(Q9,5,1)&gt;0,VLOOKUP('Gear &amp; Buffs'!$B$49,GenSocketStats,18,FALSE)+IF(MID(Q9,1,1)+MID(Q9,3,1)+MID(Q9,5,1)&gt;1,VLOOKUP('Gear &amp; Buffs'!$B$50,GenSocketStats,18,FALSE)+IF(MID(Q9,1,1)+MID(Q9,3,1)+MID(Q9,5,1)&gt;2,VLOOKUP('Gear &amp; Buffs'!$B$51,GenSocketStats,18,FALSE),0)),0))-'Gear &amp; Buffs'!$AF$47</f>
        <v>-51.174294878303726</v>
      </c>
      <c r="AA9" s="1353"/>
      <c r="AB9" s="221" t="str">
        <f>IF(AND(IF('Gear &amp; Buffs'!$AC$50,Z9&gt;0+'Gear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Aman"),IF(includeprebc,S9="Pre-BC"),IF(includesunwell,S9="Sunwell"))),MAX($AB$1:AB8)+1,"")</f>
        <v/>
      </c>
      <c r="AC9" s="738">
        <v>6</v>
      </c>
      <c r="AD9" s="714" t="str">
        <f t="shared" si="0"/>
        <v>Marshal's Leather Bracers</v>
      </c>
      <c r="AE9" s="48"/>
    </row>
    <row r="10" spans="1:31">
      <c r="A10" s="10" t="s">
        <v>1485</v>
      </c>
      <c r="B10" s="116">
        <v>35171</v>
      </c>
      <c r="C10" s="116">
        <v>5</v>
      </c>
      <c r="D10" s="114"/>
      <c r="E10" s="114">
        <v>28</v>
      </c>
      <c r="F10" s="114">
        <v>32</v>
      </c>
      <c r="G10" s="116">
        <v>15</v>
      </c>
      <c r="H10" s="116"/>
      <c r="I10" s="116"/>
      <c r="J10" s="114"/>
      <c r="K10" s="116"/>
      <c r="L10" s="114">
        <v>37</v>
      </c>
      <c r="M10" s="116"/>
      <c r="N10" s="116">
        <v>15</v>
      </c>
      <c r="O10" s="116"/>
      <c r="P10" s="114"/>
      <c r="Q10" s="114" t="s">
        <v>1043</v>
      </c>
      <c r="R10" s="114" t="s">
        <v>1070</v>
      </c>
      <c r="S10" s="114" t="s">
        <v>677</v>
      </c>
      <c r="T10" s="116"/>
      <c r="U10" s="687"/>
      <c r="V10" s="679"/>
      <c r="W10" s="682" t="s">
        <v>191</v>
      </c>
      <c r="X10" s="682">
        <v>154</v>
      </c>
      <c r="Y10" s="682"/>
      <c r="Z10" s="1355">
        <f>($D10*dpsStr+$E10*dpsAgi+$G10*dpsCrit+$H10*dpsHit+$F10*dpsAP+$I10*dpsHaste+$J10*dpsArmor+$K10*dpsExp+IF(MID(Q10,1,1)+MID(Q10,3,1)+MID(Q10,5,1)&gt;0,VLOOKUP('Gear &amp; Buffs'!$B$49,GenSocketStats,18,FALSE)+IF(MID(Q10,1,1)+MID(Q10,3,1)+MID(Q10,5,1)&gt;1,VLOOKUP('Gear &amp; Buffs'!$B$50,GenSocketStats,18,FALSE)+IF(MID(Q10,1,1)+MID(Q10,3,1)+MID(Q10,5,1)&gt;2,VLOOKUP('Gear &amp; Buffs'!$B$51,GenSocketStats,18,FALSE),0)),0))-'Gear &amp; Buffs'!$AF$47</f>
        <v>-53.256837903550149</v>
      </c>
      <c r="AA10" s="1353"/>
      <c r="AB10" s="221" t="str">
        <f>IF(AND(IF('Gear &amp; Buffs'!$AC$50,Z10&gt;0+'Gear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Aman"),IF(includeprebc,S10="Pre-BC"),IF(includesunwell,S10="Sunwell"))),MAX($AB$1:AB9)+1,"")</f>
        <v/>
      </c>
      <c r="AC10" s="738">
        <v>7</v>
      </c>
      <c r="AD10" s="714" t="str">
        <f t="shared" si="0"/>
        <v>Nightfall Wristguards</v>
      </c>
    </row>
    <row r="11" spans="1:31">
      <c r="A11" s="10" t="s">
        <v>609</v>
      </c>
      <c r="B11" s="116">
        <v>32324</v>
      </c>
      <c r="C11" s="116">
        <v>3</v>
      </c>
      <c r="D11" s="114"/>
      <c r="E11" s="114">
        <v>28</v>
      </c>
      <c r="F11" s="114">
        <v>58</v>
      </c>
      <c r="G11" s="116"/>
      <c r="H11" s="116">
        <v>12</v>
      </c>
      <c r="I11" s="116"/>
      <c r="J11" s="114"/>
      <c r="K11" s="116"/>
      <c r="L11" s="114">
        <v>28</v>
      </c>
      <c r="M11" s="116"/>
      <c r="N11" s="116"/>
      <c r="O11" s="116"/>
      <c r="P11" s="114"/>
      <c r="Q11" s="114" t="s">
        <v>1043</v>
      </c>
      <c r="R11" s="114" t="s">
        <v>1463</v>
      </c>
      <c r="S11" s="114" t="s">
        <v>683</v>
      </c>
      <c r="T11" s="116"/>
      <c r="U11" s="687"/>
      <c r="V11" s="679"/>
      <c r="W11" s="682" t="s">
        <v>191</v>
      </c>
      <c r="X11" s="682">
        <v>141</v>
      </c>
      <c r="Y11" s="682"/>
      <c r="Z11" s="1355">
        <f>($D11*dpsStr+$E11*dpsAgi+$G11*dpsCrit+$H11*dpsHit+$F11*dpsAP+$I11*dpsHaste+$J11*dpsArmor+$K11*dpsExp+IF(MID(Q11,1,1)+MID(Q11,3,1)+MID(Q11,5,1)&gt;0,VLOOKUP('Gear &amp; Buffs'!$B$49,GenSocketStats,18,FALSE)+IF(MID(Q11,1,1)+MID(Q11,3,1)+MID(Q11,5,1)&gt;1,VLOOKUP('Gear &amp; Buffs'!$B$50,GenSocketStats,18,FALSE)+IF(MID(Q11,1,1)+MID(Q11,3,1)+MID(Q11,5,1)&gt;2,VLOOKUP('Gear &amp; Buffs'!$B$51,GenSocketStats,18,FALSE),0)),0))-'Gear &amp; Buffs'!$AF$47</f>
        <v>12.347175791567679</v>
      </c>
      <c r="AA11" s="1353"/>
      <c r="AB11" s="221" t="str">
        <f>IF(AND(IF('Gear &amp; Buffs'!$AC$50,Z11&gt;0+'Gear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Aman"),IF(includeprebc,S11="Pre-BC"),IF(includesunwell,S11="Sunwell"))),MAX($AB$1:AB10)+1,"")</f>
        <v/>
      </c>
      <c r="AC11" s="738">
        <v>8</v>
      </c>
      <c r="AD11" s="714" t="str">
        <f t="shared" si="0"/>
        <v>Nightstalker's Wristguards</v>
      </c>
    </row>
    <row r="12" spans="1:31">
      <c r="A12" s="10" t="s">
        <v>2365</v>
      </c>
      <c r="B12" s="116">
        <v>28988</v>
      </c>
      <c r="C12" s="116">
        <v>1</v>
      </c>
      <c r="D12" s="114"/>
      <c r="E12" s="114">
        <v>19</v>
      </c>
      <c r="F12" s="114">
        <v>16</v>
      </c>
      <c r="G12" s="116">
        <v>7</v>
      </c>
      <c r="H12" s="116"/>
      <c r="I12" s="116"/>
      <c r="J12" s="114"/>
      <c r="K12" s="116"/>
      <c r="L12" s="114">
        <v>25</v>
      </c>
      <c r="M12" s="116"/>
      <c r="N12" s="116">
        <v>13</v>
      </c>
      <c r="O12" s="116"/>
      <c r="P12" s="114"/>
      <c r="Q12" s="114" t="s">
        <v>1043</v>
      </c>
      <c r="R12" s="114" t="s">
        <v>1070</v>
      </c>
      <c r="S12" s="114" t="s">
        <v>677</v>
      </c>
      <c r="T12" s="116"/>
      <c r="U12" s="687"/>
      <c r="V12" s="679"/>
      <c r="W12" s="682" t="s">
        <v>191</v>
      </c>
      <c r="X12" s="682">
        <v>113</v>
      </c>
      <c r="Y12" s="682"/>
      <c r="Z12" s="1355">
        <f>($D12*dpsStr+$E12*dpsAgi+$G12*dpsCrit+$H12*dpsHit+$F12*dpsAP+$I12*dpsHaste+$J12*dpsArmor+$K12*dpsExp+IF(MID(Q12,1,1)+MID(Q12,3,1)+MID(Q12,5,1)&gt;0,VLOOKUP('Gear &amp; Buffs'!$B$49,GenSocketStats,18,FALSE)+IF(MID(Q12,1,1)+MID(Q12,3,1)+MID(Q12,5,1)&gt;1,VLOOKUP('Gear &amp; Buffs'!$B$50,GenSocketStats,18,FALSE)+IF(MID(Q12,1,1)+MID(Q12,3,1)+MID(Q12,5,1)&gt;2,VLOOKUP('Gear &amp; Buffs'!$B$51,GenSocketStats,18,FALSE),0)),0))-'Gear &amp; Buffs'!$AF$47</f>
        <v>-71.905404585323367</v>
      </c>
      <c r="AA12" s="1353"/>
      <c r="AB12" s="221">
        <f>IF(AND(IF('Gear &amp; Buffs'!$AC$50,Z12&gt;0+'Gear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Aman"),IF(includeprebc,S12="Pre-BC"),IF(includesunwell,S12="Sunwell"))),MAX($AB$1:AB11)+1,"")</f>
        <v>6</v>
      </c>
      <c r="AC12" s="738">
        <v>9</v>
      </c>
      <c r="AD12" s="714" t="str">
        <f t="shared" si="0"/>
        <v>Ravager's Wrist-Wraps of the Bandit</v>
      </c>
    </row>
    <row r="13" spans="1:31" s="208" customFormat="1">
      <c r="A13" s="130" t="s">
        <v>1432</v>
      </c>
      <c r="B13" s="116">
        <v>33540</v>
      </c>
      <c r="C13" s="116">
        <v>4</v>
      </c>
      <c r="D13" s="114"/>
      <c r="E13" s="114">
        <v>17</v>
      </c>
      <c r="F13" s="114">
        <v>50</v>
      </c>
      <c r="G13" s="116">
        <v>18</v>
      </c>
      <c r="H13" s="116"/>
      <c r="I13" s="116"/>
      <c r="J13" s="114"/>
      <c r="K13" s="116"/>
      <c r="L13" s="114">
        <v>22</v>
      </c>
      <c r="M13" s="116"/>
      <c r="N13" s="116"/>
      <c r="O13" s="116"/>
      <c r="P13" s="114"/>
      <c r="Q13" s="114" t="s">
        <v>1043</v>
      </c>
      <c r="R13" s="114" t="s">
        <v>1473</v>
      </c>
      <c r="S13" s="114" t="s">
        <v>691</v>
      </c>
      <c r="T13" s="116"/>
      <c r="U13" s="687"/>
      <c r="V13" s="679"/>
      <c r="W13" s="682" t="s">
        <v>191</v>
      </c>
      <c r="X13" s="682">
        <v>128</v>
      </c>
      <c r="Y13" s="682"/>
      <c r="Z13" s="1355">
        <f>($D13*dpsStr+$E13*dpsAgi+$G13*dpsCrit+$H13*dpsHit+$F13*dpsAP+$I13*dpsHaste+$J13*dpsArmor+$K13*dpsExp+IF(MID(Q13,1,1)+MID(Q13,3,1)+MID(Q13,5,1)&gt;0,VLOOKUP('Gear &amp; Buffs'!$B$49,GenSocketStats,18,FALSE)+IF(MID(Q13,1,1)+MID(Q13,3,1)+MID(Q13,5,1)&gt;1,VLOOKUP('Gear &amp; Buffs'!$B$50,GenSocketStats,18,FALSE)+IF(MID(Q13,1,1)+MID(Q13,3,1)+MID(Q13,5,1)&gt;2,VLOOKUP('Gear &amp; Buffs'!$B$51,GenSocketStats,18,FALSE),0)),0))-'Gear &amp; Buffs'!$AF$47</f>
        <v>-53.866850084313455</v>
      </c>
      <c r="AA13" s="1353"/>
      <c r="AB13" s="221" t="str">
        <f>IF(AND(IF('Gear &amp; Buffs'!$AC$50,Z13&gt;0+'Gear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Aman"),IF(includeprebc,S13="Pre-BC"),IF(includesunwell,S13="Sunwell"))),MAX($AB$1:AB12)+1,"")</f>
        <v/>
      </c>
      <c r="AC13" s="738">
        <v>10</v>
      </c>
      <c r="AD13" s="714" t="str">
        <f t="shared" si="0"/>
        <v>Shackles of Quagmirran</v>
      </c>
      <c r="AE13" s="48"/>
    </row>
    <row r="14" spans="1:31">
      <c r="A14" s="130" t="s">
        <v>1298</v>
      </c>
      <c r="B14" s="116">
        <v>29246</v>
      </c>
      <c r="C14" s="116">
        <v>1</v>
      </c>
      <c r="D14" s="114"/>
      <c r="E14" s="114">
        <v>24</v>
      </c>
      <c r="F14" s="114">
        <v>46</v>
      </c>
      <c r="G14" s="116"/>
      <c r="H14" s="116"/>
      <c r="I14" s="116"/>
      <c r="J14" s="114"/>
      <c r="K14" s="116"/>
      <c r="L14" s="114">
        <v>22</v>
      </c>
      <c r="M14" s="116"/>
      <c r="N14" s="116"/>
      <c r="O14" s="116"/>
      <c r="P14" s="114"/>
      <c r="Q14" s="114" t="s">
        <v>1033</v>
      </c>
      <c r="R14" s="114"/>
      <c r="S14" s="114" t="s">
        <v>691</v>
      </c>
      <c r="T14" s="116"/>
      <c r="U14" s="687"/>
      <c r="V14" s="679"/>
      <c r="W14" s="682" t="s">
        <v>191</v>
      </c>
      <c r="X14" s="682">
        <v>110</v>
      </c>
      <c r="Y14" s="682"/>
      <c r="Z14" s="1355">
        <f>($D14*dpsStr+$E14*dpsAgi+$G14*dpsCrit+$H14*dpsHit+$F14*dpsAP+$I14*dpsHaste+$J14*dpsArmor+$K14*dpsExp+IF(MID(Q14,1,1)+MID(Q14,3,1)+MID(Q14,5,1)&gt;0,VLOOKUP('Gear &amp; Buffs'!$B$49,GenSocketStats,18,FALSE)+IF(MID(Q14,1,1)+MID(Q14,3,1)+MID(Q14,5,1)&gt;1,VLOOKUP('Gear &amp; Buffs'!$B$50,GenSocketStats,18,FALSE)+IF(MID(Q14,1,1)+MID(Q14,3,1)+MID(Q14,5,1)&gt;2,VLOOKUP('Gear &amp; Buffs'!$B$51,GenSocketStats,18,FALSE),0)),0))-'Gear &amp; Buffs'!$AF$47</f>
        <v>-106.25026533857726</v>
      </c>
      <c r="AA14" s="1353"/>
      <c r="AB14" s="221">
        <f>IF(AND(IF('Gear &amp; Buffs'!$AC$50,Z14&gt;0+'Gear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Aman"),IF(includeprebc,S14="Pre-BC"),IF(includesunwell,S14="Sunwell"))),MAX($AB$1:AB13)+1,"")</f>
        <v>7</v>
      </c>
      <c r="AC14" s="738">
        <v>11</v>
      </c>
      <c r="AD14" s="714" t="str">
        <f t="shared" si="0"/>
        <v>Spymistress's Wristguards</v>
      </c>
    </row>
    <row r="15" spans="1:31" s="208" customFormat="1">
      <c r="A15" s="10" t="s">
        <v>1299</v>
      </c>
      <c r="B15" s="116">
        <v>30399</v>
      </c>
      <c r="C15" s="116">
        <v>1</v>
      </c>
      <c r="D15" s="114"/>
      <c r="E15" s="114">
        <v>12</v>
      </c>
      <c r="F15" s="114">
        <v>42</v>
      </c>
      <c r="G15" s="116"/>
      <c r="H15" s="116">
        <v>9</v>
      </c>
      <c r="I15" s="116"/>
      <c r="J15" s="114"/>
      <c r="K15" s="116"/>
      <c r="L15" s="114"/>
      <c r="M15" s="116"/>
      <c r="N15" s="116"/>
      <c r="O15" s="116"/>
      <c r="P15" s="114"/>
      <c r="Q15" s="114" t="s">
        <v>1033</v>
      </c>
      <c r="R15" s="114"/>
      <c r="S15" s="114" t="s">
        <v>675</v>
      </c>
      <c r="T15" s="116"/>
      <c r="U15" s="687"/>
      <c r="V15" s="679"/>
      <c r="W15" s="682" t="s">
        <v>1356</v>
      </c>
      <c r="X15" s="682">
        <v>111</v>
      </c>
      <c r="Y15" s="682"/>
      <c r="Z15" s="1355">
        <f>($D15*dpsStr+$E15*dpsAgi+$G15*dpsCrit+$H15*dpsHit+$F15*dpsAP+$I15*dpsHaste+$J15*dpsArmor+$K15*dpsExp+IF(MID(Q15,1,1)+MID(Q15,3,1)+MID(Q15,5,1)&gt;0,VLOOKUP('Gear &amp; Buffs'!$B$49,GenSocketStats,18,FALSE)+IF(MID(Q15,1,1)+MID(Q15,3,1)+MID(Q15,5,1)&gt;1,VLOOKUP('Gear &amp; Buffs'!$B$50,GenSocketStats,18,FALSE)+IF(MID(Q15,1,1)+MID(Q15,3,1)+MID(Q15,5,1)&gt;2,VLOOKUP('Gear &amp; Buffs'!$B$51,GenSocketStats,18,FALSE),0)),0))-'Gear &amp; Buffs'!$AF$47</f>
        <v>-67.655856669873174</v>
      </c>
      <c r="AA15" s="1353"/>
      <c r="AB15" s="221">
        <f>IF(AND(IF('Gear &amp; Buffs'!$AC$50,Z15&gt;0+'Gear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Aman"),IF(includeprebc,S15="Pre-BC"),IF(includesunwell,S15="Sunwell"))),MAX($AB$1:AB14)+1,"")</f>
        <v>8</v>
      </c>
      <c r="AC15" s="738">
        <v>12</v>
      </c>
      <c r="AD15" s="714" t="str">
        <f t="shared" si="0"/>
        <v>(Unmodeled)</v>
      </c>
      <c r="AE15" s="48"/>
    </row>
    <row r="16" spans="1:31" s="208" customFormat="1">
      <c r="A16" s="10" t="s">
        <v>1300</v>
      </c>
      <c r="B16" s="116">
        <v>29527</v>
      </c>
      <c r="C16" s="116">
        <v>1</v>
      </c>
      <c r="D16" s="114"/>
      <c r="E16" s="114">
        <v>15</v>
      </c>
      <c r="F16" s="114">
        <v>64</v>
      </c>
      <c r="G16" s="116"/>
      <c r="H16" s="116"/>
      <c r="I16" s="116"/>
      <c r="J16" s="114"/>
      <c r="K16" s="116"/>
      <c r="L16" s="114">
        <v>21</v>
      </c>
      <c r="M16" s="116"/>
      <c r="N16" s="116"/>
      <c r="O16" s="116"/>
      <c r="P16" s="114" t="s">
        <v>826</v>
      </c>
      <c r="Q16" s="114" t="s">
        <v>1033</v>
      </c>
      <c r="R16" s="114"/>
      <c r="S16" s="114" t="s">
        <v>687</v>
      </c>
      <c r="T16" s="116"/>
      <c r="U16" s="687"/>
      <c r="V16" s="679"/>
      <c r="W16" s="682" t="s">
        <v>191</v>
      </c>
      <c r="X16" s="682">
        <v>115</v>
      </c>
      <c r="Y16" s="682"/>
      <c r="Z16" s="1355">
        <f>($D16*dpsStr+$E16*dpsAgi+$G16*dpsCrit+$H16*dpsHit+$F16*dpsAP+$I16*dpsHaste+$J16*dpsArmor+$K16*dpsExp+IF(MID(Q16,1,1)+MID(Q16,3,1)+MID(Q16,5,1)&gt;0,VLOOKUP('Gear &amp; Buffs'!$B$49,GenSocketStats,18,FALSE)+IF(MID(Q16,1,1)+MID(Q16,3,1)+MID(Q16,5,1)&gt;1,VLOOKUP('Gear &amp; Buffs'!$B$50,GenSocketStats,18,FALSE)+IF(MID(Q16,1,1)+MID(Q16,3,1)+MID(Q16,5,1)&gt;2,VLOOKUP('Gear &amp; Buffs'!$B$51,GenSocketStats,18,FALSE),0)),0))-'Gear &amp; Buffs'!$AF$47</f>
        <v>-107.26324069719908</v>
      </c>
      <c r="AA16" s="1353"/>
      <c r="AB16" s="221" t="str">
        <f>IF(AND(IF('Gear &amp; Buffs'!$AC$50,Z16&gt;0+'Gear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Aman"),IF(includeprebc,S16="Pre-BC"),IF(includesunwell,S16="Sunwell"))),MAX($AB$1:AB15)+1,"")</f>
        <v/>
      </c>
      <c r="AC16" s="738">
        <v>13</v>
      </c>
      <c r="AD16" s="714" t="str">
        <f t="shared" si="0"/>
        <v/>
      </c>
      <c r="AE16" s="48"/>
    </row>
    <row r="17" spans="1:31" s="208" customFormat="1">
      <c r="A17" s="47" t="s">
        <v>1349</v>
      </c>
      <c r="B17" s="114">
        <v>30685</v>
      </c>
      <c r="C17" s="114">
        <v>1</v>
      </c>
      <c r="D17" s="114"/>
      <c r="E17" s="114">
        <v>21</v>
      </c>
      <c r="F17" s="114">
        <v>43</v>
      </c>
      <c r="G17" s="114"/>
      <c r="H17" s="114"/>
      <c r="I17" s="114"/>
      <c r="J17" s="114"/>
      <c r="K17" s="116"/>
      <c r="L17" s="114">
        <v>32</v>
      </c>
      <c r="M17" s="114"/>
      <c r="N17" s="116"/>
      <c r="O17" s="116"/>
      <c r="P17" s="114"/>
      <c r="Q17" s="114" t="s">
        <v>1033</v>
      </c>
      <c r="R17" s="114"/>
      <c r="S17" s="114" t="s">
        <v>672</v>
      </c>
      <c r="T17" s="116"/>
      <c r="U17" s="687"/>
      <c r="V17" s="679"/>
      <c r="W17" s="682" t="s">
        <v>191</v>
      </c>
      <c r="X17" s="682">
        <v>115</v>
      </c>
      <c r="Y17" s="682"/>
      <c r="Z17" s="1355">
        <f>($D17*dpsStr+$E17*dpsAgi+$G17*dpsCrit+$H17*dpsHit+$F17*dpsAP+$I17*dpsHaste+$J17*dpsArmor+$K17*dpsExp+IF(MID(Q17,1,1)+MID(Q17,3,1)+MID(Q17,5,1)&gt;0,VLOOKUP('Gear &amp; Buffs'!$B$49,GenSocketStats,18,FALSE)+IF(MID(Q17,1,1)+MID(Q17,3,1)+MID(Q17,5,1)&gt;1,VLOOKUP('Gear &amp; Buffs'!$B$50,GenSocketStats,18,FALSE)+IF(MID(Q17,1,1)+MID(Q17,3,1)+MID(Q17,5,1)&gt;2,VLOOKUP('Gear &amp; Buffs'!$B$51,GenSocketStats,18,FALSE),0)),0))-'Gear &amp; Buffs'!$AF$47</f>
        <v>-109.80389402414767</v>
      </c>
      <c r="AA17" s="1353"/>
      <c r="AB17" s="221">
        <f>IF(AND(IF('Gear &amp; Buffs'!$AC$50,Z17&gt;0+'Gear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Aman"),IF(includeprebc,S17="Pre-BC"),IF(includesunwell,S17="Sunwell"))),MAX($AB$1:AB16)+1,"")</f>
        <v>9</v>
      </c>
      <c r="AC17" s="738">
        <v>14</v>
      </c>
      <c r="AD17" s="714" t="str">
        <f t="shared" si="0"/>
        <v/>
      </c>
      <c r="AE17" s="48"/>
    </row>
    <row r="18" spans="1:31" s="208" customFormat="1">
      <c r="A18" s="10" t="s">
        <v>2366</v>
      </c>
      <c r="B18" s="116">
        <v>27712</v>
      </c>
      <c r="C18" s="116">
        <v>1</v>
      </c>
      <c r="D18" s="114"/>
      <c r="E18" s="114">
        <v>20</v>
      </c>
      <c r="F18" s="114">
        <v>40</v>
      </c>
      <c r="G18" s="116"/>
      <c r="H18" s="116"/>
      <c r="I18" s="116"/>
      <c r="J18" s="114"/>
      <c r="K18" s="116"/>
      <c r="L18" s="114">
        <v>18</v>
      </c>
      <c r="M18" s="116"/>
      <c r="N18" s="116"/>
      <c r="O18" s="116"/>
      <c r="P18" s="114"/>
      <c r="Q18" s="114" t="s">
        <v>1033</v>
      </c>
      <c r="R18" s="114"/>
      <c r="S18" s="114" t="s">
        <v>691</v>
      </c>
      <c r="T18" s="116"/>
      <c r="U18" s="687"/>
      <c r="V18" s="679"/>
      <c r="W18" s="682" t="s">
        <v>632</v>
      </c>
      <c r="X18" s="682">
        <v>115</v>
      </c>
      <c r="Y18" s="682"/>
      <c r="Z18" s="1355">
        <f>($D18*dpsStr+$E18*dpsAgi+$G18*dpsCrit+$H18*dpsHit+$F18*dpsAP+$I18*dpsHaste+$J18*dpsArmor+$K18*dpsExp+IF(MID(Q18,1,1)+MID(Q18,3,1)+MID(Q18,5,1)&gt;0,VLOOKUP('Gear &amp; Buffs'!$B$49,GenSocketStats,18,FALSE)+IF(MID(Q18,1,1)+MID(Q18,3,1)+MID(Q18,5,1)&gt;1,VLOOKUP('Gear &amp; Buffs'!$B$50,GenSocketStats,18,FALSE)+IF(MID(Q18,1,1)+MID(Q18,3,1)+MID(Q18,5,1)&gt;2,VLOOKUP('Gear &amp; Buffs'!$B$51,GenSocketStats,18,FALSE),0)),0))-'Gear &amp; Buffs'!$AF$47</f>
        <v>-111.70309697104813</v>
      </c>
      <c r="AA18" s="1353"/>
      <c r="AB18" s="221">
        <f>IF(AND(IF('Gear &amp; Buffs'!$AC$50,Z18&gt;0+'Gear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Aman"),IF(includeprebc,S18="Pre-BC"),IF(includesunwell,S18="Sunwell"))),MAX($AB$1:AB17)+1,"")</f>
        <v>10</v>
      </c>
      <c r="AC18" s="738">
        <v>15</v>
      </c>
      <c r="AD18" s="714" t="str">
        <f t="shared" si="0"/>
        <v/>
      </c>
      <c r="AE18" s="48"/>
    </row>
    <row r="19" spans="1:31" s="47" customFormat="1">
      <c r="A19" s="691" t="s">
        <v>1270</v>
      </c>
      <c r="B19" s="114">
        <v>32647</v>
      </c>
      <c r="C19" s="114">
        <v>3</v>
      </c>
      <c r="D19" s="114"/>
      <c r="E19" s="114">
        <v>20</v>
      </c>
      <c r="F19" s="114">
        <v>42</v>
      </c>
      <c r="G19" s="114"/>
      <c r="H19" s="114"/>
      <c r="I19" s="114"/>
      <c r="J19" s="114"/>
      <c r="K19" s="116"/>
      <c r="L19" s="114">
        <v>18</v>
      </c>
      <c r="M19" s="114"/>
      <c r="N19" s="116"/>
      <c r="O19" s="116"/>
      <c r="P19" s="114"/>
      <c r="Q19" s="114" t="s">
        <v>1039</v>
      </c>
      <c r="R19" s="114" t="s">
        <v>1066</v>
      </c>
      <c r="S19" s="114" t="s">
        <v>676</v>
      </c>
      <c r="T19" s="116"/>
      <c r="U19" s="687"/>
      <c r="V19" s="679"/>
      <c r="W19" s="682" t="s">
        <v>191</v>
      </c>
      <c r="X19" s="682">
        <v>105</v>
      </c>
      <c r="Y19" s="682"/>
      <c r="Z19" s="1355">
        <f>($D19*dpsStr+$E19*dpsAgi+$G19*dpsCrit+$H19*dpsHit+$F19*dpsAP+$I19*dpsHaste+$J19*dpsArmor+$K19*dpsExp+IF(MID(Q19,1,1)+MID(Q19,3,1)+MID(Q19,5,1)&gt;0,VLOOKUP('Gear &amp; Buffs'!$B$49,GenSocketStats,18,FALSE)+IF(MID(Q19,1,1)+MID(Q19,3,1)+MID(Q19,5,1)&gt;1,VLOOKUP('Gear &amp; Buffs'!$B$50,GenSocketStats,18,FALSE)+IF(MID(Q19,1,1)+MID(Q19,3,1)+MID(Q19,5,1)&gt;2,VLOOKUP('Gear &amp; Buffs'!$B$51,GenSocketStats,18,FALSE),0)),0))-'Gear &amp; Buffs'!$AF$47</f>
        <v>-66.588185182320558</v>
      </c>
      <c r="AA19" s="1353"/>
      <c r="AB19" s="221" t="str">
        <f>IF(AND(IF('Gear &amp; Buffs'!$AC$50,Z19&gt;0+'Gear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Aman"),IF(includeprebc,S19="Pre-BC"),IF(includesunwell,S19="Sunwell"))),MAX($AB$1:AB18)+1,"")</f>
        <v/>
      </c>
      <c r="AC19" s="738">
        <v>16</v>
      </c>
      <c r="AD19" s="714" t="str">
        <f t="shared" si="0"/>
        <v/>
      </c>
    </row>
    <row r="20" spans="1:31" s="208" customFormat="1">
      <c r="A20" s="10" t="s">
        <v>983</v>
      </c>
      <c r="B20" s="116">
        <v>34448</v>
      </c>
      <c r="C20" s="116">
        <v>5</v>
      </c>
      <c r="D20" s="114"/>
      <c r="E20" s="114">
        <v>27</v>
      </c>
      <c r="F20" s="114">
        <v>64</v>
      </c>
      <c r="G20" s="116"/>
      <c r="H20" s="116">
        <v>18</v>
      </c>
      <c r="I20" s="116">
        <v>17</v>
      </c>
      <c r="J20" s="114"/>
      <c r="K20" s="116"/>
      <c r="L20" s="114">
        <v>16</v>
      </c>
      <c r="M20" s="116"/>
      <c r="N20" s="116"/>
      <c r="O20" s="116"/>
      <c r="P20" s="114" t="s">
        <v>999</v>
      </c>
      <c r="Q20" s="114" t="s">
        <v>1035</v>
      </c>
      <c r="R20" s="114" t="s">
        <v>1338</v>
      </c>
      <c r="S20" s="114" t="s">
        <v>871</v>
      </c>
      <c r="T20" s="116"/>
      <c r="U20" s="687"/>
      <c r="V20" s="679"/>
      <c r="W20" s="682" t="s">
        <v>191</v>
      </c>
      <c r="X20" s="682">
        <v>154</v>
      </c>
      <c r="Y20" s="682"/>
      <c r="Z20" s="1355">
        <f>($D20*dpsStr+$E20*dpsAgi+$G20*dpsCrit+$H20*dpsHit+$F20*dpsAP+$I20*dpsHaste+$J20*dpsArmor+$K20*dpsExp+IF(MID(Q20,1,1)+MID(Q20,3,1)+MID(Q20,5,1)&gt;0,VLOOKUP('Gear &amp; Buffs'!$B$49,GenSocketStats,18,FALSE)+IF(MID(Q20,1,1)+MID(Q20,3,1)+MID(Q20,5,1)&gt;1,VLOOKUP('Gear &amp; Buffs'!$B$50,GenSocketStats,18,FALSE)+IF(MID(Q20,1,1)+MID(Q20,3,1)+MID(Q20,5,1)&gt;2,VLOOKUP('Gear &amp; Buffs'!$B$51,GenSocketStats,18,FALSE),0)),0))-'Gear &amp; Buffs'!$AF$47</f>
        <v>109.37767244346901</v>
      </c>
      <c r="AA20" s="1353"/>
      <c r="AB20" s="221" t="str">
        <f>IF(AND(IF('Gear &amp; Buffs'!$AC$50,Z20&gt;0+'Gear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Aman"),IF(includeprebc,S20="Pre-BC"),IF(includesunwell,S20="Sunwell"))),MAX($AB$1:AB19)+1,"")</f>
        <v/>
      </c>
      <c r="AC20" s="738">
        <v>17</v>
      </c>
      <c r="AD20" s="714" t="str">
        <f t="shared" si="0"/>
        <v/>
      </c>
      <c r="AE20" s="48"/>
    </row>
    <row r="21" spans="1:31" s="208" customFormat="1">
      <c r="A21" s="10" t="s">
        <v>1301</v>
      </c>
      <c r="B21" s="116">
        <v>28171</v>
      </c>
      <c r="C21" s="116">
        <v>1</v>
      </c>
      <c r="D21" s="114"/>
      <c r="E21" s="114">
        <v>18</v>
      </c>
      <c r="F21" s="114"/>
      <c r="G21" s="116"/>
      <c r="H21" s="116">
        <v>15</v>
      </c>
      <c r="I21" s="116"/>
      <c r="J21" s="114"/>
      <c r="K21" s="116"/>
      <c r="L21" s="114">
        <v>15</v>
      </c>
      <c r="M21" s="116"/>
      <c r="N21" s="116"/>
      <c r="O21" s="116"/>
      <c r="P21" s="114"/>
      <c r="Q21" s="114" t="s">
        <v>1035</v>
      </c>
      <c r="R21" s="114" t="s">
        <v>1303</v>
      </c>
      <c r="S21" s="114" t="s">
        <v>675</v>
      </c>
      <c r="T21" s="116"/>
      <c r="U21" s="687"/>
      <c r="V21" s="679"/>
      <c r="W21" s="682" t="s">
        <v>632</v>
      </c>
      <c r="X21" s="682">
        <v>115</v>
      </c>
      <c r="Y21" s="682"/>
      <c r="Z21" s="1355">
        <f>($D21*dpsStr+$E21*dpsAgi+$G21*dpsCrit+$H21*dpsHit+$F21*dpsAP+$I21*dpsHaste+$J21*dpsArmor+$K21*dpsExp+IF(MID(Q21,1,1)+MID(Q21,3,1)+MID(Q21,5,1)&gt;0,VLOOKUP('Gear &amp; Buffs'!$B$49,GenSocketStats,18,FALSE)+IF(MID(Q21,1,1)+MID(Q21,3,1)+MID(Q21,5,1)&gt;1,VLOOKUP('Gear &amp; Buffs'!$B$50,GenSocketStats,18,FALSE)+IF(MID(Q21,1,1)+MID(Q21,3,1)+MID(Q21,5,1)&gt;2,VLOOKUP('Gear &amp; Buffs'!$B$51,GenSocketStats,18,FALSE),0)),0))-'Gear &amp; Buffs'!$AF$47</f>
        <v>0</v>
      </c>
      <c r="AA21" s="1353"/>
      <c r="AB21" s="221">
        <f>IF(AND(IF('Gear &amp; Buffs'!$AC$50,Z21&gt;0+'Gear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Aman"),IF(includeprebc,S21="Pre-BC"),IF(includesunwell,S21="Sunwell"))),MAX($AB$1:AB20)+1,"")</f>
        <v>11</v>
      </c>
      <c r="AC21" s="738">
        <v>18</v>
      </c>
      <c r="AD21" s="714" t="str">
        <f t="shared" si="0"/>
        <v/>
      </c>
      <c r="AE21" s="48"/>
    </row>
    <row r="22" spans="1:31" s="208" customFormat="1">
      <c r="A22" s="10" t="s">
        <v>1304</v>
      </c>
      <c r="B22" s="116">
        <v>32580</v>
      </c>
      <c r="C22" s="116">
        <v>3</v>
      </c>
      <c r="D22" s="114"/>
      <c r="E22" s="114">
        <v>20</v>
      </c>
      <c r="F22" s="114">
        <v>50</v>
      </c>
      <c r="G22" s="116"/>
      <c r="H22" s="116"/>
      <c r="I22" s="116">
        <v>27</v>
      </c>
      <c r="J22" s="114"/>
      <c r="K22" s="116"/>
      <c r="L22" s="114">
        <v>34</v>
      </c>
      <c r="M22" s="116"/>
      <c r="N22" s="116"/>
      <c r="O22" s="116"/>
      <c r="P22" s="114"/>
      <c r="Q22" s="114" t="s">
        <v>1033</v>
      </c>
      <c r="R22" s="114"/>
      <c r="S22" s="114" t="s">
        <v>685</v>
      </c>
      <c r="T22" s="116"/>
      <c r="U22" s="687"/>
      <c r="V22" s="679"/>
      <c r="W22" s="682" t="s">
        <v>191</v>
      </c>
      <c r="X22" s="682">
        <v>141</v>
      </c>
      <c r="Y22" s="682"/>
      <c r="Z22" s="1355">
        <f>($D22*dpsStr+$E22*dpsAgi+$G22*dpsCrit+$H22*dpsHit+$F22*dpsAP+$I22*dpsHaste+$J22*dpsArmor+$K22*dpsExp+IF(MID(Q22,1,1)+MID(Q22,3,1)+MID(Q22,5,1)&gt;0,VLOOKUP('Gear &amp; Buffs'!$B$49,GenSocketStats,18,FALSE)+IF(MID(Q22,1,1)+MID(Q22,3,1)+MID(Q22,5,1)&gt;1,VLOOKUP('Gear &amp; Buffs'!$B$50,GenSocketStats,18,FALSE)+IF(MID(Q22,1,1)+MID(Q22,3,1)+MID(Q22,5,1)&gt;2,VLOOKUP('Gear &amp; Buffs'!$B$51,GenSocketStats,18,FALSE),0)),0))-'Gear &amp; Buffs'!$AF$47</f>
        <v>-9.0024087589526971</v>
      </c>
      <c r="AA22" s="1353"/>
      <c r="AB22" s="221" t="str">
        <f>IF(AND(IF('Gear &amp; Buffs'!$AC$50,Z22&gt;0+'Gear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Aman"),IF(includeprebc,S22="Pre-BC"),IF(includesunwell,S22="Sunwell"))),MAX($AB$1:AB21)+1,"")</f>
        <v/>
      </c>
      <c r="AC22" s="738">
        <v>19</v>
      </c>
      <c r="AD22" s="714" t="str">
        <f t="shared" si="0"/>
        <v/>
      </c>
      <c r="AE22" s="48"/>
    </row>
    <row r="23" spans="1:31" s="208" customFormat="1">
      <c r="A23" s="10" t="s">
        <v>1305</v>
      </c>
      <c r="B23" s="116">
        <v>29966</v>
      </c>
      <c r="C23" s="116">
        <v>2</v>
      </c>
      <c r="D23" s="114"/>
      <c r="E23" s="114">
        <v>24</v>
      </c>
      <c r="F23" s="114">
        <v>52</v>
      </c>
      <c r="G23" s="116"/>
      <c r="H23" s="116"/>
      <c r="I23" s="116"/>
      <c r="J23" s="114"/>
      <c r="K23" s="116"/>
      <c r="L23" s="114">
        <v>24</v>
      </c>
      <c r="M23" s="116"/>
      <c r="N23" s="116"/>
      <c r="O23" s="116"/>
      <c r="P23" s="114"/>
      <c r="Q23" s="114" t="s">
        <v>1039</v>
      </c>
      <c r="R23" s="114" t="s">
        <v>1066</v>
      </c>
      <c r="S23" s="114" t="s">
        <v>680</v>
      </c>
      <c r="T23" s="116"/>
      <c r="U23" s="687"/>
      <c r="V23" s="679"/>
      <c r="W23" s="682" t="s">
        <v>191</v>
      </c>
      <c r="X23" s="682">
        <v>128</v>
      </c>
      <c r="Y23" s="682"/>
      <c r="Z23" s="1355">
        <f>($D23*dpsStr+$E23*dpsAgi+$G23*dpsCrit+$H23*dpsHit+$F23*dpsAP+$I23*dpsHaste+$J23*dpsArmor+$K23*dpsExp+IF(MID(Q23,1,1)+MID(Q23,3,1)+MID(Q23,5,1)&gt;0,VLOOKUP('Gear &amp; Buffs'!$B$49,GenSocketStats,18,FALSE)+IF(MID(Q23,1,1)+MID(Q23,3,1)+MID(Q23,5,1)&gt;1,VLOOKUP('Gear &amp; Buffs'!$B$50,GenSocketStats,18,FALSE)+IF(MID(Q23,1,1)+MID(Q23,3,1)+MID(Q23,5,1)&gt;2,VLOOKUP('Gear &amp; Buffs'!$B$51,GenSocketStats,18,FALSE),0)),0))-'Gear &amp; Buffs'!$AF$47</f>
        <v>-59.706033446429046</v>
      </c>
      <c r="AA23" s="1353"/>
      <c r="AB23" s="221" t="str">
        <f>IF(AND(IF('Gear &amp; Buffs'!$AC$50,Z23&gt;0+'Gear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Aman"),IF(includeprebc,S23="Pre-BC"),IF(includesunwell,S23="Sunwell"))),MAX($AB$1:AB22)+1,"")</f>
        <v/>
      </c>
      <c r="AC23" s="738">
        <v>20</v>
      </c>
      <c r="AD23" s="714" t="str">
        <f t="shared" si="0"/>
        <v/>
      </c>
      <c r="AE23" s="48"/>
    </row>
    <row r="24" spans="1:31" s="208" customFormat="1">
      <c r="A24" s="10" t="s">
        <v>1306</v>
      </c>
      <c r="B24" s="116">
        <v>32814</v>
      </c>
      <c r="C24" s="116">
        <v>2</v>
      </c>
      <c r="D24" s="114"/>
      <c r="E24" s="114">
        <v>21</v>
      </c>
      <c r="F24" s="114">
        <v>20</v>
      </c>
      <c r="G24" s="116">
        <v>9</v>
      </c>
      <c r="H24" s="116"/>
      <c r="I24" s="116"/>
      <c r="J24" s="114"/>
      <c r="K24" s="116"/>
      <c r="L24" s="114">
        <v>29</v>
      </c>
      <c r="M24" s="116"/>
      <c r="N24" s="116">
        <v>15</v>
      </c>
      <c r="O24" s="116"/>
      <c r="P24" s="114"/>
      <c r="Q24" s="114" t="s">
        <v>1043</v>
      </c>
      <c r="R24" s="114" t="s">
        <v>1070</v>
      </c>
      <c r="S24" s="114" t="s">
        <v>677</v>
      </c>
      <c r="T24" s="116"/>
      <c r="U24" s="687"/>
      <c r="V24" s="679"/>
      <c r="W24" s="682" t="s">
        <v>191</v>
      </c>
      <c r="X24" s="682">
        <v>126</v>
      </c>
      <c r="Y24" s="682"/>
      <c r="Z24" s="1355">
        <f>($D24*dpsStr+$E24*dpsAgi+$G24*dpsCrit+$H24*dpsHit+$F24*dpsAP+$I24*dpsHaste+$J24*dpsArmor+$K24*dpsExp+IF(MID(Q24,1,1)+MID(Q24,3,1)+MID(Q24,5,1)&gt;0,VLOOKUP('Gear &amp; Buffs'!$B$49,GenSocketStats,18,FALSE)+IF(MID(Q24,1,1)+MID(Q24,3,1)+MID(Q24,5,1)&gt;1,VLOOKUP('Gear &amp; Buffs'!$B$50,GenSocketStats,18,FALSE)+IF(MID(Q24,1,1)+MID(Q24,3,1)+MID(Q24,5,1)&gt;2,VLOOKUP('Gear &amp; Buffs'!$B$51,GenSocketStats,18,FALSE),0)),0))-'Gear &amp; Buffs'!$AF$47</f>
        <v>-67.450066132213806</v>
      </c>
      <c r="AA24" s="1353"/>
      <c r="AB24" s="221" t="str">
        <f>IF(AND(IF('Gear &amp; Buffs'!$AC$50,Z24&gt;0+'Gear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Aman"),IF(includeprebc,S24="Pre-BC"),IF(includesunwell,S24="Sunwell"))),MAX($AB$1:AB23)+1,"")</f>
        <v/>
      </c>
      <c r="AC24" s="738">
        <v>21</v>
      </c>
      <c r="AD24" s="714" t="str">
        <f t="shared" si="0"/>
        <v/>
      </c>
      <c r="AE24" s="48"/>
    </row>
    <row r="25" spans="1:31" s="208" customFormat="1">
      <c r="A25" s="130" t="s">
        <v>792</v>
      </c>
      <c r="B25" s="116">
        <v>33881</v>
      </c>
      <c r="C25" s="116">
        <v>3</v>
      </c>
      <c r="D25" s="114">
        <v>22</v>
      </c>
      <c r="E25" s="114">
        <v>22</v>
      </c>
      <c r="F25" s="114"/>
      <c r="G25" s="116">
        <v>21</v>
      </c>
      <c r="H25" s="116"/>
      <c r="I25" s="116"/>
      <c r="J25" s="114"/>
      <c r="K25" s="116"/>
      <c r="L25" s="114">
        <v>29</v>
      </c>
      <c r="M25" s="116"/>
      <c r="N25" s="116">
        <v>17</v>
      </c>
      <c r="O25" s="116"/>
      <c r="P25" s="114"/>
      <c r="Q25" s="114" t="s">
        <v>1035</v>
      </c>
      <c r="R25" s="114" t="s">
        <v>1070</v>
      </c>
      <c r="S25" s="114" t="s">
        <v>677</v>
      </c>
      <c r="T25" s="116"/>
      <c r="U25" s="687"/>
      <c r="V25" s="679"/>
      <c r="W25" s="682" t="s">
        <v>191</v>
      </c>
      <c r="X25" s="682">
        <v>141</v>
      </c>
      <c r="Y25" s="682"/>
      <c r="Z25" s="1355">
        <f>($D25*dpsStr+$E25*dpsAgi+$G25*dpsCrit+$H25*dpsHit+$F25*dpsAP+$I25*dpsHaste+$J25*dpsArmor+$K25*dpsExp+IF(MID(Q25,1,1)+MID(Q25,3,1)+MID(Q25,5,1)&gt;0,VLOOKUP('Gear &amp; Buffs'!$B$49,GenSocketStats,18,FALSE)+IF(MID(Q25,1,1)+MID(Q25,3,1)+MID(Q25,5,1)&gt;1,VLOOKUP('Gear &amp; Buffs'!$B$50,GenSocketStats,18,FALSE)+IF(MID(Q25,1,1)+MID(Q25,3,1)+MID(Q25,5,1)&gt;2,VLOOKUP('Gear &amp; Buffs'!$B$51,GenSocketStats,18,FALSE),0)),0))-'Gear &amp; Buffs'!$AF$47</f>
        <v>-56.892511488160835</v>
      </c>
      <c r="AA25" s="1353"/>
      <c r="AB25" s="221" t="str">
        <f>IF(AND(IF('Gear &amp; Buffs'!$AC$50,Z25&gt;0+'Gear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Aman"),IF(includeprebc,S25="Pre-BC"),IF(includesunwell,S25="Sunwell"))),MAX($AB$1:AB24)+1,"")</f>
        <v/>
      </c>
      <c r="AC25" s="738">
        <v>22</v>
      </c>
      <c r="AD25" s="714" t="str">
        <f t="shared" si="0"/>
        <v/>
      </c>
      <c r="AE25" s="48"/>
    </row>
    <row r="26" spans="1:31">
      <c r="A26" s="130" t="s">
        <v>1424</v>
      </c>
      <c r="B26" s="116">
        <v>33893</v>
      </c>
      <c r="C26" s="116">
        <v>3</v>
      </c>
      <c r="D26" s="114"/>
      <c r="E26" s="114">
        <v>25</v>
      </c>
      <c r="F26" s="114">
        <v>26</v>
      </c>
      <c r="G26" s="116">
        <v>12</v>
      </c>
      <c r="H26" s="116"/>
      <c r="I26" s="116"/>
      <c r="J26" s="114"/>
      <c r="K26" s="116"/>
      <c r="L26" s="114">
        <v>33</v>
      </c>
      <c r="M26" s="116"/>
      <c r="N26" s="116">
        <v>15</v>
      </c>
      <c r="O26" s="116"/>
      <c r="P26" s="114"/>
      <c r="Q26" s="114" t="s">
        <v>1043</v>
      </c>
      <c r="R26" s="114" t="s">
        <v>1070</v>
      </c>
      <c r="S26" s="114" t="s">
        <v>677</v>
      </c>
      <c r="T26" s="116"/>
      <c r="U26" s="687"/>
      <c r="V26" s="679"/>
      <c r="W26" s="682" t="s">
        <v>191</v>
      </c>
      <c r="X26" s="682">
        <v>141</v>
      </c>
      <c r="Y26" s="682"/>
      <c r="Z26" s="1355">
        <f>($D26*dpsStr+$E26*dpsAgi+$G26*dpsCrit+$H26*dpsHit+$F26*dpsAP+$I26*dpsHaste+$J26*dpsArmor+$K26*dpsExp+IF(MID(Q26,1,1)+MID(Q26,3,1)+MID(Q26,5,1)&gt;0,VLOOKUP('Gear &amp; Buffs'!$B$49,GenSocketStats,18,FALSE)+IF(MID(Q26,1,1)+MID(Q26,3,1)+MID(Q26,5,1)&gt;1,VLOOKUP('Gear &amp; Buffs'!$B$50,GenSocketStats,18,FALSE)+IF(MID(Q26,1,1)+MID(Q26,3,1)+MID(Q26,5,1)&gt;2,VLOOKUP('Gear &amp; Buffs'!$B$51,GenSocketStats,18,FALSE),0)),0))-'Gear &amp; Buffs'!$AF$47</f>
        <v>-59.939845583214492</v>
      </c>
      <c r="AA26" s="1353"/>
      <c r="AB26" s="221" t="str">
        <f>IF(AND(IF('Gear &amp; Buffs'!$AC$50,Z26&gt;0+'Gear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Aman"),IF(includeprebc,S26="Pre-BC"),IF(includesunwell,S26="Sunwell"))),MAX($AB$1:AB25)+1,"")</f>
        <v/>
      </c>
      <c r="AC26" s="738">
        <v>23</v>
      </c>
      <c r="AD26" s="714" t="str">
        <f t="shared" si="0"/>
        <v/>
      </c>
    </row>
    <row r="27" spans="1:31">
      <c r="A27" s="130" t="s">
        <v>2497</v>
      </c>
      <c r="B27" s="116">
        <v>32532</v>
      </c>
      <c r="C27" s="116">
        <v>3</v>
      </c>
      <c r="D27" s="114"/>
      <c r="E27" s="114"/>
      <c r="F27" s="114">
        <v>60</v>
      </c>
      <c r="G27" s="116">
        <v>12</v>
      </c>
      <c r="H27" s="116"/>
      <c r="I27" s="116"/>
      <c r="J27" s="114"/>
      <c r="K27" s="116"/>
      <c r="L27" s="114"/>
      <c r="M27" s="116"/>
      <c r="N27" s="116"/>
      <c r="O27" s="116"/>
      <c r="P27" s="114"/>
      <c r="Q27" s="114" t="s">
        <v>1033</v>
      </c>
      <c r="R27" s="114"/>
      <c r="S27" s="114" t="s">
        <v>673</v>
      </c>
      <c r="T27" s="116"/>
      <c r="U27" s="687"/>
      <c r="V27" s="679"/>
      <c r="W27" s="682" t="s">
        <v>632</v>
      </c>
      <c r="X27" s="682">
        <v>115</v>
      </c>
      <c r="Y27" s="682"/>
      <c r="Z27" s="1355">
        <f>($D27*dpsStr+$E27*dpsAgi+$G27*dpsCrit+$H27*dpsHit+$F27*dpsAP+$I27*dpsHaste+$J27*dpsArmor+$K27*dpsExp+IF(MID(Q27,1,1)+MID(Q27,3,1)+MID(Q27,5,1)&gt;0,VLOOKUP('Gear &amp; Buffs'!$B$49,GenSocketStats,18,FALSE)+IF(MID(Q27,1,1)+MID(Q27,3,1)+MID(Q27,5,1)&gt;1,VLOOKUP('Gear &amp; Buffs'!$B$50,GenSocketStats,18,FALSE)+IF(MID(Q27,1,1)+MID(Q27,3,1)+MID(Q27,5,1)&gt;2,VLOOKUP('Gear &amp; Buffs'!$B$51,GenSocketStats,18,FALSE),0)),0))-'Gear &amp; Buffs'!$AF$47</f>
        <v>-112.87119817453049</v>
      </c>
      <c r="AA27" s="1353"/>
      <c r="AB27" s="221" t="str">
        <f>IF(AND(IF('Gear &amp; Buffs'!$AC$50,Z27&gt;0+'Gear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Aman"),IF(includeprebc,S27="Pre-BC"),IF(includesunwell,S27="Sunwell"))),MAX($AB$1:AB26)+1,"")</f>
        <v/>
      </c>
      <c r="AC27" s="738">
        <v>24</v>
      </c>
      <c r="AD27" s="714" t="str">
        <f t="shared" si="0"/>
        <v/>
      </c>
    </row>
    <row r="28" spans="1:31">
      <c r="A28" s="10" t="str">
        <f>'Gear &amp; Buffs'!$B$161</f>
        <v>(Unmodeled)</v>
      </c>
      <c r="B28" s="114"/>
      <c r="C28" s="114"/>
      <c r="D28" s="114">
        <f>'Gear &amp; Buffs'!$D$161</f>
        <v>0</v>
      </c>
      <c r="E28" s="114">
        <f>'Gear &amp; Buffs'!$E$161</f>
        <v>0</v>
      </c>
      <c r="F28" s="114">
        <f>'Gear &amp; Buffs'!$I$161</f>
        <v>0</v>
      </c>
      <c r="G28" s="115">
        <f>'Gear &amp; Buffs'!$G$161</f>
        <v>0</v>
      </c>
      <c r="H28" s="115">
        <f>'Gear &amp; Buffs'!$H$161</f>
        <v>0</v>
      </c>
      <c r="I28" s="115">
        <f>'Gear &amp; Buffs'!$P$161</f>
        <v>0</v>
      </c>
      <c r="J28" s="114">
        <f>'Gear &amp; Buffs'!$Q$161</f>
        <v>0</v>
      </c>
      <c r="K28" s="116">
        <f>'Gear &amp; Buffs'!$L$161</f>
        <v>0</v>
      </c>
      <c r="L28" s="114">
        <f>'Gear &amp; Buffs'!$F$161</f>
        <v>0</v>
      </c>
      <c r="M28" s="116">
        <f>'Gear &amp; Buffs'!$K$161</f>
        <v>0</v>
      </c>
      <c r="N28" s="114">
        <f>'Gear &amp; Buffs'!$J$161</f>
        <v>0</v>
      </c>
      <c r="O28" s="115">
        <f>'Gear &amp; Buffs'!M161</f>
        <v>0</v>
      </c>
      <c r="P28" s="114"/>
      <c r="Q28" s="114" t="str">
        <f>'Gear &amp; Buffs'!$R$161</f>
        <v>0 0 0</v>
      </c>
      <c r="R28" s="720">
        <f>'Gear &amp; Buffs'!$S$161</f>
        <v>0</v>
      </c>
      <c r="S28" s="114"/>
      <c r="T28" s="114"/>
      <c r="U28" s="687"/>
      <c r="V28" s="678"/>
      <c r="W28" s="682"/>
      <c r="X28" s="682"/>
      <c r="Y28" s="682"/>
      <c r="Z28" s="1355">
        <f>($D28*dpsStr+$E28*dpsAgi+$G28*dpsCrit+$H28*dpsHit+$F28*dpsAP+$I28*dpsHaste+$J28*dpsArmor+$K28*dpsExp+IF(MID(Q28,1,1)+MID(Q28,3,1)+MID(Q28,5,1)&gt;0,VLOOKUP('Gear &amp; Buffs'!$B$49,GenSocketStats,18,FALSE)+IF(MID(Q28,1,1)+MID(Q28,3,1)+MID(Q28,5,1)&gt;1,VLOOKUP('Gear &amp; Buffs'!$B$50,GenSocketStats,18,FALSE)+IF(MID(Q28,1,1)+MID(Q28,3,1)+MID(Q28,5,1)&gt;2,VLOOKUP('Gear &amp; Buffs'!$B$51,GenSocketStats,18,FALSE),0)),0))-'Gear &amp; Buffs'!$AF$47</f>
        <v>-142.54055539195406</v>
      </c>
      <c r="AA28" s="1353"/>
      <c r="AB28" s="681">
        <f>MAX($AB$1:AB27)+1</f>
        <v>12</v>
      </c>
      <c r="AC28" s="738">
        <v>25</v>
      </c>
      <c r="AD28" s="714" t="str">
        <f t="shared" si="0"/>
        <v/>
      </c>
    </row>
    <row r="29" spans="1:31">
      <c r="A29" s="10" t="s">
        <v>2207</v>
      </c>
      <c r="B29" s="114"/>
      <c r="C29" s="114"/>
      <c r="D29" s="114"/>
      <c r="E29" s="114"/>
      <c r="F29" s="114"/>
      <c r="G29" s="116"/>
      <c r="H29" s="116"/>
      <c r="I29" s="114"/>
      <c r="J29" s="114"/>
      <c r="K29" s="114"/>
      <c r="L29" s="114"/>
      <c r="M29" s="116"/>
      <c r="N29" s="116"/>
      <c r="O29" s="114"/>
      <c r="P29" s="114"/>
      <c r="Q29" s="114" t="s">
        <v>1033</v>
      </c>
      <c r="R29" s="114"/>
      <c r="S29" s="114"/>
      <c r="T29" s="114"/>
      <c r="U29" s="687"/>
      <c r="V29" s="678"/>
      <c r="W29" s="682"/>
      <c r="X29" s="682"/>
      <c r="Y29" s="682"/>
      <c r="Z29" s="678"/>
      <c r="AA29" s="711"/>
      <c r="AB29" s="681"/>
      <c r="AC29" s="738">
        <v>26</v>
      </c>
      <c r="AD29" s="714" t="str">
        <f t="shared" si="0"/>
        <v/>
      </c>
    </row>
    <row r="30" spans="1:31" s="208" customFormat="1">
      <c r="A30" s="699"/>
      <c r="B30" s="696"/>
      <c r="C30" s="696"/>
      <c r="D30" s="699"/>
      <c r="E30" s="699"/>
      <c r="F30" s="699"/>
      <c r="G30" s="699"/>
      <c r="H30" s="699"/>
      <c r="I30" s="699"/>
      <c r="J30" s="696"/>
      <c r="K30" s="715"/>
      <c r="L30" s="699"/>
      <c r="M30" s="699"/>
      <c r="N30" s="715"/>
      <c r="O30" s="715"/>
      <c r="P30" s="699"/>
      <c r="Q30" s="699"/>
      <c r="R30" s="696"/>
      <c r="S30" s="696"/>
      <c r="T30" s="715"/>
      <c r="U30" s="682"/>
      <c r="V30" s="717"/>
      <c r="W30" s="682"/>
      <c r="X30" s="682"/>
      <c r="Y30" s="682"/>
      <c r="Z30" s="678"/>
      <c r="AA30" s="678"/>
      <c r="AB30" s="684"/>
      <c r="AC30" s="738">
        <v>27</v>
      </c>
      <c r="AD30" s="714" t="str">
        <f t="shared" si="0"/>
        <v/>
      </c>
    </row>
    <row r="31" spans="1:31">
      <c r="A31" s="723"/>
      <c r="B31" s="727"/>
      <c r="C31" s="727"/>
      <c r="D31" s="723"/>
      <c r="E31" s="723"/>
      <c r="F31" s="723"/>
      <c r="G31" s="723"/>
      <c r="H31" s="723"/>
      <c r="I31" s="723"/>
      <c r="J31" s="727"/>
      <c r="K31" s="764"/>
      <c r="L31" s="723"/>
      <c r="M31" s="723"/>
      <c r="N31" s="764"/>
      <c r="O31" s="764"/>
      <c r="P31" s="723"/>
      <c r="Q31" s="723"/>
      <c r="R31" s="727"/>
      <c r="S31" s="727"/>
      <c r="T31" s="764"/>
      <c r="U31" s="723"/>
      <c r="V31" s="764"/>
      <c r="W31" s="723"/>
      <c r="X31" s="723"/>
      <c r="Y31" s="723"/>
      <c r="Z31" s="727"/>
      <c r="AA31" s="727"/>
      <c r="AB31" s="727"/>
      <c r="AC31" s="727"/>
      <c r="AD31" s="724"/>
    </row>
    <row r="32" spans="1:31" ht="23.25" thickBot="1">
      <c r="A32" s="740" t="s">
        <v>1307</v>
      </c>
      <c r="B32" s="730" t="s">
        <v>1934</v>
      </c>
      <c r="C32" s="730" t="s">
        <v>2798</v>
      </c>
      <c r="D32" s="731" t="s">
        <v>1214</v>
      </c>
      <c r="E32" s="731" t="s">
        <v>1215</v>
      </c>
      <c r="F32" s="731" t="s">
        <v>768</v>
      </c>
      <c r="G32" s="730" t="s">
        <v>2140</v>
      </c>
      <c r="H32" s="730" t="s">
        <v>2139</v>
      </c>
      <c r="I32" s="730" t="s">
        <v>771</v>
      </c>
      <c r="J32" s="732" t="s">
        <v>770</v>
      </c>
      <c r="K32" s="730" t="s">
        <v>760</v>
      </c>
      <c r="L32" s="731" t="s">
        <v>1216</v>
      </c>
      <c r="M32" s="730" t="s">
        <v>264</v>
      </c>
      <c r="N32" s="730" t="s">
        <v>1217</v>
      </c>
      <c r="O32" s="730" t="s">
        <v>1287</v>
      </c>
      <c r="P32" s="730" t="s">
        <v>1046</v>
      </c>
      <c r="Q32" s="731" t="s">
        <v>1047</v>
      </c>
      <c r="R32" s="731" t="s">
        <v>1941</v>
      </c>
      <c r="S32" s="731" t="s">
        <v>666</v>
      </c>
      <c r="T32" s="730"/>
      <c r="U32" s="765"/>
      <c r="V32" s="730"/>
      <c r="W32" s="765" t="s">
        <v>921</v>
      </c>
      <c r="X32" s="765"/>
      <c r="Y32" s="765"/>
      <c r="Z32" s="733" t="s">
        <v>265</v>
      </c>
      <c r="AA32" s="733"/>
      <c r="AB32" s="744">
        <v>0</v>
      </c>
      <c r="AC32" s="741"/>
      <c r="AD32" s="759" t="s">
        <v>1689</v>
      </c>
    </row>
    <row r="33" spans="1:30">
      <c r="A33" s="695" t="s">
        <v>1271</v>
      </c>
      <c r="B33" s="696">
        <v>1593</v>
      </c>
      <c r="C33" s="696">
        <v>1</v>
      </c>
      <c r="D33" s="696"/>
      <c r="E33" s="696"/>
      <c r="F33" s="696">
        <v>24</v>
      </c>
      <c r="G33" s="697"/>
      <c r="H33" s="697"/>
      <c r="I33" s="699"/>
      <c r="J33" s="696"/>
      <c r="K33" s="715"/>
      <c r="L33" s="696"/>
      <c r="M33" s="697"/>
      <c r="N33" s="715"/>
      <c r="O33" s="715"/>
      <c r="P33" s="699"/>
      <c r="Q33" s="699"/>
      <c r="R33" s="696"/>
      <c r="S33" s="696" t="s">
        <v>1689</v>
      </c>
      <c r="T33" s="715"/>
      <c r="U33" s="699"/>
      <c r="V33" s="715"/>
      <c r="W33" s="699" t="b">
        <v>0</v>
      </c>
      <c r="X33" s="699"/>
      <c r="Y33" s="699"/>
      <c r="Z33" s="1355">
        <f>($D33*dpsStr+$E33*dpsAgi+$G33*dpsCrit+$H33*dpsHit+$F33*dpsAP+$I33*dpsHaste+$J33*dpsArmor+$K33*dpsExp)-'Gear &amp; Buffs'!$AF$48</f>
        <v>0</v>
      </c>
      <c r="AA33" s="1356"/>
      <c r="AB33" s="221">
        <f>IF(AND(OR(IF(includep1,$C33&lt;=1), IF(includep2,$C33&lt;=2), IF(includep3,$C33&lt;=3), IF(includep4,$C33&lt;=4), IF(includep5,$C33&lt;=5)), OR(IF(includeblacksmith,S33="Blacksmithing"),IF(includeleatherwork,S33="Leatherworking"),IF(includeengineer,S33="Engineering"),IF(includeenchanting,S33="Enchanting"),IF(includeboecrafted,S33="BoE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Hyjal"),IF(includeprebc,S33="Pre-BC"),S33="none"), IF(incDef, TRUE, NOT(W33))),MAX($AB32:AB$32)+1,"")</f>
        <v>1</v>
      </c>
      <c r="AC33" s="737"/>
      <c r="AD33" s="712"/>
    </row>
    <row r="34" spans="1:30">
      <c r="A34" s="677" t="s">
        <v>1308</v>
      </c>
      <c r="B34" s="678">
        <v>2649</v>
      </c>
      <c r="C34" s="678">
        <v>1</v>
      </c>
      <c r="D34" s="678"/>
      <c r="E34" s="678"/>
      <c r="F34" s="678"/>
      <c r="G34" s="679"/>
      <c r="H34" s="679"/>
      <c r="I34" s="682"/>
      <c r="J34" s="678"/>
      <c r="K34" s="717"/>
      <c r="L34" s="678">
        <v>12</v>
      </c>
      <c r="M34" s="682"/>
      <c r="N34" s="717"/>
      <c r="O34" s="717"/>
      <c r="P34" s="682"/>
      <c r="Q34" s="682"/>
      <c r="R34" s="678"/>
      <c r="S34" s="678" t="s">
        <v>1689</v>
      </c>
      <c r="T34" s="717"/>
      <c r="U34" s="682"/>
      <c r="V34" s="717"/>
      <c r="W34" s="682" t="b">
        <v>1</v>
      </c>
      <c r="X34" s="682"/>
      <c r="Y34" s="682"/>
      <c r="Z34" s="1355">
        <f>($D34*dpsStr+$E34*dpsAgi+$G34*dpsCrit+$H34*dpsHit+$F34*dpsAP+$I34*dpsHaste+$J34*dpsArmor+$K34*dpsExp)-'Gear &amp; Buffs'!$AF$48</f>
        <v>-8.5759206205239025</v>
      </c>
      <c r="AA34" s="721"/>
      <c r="AB34" s="221" t="str">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NOT(W34))),MAX($AB$32:AB33)+1,"")</f>
        <v/>
      </c>
      <c r="AC34" s="738">
        <v>1</v>
      </c>
      <c r="AD34" s="714" t="str">
        <f>IF(ISNA(INDEX($A$33:$A$37,MATCH(AC34,AB$33:AB$37,0))), "", INDEX($A$33:$A$37,MATCH(AC34,AB$33:AB$37,0)))</f>
        <v>Assault (+24 ap)</v>
      </c>
    </row>
    <row r="35" spans="1:30">
      <c r="A35" s="677" t="s">
        <v>2162</v>
      </c>
      <c r="B35" s="678">
        <v>2648</v>
      </c>
      <c r="C35" s="678">
        <v>1</v>
      </c>
      <c r="D35" s="678"/>
      <c r="E35" s="678"/>
      <c r="F35" s="678"/>
      <c r="G35" s="679"/>
      <c r="H35" s="679"/>
      <c r="I35" s="682"/>
      <c r="J35" s="678"/>
      <c r="K35" s="717"/>
      <c r="L35" s="678"/>
      <c r="M35" s="682"/>
      <c r="N35" s="717"/>
      <c r="O35" s="717">
        <v>12</v>
      </c>
      <c r="P35" s="682"/>
      <c r="Q35" s="682"/>
      <c r="R35" s="678"/>
      <c r="S35" s="678" t="s">
        <v>1689</v>
      </c>
      <c r="T35" s="717"/>
      <c r="U35" s="682"/>
      <c r="V35" s="717"/>
      <c r="W35" s="682" t="b">
        <v>1</v>
      </c>
      <c r="X35" s="682"/>
      <c r="Y35" s="682"/>
      <c r="Z35" s="1355">
        <f>($D35*dpsStr+$E35*dpsAgi+$G35*dpsCrit+$H35*dpsHit+$F35*dpsAP+$I35*dpsHaste+$J35*dpsArmor+$K35*dpsExp)-'Gear &amp; Buffs'!$AF$48</f>
        <v>-8.5759206205239025</v>
      </c>
      <c r="AA35" s="721"/>
      <c r="AB35" s="221" t="str">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NOT(W35))),MAX($AB$32:AB34)+1,"")</f>
        <v/>
      </c>
      <c r="AC35" s="738">
        <v>2</v>
      </c>
      <c r="AD35" s="714" t="str">
        <f t="shared" ref="AD35:AD38" si="1">IF(ISNA(INDEX($A$33:$A$37,MATCH(AC35,AB$33:AB$37,0))), "", INDEX($A$33:$A$37,MATCH(AC35,AB$33:AB$37,0)))</f>
        <v>Stats (+4 All Stats)</v>
      </c>
    </row>
    <row r="36" spans="1:30">
      <c r="A36" s="677" t="s">
        <v>2956</v>
      </c>
      <c r="B36" s="678">
        <v>1891</v>
      </c>
      <c r="C36" s="678">
        <v>1</v>
      </c>
      <c r="D36" s="678">
        <v>4</v>
      </c>
      <c r="E36" s="678">
        <v>4</v>
      </c>
      <c r="F36" s="678"/>
      <c r="G36" s="679"/>
      <c r="H36" s="679"/>
      <c r="I36" s="682"/>
      <c r="J36" s="678"/>
      <c r="K36" s="717"/>
      <c r="L36" s="678">
        <v>4</v>
      </c>
      <c r="M36" s="679"/>
      <c r="N36" s="717"/>
      <c r="O36" s="717"/>
      <c r="P36" s="682"/>
      <c r="Q36" s="682"/>
      <c r="R36" s="678"/>
      <c r="S36" s="678" t="s">
        <v>1689</v>
      </c>
      <c r="T36" s="717"/>
      <c r="U36" s="682"/>
      <c r="V36" s="717"/>
      <c r="W36" s="682" t="b">
        <v>0</v>
      </c>
      <c r="X36" s="682"/>
      <c r="Y36" s="682"/>
      <c r="Z36" s="1355">
        <f>($D36*dpsStr+$E36*dpsAgi+$G36*dpsCrit+$H36*dpsHit+$F36*dpsAP+$I36*dpsHaste+$J36*dpsArmor+$K36*dpsExp)-'Gear &amp; Buffs'!$AF$48</f>
        <v>-3.6948170294190277</v>
      </c>
      <c r="AA36" s="721"/>
      <c r="AB36" s="221">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NOT(W36))),MAX($AB$32:AB35)+1,"")</f>
        <v>2</v>
      </c>
      <c r="AC36" s="738">
        <v>3</v>
      </c>
      <c r="AD36" s="714" t="str">
        <f t="shared" si="1"/>
        <v>Superior Strength (+9 Strength)</v>
      </c>
    </row>
    <row r="37" spans="1:30">
      <c r="A37" s="677" t="s">
        <v>2815</v>
      </c>
      <c r="B37" s="678">
        <v>1885</v>
      </c>
      <c r="C37" s="678">
        <v>1</v>
      </c>
      <c r="D37" s="678">
        <v>9</v>
      </c>
      <c r="E37" s="678"/>
      <c r="F37" s="678"/>
      <c r="G37" s="679"/>
      <c r="H37" s="679"/>
      <c r="I37" s="682"/>
      <c r="J37" s="678"/>
      <c r="K37" s="717"/>
      <c r="L37" s="678"/>
      <c r="M37" s="679"/>
      <c r="N37" s="717"/>
      <c r="O37" s="717"/>
      <c r="P37" s="682"/>
      <c r="Q37" s="682"/>
      <c r="R37" s="678"/>
      <c r="S37" s="678" t="s">
        <v>668</v>
      </c>
      <c r="T37" s="717"/>
      <c r="U37" s="682"/>
      <c r="V37" s="717"/>
      <c r="W37" s="682" t="b">
        <v>0</v>
      </c>
      <c r="X37" s="682"/>
      <c r="Y37" s="682"/>
      <c r="Z37" s="1355">
        <f>($D37*dpsStr+$E37*dpsAgi+$G37*dpsCrit+$H37*dpsHit+$F37*dpsAP+$I37*dpsHaste+$J37*dpsArmor+$K37*dpsExp)-'Gear &amp; Buffs'!$AF$48</f>
        <v>-5.0383533645526768</v>
      </c>
      <c r="AA37" s="721"/>
      <c r="AB37" s="221">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NOT(W37))),MAX($AB$32:AB36)+1,"")</f>
        <v>3</v>
      </c>
      <c r="AC37" s="738">
        <v>4</v>
      </c>
      <c r="AD37" s="714" t="str">
        <f t="shared" si="1"/>
        <v/>
      </c>
    </row>
    <row r="38" spans="1:30">
      <c r="A38" s="677" t="s">
        <v>2207</v>
      </c>
      <c r="B38" s="678"/>
      <c r="C38" s="678"/>
      <c r="D38" s="678"/>
      <c r="E38" s="678"/>
      <c r="F38" s="678"/>
      <c r="G38" s="679"/>
      <c r="H38" s="679"/>
      <c r="I38" s="682"/>
      <c r="J38" s="678"/>
      <c r="K38" s="717"/>
      <c r="L38" s="678"/>
      <c r="M38" s="679"/>
      <c r="N38" s="717"/>
      <c r="O38" s="717"/>
      <c r="P38" s="682"/>
      <c r="Q38" s="682"/>
      <c r="R38" s="678"/>
      <c r="S38" s="678"/>
      <c r="T38" s="717"/>
      <c r="U38" s="47"/>
      <c r="V38" s="717"/>
      <c r="W38" s="47"/>
      <c r="X38" s="47"/>
      <c r="Y38" s="47"/>
      <c r="Z38" s="678"/>
      <c r="AA38" s="711"/>
      <c r="AB38" s="681"/>
      <c r="AC38" s="738">
        <v>5</v>
      </c>
      <c r="AD38" s="714" t="str">
        <f t="shared" si="1"/>
        <v/>
      </c>
    </row>
    <row r="39" spans="1:30">
      <c r="B39" s="114"/>
      <c r="C39" s="114"/>
      <c r="I39" s="114"/>
      <c r="J39" s="114"/>
      <c r="K39" s="114"/>
      <c r="M39" s="116"/>
      <c r="N39" s="114"/>
      <c r="O39" s="114"/>
      <c r="P39" s="114"/>
      <c r="Q39" s="114"/>
      <c r="R39" s="114"/>
      <c r="T39" s="114"/>
      <c r="V39" s="114"/>
      <c r="AD39" s="678"/>
    </row>
    <row r="40" spans="1:30">
      <c r="A40" s="10"/>
      <c r="B40" s="114"/>
      <c r="C40" s="114"/>
      <c r="D40" s="114"/>
      <c r="E40" s="114"/>
      <c r="F40" s="114"/>
      <c r="G40" s="127"/>
      <c r="H40" s="114"/>
      <c r="I40" s="114"/>
      <c r="J40" s="114"/>
      <c r="K40" s="116"/>
      <c r="L40" s="114"/>
      <c r="M40" s="114"/>
      <c r="N40" s="116"/>
      <c r="O40" s="116"/>
      <c r="P40" s="114"/>
      <c r="Q40" s="114"/>
      <c r="R40" s="114"/>
      <c r="T40" s="116"/>
      <c r="V40" s="116"/>
      <c r="AD40" s="682"/>
    </row>
    <row r="41" spans="1:30">
      <c r="B41" s="48"/>
      <c r="C41" s="48"/>
      <c r="K41" s="48"/>
      <c r="N41" s="48"/>
      <c r="O41" s="48"/>
      <c r="S41" s="48"/>
      <c r="T41" s="48"/>
      <c r="V41" s="48"/>
      <c r="Z41" s="48"/>
      <c r="AA41" s="48"/>
    </row>
    <row r="42" spans="1:30">
      <c r="B42" s="48"/>
      <c r="C42" s="48"/>
      <c r="K42" s="48"/>
      <c r="N42" s="48"/>
      <c r="O42" s="48"/>
      <c r="S42" s="48"/>
      <c r="T42" s="48"/>
      <c r="V42" s="48"/>
      <c r="Z42" s="48"/>
      <c r="AA42" s="48"/>
    </row>
    <row r="43" spans="1:30">
      <c r="B43" s="48"/>
      <c r="C43" s="48"/>
      <c r="K43" s="48"/>
      <c r="N43" s="48"/>
      <c r="O43" s="48"/>
      <c r="S43" s="48"/>
      <c r="T43" s="48"/>
      <c r="V43" s="48"/>
      <c r="Z43" s="48"/>
      <c r="AA43" s="48"/>
    </row>
    <row r="44" spans="1:30">
      <c r="B44" s="48"/>
      <c r="C44" s="48"/>
      <c r="K44" s="48"/>
      <c r="N44" s="48"/>
      <c r="O44" s="48"/>
      <c r="S44" s="48"/>
      <c r="T44" s="48"/>
      <c r="V44" s="48"/>
      <c r="Z44" s="48"/>
      <c r="AA44" s="48"/>
    </row>
    <row r="45" spans="1:30">
      <c r="B45" s="48"/>
      <c r="C45" s="48"/>
      <c r="K45" s="48"/>
      <c r="N45" s="48"/>
      <c r="O45" s="48"/>
      <c r="S45" s="48"/>
      <c r="T45" s="48"/>
      <c r="V45" s="48"/>
      <c r="Z45" s="48"/>
      <c r="AA45" s="48"/>
    </row>
    <row r="46" spans="1:30">
      <c r="B46" s="48"/>
      <c r="C46" s="48"/>
      <c r="K46" s="48"/>
      <c r="N46" s="48"/>
      <c r="O46" s="48"/>
      <c r="S46" s="48"/>
      <c r="T46" s="48"/>
      <c r="V46" s="48"/>
      <c r="Z46" s="48"/>
      <c r="AA46" s="48"/>
    </row>
    <row r="47" spans="1:30">
      <c r="B47" s="48"/>
      <c r="C47" s="48"/>
      <c r="K47" s="48"/>
      <c r="N47" s="48"/>
      <c r="O47" s="48"/>
      <c r="S47" s="48"/>
      <c r="T47" s="48"/>
      <c r="V47" s="48"/>
      <c r="Z47" s="48"/>
      <c r="AA47" s="48"/>
    </row>
    <row r="48" spans="1:30">
      <c r="B48" s="48"/>
      <c r="C48" s="48"/>
      <c r="K48" s="48"/>
      <c r="N48" s="48"/>
      <c r="O48" s="48"/>
      <c r="S48" s="48"/>
      <c r="T48" s="48"/>
      <c r="V48" s="48"/>
      <c r="Z48" s="48"/>
      <c r="AA48" s="48"/>
    </row>
    <row r="49" spans="1:22">
      <c r="A49" s="6"/>
    </row>
    <row r="50" spans="1:22">
      <c r="A50" s="6"/>
    </row>
    <row r="51" spans="1:22">
      <c r="A51" s="6"/>
    </row>
    <row r="52" spans="1:22">
      <c r="A52" s="6"/>
    </row>
    <row r="53" spans="1:22">
      <c r="A53" s="6"/>
    </row>
    <row r="54" spans="1:22">
      <c r="A54" s="6"/>
    </row>
    <row r="55" spans="1:22">
      <c r="A55" s="6"/>
    </row>
    <row r="56" spans="1:22">
      <c r="A56" s="6"/>
      <c r="I56" s="131"/>
      <c r="K56" s="138"/>
      <c r="N56" s="138"/>
      <c r="O56" s="116"/>
      <c r="T56" s="116"/>
      <c r="V56" s="116"/>
    </row>
    <row r="57" spans="1:22">
      <c r="A57" s="6"/>
      <c r="I57" s="131"/>
      <c r="K57" s="138"/>
      <c r="N57" s="138"/>
      <c r="O57" s="116"/>
      <c r="T57" s="116"/>
      <c r="V57" s="116"/>
    </row>
    <row r="58" spans="1:22">
      <c r="A58" s="6"/>
      <c r="K58" s="138"/>
      <c r="N58" s="138"/>
      <c r="O58" s="116"/>
      <c r="T58" s="116"/>
      <c r="V58" s="116"/>
    </row>
    <row r="59" spans="1:22">
      <c r="A59" s="6"/>
      <c r="E59" s="114"/>
      <c r="F59" s="114"/>
      <c r="G59" s="114"/>
      <c r="H59" s="127"/>
      <c r="K59" s="138"/>
      <c r="L59" s="114"/>
      <c r="M59" s="114"/>
      <c r="N59" s="138"/>
      <c r="O59" s="116"/>
      <c r="T59" s="116"/>
      <c r="V59" s="116"/>
    </row>
    <row r="60" spans="1:22">
      <c r="A60" s="6"/>
      <c r="E60" s="114"/>
      <c r="F60" s="114"/>
      <c r="G60" s="114"/>
      <c r="H60" s="127"/>
      <c r="K60" s="138"/>
      <c r="L60" s="114"/>
      <c r="M60" s="114"/>
      <c r="N60" s="138"/>
      <c r="O60" s="116"/>
      <c r="T60" s="116"/>
      <c r="V60" s="116"/>
    </row>
    <row r="61" spans="1:22">
      <c r="A61" s="6"/>
      <c r="E61" s="114"/>
      <c r="F61" s="114"/>
      <c r="G61" s="114"/>
      <c r="H61" s="127"/>
      <c r="K61" s="116"/>
      <c r="L61" s="114"/>
      <c r="M61" s="114"/>
      <c r="N61" s="116"/>
      <c r="O61" s="116"/>
      <c r="T61" s="116"/>
      <c r="V61" s="116"/>
    </row>
    <row r="62" spans="1:22">
      <c r="A62" s="6"/>
      <c r="E62" s="114"/>
      <c r="F62" s="114"/>
      <c r="G62" s="114"/>
      <c r="H62" s="114"/>
      <c r="K62" s="116"/>
      <c r="L62" s="114"/>
      <c r="M62" s="114"/>
      <c r="N62" s="116"/>
      <c r="O62" s="116"/>
      <c r="T62" s="116"/>
      <c r="V62" s="116"/>
    </row>
    <row r="63" spans="1:22">
      <c r="A63" s="6"/>
      <c r="K63" s="48"/>
      <c r="N63" s="48"/>
      <c r="O63" s="48"/>
      <c r="T63" s="48"/>
      <c r="V63" s="48"/>
    </row>
    <row r="64" spans="1:22">
      <c r="A64" s="6"/>
    </row>
    <row r="65" spans="1:22">
      <c r="A65" s="6"/>
    </row>
    <row r="74" spans="1:22">
      <c r="E74" s="118"/>
      <c r="F74" s="118"/>
      <c r="G74" s="118"/>
      <c r="H74" s="118"/>
      <c r="K74" s="119"/>
      <c r="L74" s="118"/>
      <c r="M74" s="118"/>
      <c r="N74" s="119"/>
      <c r="O74" s="119"/>
      <c r="T74" s="119"/>
      <c r="V74" s="119"/>
    </row>
    <row r="75" spans="1:22">
      <c r="B75" s="152"/>
      <c r="C75" s="152"/>
      <c r="E75" s="114"/>
      <c r="F75" s="114"/>
      <c r="G75" s="127"/>
      <c r="H75" s="127"/>
      <c r="I75" s="128"/>
      <c r="K75" s="116"/>
      <c r="L75" s="114"/>
      <c r="M75" s="127"/>
      <c r="N75" s="116"/>
      <c r="O75" s="116"/>
      <c r="T75" s="116"/>
      <c r="V75" s="116"/>
    </row>
    <row r="76" spans="1:22">
      <c r="A76" s="10"/>
      <c r="D76" s="114"/>
      <c r="E76" s="114"/>
      <c r="F76" s="114"/>
      <c r="G76" s="127"/>
      <c r="H76" s="127"/>
      <c r="I76" s="129"/>
      <c r="K76" s="116"/>
      <c r="L76" s="114"/>
      <c r="M76" s="127"/>
      <c r="N76" s="116"/>
      <c r="O76" s="116"/>
      <c r="T76" s="116"/>
      <c r="V76" s="116"/>
    </row>
    <row r="77" spans="1:22">
      <c r="A77" s="10"/>
      <c r="D77" s="114"/>
      <c r="E77" s="114"/>
      <c r="F77" s="114"/>
      <c r="G77" s="114"/>
      <c r="H77" s="114"/>
      <c r="K77" s="116"/>
      <c r="L77" s="114"/>
      <c r="M77" s="114"/>
      <c r="N77" s="116"/>
      <c r="O77" s="116"/>
      <c r="T77" s="116"/>
      <c r="V77" s="116"/>
    </row>
    <row r="78" spans="1:22">
      <c r="A78" s="10"/>
      <c r="D78" s="114"/>
      <c r="E78" s="114"/>
      <c r="F78" s="114"/>
      <c r="G78" s="114"/>
      <c r="H78" s="114"/>
      <c r="K78" s="116"/>
      <c r="L78" s="114"/>
      <c r="M78" s="114"/>
      <c r="N78" s="116"/>
      <c r="O78" s="116"/>
      <c r="T78" s="116"/>
      <c r="V78" s="116"/>
    </row>
    <row r="79" spans="1:22">
      <c r="A79" s="10"/>
      <c r="D79" s="114"/>
      <c r="E79" s="114"/>
      <c r="F79" s="118"/>
      <c r="G79" s="114"/>
      <c r="H79" s="127"/>
      <c r="K79" s="116"/>
      <c r="L79" s="114"/>
      <c r="M79" s="114"/>
      <c r="N79" s="116"/>
      <c r="O79" s="116"/>
      <c r="T79" s="116"/>
      <c r="V79" s="116"/>
    </row>
    <row r="80" spans="1:22">
      <c r="A80" s="10"/>
      <c r="D80" s="114"/>
      <c r="E80" s="114"/>
      <c r="F80" s="114"/>
      <c r="G80" s="114"/>
      <c r="H80" s="114"/>
      <c r="K80" s="116"/>
      <c r="L80" s="114"/>
      <c r="M80" s="114"/>
      <c r="N80" s="116"/>
      <c r="O80" s="116"/>
      <c r="T80" s="116"/>
      <c r="V80" s="116"/>
    </row>
    <row r="81" spans="1:22">
      <c r="A81" s="10"/>
      <c r="D81" s="114"/>
      <c r="E81" s="114"/>
      <c r="F81" s="114"/>
      <c r="G81" s="127"/>
      <c r="H81" s="127"/>
      <c r="K81" s="116"/>
      <c r="L81" s="114"/>
      <c r="M81" s="114"/>
      <c r="N81" s="116"/>
      <c r="O81" s="116"/>
      <c r="T81" s="116"/>
      <c r="V81" s="116"/>
    </row>
    <row r="82" spans="1:22">
      <c r="A82" s="135"/>
      <c r="D82" s="133"/>
      <c r="E82" s="133"/>
      <c r="F82" s="133"/>
      <c r="G82" s="133"/>
      <c r="H82" s="133"/>
      <c r="K82" s="134"/>
      <c r="L82" s="133"/>
      <c r="M82" s="133"/>
      <c r="N82" s="134"/>
      <c r="O82" s="134"/>
      <c r="T82" s="134"/>
      <c r="V82" s="134"/>
    </row>
    <row r="83" spans="1:22">
      <c r="A83" s="132"/>
      <c r="D83" s="118"/>
      <c r="E83" s="118"/>
      <c r="F83" s="118"/>
      <c r="G83" s="118"/>
      <c r="H83" s="118"/>
      <c r="K83" s="119"/>
      <c r="L83" s="118"/>
      <c r="M83" s="118"/>
      <c r="N83" s="119"/>
      <c r="O83" s="119"/>
      <c r="T83" s="119"/>
      <c r="V83" s="119"/>
    </row>
    <row r="84" spans="1:22">
      <c r="A84" s="10"/>
      <c r="D84" s="114"/>
      <c r="E84" s="114"/>
      <c r="F84" s="114"/>
      <c r="G84" s="127"/>
      <c r="H84" s="127"/>
      <c r="K84" s="116"/>
      <c r="L84" s="114"/>
      <c r="M84" s="114"/>
      <c r="N84" s="116"/>
      <c r="O84" s="116"/>
      <c r="T84" s="116"/>
      <c r="V84" s="116"/>
    </row>
    <row r="85" spans="1:22">
      <c r="A85" s="10"/>
      <c r="D85" s="114"/>
      <c r="E85" s="114"/>
      <c r="F85" s="114"/>
      <c r="G85" s="114"/>
      <c r="H85" s="127"/>
      <c r="K85" s="116"/>
      <c r="L85" s="114"/>
      <c r="M85" s="114"/>
      <c r="N85" s="116"/>
      <c r="O85" s="116"/>
      <c r="T85" s="116"/>
      <c r="V85" s="116"/>
    </row>
    <row r="86" spans="1:22">
      <c r="A86" s="10"/>
      <c r="D86" s="114"/>
      <c r="E86" s="114"/>
      <c r="F86" s="114"/>
      <c r="G86" s="114"/>
      <c r="H86" s="127"/>
      <c r="K86" s="116"/>
      <c r="L86" s="114"/>
      <c r="M86" s="114"/>
      <c r="N86" s="116"/>
      <c r="O86" s="116"/>
      <c r="T86" s="116"/>
      <c r="V86" s="116"/>
    </row>
    <row r="87" spans="1:22">
      <c r="A87" s="10"/>
      <c r="D87" s="114"/>
      <c r="E87" s="114"/>
      <c r="F87" s="114"/>
      <c r="G87" s="127"/>
      <c r="H87" s="127"/>
      <c r="K87" s="116"/>
      <c r="L87" s="114"/>
      <c r="M87" s="114"/>
      <c r="N87" s="116"/>
      <c r="O87" s="116"/>
      <c r="T87" s="116"/>
      <c r="V87" s="116"/>
    </row>
    <row r="88" spans="1:22">
      <c r="A88" s="10"/>
      <c r="D88" s="114"/>
      <c r="E88" s="114"/>
      <c r="F88" s="114"/>
      <c r="G88" s="127"/>
      <c r="H88" s="127"/>
      <c r="K88" s="116"/>
      <c r="L88" s="114"/>
      <c r="M88" s="114"/>
      <c r="N88" s="116"/>
      <c r="O88" s="116"/>
      <c r="T88" s="116"/>
      <c r="V88" s="116"/>
    </row>
    <row r="89" spans="1:22">
      <c r="A89" s="10"/>
      <c r="D89" s="114"/>
      <c r="E89" s="114"/>
      <c r="F89" s="114"/>
      <c r="G89" s="127"/>
      <c r="H89" s="114"/>
      <c r="I89" s="131"/>
      <c r="K89" s="116"/>
      <c r="L89" s="114"/>
      <c r="M89" s="114"/>
      <c r="N89" s="116"/>
      <c r="O89" s="116"/>
      <c r="T89" s="116"/>
      <c r="V89" s="116"/>
    </row>
    <row r="90" spans="1:22">
      <c r="A90" s="10"/>
      <c r="D90" s="114"/>
      <c r="E90" s="114"/>
      <c r="F90" s="114"/>
      <c r="G90" s="114"/>
      <c r="H90" s="127"/>
      <c r="K90" s="116"/>
      <c r="L90" s="114"/>
      <c r="M90" s="127"/>
      <c r="N90" s="116"/>
      <c r="O90" s="116"/>
      <c r="T90" s="116"/>
      <c r="V90" s="116"/>
    </row>
    <row r="91" spans="1:22">
      <c r="A91" s="10"/>
      <c r="D91" s="114"/>
      <c r="E91" s="114"/>
      <c r="F91" s="114"/>
      <c r="G91" s="127"/>
      <c r="H91" s="127"/>
      <c r="K91" s="116"/>
      <c r="L91" s="114"/>
      <c r="M91" s="114"/>
      <c r="N91" s="116"/>
      <c r="O91" s="116"/>
      <c r="T91" s="116"/>
      <c r="V91" s="116"/>
    </row>
    <row r="92" spans="1:22">
      <c r="A92" s="10"/>
      <c r="D92" s="114"/>
      <c r="E92" s="114"/>
      <c r="F92" s="114"/>
      <c r="G92" s="127"/>
      <c r="H92" s="127"/>
      <c r="K92" s="116"/>
      <c r="L92" s="114"/>
      <c r="M92" s="114"/>
      <c r="N92" s="116"/>
      <c r="O92" s="116"/>
      <c r="T92" s="116"/>
      <c r="V92" s="116"/>
    </row>
    <row r="93" spans="1:22">
      <c r="A93" s="10"/>
      <c r="D93" s="114"/>
      <c r="E93" s="114"/>
      <c r="F93" s="114"/>
      <c r="G93" s="114"/>
      <c r="H93" s="127"/>
      <c r="K93" s="116"/>
      <c r="L93" s="114"/>
      <c r="M93" s="114"/>
      <c r="N93" s="116"/>
      <c r="O93" s="116"/>
      <c r="T93" s="116"/>
      <c r="V93" s="116"/>
    </row>
    <row r="94" spans="1:22">
      <c r="A94" s="136"/>
      <c r="D94" s="114"/>
      <c r="E94" s="114"/>
      <c r="F94" s="114"/>
      <c r="G94" s="114"/>
      <c r="H94" s="114"/>
      <c r="K94" s="116"/>
      <c r="L94" s="114"/>
      <c r="M94" s="114"/>
      <c r="N94" s="116"/>
      <c r="O94" s="116"/>
      <c r="T94" s="116"/>
      <c r="V94" s="116"/>
    </row>
    <row r="95" spans="1:22">
      <c r="A95" s="132"/>
      <c r="D95" s="118"/>
      <c r="E95" s="118"/>
      <c r="F95" s="118"/>
      <c r="G95" s="118"/>
      <c r="H95" s="118"/>
      <c r="K95" s="119"/>
      <c r="L95" s="118"/>
      <c r="M95" s="118"/>
      <c r="N95" s="119"/>
      <c r="O95" s="119"/>
      <c r="T95" s="119"/>
      <c r="V95" s="119"/>
    </row>
    <row r="96" spans="1:22">
      <c r="A96" s="10"/>
      <c r="D96" s="114"/>
      <c r="E96" s="114"/>
      <c r="F96" s="114"/>
      <c r="G96" s="127"/>
      <c r="H96" s="114"/>
      <c r="K96" s="116"/>
      <c r="L96" s="114"/>
      <c r="M96" s="114"/>
      <c r="N96" s="116"/>
      <c r="O96" s="116"/>
      <c r="T96" s="116"/>
      <c r="V96" s="116"/>
    </row>
    <row r="97" spans="1:22">
      <c r="A97" s="10"/>
      <c r="D97" s="114"/>
      <c r="E97" s="114"/>
      <c r="F97" s="114"/>
      <c r="G97" s="114"/>
      <c r="H97" s="127"/>
      <c r="K97" s="116"/>
      <c r="L97" s="114"/>
      <c r="M97" s="127"/>
      <c r="N97" s="116"/>
      <c r="O97" s="116"/>
      <c r="T97" s="116"/>
      <c r="V97" s="116"/>
    </row>
    <row r="98" spans="1:22">
      <c r="A98" s="10"/>
      <c r="D98" s="114"/>
      <c r="E98" s="114"/>
      <c r="F98" s="114"/>
      <c r="G98" s="114"/>
      <c r="H98" s="127"/>
      <c r="K98" s="116"/>
      <c r="L98" s="114"/>
      <c r="M98" s="127"/>
      <c r="N98" s="116"/>
      <c r="O98" s="116"/>
      <c r="T98" s="116"/>
      <c r="V98" s="116"/>
    </row>
    <row r="99" spans="1:22">
      <c r="A99" s="10"/>
      <c r="D99" s="114"/>
      <c r="E99" s="114"/>
      <c r="F99" s="114"/>
      <c r="G99" s="114"/>
      <c r="H99" s="127"/>
      <c r="K99" s="116"/>
      <c r="L99" s="114"/>
      <c r="M99" s="114"/>
      <c r="N99" s="116"/>
      <c r="O99" s="116"/>
      <c r="T99" s="116"/>
      <c r="V99" s="116"/>
    </row>
    <row r="100" spans="1:22">
      <c r="A100" s="10"/>
      <c r="D100" s="114"/>
      <c r="E100" s="114"/>
      <c r="F100" s="114"/>
      <c r="G100" s="114"/>
      <c r="H100" s="127"/>
      <c r="K100" s="116"/>
      <c r="L100" s="114"/>
      <c r="M100" s="114"/>
      <c r="N100" s="116"/>
      <c r="O100" s="116"/>
      <c r="T100" s="116"/>
      <c r="V100" s="116"/>
    </row>
    <row r="101" spans="1:22">
      <c r="A101" s="136"/>
      <c r="D101" s="114"/>
      <c r="E101" s="114"/>
      <c r="F101" s="114"/>
      <c r="G101" s="114"/>
      <c r="H101" s="114"/>
      <c r="K101" s="116"/>
      <c r="L101" s="114"/>
      <c r="M101" s="114"/>
      <c r="N101" s="116"/>
      <c r="O101" s="116"/>
      <c r="T101" s="116"/>
      <c r="V101" s="116"/>
    </row>
    <row r="102" spans="1:22">
      <c r="A102" s="132"/>
      <c r="D102" s="118"/>
      <c r="E102" s="118"/>
      <c r="F102" s="118"/>
      <c r="G102" s="118"/>
      <c r="H102" s="118"/>
      <c r="K102" s="119"/>
      <c r="L102" s="118"/>
      <c r="M102" s="118"/>
      <c r="N102" s="119"/>
      <c r="O102" s="119"/>
      <c r="T102" s="119"/>
      <c r="V102" s="119"/>
    </row>
    <row r="103" spans="1:22">
      <c r="A103" s="10"/>
      <c r="D103" s="114"/>
      <c r="E103" s="114"/>
      <c r="F103" s="114"/>
      <c r="G103" s="114"/>
      <c r="H103" s="114"/>
      <c r="K103" s="116"/>
      <c r="L103" s="114"/>
      <c r="M103" s="114"/>
      <c r="N103" s="116"/>
      <c r="O103" s="116"/>
      <c r="T103" s="116"/>
      <c r="V103" s="116"/>
    </row>
    <row r="104" spans="1:22">
      <c r="A104" s="10"/>
      <c r="D104" s="114"/>
      <c r="E104" s="114"/>
      <c r="F104" s="114"/>
      <c r="G104" s="114"/>
      <c r="H104" s="127"/>
      <c r="K104" s="116"/>
      <c r="L104" s="114"/>
      <c r="M104" s="114"/>
      <c r="N104" s="116"/>
      <c r="O104" s="116"/>
      <c r="T104" s="116"/>
      <c r="V104" s="116"/>
    </row>
    <row r="105" spans="1:22">
      <c r="A105" s="10"/>
      <c r="D105" s="114"/>
      <c r="E105" s="114"/>
      <c r="F105" s="114"/>
      <c r="G105" s="114"/>
      <c r="H105" s="114"/>
      <c r="K105" s="116"/>
      <c r="L105" s="114"/>
      <c r="M105" s="127"/>
      <c r="N105" s="116"/>
      <c r="O105" s="116"/>
      <c r="T105" s="116"/>
      <c r="V105" s="116"/>
    </row>
    <row r="106" spans="1:22">
      <c r="A106" s="10"/>
      <c r="D106" s="114"/>
      <c r="E106" s="114"/>
      <c r="F106" s="114"/>
      <c r="G106" s="114"/>
      <c r="H106" s="114"/>
      <c r="K106" s="116"/>
      <c r="L106" s="114"/>
      <c r="M106" s="114"/>
      <c r="N106" s="116"/>
      <c r="O106" s="116"/>
      <c r="T106" s="116"/>
      <c r="V106" s="116"/>
    </row>
    <row r="107" spans="1:22">
      <c r="A107" s="10"/>
      <c r="D107" s="114"/>
      <c r="E107" s="114"/>
      <c r="F107" s="114"/>
      <c r="G107" s="127"/>
      <c r="H107" s="127"/>
      <c r="K107" s="116"/>
      <c r="L107" s="114"/>
      <c r="M107" s="114"/>
      <c r="N107" s="116"/>
      <c r="O107" s="116"/>
      <c r="T107" s="116"/>
      <c r="V107" s="116"/>
    </row>
    <row r="108" spans="1:22">
      <c r="A108" s="10"/>
      <c r="D108" s="114"/>
      <c r="E108" s="114"/>
      <c r="F108" s="114"/>
      <c r="G108" s="127"/>
      <c r="H108" s="127"/>
      <c r="K108" s="116"/>
      <c r="L108" s="114"/>
      <c r="M108" s="114"/>
      <c r="N108" s="116"/>
      <c r="O108" s="116"/>
      <c r="T108" s="116"/>
      <c r="V108" s="116"/>
    </row>
    <row r="109" spans="1:22">
      <c r="A109" s="10"/>
      <c r="D109" s="114"/>
      <c r="E109" s="114"/>
      <c r="F109" s="114"/>
      <c r="G109" s="114"/>
      <c r="H109" s="127"/>
      <c r="K109" s="116"/>
      <c r="L109" s="114"/>
      <c r="M109" s="114"/>
      <c r="N109" s="116"/>
      <c r="O109" s="116"/>
      <c r="T109" s="116"/>
      <c r="V109" s="116"/>
    </row>
    <row r="110" spans="1:22">
      <c r="A110" s="10"/>
      <c r="D110" s="114"/>
      <c r="E110" s="114"/>
      <c r="F110" s="114"/>
      <c r="G110" s="114"/>
      <c r="H110" s="114"/>
      <c r="K110" s="116"/>
      <c r="L110" s="114"/>
      <c r="M110" s="127"/>
      <c r="N110" s="116"/>
      <c r="O110" s="116"/>
      <c r="T110" s="116"/>
      <c r="V110" s="116"/>
    </row>
    <row r="111" spans="1:22">
      <c r="A111" s="10"/>
      <c r="D111" s="114"/>
      <c r="E111" s="114"/>
      <c r="F111" s="114"/>
      <c r="G111" s="127"/>
      <c r="H111" s="114"/>
      <c r="K111" s="116"/>
      <c r="L111" s="114"/>
      <c r="M111" s="114"/>
      <c r="N111" s="116"/>
      <c r="O111" s="116"/>
      <c r="T111" s="116"/>
      <c r="V111" s="116"/>
    </row>
    <row r="112" spans="1:22">
      <c r="A112" s="10"/>
      <c r="D112" s="114"/>
      <c r="E112" s="114"/>
      <c r="F112" s="114"/>
      <c r="G112" s="127"/>
      <c r="H112" s="127"/>
      <c r="K112" s="116"/>
      <c r="L112" s="114"/>
      <c r="M112" s="114"/>
      <c r="N112" s="116"/>
      <c r="O112" s="116"/>
      <c r="T112" s="116"/>
      <c r="V112" s="116"/>
    </row>
    <row r="113" spans="1:22">
      <c r="A113" s="10"/>
      <c r="D113" s="114"/>
      <c r="E113" s="114"/>
      <c r="F113" s="114"/>
      <c r="G113" s="114"/>
      <c r="H113" s="114"/>
      <c r="K113" s="116"/>
      <c r="L113" s="114"/>
      <c r="M113" s="114"/>
      <c r="N113" s="116"/>
      <c r="O113" s="116"/>
      <c r="T113" s="116"/>
      <c r="V113" s="116"/>
    </row>
    <row r="114" spans="1:22">
      <c r="A114" s="132"/>
      <c r="D114" s="118"/>
      <c r="E114" s="118"/>
      <c r="F114" s="118"/>
      <c r="G114" s="118"/>
      <c r="H114" s="118"/>
      <c r="K114" s="119"/>
      <c r="L114" s="118"/>
      <c r="M114" s="118"/>
      <c r="N114" s="119"/>
      <c r="O114" s="119"/>
      <c r="T114" s="119"/>
      <c r="V114" s="119"/>
    </row>
    <row r="115" spans="1:22">
      <c r="A115" s="10"/>
      <c r="D115" s="114"/>
      <c r="E115" s="114"/>
      <c r="F115" s="114"/>
      <c r="G115" s="127"/>
      <c r="H115" s="114"/>
      <c r="K115" s="116"/>
      <c r="L115" s="114"/>
      <c r="M115" s="114"/>
      <c r="N115" s="116"/>
      <c r="O115" s="116"/>
      <c r="T115" s="116"/>
      <c r="V115" s="116"/>
    </row>
    <row r="116" spans="1:22">
      <c r="A116" s="10"/>
      <c r="D116" s="114"/>
      <c r="E116" s="114"/>
      <c r="F116" s="114"/>
      <c r="G116" s="114"/>
      <c r="H116" s="127"/>
      <c r="K116" s="116"/>
      <c r="L116" s="114"/>
      <c r="M116" s="114"/>
      <c r="N116" s="116"/>
      <c r="O116" s="116"/>
      <c r="T116" s="116"/>
      <c r="V116" s="116"/>
    </row>
    <row r="117" spans="1:22">
      <c r="A117" s="10"/>
      <c r="D117" s="114"/>
      <c r="E117" s="114"/>
      <c r="F117" s="114"/>
      <c r="G117" s="114"/>
      <c r="H117" s="114"/>
      <c r="K117" s="116"/>
      <c r="L117" s="114"/>
      <c r="M117" s="127"/>
      <c r="N117" s="116"/>
      <c r="O117" s="116"/>
      <c r="T117" s="116"/>
      <c r="V117" s="116"/>
    </row>
    <row r="118" spans="1:22">
      <c r="A118" s="10"/>
      <c r="D118" s="114"/>
      <c r="E118" s="114"/>
      <c r="F118" s="114"/>
      <c r="G118" s="127"/>
      <c r="H118" s="114"/>
      <c r="K118" s="116"/>
      <c r="L118" s="114"/>
      <c r="M118" s="114"/>
      <c r="N118" s="116"/>
      <c r="O118" s="116"/>
      <c r="T118" s="116"/>
      <c r="V118" s="116"/>
    </row>
    <row r="119" spans="1:22">
      <c r="A119" s="10"/>
      <c r="D119" s="114"/>
      <c r="E119" s="114"/>
      <c r="F119" s="114"/>
      <c r="G119" s="114"/>
      <c r="H119" s="127"/>
      <c r="K119" s="116"/>
      <c r="L119" s="114"/>
      <c r="M119" s="114"/>
      <c r="N119" s="116"/>
      <c r="O119" s="116"/>
      <c r="T119" s="116"/>
      <c r="V119" s="116"/>
    </row>
    <row r="120" spans="1:22">
      <c r="A120" s="10"/>
      <c r="D120" s="114"/>
      <c r="E120" s="114"/>
      <c r="F120" s="114"/>
      <c r="G120" s="114"/>
      <c r="H120" s="127"/>
      <c r="K120" s="116"/>
      <c r="L120" s="114"/>
      <c r="M120" s="114"/>
      <c r="N120" s="116"/>
      <c r="O120" s="116"/>
      <c r="T120" s="116"/>
      <c r="V120" s="116"/>
    </row>
    <row r="121" spans="1:22">
      <c r="A121" s="10"/>
      <c r="D121" s="114"/>
      <c r="E121" s="114"/>
      <c r="F121" s="114"/>
      <c r="G121" s="127"/>
      <c r="H121" s="114"/>
      <c r="K121" s="116"/>
      <c r="L121" s="114"/>
      <c r="M121" s="114"/>
      <c r="N121" s="116"/>
      <c r="O121" s="116"/>
      <c r="T121" s="116"/>
      <c r="V121" s="116"/>
    </row>
    <row r="122" spans="1:22">
      <c r="A122" s="10"/>
      <c r="D122" s="114"/>
      <c r="E122" s="114"/>
      <c r="F122" s="114"/>
      <c r="G122" s="114"/>
      <c r="H122" s="114"/>
      <c r="K122" s="116"/>
      <c r="L122" s="114"/>
      <c r="M122" s="114"/>
      <c r="N122" s="116"/>
      <c r="O122" s="116"/>
      <c r="T122" s="116"/>
      <c r="V122" s="116"/>
    </row>
    <row r="123" spans="1:22">
      <c r="A123" s="10"/>
      <c r="D123" s="114"/>
      <c r="E123" s="114"/>
      <c r="F123" s="114"/>
      <c r="G123" s="114"/>
      <c r="H123" s="127"/>
      <c r="K123" s="116"/>
      <c r="L123" s="114"/>
      <c r="M123" s="114"/>
      <c r="N123" s="116"/>
      <c r="O123" s="116"/>
      <c r="T123" s="116"/>
      <c r="V123" s="116"/>
    </row>
  </sheetData>
  <phoneticPr fontId="2" type="noConversion"/>
  <conditionalFormatting sqref="Z2:Z28">
    <cfRule type="cellIs" dxfId="31" priority="3" stopIfTrue="1" operator="lessThan">
      <formula>0</formula>
    </cfRule>
    <cfRule type="cellIs" dxfId="30" priority="4" stopIfTrue="1" operator="greaterThan">
      <formula>0</formula>
    </cfRule>
  </conditionalFormatting>
  <conditionalFormatting sqref="Z33:Z37">
    <cfRule type="cellIs" dxfId="29" priority="1" stopIfTrue="1" operator="lessThan">
      <formula>0</formula>
    </cfRule>
    <cfRule type="cellIs" dxfId="2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Y126"/>
  <sheetViews>
    <sheetView topLeftCell="A16" workbookViewId="0">
      <selection activeCell="X4" sqref="X4"/>
    </sheetView>
  </sheetViews>
  <sheetFormatPr defaultRowHeight="11.25"/>
  <cols>
    <col min="1" max="1" width="26.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1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6.85546875" style="48" bestFit="1" customWidth="1"/>
    <col min="25" max="16384" width="9.140625" style="48"/>
  </cols>
  <sheetData>
    <row r="1" spans="1:24" s="725" customFormat="1" ht="23.25" thickBot="1">
      <c r="A1" s="700" t="s">
        <v>164</v>
      </c>
      <c r="B1" s="700" t="s">
        <v>1934</v>
      </c>
      <c r="C1" s="700" t="s">
        <v>2798</v>
      </c>
      <c r="D1" s="700" t="s">
        <v>1214</v>
      </c>
      <c r="E1" s="700" t="s">
        <v>1215</v>
      </c>
      <c r="F1" s="700" t="s">
        <v>768</v>
      </c>
      <c r="G1" s="705" t="s">
        <v>2140</v>
      </c>
      <c r="H1" s="705" t="s">
        <v>2139</v>
      </c>
      <c r="I1" s="700" t="s">
        <v>771</v>
      </c>
      <c r="J1" s="700" t="s">
        <v>1219</v>
      </c>
      <c r="K1" s="705" t="s">
        <v>760</v>
      </c>
      <c r="L1" s="700" t="s">
        <v>1216</v>
      </c>
      <c r="M1" s="705" t="s">
        <v>264</v>
      </c>
      <c r="N1" s="705" t="s">
        <v>1217</v>
      </c>
      <c r="O1" s="705" t="s">
        <v>1287</v>
      </c>
      <c r="P1" s="706" t="s">
        <v>1046</v>
      </c>
      <c r="Q1" s="704" t="s">
        <v>1047</v>
      </c>
      <c r="R1" s="704" t="s">
        <v>1941</v>
      </c>
      <c r="S1" s="704" t="s">
        <v>666</v>
      </c>
      <c r="T1" s="706"/>
      <c r="U1" s="702" t="s">
        <v>265</v>
      </c>
      <c r="V1" s="743">
        <v>0</v>
      </c>
      <c r="W1" s="743"/>
      <c r="X1" s="700" t="s">
        <v>2075</v>
      </c>
    </row>
    <row r="2" spans="1:24">
      <c r="A2" s="10" t="s">
        <v>2367</v>
      </c>
      <c r="B2" s="114">
        <v>22481</v>
      </c>
      <c r="C2" s="114">
        <v>1</v>
      </c>
      <c r="D2" s="114"/>
      <c r="E2" s="114"/>
      <c r="F2" s="114">
        <v>66</v>
      </c>
      <c r="G2" s="116">
        <v>14</v>
      </c>
      <c r="H2" s="116">
        <v>10</v>
      </c>
      <c r="I2" s="114"/>
      <c r="J2" s="114"/>
      <c r="K2" s="114"/>
      <c r="L2" s="114">
        <v>20</v>
      </c>
      <c r="M2" s="116"/>
      <c r="N2" s="116"/>
      <c r="O2" s="114"/>
      <c r="P2" s="114" t="s">
        <v>2335</v>
      </c>
      <c r="Q2" s="114" t="s">
        <v>1033</v>
      </c>
      <c r="R2" s="47"/>
      <c r="S2" s="114" t="s">
        <v>668</v>
      </c>
      <c r="T2" s="221"/>
      <c r="U2" s="891">
        <f>($D2*dpsStr+$E2*dpsAgi+$G2*dpsCrit+$H2*dpsHit+$F2*dpsAP+$I2*dpsHaste+$J2*dpsArmor+$K2*dpsExp+IF(MID(Q2,1,1)+MID(Q2,3,1)+MID(Q2,5,1)&gt;0,VLOOKUP('Gear &amp; Buffs'!$B$52,GenSocketStats,18,FALSE)+IF(MID(Q2,1,1)+MID(Q2,3,1)+MID(Q2,5,1)&gt;1,VLOOKUP('Gear &amp; Buffs'!$B$53,GenSocketStats,18,FALSE)+IF(MID(Q2,1,1)+MID(Q2,3,1)+MID(Q2,5,1)&gt;2,VLOOKUP('Gear &amp; Buffs'!$B$54,GenSocketStats,18,FALSE),0)),0))-'Gear &amp; Buffs'!$AF$50</f>
        <v>-32.303351051591108</v>
      </c>
      <c r="V2" s="221">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1689</v>
      </c>
    </row>
    <row r="3" spans="1:24">
      <c r="A3" s="10" t="s">
        <v>1989</v>
      </c>
      <c r="B3" s="114">
        <v>35032</v>
      </c>
      <c r="C3" s="114">
        <v>5</v>
      </c>
      <c r="D3" s="114"/>
      <c r="E3" s="114">
        <v>37</v>
      </c>
      <c r="F3" s="114">
        <v>48</v>
      </c>
      <c r="G3" s="116">
        <v>24</v>
      </c>
      <c r="H3" s="116"/>
      <c r="I3" s="114"/>
      <c r="J3" s="114"/>
      <c r="K3" s="114"/>
      <c r="L3" s="114">
        <v>55</v>
      </c>
      <c r="M3" s="116"/>
      <c r="N3" s="116">
        <v>24</v>
      </c>
      <c r="O3" s="114"/>
      <c r="P3" s="114" t="s">
        <v>1068</v>
      </c>
      <c r="Q3" s="114" t="s">
        <v>1033</v>
      </c>
      <c r="R3" s="47"/>
      <c r="S3" s="114" t="s">
        <v>677</v>
      </c>
      <c r="T3" s="681"/>
      <c r="U3" s="891">
        <f>($D3*dpsStr+$E3*dpsAgi+$G3*dpsCrit+$H3*dpsHit+$F3*dpsAP+$I3*dpsHaste+$J3*dpsArmor+$K3*dpsExp+IF(MID(Q3,1,1)+MID(Q3,3,1)+MID(Q3,5,1)&gt;0,VLOOKUP('Gear &amp; Buffs'!$B$52,GenSocketStats,18,FALSE)+IF(MID(Q3,1,1)+MID(Q3,3,1)+MID(Q3,5,1)&gt;1,VLOOKUP('Gear &amp; Buffs'!$B$53,GenSocketStats,18,FALSE)+IF(MID(Q3,1,1)+MID(Q3,3,1)+MID(Q3,5,1)&gt;2,VLOOKUP('Gear &amp; Buffs'!$B$54,GenSocketStats,18,FALSE),0)),0))-'Gear &amp; Buffs'!$AF$50</f>
        <v>-56.770766967766804</v>
      </c>
      <c r="V3" s="221"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8"/>
      <c r="X3" s="714" t="str">
        <f>" "</f>
        <v xml:space="preserve"> </v>
      </c>
    </row>
    <row r="4" spans="1:24">
      <c r="A4" s="10" t="s">
        <v>1309</v>
      </c>
      <c r="B4" s="114">
        <v>29503</v>
      </c>
      <c r="C4" s="114">
        <v>1</v>
      </c>
      <c r="D4" s="114"/>
      <c r="E4" s="114"/>
      <c r="F4" s="114">
        <v>50</v>
      </c>
      <c r="G4" s="116">
        <v>25</v>
      </c>
      <c r="H4" s="116">
        <v>20</v>
      </c>
      <c r="I4" s="114"/>
      <c r="J4" s="114"/>
      <c r="K4" s="114"/>
      <c r="L4" s="114">
        <v>33</v>
      </c>
      <c r="M4" s="116"/>
      <c r="N4" s="116"/>
      <c r="O4" s="114"/>
      <c r="P4" s="114"/>
      <c r="Q4" s="114" t="s">
        <v>1033</v>
      </c>
      <c r="R4" s="114"/>
      <c r="S4" s="114" t="s">
        <v>685</v>
      </c>
      <c r="T4" s="681"/>
      <c r="U4" s="891">
        <f>($D4*dpsStr+$E4*dpsAgi+$G4*dpsCrit+$H4*dpsHit+$F4*dpsAP+$I4*dpsHaste+$J4*dpsArmor+$K4*dpsExp+IF(MID(Q4,1,1)+MID(Q4,3,1)+MID(Q4,5,1)&gt;0,VLOOKUP('Gear &amp; Buffs'!$B$52,GenSocketStats,18,FALSE)+IF(MID(Q4,1,1)+MID(Q4,3,1)+MID(Q4,5,1)&gt;1,VLOOKUP('Gear &amp; Buffs'!$B$53,GenSocketStats,18,FALSE)+IF(MID(Q4,1,1)+MID(Q4,3,1)+MID(Q4,5,1)&gt;2,VLOOKUP('Gear &amp; Buffs'!$B$54,GenSocketStats,18,FALSE),0)),0))-'Gear &amp; Buffs'!$AF$50</f>
        <v>25.023442566602171</v>
      </c>
      <c r="V4" s="221">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8">
        <v>1</v>
      </c>
      <c r="X4" s="714" t="str">
        <f>IF(ISNA(INDEX($A$2:$A$36,MATCH(W4,V$2:V$36,0))), "", INDEX($A$2:$A$36,MATCH(W4,V$2:V$36,0)))</f>
        <v>Bonescythe Gauntlets</v>
      </c>
    </row>
    <row r="5" spans="1:24">
      <c r="A5" s="10" t="s">
        <v>1310</v>
      </c>
      <c r="B5" s="114">
        <v>30145</v>
      </c>
      <c r="C5" s="114">
        <v>2</v>
      </c>
      <c r="D5" s="114"/>
      <c r="E5" s="114">
        <v>36</v>
      </c>
      <c r="F5" s="114">
        <v>70</v>
      </c>
      <c r="G5" s="116"/>
      <c r="H5" s="116">
        <v>24</v>
      </c>
      <c r="I5" s="114"/>
      <c r="J5" s="114"/>
      <c r="K5" s="114"/>
      <c r="L5" s="114">
        <v>34</v>
      </c>
      <c r="M5" s="116"/>
      <c r="N5" s="116"/>
      <c r="O5" s="114"/>
      <c r="P5" s="114" t="s">
        <v>1063</v>
      </c>
      <c r="Q5" s="114" t="s">
        <v>1033</v>
      </c>
      <c r="R5" s="114"/>
      <c r="S5" s="114" t="s">
        <v>667</v>
      </c>
      <c r="T5" s="681"/>
      <c r="U5" s="891">
        <f>($D5*dpsStr+$E5*dpsAgi+$G5*dpsCrit+$H5*dpsHit+$F5*dpsAP+$I5*dpsHaste+$J5*dpsArmor+$K5*dpsExp+IF(MID(Q5,1,1)+MID(Q5,3,1)+MID(Q5,5,1)&gt;0,VLOOKUP('Gear &amp; Buffs'!$B$52,GenSocketStats,18,FALSE)+IF(MID(Q5,1,1)+MID(Q5,3,1)+MID(Q5,5,1)&gt;1,VLOOKUP('Gear &amp; Buffs'!$B$53,GenSocketStats,18,FALSE)+IF(MID(Q5,1,1)+MID(Q5,3,1)+MID(Q5,5,1)&gt;2,VLOOKUP('Gear &amp; Buffs'!$B$54,GenSocketStats,18,FALSE),0)),0))-'Gear &amp; Buffs'!$AF$50</f>
        <v>67.004924610535909</v>
      </c>
      <c r="V5" s="221"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8">
        <v>2</v>
      </c>
      <c r="X5" s="714" t="str">
        <f t="shared" ref="X5:X38" si="0">IF(ISNA(INDEX($A$2:$A$36,MATCH(W5,V$2:V$36,0))), "", INDEX($A$2:$A$36,MATCH(W5,V$2:V$36,0)))</f>
        <v>Cobrascale Gloves</v>
      </c>
    </row>
    <row r="6" spans="1:24">
      <c r="A6" s="10" t="s">
        <v>1311</v>
      </c>
      <c r="B6" s="114">
        <v>24365</v>
      </c>
      <c r="C6" s="114">
        <v>1</v>
      </c>
      <c r="D6" s="114"/>
      <c r="E6" s="114"/>
      <c r="F6" s="114">
        <v>52</v>
      </c>
      <c r="G6" s="116">
        <v>12</v>
      </c>
      <c r="H6" s="116"/>
      <c r="I6" s="114"/>
      <c r="J6" s="114"/>
      <c r="K6" s="114"/>
      <c r="L6" s="114">
        <v>18</v>
      </c>
      <c r="M6" s="116"/>
      <c r="N6" s="116"/>
      <c r="O6" s="114"/>
      <c r="P6" s="114"/>
      <c r="Q6" s="114" t="s">
        <v>1041</v>
      </c>
      <c r="R6" s="114" t="s">
        <v>1447</v>
      </c>
      <c r="S6" s="114" t="s">
        <v>673</v>
      </c>
      <c r="T6" s="681"/>
      <c r="U6" s="891">
        <f>($D6*dpsStr+$E6*dpsAgi+$G6*dpsCrit+$H6*dpsHit+$F6*dpsAP+$I6*dpsHaste+$J6*dpsArmor+$K6*dpsExp+IF(MID(Q6,1,1)+MID(Q6,3,1)+MID(Q6,5,1)&gt;0,VLOOKUP('Gear &amp; Buffs'!$B$52,GenSocketStats,18,FALSE)+IF(MID(Q6,1,1)+MID(Q6,3,1)+MID(Q6,5,1)&gt;1,VLOOKUP('Gear &amp; Buffs'!$B$53,GenSocketStats,18,FALSE)+IF(MID(Q6,1,1)+MID(Q6,3,1)+MID(Q6,5,1)&gt;2,VLOOKUP('Gear &amp; Buffs'!$B$54,GenSocketStats,18,FALSE),0)),0))-'Gear &amp; Buffs'!$AF$50</f>
        <v>-5.3773752218194204</v>
      </c>
      <c r="V6" s="221">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8">
        <v>3</v>
      </c>
      <c r="X6" s="714" t="str">
        <f t="shared" si="0"/>
        <v>Deft Handguards</v>
      </c>
    </row>
    <row r="7" spans="1:24">
      <c r="A7" s="130" t="s">
        <v>2368</v>
      </c>
      <c r="B7" s="114">
        <v>32865</v>
      </c>
      <c r="C7" s="114">
        <v>3</v>
      </c>
      <c r="D7" s="114"/>
      <c r="E7" s="114">
        <v>21</v>
      </c>
      <c r="F7" s="114">
        <v>30</v>
      </c>
      <c r="G7" s="116"/>
      <c r="H7" s="116"/>
      <c r="I7" s="114"/>
      <c r="J7" s="114"/>
      <c r="K7" s="114"/>
      <c r="L7" s="114">
        <v>22</v>
      </c>
      <c r="M7" s="116"/>
      <c r="N7" s="116"/>
      <c r="O7" s="114"/>
      <c r="P7" s="114"/>
      <c r="Q7" s="114" t="s">
        <v>1037</v>
      </c>
      <c r="R7" s="114" t="s">
        <v>22</v>
      </c>
      <c r="S7" s="114" t="s">
        <v>675</v>
      </c>
      <c r="T7" s="681"/>
      <c r="U7" s="891">
        <f>($D7*dpsStr+$E7*dpsAgi+$G7*dpsCrit+$H7*dpsHit+$F7*dpsAP+$I7*dpsHaste+$J7*dpsArmor+$K7*dpsExp+IF(MID(Q7,1,1)+MID(Q7,3,1)+MID(Q7,5,1)&gt;0,VLOOKUP('Gear &amp; Buffs'!$B$52,GenSocketStats,18,FALSE)+IF(MID(Q7,1,1)+MID(Q7,3,1)+MID(Q7,5,1)&gt;1,VLOOKUP('Gear &amp; Buffs'!$B$53,GenSocketStats,18,FALSE)+IF(MID(Q7,1,1)+MID(Q7,3,1)+MID(Q7,5,1)&gt;2,VLOOKUP('Gear &amp; Buffs'!$B$54,GenSocketStats,18,FALSE),0)),0))-'Gear &amp; Buffs'!$AF$50</f>
        <v>-4.096721200712409</v>
      </c>
      <c r="V7" s="221"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8">
        <v>4</v>
      </c>
      <c r="X7" s="714" t="str">
        <f t="shared" si="0"/>
        <v>Fel Leather Gloves</v>
      </c>
    </row>
    <row r="8" spans="1:24">
      <c r="A8" s="10" t="s">
        <v>1312</v>
      </c>
      <c r="B8" s="114">
        <v>25685</v>
      </c>
      <c r="C8" s="114">
        <v>1</v>
      </c>
      <c r="D8" s="114"/>
      <c r="E8" s="114"/>
      <c r="F8" s="114">
        <v>36</v>
      </c>
      <c r="G8" s="116">
        <v>24</v>
      </c>
      <c r="H8" s="116">
        <v>17</v>
      </c>
      <c r="I8" s="114"/>
      <c r="J8" s="114"/>
      <c r="K8" s="114"/>
      <c r="L8" s="114"/>
      <c r="M8" s="116"/>
      <c r="N8" s="116"/>
      <c r="O8" s="114"/>
      <c r="P8" s="114" t="s">
        <v>1313</v>
      </c>
      <c r="Q8" s="114" t="s">
        <v>1045</v>
      </c>
      <c r="R8" s="114" t="s">
        <v>1465</v>
      </c>
      <c r="S8" s="114" t="s">
        <v>685</v>
      </c>
      <c r="T8" s="681"/>
      <c r="U8" s="891">
        <f>($D8*dpsStr+$E8*dpsAgi+$G8*dpsCrit+$H8*dpsHit+$F8*dpsAP+$I8*dpsHaste+$J8*dpsArmor+$K8*dpsExp+IF(MID(Q8,1,1)+MID(Q8,3,1)+MID(Q8,5,1)&gt;0,VLOOKUP('Gear &amp; Buffs'!$B$52,GenSocketStats,18,FALSE)+IF(MID(Q8,1,1)+MID(Q8,3,1)+MID(Q8,5,1)&gt;1,VLOOKUP('Gear &amp; Buffs'!$B$53,GenSocketStats,18,FALSE)+IF(MID(Q8,1,1)+MID(Q8,3,1)+MID(Q8,5,1)&gt;2,VLOOKUP('Gear &amp; Buffs'!$B$54,GenSocketStats,18,FALSE),0)),0))-'Gear &amp; Buffs'!$AF$50</f>
        <v>91.485434971773429</v>
      </c>
      <c r="V8" s="221">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8">
        <v>5</v>
      </c>
      <c r="X8" s="714" t="str">
        <f t="shared" si="0"/>
        <v>Flesh Handler's Gauntlets</v>
      </c>
    </row>
    <row r="9" spans="1:24">
      <c r="A9" s="10" t="s">
        <v>2818</v>
      </c>
      <c r="B9" s="114">
        <v>30341</v>
      </c>
      <c r="C9" s="114">
        <v>1</v>
      </c>
      <c r="D9" s="114">
        <v>18</v>
      </c>
      <c r="E9" s="114">
        <v>17</v>
      </c>
      <c r="F9" s="114"/>
      <c r="G9" s="116"/>
      <c r="H9" s="116"/>
      <c r="I9" s="114"/>
      <c r="J9" s="114"/>
      <c r="K9" s="114">
        <v>18</v>
      </c>
      <c r="L9" s="114">
        <v>27</v>
      </c>
      <c r="M9" s="116"/>
      <c r="N9" s="116"/>
      <c r="O9" s="114"/>
      <c r="P9" s="114"/>
      <c r="Q9" s="114" t="s">
        <v>1033</v>
      </c>
      <c r="R9" s="114"/>
      <c r="S9" s="114" t="s">
        <v>675</v>
      </c>
      <c r="T9" s="681"/>
      <c r="U9" s="891">
        <f>($D9*dpsStr+$E9*dpsAgi+$G9*dpsCrit+$H9*dpsHit+$F9*dpsAP+$I9*dpsHaste+$J9*dpsArmor+$K9*dpsExp+IF(MID(Q9,1,1)+MID(Q9,3,1)+MID(Q9,5,1)&gt;0,VLOOKUP('Gear &amp; Buffs'!$B$52,GenSocketStats,18,FALSE)+IF(MID(Q9,1,1)+MID(Q9,3,1)+MID(Q9,5,1)&gt;1,VLOOKUP('Gear &amp; Buffs'!$B$53,GenSocketStats,18,FALSE)+IF(MID(Q9,1,1)+MID(Q9,3,1)+MID(Q9,5,1)&gt;2,VLOOKUP('Gear &amp; Buffs'!$B$54,GenSocketStats,18,FALSE),0)),0))-'Gear &amp; Buffs'!$AF$50</f>
        <v>-78.635859781869158</v>
      </c>
      <c r="V9" s="221">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8">
        <v>6</v>
      </c>
      <c r="X9" s="714" t="str">
        <f t="shared" si="0"/>
        <v>Gladiator's Leather Gloves</v>
      </c>
    </row>
    <row r="10" spans="1:24">
      <c r="A10" s="10" t="s">
        <v>222</v>
      </c>
      <c r="B10" s="114">
        <v>25834</v>
      </c>
      <c r="C10" s="114">
        <v>1</v>
      </c>
      <c r="D10" s="114"/>
      <c r="E10" s="114">
        <v>27</v>
      </c>
      <c r="F10" s="114">
        <v>30</v>
      </c>
      <c r="G10" s="116">
        <v>14</v>
      </c>
      <c r="H10" s="116"/>
      <c r="I10" s="114"/>
      <c r="J10" s="114"/>
      <c r="K10" s="114"/>
      <c r="L10" s="114">
        <v>39</v>
      </c>
      <c r="M10" s="116"/>
      <c r="N10" s="116">
        <v>23</v>
      </c>
      <c r="O10" s="114"/>
      <c r="P10" s="114" t="s">
        <v>1068</v>
      </c>
      <c r="Q10" s="114" t="s">
        <v>1033</v>
      </c>
      <c r="R10" s="114"/>
      <c r="S10" s="114" t="s">
        <v>677</v>
      </c>
      <c r="T10" s="681"/>
      <c r="U10" s="891">
        <f>($D10*dpsStr+$E10*dpsAgi+$G10*dpsCrit+$H10*dpsHit+$F10*dpsAP+$I10*dpsHaste+$J10*dpsArmor+$K10*dpsExp+IF(MID(Q10,1,1)+MID(Q10,3,1)+MID(Q10,5,1)&gt;0,VLOOKUP('Gear &amp; Buffs'!$B$52,GenSocketStats,18,FALSE)+IF(MID(Q10,1,1)+MID(Q10,3,1)+MID(Q10,5,1)&gt;1,VLOOKUP('Gear &amp; Buffs'!$B$53,GenSocketStats,18,FALSE)+IF(MID(Q10,1,1)+MID(Q10,3,1)+MID(Q10,5,1)&gt;2,VLOOKUP('Gear &amp; Buffs'!$B$54,GenSocketStats,18,FALSE),0)),0))-'Gear &amp; Buffs'!$AF$50</f>
        <v>-78.332799181604287</v>
      </c>
      <c r="V10" s="221">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8">
        <v>7</v>
      </c>
      <c r="X10" s="714" t="str">
        <f t="shared" si="0"/>
        <v>Gloves of Dexterous Manipulation</v>
      </c>
    </row>
    <row r="11" spans="1:24" s="47" customFormat="1">
      <c r="A11" s="10" t="s">
        <v>223</v>
      </c>
      <c r="B11" s="114">
        <v>28506</v>
      </c>
      <c r="C11" s="114">
        <v>1</v>
      </c>
      <c r="D11" s="114"/>
      <c r="E11" s="114">
        <v>35</v>
      </c>
      <c r="F11" s="114">
        <v>42</v>
      </c>
      <c r="G11" s="116"/>
      <c r="H11" s="116"/>
      <c r="I11" s="114"/>
      <c r="J11" s="114"/>
      <c r="K11" s="114"/>
      <c r="L11" s="114">
        <v>22</v>
      </c>
      <c r="M11" s="116"/>
      <c r="N11" s="116"/>
      <c r="O11" s="114"/>
      <c r="P11" s="114"/>
      <c r="Q11" s="114" t="s">
        <v>1037</v>
      </c>
      <c r="R11" s="114" t="s">
        <v>1449</v>
      </c>
      <c r="S11" s="114" t="s">
        <v>672</v>
      </c>
      <c r="T11" s="681"/>
      <c r="U11" s="891">
        <f>($D11*dpsStr+$E11*dpsAgi+$G11*dpsCrit+$H11*dpsHit+$F11*dpsAP+$I11*dpsHaste+$J11*dpsArmor+$K11*dpsExp+IF(MID(Q11,1,1)+MID(Q11,3,1)+MID(Q11,5,1)&gt;0,VLOOKUP('Gear &amp; Buffs'!$B$52,GenSocketStats,18,FALSE)+IF(MID(Q11,1,1)+MID(Q11,3,1)+MID(Q11,5,1)&gt;1,VLOOKUP('Gear &amp; Buffs'!$B$53,GenSocketStats,18,FALSE)+IF(MID(Q11,1,1)+MID(Q11,3,1)+MID(Q11,5,1)&gt;2,VLOOKUP('Gear &amp; Buffs'!$B$54,GenSocketStats,18,FALSE),0)),0))-'Gear &amp; Buffs'!$AF$50</f>
        <v>11.772219280239142</v>
      </c>
      <c r="V11" s="221">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8">
        <v>8</v>
      </c>
      <c r="X11" s="714" t="str">
        <f t="shared" si="0"/>
        <v>Gloves of the Nether-Stalker</v>
      </c>
    </row>
    <row r="12" spans="1:24">
      <c r="A12" s="10" t="s">
        <v>707</v>
      </c>
      <c r="B12" s="114">
        <v>34370</v>
      </c>
      <c r="C12" s="114">
        <v>5</v>
      </c>
      <c r="D12" s="114"/>
      <c r="E12" s="114">
        <v>30</v>
      </c>
      <c r="F12" s="114">
        <v>90</v>
      </c>
      <c r="G12" s="116">
        <v>30</v>
      </c>
      <c r="H12" s="116"/>
      <c r="I12" s="114"/>
      <c r="J12" s="114">
        <v>154</v>
      </c>
      <c r="K12" s="114"/>
      <c r="L12" s="114">
        <v>33</v>
      </c>
      <c r="M12" s="116"/>
      <c r="N12" s="116"/>
      <c r="O12" s="114"/>
      <c r="P12" s="114"/>
      <c r="Q12" s="114" t="s">
        <v>1454</v>
      </c>
      <c r="R12" s="114" t="s">
        <v>1449</v>
      </c>
      <c r="S12" s="114" t="s">
        <v>685</v>
      </c>
      <c r="T12" s="681"/>
      <c r="U12" s="891">
        <f>($D12*dpsStr+$E12*dpsAgi+$G12*dpsCrit+$H12*dpsHit+$F12*dpsAP+$I12*dpsHaste+$J12*dpsArmor+$K12*dpsExp+IF(MID(Q12,1,1)+MID(Q12,3,1)+MID(Q12,5,1)&gt;0,VLOOKUP('Gear &amp; Buffs'!$B$52,GenSocketStats,18,FALSE)+IF(MID(Q12,1,1)+MID(Q12,3,1)+MID(Q12,5,1)&gt;1,VLOOKUP('Gear &amp; Buffs'!$B$53,GenSocketStats,18,FALSE)+IF(MID(Q12,1,1)+MID(Q12,3,1)+MID(Q12,5,1)&gt;2,VLOOKUP('Gear &amp; Buffs'!$B$54,GenSocketStats,18,FALSE),0)),0))-'Gear &amp; Buffs'!$AF$50</f>
        <v>64.289809945729303</v>
      </c>
      <c r="V12" s="221"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8">
        <v>9</v>
      </c>
      <c r="X12" s="714" t="str">
        <f t="shared" si="0"/>
        <v>Gloves of the Unbound</v>
      </c>
    </row>
    <row r="13" spans="1:24">
      <c r="A13" s="10" t="s">
        <v>969</v>
      </c>
      <c r="B13" s="116">
        <v>34408</v>
      </c>
      <c r="C13" s="116">
        <v>5</v>
      </c>
      <c r="D13" s="114">
        <v>34</v>
      </c>
      <c r="E13" s="114">
        <v>34</v>
      </c>
      <c r="F13" s="114"/>
      <c r="G13" s="116"/>
      <c r="H13" s="116"/>
      <c r="I13" s="116"/>
      <c r="J13" s="114">
        <v>140</v>
      </c>
      <c r="K13" s="116"/>
      <c r="L13" s="114">
        <v>45</v>
      </c>
      <c r="M13" s="116"/>
      <c r="N13" s="116"/>
      <c r="O13" s="116"/>
      <c r="P13" s="114"/>
      <c r="Q13" s="114" t="s">
        <v>1037</v>
      </c>
      <c r="R13" s="114" t="s">
        <v>22</v>
      </c>
      <c r="S13" s="114" t="s">
        <v>871</v>
      </c>
      <c r="T13" s="767"/>
      <c r="U13" s="891">
        <f>($D13*dpsStr+$E13*dpsAgi+$G13*dpsCrit+$H13*dpsHit+$F13*dpsAP+$I13*dpsHaste+$J13*dpsArmor+$K13*dpsExp+IF(MID(Q13,1,1)+MID(Q13,3,1)+MID(Q13,5,1)&gt;0,VLOOKUP('Gear &amp; Buffs'!$B$52,GenSocketStats,18,FALSE)+IF(MID(Q13,1,1)+MID(Q13,3,1)+MID(Q13,5,1)&gt;1,VLOOKUP('Gear &amp; Buffs'!$B$53,GenSocketStats,18,FALSE)+IF(MID(Q13,1,1)+MID(Q13,3,1)+MID(Q13,5,1)&gt;2,VLOOKUP('Gear &amp; Buffs'!$B$54,GenSocketStats,18,FALSE),0)),0))-'Gear &amp; Buffs'!$AF$50</f>
        <v>26.508492479110373</v>
      </c>
      <c r="V13" s="221"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8">
        <v>10</v>
      </c>
      <c r="X13" s="714" t="str">
        <f t="shared" si="0"/>
        <v>Grips of the Deftness</v>
      </c>
    </row>
    <row r="14" spans="1:24">
      <c r="A14" s="10" t="s">
        <v>2369</v>
      </c>
      <c r="B14" s="116">
        <v>30003</v>
      </c>
      <c r="C14" s="116">
        <v>1</v>
      </c>
      <c r="D14" s="114"/>
      <c r="E14" s="114">
        <v>16</v>
      </c>
      <c r="F14" s="114">
        <v>60</v>
      </c>
      <c r="G14" s="116"/>
      <c r="H14" s="116">
        <v>8</v>
      </c>
      <c r="I14" s="116"/>
      <c r="J14" s="114"/>
      <c r="K14" s="116"/>
      <c r="L14" s="114">
        <v>12</v>
      </c>
      <c r="M14" s="116"/>
      <c r="N14" s="116"/>
      <c r="O14" s="116"/>
      <c r="P14" s="114"/>
      <c r="Q14" s="114" t="s">
        <v>1033</v>
      </c>
      <c r="R14" s="114"/>
      <c r="S14" s="114" t="s">
        <v>675</v>
      </c>
      <c r="T14" s="767"/>
      <c r="U14" s="891">
        <f>($D14*dpsStr+$E14*dpsAgi+$G14*dpsCrit+$H14*dpsHit+$F14*dpsAP+$I14*dpsHaste+$J14*dpsArmor+$K14*dpsExp+IF(MID(Q14,1,1)+MID(Q14,3,1)+MID(Q14,5,1)&gt;0,VLOOKUP('Gear &amp; Buffs'!$B$52,GenSocketStats,18,FALSE)+IF(MID(Q14,1,1)+MID(Q14,3,1)+MID(Q14,5,1)&gt;1,VLOOKUP('Gear &amp; Buffs'!$B$53,GenSocketStats,18,FALSE)+IF(MID(Q14,1,1)+MID(Q14,3,1)+MID(Q14,5,1)&gt;2,VLOOKUP('Gear &amp; Buffs'!$B$54,GenSocketStats,18,FALSE),0)),0))-'Gear &amp; Buffs'!$AF$50</f>
        <v>-41.913136508749631</v>
      </c>
      <c r="V14" s="221">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8</v>
      </c>
      <c r="W14" s="738">
        <v>11</v>
      </c>
      <c r="X14" s="714" t="str">
        <f t="shared" si="0"/>
        <v>Handgrips of Assassination</v>
      </c>
    </row>
    <row r="15" spans="1:24">
      <c r="A15" s="10" t="s">
        <v>224</v>
      </c>
      <c r="B15" s="116">
        <v>29947</v>
      </c>
      <c r="C15" s="116">
        <v>2</v>
      </c>
      <c r="D15" s="114"/>
      <c r="E15" s="114">
        <v>33</v>
      </c>
      <c r="F15" s="114">
        <v>66</v>
      </c>
      <c r="G15" s="116"/>
      <c r="H15" s="116"/>
      <c r="I15" s="116"/>
      <c r="J15" s="114"/>
      <c r="K15" s="116">
        <v>18</v>
      </c>
      <c r="L15" s="114">
        <v>37</v>
      </c>
      <c r="M15" s="116"/>
      <c r="N15" s="116"/>
      <c r="O15" s="116"/>
      <c r="P15" s="114"/>
      <c r="Q15" s="114" t="s">
        <v>1033</v>
      </c>
      <c r="R15" s="114"/>
      <c r="S15" s="114" t="s">
        <v>680</v>
      </c>
      <c r="T15" s="767"/>
      <c r="U15" s="891">
        <f>($D15*dpsStr+$E15*dpsAgi+$G15*dpsCrit+$H15*dpsHit+$F15*dpsAP+$I15*dpsHaste+$J15*dpsArmor+$K15*dpsExp+IF(MID(Q15,1,1)+MID(Q15,3,1)+MID(Q15,5,1)&gt;0,VLOOKUP('Gear &amp; Buffs'!$B$52,GenSocketStats,18,FALSE)+IF(MID(Q15,1,1)+MID(Q15,3,1)+MID(Q15,5,1)&gt;1,VLOOKUP('Gear &amp; Buffs'!$B$53,GenSocketStats,18,FALSE)+IF(MID(Q15,1,1)+MID(Q15,3,1)+MID(Q15,5,1)&gt;2,VLOOKUP('Gear &amp; Buffs'!$B$54,GenSocketStats,18,FALSE),0)),0))-'Gear &amp; Buffs'!$AF$50</f>
        <v>-48.891806678011335</v>
      </c>
      <c r="V15" s="221"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8">
        <v>12</v>
      </c>
      <c r="X15" s="714" t="str">
        <f t="shared" si="0"/>
        <v>Liar's Tongue Gloves</v>
      </c>
    </row>
    <row r="16" spans="1:24">
      <c r="A16" s="10" t="s">
        <v>227</v>
      </c>
      <c r="B16" s="114">
        <v>28396</v>
      </c>
      <c r="C16" s="114">
        <v>1</v>
      </c>
      <c r="D16" s="114"/>
      <c r="E16" s="114">
        <v>27</v>
      </c>
      <c r="F16" s="114">
        <v>38</v>
      </c>
      <c r="G16" s="116"/>
      <c r="H16" s="116"/>
      <c r="I16" s="114"/>
      <c r="J16" s="114"/>
      <c r="K16" s="114"/>
      <c r="L16" s="114">
        <v>20</v>
      </c>
      <c r="M16" s="116"/>
      <c r="N16" s="116"/>
      <c r="O16" s="114"/>
      <c r="P16" s="114"/>
      <c r="Q16" s="114" t="s">
        <v>1037</v>
      </c>
      <c r="R16" s="114" t="s">
        <v>1452</v>
      </c>
      <c r="S16" s="114" t="s">
        <v>673</v>
      </c>
      <c r="T16" s="681"/>
      <c r="U16" s="891">
        <f>($D16*dpsStr+$E16*dpsAgi+$G16*dpsCrit+$H16*dpsHit+$F16*dpsAP+$I16*dpsHaste+$J16*dpsArmor+$K16*dpsExp+IF(MID(Q16,1,1)+MID(Q16,3,1)+MID(Q16,5,1)&gt;0,VLOOKUP('Gear &amp; Buffs'!$B$52,GenSocketStats,18,FALSE)+IF(MID(Q16,1,1)+MID(Q16,3,1)+MID(Q16,5,1)&gt;1,VLOOKUP('Gear &amp; Buffs'!$B$53,GenSocketStats,18,FALSE)+IF(MID(Q16,1,1)+MID(Q16,3,1)+MID(Q16,5,1)&gt;2,VLOOKUP('Gear &amp; Buffs'!$B$54,GenSocketStats,18,FALSE),0)),0))-'Gear &amp; Buffs'!$AF$50</f>
        <v>3.7251962221387203</v>
      </c>
      <c r="V16" s="221">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8">
        <v>13</v>
      </c>
      <c r="X16" s="714" t="str">
        <f t="shared" si="0"/>
        <v>Master Thief's Gloves</v>
      </c>
    </row>
    <row r="17" spans="1:25">
      <c r="A17" s="10" t="s">
        <v>225</v>
      </c>
      <c r="B17" s="116">
        <v>32347</v>
      </c>
      <c r="C17" s="116">
        <v>3</v>
      </c>
      <c r="D17" s="114"/>
      <c r="E17" s="114">
        <v>27</v>
      </c>
      <c r="F17" s="114">
        <v>76</v>
      </c>
      <c r="G17" s="116"/>
      <c r="H17" s="116"/>
      <c r="I17" s="116">
        <v>37</v>
      </c>
      <c r="J17" s="114"/>
      <c r="K17" s="116"/>
      <c r="L17" s="114">
        <v>38</v>
      </c>
      <c r="M17" s="116"/>
      <c r="N17" s="116"/>
      <c r="O17" s="116"/>
      <c r="P17" s="114"/>
      <c r="Q17" s="114" t="s">
        <v>1033</v>
      </c>
      <c r="R17" s="114"/>
      <c r="S17" s="114" t="s">
        <v>683</v>
      </c>
      <c r="T17" s="767"/>
      <c r="U17" s="891">
        <f>($D17*dpsStr+$E17*dpsAgi+$G17*dpsCrit+$H17*dpsHit+$F17*dpsAP+$I17*dpsHaste+$J17*dpsArmor+$K17*dpsExp+IF(MID(Q17,1,1)+MID(Q17,3,1)+MID(Q17,5,1)&gt;0,VLOOKUP('Gear &amp; Buffs'!$B$52,GenSocketStats,18,FALSE)+IF(MID(Q17,1,1)+MID(Q17,3,1)+MID(Q17,5,1)&gt;1,VLOOKUP('Gear &amp; Buffs'!$B$53,GenSocketStats,18,FALSE)+IF(MID(Q17,1,1)+MID(Q17,3,1)+MID(Q17,5,1)&gt;2,VLOOKUP('Gear &amp; Buffs'!$B$54,GenSocketStats,18,FALSE),0)),0))-'Gear &amp; Buffs'!$AF$50</f>
        <v>64.344469074345625</v>
      </c>
      <c r="V17" s="221"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8">
        <v>14</v>
      </c>
      <c r="X17" s="714" t="str">
        <f t="shared" si="0"/>
        <v>Netherblade Gloves</v>
      </c>
    </row>
    <row r="18" spans="1:25">
      <c r="A18" s="10" t="s">
        <v>226</v>
      </c>
      <c r="B18" s="114">
        <v>30644</v>
      </c>
      <c r="C18" s="114">
        <v>1</v>
      </c>
      <c r="D18" s="114"/>
      <c r="E18" s="114">
        <v>29</v>
      </c>
      <c r="F18" s="114">
        <v>60</v>
      </c>
      <c r="G18" s="116"/>
      <c r="H18" s="116"/>
      <c r="I18" s="114"/>
      <c r="J18" s="114"/>
      <c r="K18" s="114">
        <v>15</v>
      </c>
      <c r="L18" s="114">
        <v>34</v>
      </c>
      <c r="M18" s="116"/>
      <c r="N18" s="116"/>
      <c r="O18" s="114"/>
      <c r="P18" s="114"/>
      <c r="Q18" s="114" t="s">
        <v>1033</v>
      </c>
      <c r="R18" s="114"/>
      <c r="S18" s="114" t="s">
        <v>672</v>
      </c>
      <c r="T18" s="681"/>
      <c r="U18" s="891">
        <f>($D18*dpsStr+$E18*dpsAgi+$G18*dpsCrit+$H18*dpsHit+$F18*dpsAP+$I18*dpsHaste+$J18*dpsArmor+$K18*dpsExp+IF(MID(Q18,1,1)+MID(Q18,3,1)+MID(Q18,5,1)&gt;0,VLOOKUP('Gear &amp; Buffs'!$B$52,GenSocketStats,18,FALSE)+IF(MID(Q18,1,1)+MID(Q18,3,1)+MID(Q18,5,1)&gt;1,VLOOKUP('Gear &amp; Buffs'!$B$53,GenSocketStats,18,FALSE)+IF(MID(Q18,1,1)+MID(Q18,3,1)+MID(Q18,5,1)&gt;2,VLOOKUP('Gear &amp; Buffs'!$B$54,GenSocketStats,18,FALSE),0)),0))-'Gear &amp; Buffs'!$AF$50</f>
        <v>-57.880468749470538</v>
      </c>
      <c r="V18" s="221">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10</v>
      </c>
      <c r="W18" s="738">
        <v>15</v>
      </c>
      <c r="X18" s="714" t="str">
        <f t="shared" si="0"/>
        <v>Precise Gloves of Alacrity</v>
      </c>
    </row>
    <row r="19" spans="1:25">
      <c r="A19" s="10" t="s">
        <v>841</v>
      </c>
      <c r="B19" s="114">
        <v>27509</v>
      </c>
      <c r="C19" s="114">
        <v>1</v>
      </c>
      <c r="D19" s="114"/>
      <c r="E19" s="114">
        <v>25</v>
      </c>
      <c r="F19" s="114">
        <v>50</v>
      </c>
      <c r="G19" s="116"/>
      <c r="H19" s="116">
        <v>17</v>
      </c>
      <c r="I19" s="114"/>
      <c r="J19" s="114"/>
      <c r="K19" s="114"/>
      <c r="L19" s="114">
        <v>24</v>
      </c>
      <c r="M19" s="116"/>
      <c r="N19" s="116"/>
      <c r="O19" s="114"/>
      <c r="P19" s="114" t="s">
        <v>2146</v>
      </c>
      <c r="Q19" s="114" t="s">
        <v>1033</v>
      </c>
      <c r="R19" s="114"/>
      <c r="S19" s="114" t="s">
        <v>673</v>
      </c>
      <c r="T19" s="681"/>
      <c r="U19" s="891">
        <f>($D19*dpsStr+$E19*dpsAgi+$G19*dpsCrit+$H19*dpsHit+$F19*dpsAP+$I19*dpsHaste+$J19*dpsArmor+$K19*dpsExp+IF(MID(Q19,1,1)+MID(Q19,3,1)+MID(Q19,5,1)&gt;0,VLOOKUP('Gear &amp; Buffs'!$B$52,GenSocketStats,18,FALSE)+IF(MID(Q19,1,1)+MID(Q19,3,1)+MID(Q19,5,1)&gt;1,VLOOKUP('Gear &amp; Buffs'!$B$53,GenSocketStats,18,FALSE)+IF(MID(Q19,1,1)+MID(Q19,3,1)+MID(Q19,5,1)&gt;2,VLOOKUP('Gear &amp; Buffs'!$B$54,GenSocketStats,18,FALSE),0)),0))-'Gear &amp; Buffs'!$AF$50</f>
        <v>11.908762260857884</v>
      </c>
      <c r="V19" s="221">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8">
        <v>16</v>
      </c>
      <c r="X19" s="714" t="str">
        <f t="shared" si="0"/>
        <v>Opportunist's Leather Gloves (A)</v>
      </c>
    </row>
    <row r="20" spans="1:25">
      <c r="A20" s="10" t="s">
        <v>1886</v>
      </c>
      <c r="B20" s="114">
        <v>34911</v>
      </c>
      <c r="C20" s="114">
        <v>5</v>
      </c>
      <c r="D20" s="114">
        <v>30</v>
      </c>
      <c r="E20" s="114">
        <v>35</v>
      </c>
      <c r="F20" s="114"/>
      <c r="G20" s="116"/>
      <c r="H20" s="116"/>
      <c r="I20" s="114">
        <v>13</v>
      </c>
      <c r="J20" s="114"/>
      <c r="K20" s="114"/>
      <c r="L20" s="114">
        <v>36</v>
      </c>
      <c r="M20" s="116"/>
      <c r="N20" s="116"/>
      <c r="O20" s="114"/>
      <c r="P20" s="114"/>
      <c r="Q20" s="114" t="s">
        <v>1043</v>
      </c>
      <c r="R20" s="114" t="s">
        <v>1463</v>
      </c>
      <c r="S20" s="114" t="s">
        <v>691</v>
      </c>
      <c r="T20" s="681"/>
      <c r="U20" s="891">
        <f>($D20*dpsStr+$E20*dpsAgi+$G20*dpsCrit+$H20*dpsHit+$F20*dpsAP+$I20*dpsHaste+$J20*dpsArmor+$K20*dpsExp+IF(MID(Q20,1,1)+MID(Q20,3,1)+MID(Q20,5,1)&gt;0,VLOOKUP('Gear &amp; Buffs'!$B$52,GenSocketStats,18,FALSE)+IF(MID(Q20,1,1)+MID(Q20,3,1)+MID(Q20,5,1)&gt;1,VLOOKUP('Gear &amp; Buffs'!$B$53,GenSocketStats,18,FALSE)+IF(MID(Q20,1,1)+MID(Q20,3,1)+MID(Q20,5,1)&gt;2,VLOOKUP('Gear &amp; Buffs'!$B$54,GenSocketStats,18,FALSE),0)),0))-'Gear &amp; Buffs'!$AF$50</f>
        <v>11.88399891780432</v>
      </c>
      <c r="V20" s="221"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8">
        <v>17</v>
      </c>
      <c r="X20" s="714" t="str">
        <f t="shared" si="0"/>
        <v>Opportunist's Leather Gloves (H)</v>
      </c>
    </row>
    <row r="21" spans="1:25">
      <c r="A21" s="10" t="s">
        <v>842</v>
      </c>
      <c r="B21" s="114">
        <v>28776</v>
      </c>
      <c r="C21" s="114">
        <v>1</v>
      </c>
      <c r="D21" s="114"/>
      <c r="E21" s="114"/>
      <c r="F21" s="114">
        <v>72</v>
      </c>
      <c r="G21" s="116">
        <v>26</v>
      </c>
      <c r="H21" s="116"/>
      <c r="I21" s="114"/>
      <c r="J21" s="114"/>
      <c r="K21" s="114"/>
      <c r="L21" s="114">
        <v>31</v>
      </c>
      <c r="M21" s="116"/>
      <c r="N21" s="116"/>
      <c r="O21" s="114"/>
      <c r="P21" s="114"/>
      <c r="Q21" s="114" t="s">
        <v>843</v>
      </c>
      <c r="R21" s="114" t="s">
        <v>1449</v>
      </c>
      <c r="S21" s="114" t="s">
        <v>679</v>
      </c>
      <c r="T21" s="681"/>
      <c r="U21" s="891">
        <f>($D21*dpsStr+$E21*dpsAgi+$G21*dpsCrit+$H21*dpsHit+$F21*dpsAP+$I21*dpsHaste+$J21*dpsArmor+$K21*dpsExp+IF(MID(Q21,1,1)+MID(Q21,3,1)+MID(Q21,5,1)&gt;0,VLOOKUP('Gear &amp; Buffs'!$B$52,GenSocketStats,18,FALSE)+IF(MID(Q21,1,1)+MID(Q21,3,1)+MID(Q21,5,1)&gt;1,VLOOKUP('Gear &amp; Buffs'!$B$53,GenSocketStats,18,FALSE)+IF(MID(Q21,1,1)+MID(Q21,3,1)+MID(Q21,5,1)&gt;2,VLOOKUP('Gear &amp; Buffs'!$B$54,GenSocketStats,18,FALSE),0)),0))-'Gear &amp; Buffs'!$AF$50</f>
        <v>11.370373572416611</v>
      </c>
      <c r="V21" s="221">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8">
        <v>18</v>
      </c>
      <c r="X21" s="714" t="str">
        <f t="shared" si="0"/>
        <v>Predatory Gloves</v>
      </c>
    </row>
    <row r="22" spans="1:25">
      <c r="A22" s="130" t="s">
        <v>2499</v>
      </c>
      <c r="B22" s="114">
        <v>29357</v>
      </c>
      <c r="C22" s="114">
        <v>1</v>
      </c>
      <c r="D22" s="114"/>
      <c r="E22" s="114">
        <v>23</v>
      </c>
      <c r="F22" s="114">
        <v>58</v>
      </c>
      <c r="G22" s="116"/>
      <c r="H22" s="116"/>
      <c r="I22" s="114"/>
      <c r="J22" s="114"/>
      <c r="K22" s="114"/>
      <c r="L22" s="114">
        <v>25</v>
      </c>
      <c r="M22" s="116"/>
      <c r="N22" s="116"/>
      <c r="O22" s="114"/>
      <c r="P22" s="114"/>
      <c r="Q22" s="114" t="s">
        <v>1033</v>
      </c>
      <c r="R22" s="114"/>
      <c r="S22" s="114" t="s">
        <v>691</v>
      </c>
      <c r="T22" s="681"/>
      <c r="U22" s="891">
        <f>($D22*dpsStr+$E22*dpsAgi+$G22*dpsCrit+$H22*dpsHit+$F22*dpsAP+$I22*dpsHaste+$J22*dpsArmor+$K22*dpsExp+IF(MID(Q22,1,1)+MID(Q22,3,1)+MID(Q22,5,1)&gt;0,VLOOKUP('Gear &amp; Buffs'!$B$52,GenSocketStats,18,FALSE)+IF(MID(Q22,1,1)+MID(Q22,3,1)+MID(Q22,5,1)&gt;1,VLOOKUP('Gear &amp; Buffs'!$B$53,GenSocketStats,18,FALSE)+IF(MID(Q22,1,1)+MID(Q22,3,1)+MID(Q22,5,1)&gt;2,VLOOKUP('Gear &amp; Buffs'!$B$54,GenSocketStats,18,FALSE),0)),0))-'Gear &amp; Buffs'!$AF$50</f>
        <v>-81.237558212132399</v>
      </c>
      <c r="V22" s="221">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8">
        <v>19</v>
      </c>
      <c r="X22" s="714" t="str">
        <f t="shared" si="0"/>
        <v>Rapscallion's Touch</v>
      </c>
    </row>
    <row r="23" spans="1:25">
      <c r="A23" s="10" t="s">
        <v>844</v>
      </c>
      <c r="B23" s="114">
        <v>31998</v>
      </c>
      <c r="C23" s="114">
        <v>2</v>
      </c>
      <c r="D23" s="114"/>
      <c r="E23" s="114">
        <v>31</v>
      </c>
      <c r="F23" s="114">
        <v>34</v>
      </c>
      <c r="G23" s="116">
        <v>16</v>
      </c>
      <c r="H23" s="116"/>
      <c r="I23" s="114"/>
      <c r="J23" s="114"/>
      <c r="K23" s="114"/>
      <c r="L23" s="114">
        <v>45</v>
      </c>
      <c r="M23" s="116"/>
      <c r="N23" s="116">
        <v>24</v>
      </c>
      <c r="O23" s="114"/>
      <c r="P23" s="114" t="s">
        <v>1068</v>
      </c>
      <c r="Q23" s="114" t="s">
        <v>1033</v>
      </c>
      <c r="R23" s="114"/>
      <c r="S23" s="114" t="s">
        <v>677</v>
      </c>
      <c r="T23" s="681"/>
      <c r="U23" s="891">
        <f>($D23*dpsStr+$E23*dpsAgi+$G23*dpsCrit+$H23*dpsHit+$F23*dpsAP+$I23*dpsHaste+$J23*dpsArmor+$K23*dpsExp+IF(MID(Q23,1,1)+MID(Q23,3,1)+MID(Q23,5,1)&gt;0,VLOOKUP('Gear &amp; Buffs'!$B$52,GenSocketStats,18,FALSE)+IF(MID(Q23,1,1)+MID(Q23,3,1)+MID(Q23,5,1)&gt;1,VLOOKUP('Gear &amp; Buffs'!$B$53,GenSocketStats,18,FALSE)+IF(MID(Q23,1,1)+MID(Q23,3,1)+MID(Q23,5,1)&gt;2,VLOOKUP('Gear &amp; Buffs'!$B$54,GenSocketStats,18,FALSE),0)),0))-'Gear &amp; Buffs'!$AF$50</f>
        <v>-72.223034989824782</v>
      </c>
      <c r="V23" s="221"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8">
        <v>20</v>
      </c>
      <c r="X23" s="714" t="str">
        <f t="shared" si="0"/>
        <v>Wastewalker Gloves</v>
      </c>
    </row>
    <row r="24" spans="1:25">
      <c r="A24" s="10" t="s">
        <v>2076</v>
      </c>
      <c r="B24" s="114">
        <v>29048</v>
      </c>
      <c r="C24" s="114">
        <v>1</v>
      </c>
      <c r="D24" s="114"/>
      <c r="E24" s="114"/>
      <c r="F24" s="114">
        <v>72</v>
      </c>
      <c r="G24" s="116">
        <v>25</v>
      </c>
      <c r="H24" s="116">
        <v>17</v>
      </c>
      <c r="I24" s="114"/>
      <c r="J24" s="114"/>
      <c r="K24" s="114"/>
      <c r="L24" s="114">
        <v>34</v>
      </c>
      <c r="M24" s="116"/>
      <c r="N24" s="116"/>
      <c r="O24" s="114"/>
      <c r="P24" s="114" t="s">
        <v>1078</v>
      </c>
      <c r="Q24" s="114" t="s">
        <v>1033</v>
      </c>
      <c r="R24" s="114"/>
      <c r="S24" s="114" t="s">
        <v>672</v>
      </c>
      <c r="T24" s="681"/>
      <c r="U24" s="891">
        <f>($D24*dpsStr+$E24*dpsAgi+$G24*dpsCrit+$H24*dpsHit+$F24*dpsAP+$I24*dpsHaste+$J24*dpsArmor+$K24*dpsExp+IF(MID(Q24,1,1)+MID(Q24,3,1)+MID(Q24,5,1)&gt;0,VLOOKUP('Gear &amp; Buffs'!$B$52,GenSocketStats,18,FALSE)+IF(MID(Q24,1,1)+MID(Q24,3,1)+MID(Q24,5,1)&gt;1,VLOOKUP('Gear &amp; Buffs'!$B$53,GenSocketStats,18,FALSE)+IF(MID(Q24,1,1)+MID(Q24,3,1)+MID(Q24,5,1)&gt;2,VLOOKUP('Gear &amp; Buffs'!$B$54,GenSocketStats,18,FALSE),0)),0))-'Gear &amp; Buffs'!$AF$50</f>
        <v>16.234608734034282</v>
      </c>
      <c r="V24" s="221">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8">
        <v>21</v>
      </c>
      <c r="X24" s="714" t="str">
        <f t="shared" si="0"/>
        <v>Windslayer Wraps</v>
      </c>
    </row>
    <row r="25" spans="1:25">
      <c r="A25" s="10" t="s">
        <v>2370</v>
      </c>
      <c r="B25" s="114">
        <v>31439</v>
      </c>
      <c r="C25" s="114">
        <v>1</v>
      </c>
      <c r="D25" s="114"/>
      <c r="E25" s="114">
        <v>15</v>
      </c>
      <c r="F25" s="114">
        <v>54</v>
      </c>
      <c r="G25" s="116"/>
      <c r="H25" s="116">
        <v>11</v>
      </c>
      <c r="I25" s="114"/>
      <c r="J25" s="114"/>
      <c r="K25" s="114"/>
      <c r="L25" s="114"/>
      <c r="M25" s="116"/>
      <c r="N25" s="116"/>
      <c r="O25" s="114"/>
      <c r="P25" s="114"/>
      <c r="Q25" s="114" t="s">
        <v>1033</v>
      </c>
      <c r="R25" s="114"/>
      <c r="S25" s="114" t="s">
        <v>675</v>
      </c>
      <c r="T25" s="681"/>
      <c r="U25" s="891">
        <f>($D25*dpsStr+$E25*dpsAgi+$G25*dpsCrit+$H25*dpsHit+$F25*dpsAP+$I25*dpsHaste+$J25*dpsArmor+$K25*dpsExp+IF(MID(Q25,1,1)+MID(Q25,3,1)+MID(Q25,5,1)&gt;0,VLOOKUP('Gear &amp; Buffs'!$B$52,GenSocketStats,18,FALSE)+IF(MID(Q25,1,1)+MID(Q25,3,1)+MID(Q25,5,1)&gt;1,VLOOKUP('Gear &amp; Buffs'!$B$53,GenSocketStats,18,FALSE)+IF(MID(Q25,1,1)+MID(Q25,3,1)+MID(Q25,5,1)&gt;2,VLOOKUP('Gear &amp; Buffs'!$B$54,GenSocketStats,18,FALSE),0)),0))-'Gear &amp; Buffs'!$AF$50</f>
        <v>-28.234235131834112</v>
      </c>
      <c r="V25" s="221">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8">
        <v>22</v>
      </c>
      <c r="X25" s="714" t="str">
        <f t="shared" si="0"/>
        <v>(Unmodeled)</v>
      </c>
    </row>
    <row r="26" spans="1:25">
      <c r="A26" s="10" t="s">
        <v>2500</v>
      </c>
      <c r="B26" s="114">
        <v>35468</v>
      </c>
      <c r="C26" s="114">
        <v>1</v>
      </c>
      <c r="D26" s="114"/>
      <c r="E26" s="114">
        <v>21</v>
      </c>
      <c r="F26" s="114">
        <v>22</v>
      </c>
      <c r="G26" s="116">
        <v>11</v>
      </c>
      <c r="H26" s="116"/>
      <c r="I26" s="114"/>
      <c r="J26" s="114"/>
      <c r="K26" s="114"/>
      <c r="L26" s="114">
        <v>31</v>
      </c>
      <c r="M26" s="116"/>
      <c r="N26" s="116">
        <v>16</v>
      </c>
      <c r="O26" s="114"/>
      <c r="P26" s="114" t="s">
        <v>2861</v>
      </c>
      <c r="Q26" s="114" t="s">
        <v>1033</v>
      </c>
      <c r="R26" s="114"/>
      <c r="S26" s="114" t="s">
        <v>676</v>
      </c>
      <c r="T26" s="681"/>
      <c r="U26" s="891">
        <f>($D26*dpsStr+$E26*dpsAgi+$G26*dpsCrit+$H26*dpsHit+$F26*dpsAP+$I26*dpsHaste+$J26*dpsArmor+$K26*dpsExp+IF(MID(Q26,1,1)+MID(Q26,3,1)+MID(Q26,5,1)&gt;0,VLOOKUP('Gear &amp; Buffs'!$B$52,GenSocketStats,18,FALSE)+IF(MID(Q26,1,1)+MID(Q26,3,1)+MID(Q26,5,1)&gt;1,VLOOKUP('Gear &amp; Buffs'!$B$53,GenSocketStats,18,FALSE)+IF(MID(Q26,1,1)+MID(Q26,3,1)+MID(Q26,5,1)&gt;2,VLOOKUP('Gear &amp; Buffs'!$B$54,GenSocketStats,18,FALSE),0)),0))-'Gear &amp; Buffs'!$AF$50</f>
        <v>-88.212105520983869</v>
      </c>
      <c r="V26" s="221">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8">
        <v>23</v>
      </c>
      <c r="X26" s="714" t="str">
        <f t="shared" si="0"/>
        <v/>
      </c>
    </row>
    <row r="27" spans="1:25">
      <c r="A27" s="10" t="s">
        <v>2501</v>
      </c>
      <c r="B27" s="114">
        <v>35366</v>
      </c>
      <c r="C27" s="114">
        <v>1</v>
      </c>
      <c r="D27" s="114"/>
      <c r="E27" s="114">
        <v>21</v>
      </c>
      <c r="F27" s="114">
        <v>22</v>
      </c>
      <c r="G27" s="116">
        <v>11</v>
      </c>
      <c r="H27" s="116"/>
      <c r="I27" s="114"/>
      <c r="J27" s="114"/>
      <c r="K27" s="114"/>
      <c r="L27" s="114">
        <v>31</v>
      </c>
      <c r="M27" s="116"/>
      <c r="N27" s="116">
        <v>16</v>
      </c>
      <c r="O27" s="114"/>
      <c r="P27" s="114" t="s">
        <v>2861</v>
      </c>
      <c r="Q27" s="114" t="s">
        <v>1033</v>
      </c>
      <c r="R27" s="114"/>
      <c r="S27" s="114" t="s">
        <v>676</v>
      </c>
      <c r="T27" s="681"/>
      <c r="U27" s="891">
        <f>($D27*dpsStr+$E27*dpsAgi+$G27*dpsCrit+$H27*dpsHit+$F27*dpsAP+$I27*dpsHaste+$J27*dpsArmor+$K27*dpsExp+IF(MID(Q27,1,1)+MID(Q27,3,1)+MID(Q27,5,1)&gt;0,VLOOKUP('Gear &amp; Buffs'!$B$52,GenSocketStats,18,FALSE)+IF(MID(Q27,1,1)+MID(Q27,3,1)+MID(Q27,5,1)&gt;1,VLOOKUP('Gear &amp; Buffs'!$B$53,GenSocketStats,18,FALSE)+IF(MID(Q27,1,1)+MID(Q27,3,1)+MID(Q27,5,1)&gt;2,VLOOKUP('Gear &amp; Buffs'!$B$54,GenSocketStats,18,FALSE),0)),0))-'Gear &amp; Buffs'!$AF$50</f>
        <v>-88.212105520983869</v>
      </c>
      <c r="V27" s="221">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8">
        <v>24</v>
      </c>
      <c r="X27" s="714" t="str">
        <f t="shared" ref="X27" si="1">IF(ISNA(INDEX($A$2:$A$36,MATCH(W27,V$2:V$36,0))), "", INDEX($A$2:$A$36,MATCH(W27,V$2:V$36,0)))</f>
        <v/>
      </c>
    </row>
    <row r="28" spans="1:25">
      <c r="A28" s="10" t="s">
        <v>845</v>
      </c>
      <c r="B28" s="114">
        <v>27825</v>
      </c>
      <c r="C28" s="114">
        <v>1</v>
      </c>
      <c r="D28" s="114"/>
      <c r="E28" s="114"/>
      <c r="F28" s="114">
        <v>48</v>
      </c>
      <c r="G28" s="116">
        <v>21</v>
      </c>
      <c r="H28" s="116">
        <v>19</v>
      </c>
      <c r="I28" s="114"/>
      <c r="J28" s="114"/>
      <c r="K28" s="114"/>
      <c r="L28" s="114">
        <v>16</v>
      </c>
      <c r="M28" s="116"/>
      <c r="N28" s="116"/>
      <c r="O28" s="114"/>
      <c r="P28" s="114"/>
      <c r="Q28" s="114" t="s">
        <v>1033</v>
      </c>
      <c r="R28" s="114"/>
      <c r="S28" s="114" t="s">
        <v>673</v>
      </c>
      <c r="T28" s="681"/>
      <c r="U28" s="891">
        <f>($D28*dpsStr+$E28*dpsAgi+$G28*dpsCrit+$H28*dpsHit+$F28*dpsAP+$I28*dpsHaste+$J28*dpsArmor+$K28*dpsExp+IF(MID(Q28,1,1)+MID(Q28,3,1)+MID(Q28,5,1)&gt;0,VLOOKUP('Gear &amp; Buffs'!$B$52,GenSocketStats,18,FALSE)+IF(MID(Q28,1,1)+MID(Q28,3,1)+MID(Q28,5,1)&gt;1,VLOOKUP('Gear &amp; Buffs'!$B$53,GenSocketStats,18,FALSE)+IF(MID(Q28,1,1)+MID(Q28,3,1)+MID(Q28,5,1)&gt;2,VLOOKUP('Gear &amp; Buffs'!$B$54,GenSocketStats,18,FALSE),0)),0))-'Gear &amp; Buffs'!$AF$50</f>
        <v>16.015565825726753</v>
      </c>
      <c r="V28" s="221">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8">
        <v>25</v>
      </c>
      <c r="X28" s="714" t="str">
        <f t="shared" si="0"/>
        <v/>
      </c>
    </row>
    <row r="29" spans="1:25">
      <c r="A29" s="10" t="s">
        <v>846</v>
      </c>
      <c r="B29" s="114">
        <v>25969</v>
      </c>
      <c r="C29" s="114">
        <v>1</v>
      </c>
      <c r="D29" s="114"/>
      <c r="E29" s="114">
        <v>15</v>
      </c>
      <c r="F29" s="114"/>
      <c r="G29" s="116">
        <v>21</v>
      </c>
      <c r="H29" s="116">
        <v>15</v>
      </c>
      <c r="I29" s="114"/>
      <c r="J29" s="114"/>
      <c r="K29" s="114"/>
      <c r="L29" s="114"/>
      <c r="M29" s="116"/>
      <c r="N29" s="116"/>
      <c r="O29" s="114"/>
      <c r="P29" s="114"/>
      <c r="Q29" s="114" t="s">
        <v>1045</v>
      </c>
      <c r="R29" s="114" t="s">
        <v>1052</v>
      </c>
      <c r="S29" s="114" t="s">
        <v>675</v>
      </c>
      <c r="T29" s="681"/>
      <c r="U29" s="891">
        <f>($D29*dpsStr+$E29*dpsAgi+$G29*dpsCrit+$H29*dpsHit+$F29*dpsAP+$I29*dpsHaste+$J29*dpsArmor+$K29*dpsExp+IF(MID(Q29,1,1)+MID(Q29,3,1)+MID(Q29,5,1)&gt;0,VLOOKUP('Gear &amp; Buffs'!$B$52,GenSocketStats,18,FALSE)+IF(MID(Q29,1,1)+MID(Q29,3,1)+MID(Q29,5,1)&gt;1,VLOOKUP('Gear &amp; Buffs'!$B$53,GenSocketStats,18,FALSE)+IF(MID(Q29,1,1)+MID(Q29,3,1)+MID(Q29,5,1)&gt;2,VLOOKUP('Gear &amp; Buffs'!$B$54,GenSocketStats,18,FALSE),0)),0))-'Gear &amp; Buffs'!$AF$50</f>
        <v>77.872295230229383</v>
      </c>
      <c r="V29" s="221">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19</v>
      </c>
      <c r="W29" s="738">
        <v>26</v>
      </c>
      <c r="X29" s="714" t="str">
        <f t="shared" si="0"/>
        <v/>
      </c>
    </row>
    <row r="30" spans="1:25">
      <c r="A30" s="10" t="s">
        <v>964</v>
      </c>
      <c r="B30" s="114">
        <v>34234</v>
      </c>
      <c r="C30" s="114">
        <v>5</v>
      </c>
      <c r="D30" s="114"/>
      <c r="E30" s="114">
        <v>41</v>
      </c>
      <c r="F30" s="114">
        <v>82</v>
      </c>
      <c r="G30" s="116"/>
      <c r="H30" s="116"/>
      <c r="I30" s="114">
        <v>30</v>
      </c>
      <c r="J30" s="114"/>
      <c r="K30" s="114"/>
      <c r="L30" s="114">
        <v>33</v>
      </c>
      <c r="M30" s="116"/>
      <c r="N30" s="116"/>
      <c r="O30" s="114"/>
      <c r="P30" s="114"/>
      <c r="Q30" s="114" t="s">
        <v>1037</v>
      </c>
      <c r="R30" s="114" t="s">
        <v>22</v>
      </c>
      <c r="S30" s="114" t="s">
        <v>871</v>
      </c>
      <c r="T30" s="681"/>
      <c r="U30" s="891">
        <f>($D30*dpsStr+$E30*dpsAgi+$G30*dpsCrit+$H30*dpsHit+$F30*dpsAP+$I30*dpsHaste+$J30*dpsArmor+$K30*dpsExp+IF(MID(Q30,1,1)+MID(Q30,3,1)+MID(Q30,5,1)&gt;0,VLOOKUP('Gear &amp; Buffs'!$B$52,GenSocketStats,18,FALSE)+IF(MID(Q30,1,1)+MID(Q30,3,1)+MID(Q30,5,1)&gt;1,VLOOKUP('Gear &amp; Buffs'!$B$53,GenSocketStats,18,FALSE)+IF(MID(Q30,1,1)+MID(Q30,3,1)+MID(Q30,5,1)&gt;2,VLOOKUP('Gear &amp; Buffs'!$B$54,GenSocketStats,18,FALSE),0)),0))-'Gear &amp; Buffs'!$AF$50</f>
        <v>141.1702397010597</v>
      </c>
      <c r="V30" s="221"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8">
        <v>27</v>
      </c>
      <c r="X30" s="714" t="str">
        <f t="shared" si="0"/>
        <v/>
      </c>
    </row>
    <row r="31" spans="1:25">
      <c r="A31" s="10" t="s">
        <v>847</v>
      </c>
      <c r="B31" s="114">
        <v>31026</v>
      </c>
      <c r="C31" s="114">
        <v>3</v>
      </c>
      <c r="D31" s="114"/>
      <c r="E31" s="114">
        <v>34</v>
      </c>
      <c r="F31" s="114">
        <v>68</v>
      </c>
      <c r="G31" s="116"/>
      <c r="H31" s="116">
        <v>18</v>
      </c>
      <c r="I31" s="114"/>
      <c r="J31" s="114">
        <v>175</v>
      </c>
      <c r="K31" s="114"/>
      <c r="L31" s="114">
        <v>36</v>
      </c>
      <c r="M31" s="116"/>
      <c r="N31" s="116"/>
      <c r="O31" s="114"/>
      <c r="P31" s="114" t="s">
        <v>999</v>
      </c>
      <c r="Q31" s="114" t="s">
        <v>1039</v>
      </c>
      <c r="R31" s="114" t="s">
        <v>1066</v>
      </c>
      <c r="S31" s="114" t="s">
        <v>684</v>
      </c>
      <c r="T31" s="681"/>
      <c r="U31" s="891">
        <f>($D31*dpsStr+$E31*dpsAgi+$G31*dpsCrit+$H31*dpsHit+$F31*dpsAP+$I31*dpsHaste+$J31*dpsArmor+$K31*dpsExp+IF(MID(Q31,1,1)+MID(Q31,3,1)+MID(Q31,5,1)&gt;0,VLOOKUP('Gear &amp; Buffs'!$B$52,GenSocketStats,18,FALSE)+IF(MID(Q31,1,1)+MID(Q31,3,1)+MID(Q31,5,1)&gt;1,VLOOKUP('Gear &amp; Buffs'!$B$53,GenSocketStats,18,FALSE)+IF(MID(Q31,1,1)+MID(Q31,3,1)+MID(Q31,5,1)&gt;2,VLOOKUP('Gear &amp; Buffs'!$B$54,GenSocketStats,18,FALSE),0)),0))-'Gear &amp; Buffs'!$AF$50</f>
        <v>97.244906988310731</v>
      </c>
      <c r="V31" s="221"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8">
        <v>28</v>
      </c>
      <c r="X31" s="714" t="str">
        <f t="shared" si="0"/>
        <v/>
      </c>
    </row>
    <row r="32" spans="1:25">
      <c r="A32" s="130" t="s">
        <v>1434</v>
      </c>
      <c r="B32" s="114">
        <v>33539</v>
      </c>
      <c r="C32" s="114">
        <v>4</v>
      </c>
      <c r="D32" s="114"/>
      <c r="E32" s="114">
        <v>30</v>
      </c>
      <c r="F32" s="114">
        <v>68</v>
      </c>
      <c r="G32" s="116"/>
      <c r="H32" s="116"/>
      <c r="I32" s="114">
        <v>25</v>
      </c>
      <c r="J32" s="114"/>
      <c r="K32" s="114"/>
      <c r="L32" s="114">
        <v>28</v>
      </c>
      <c r="M32" s="116"/>
      <c r="N32" s="116"/>
      <c r="O32" s="114"/>
      <c r="P32" s="114"/>
      <c r="Q32" s="114" t="s">
        <v>1033</v>
      </c>
      <c r="R32" s="47"/>
      <c r="S32" s="114" t="s">
        <v>691</v>
      </c>
      <c r="T32" s="681"/>
      <c r="U32" s="891">
        <f>($D32*dpsStr+$E32*dpsAgi+$G32*dpsCrit+$H32*dpsHit+$F32*dpsAP+$I32*dpsHaste+$J32*dpsArmor+$K32*dpsExp+IF(MID(Q32,1,1)+MID(Q32,3,1)+MID(Q32,5,1)&gt;0,VLOOKUP('Gear &amp; Buffs'!$B$52,GenSocketStats,18,FALSE)+IF(MID(Q32,1,1)+MID(Q32,3,1)+MID(Q32,5,1)&gt;1,VLOOKUP('Gear &amp; Buffs'!$B$53,GenSocketStats,18,FALSE)+IF(MID(Q32,1,1)+MID(Q32,3,1)+MID(Q32,5,1)&gt;2,VLOOKUP('Gear &amp; Buffs'!$B$54,GenSocketStats,18,FALSE),0)),0))-'Gear &amp; Buffs'!$AF$50</f>
        <v>19.910850607267548</v>
      </c>
      <c r="V32" s="221"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8">
        <v>29</v>
      </c>
      <c r="X32" s="714" t="str">
        <f t="shared" si="0"/>
        <v/>
      </c>
      <c r="Y32" s="129"/>
    </row>
    <row r="33" spans="1:25">
      <c r="A33" s="10" t="s">
        <v>1528</v>
      </c>
      <c r="B33" s="114">
        <v>33700</v>
      </c>
      <c r="C33" s="114">
        <v>3</v>
      </c>
      <c r="D33" s="114"/>
      <c r="E33" s="114">
        <v>33</v>
      </c>
      <c r="F33" s="114">
        <v>40</v>
      </c>
      <c r="G33" s="116">
        <v>19</v>
      </c>
      <c r="H33" s="116"/>
      <c r="I33" s="114"/>
      <c r="J33" s="114"/>
      <c r="K33" s="114"/>
      <c r="L33" s="114">
        <v>49</v>
      </c>
      <c r="M33" s="116"/>
      <c r="N33" s="116">
        <v>24</v>
      </c>
      <c r="O33" s="114"/>
      <c r="P33" s="114" t="s">
        <v>1068</v>
      </c>
      <c r="Q33" s="114" t="s">
        <v>1033</v>
      </c>
      <c r="R33" s="47"/>
      <c r="S33" s="114" t="s">
        <v>677</v>
      </c>
      <c r="T33" s="681"/>
      <c r="U33" s="891">
        <f>($D33*dpsStr+$E33*dpsAgi+$G33*dpsCrit+$H33*dpsHit+$F33*dpsAP+$I33*dpsHaste+$J33*dpsArmor+$K33*dpsExp+IF(MID(Q33,1,1)+MID(Q33,3,1)+MID(Q33,5,1)&gt;0,VLOOKUP('Gear &amp; Buffs'!$B$52,GenSocketStats,18,FALSE)+IF(MID(Q33,1,1)+MID(Q33,3,1)+MID(Q33,5,1)&gt;1,VLOOKUP('Gear &amp; Buffs'!$B$53,GenSocketStats,18,FALSE)+IF(MID(Q33,1,1)+MID(Q33,3,1)+MID(Q33,5,1)&gt;2,VLOOKUP('Gear &amp; Buffs'!$B$54,GenSocketStats,18,FALSE),0)),0))-'Gear &amp; Buffs'!$AF$50</f>
        <v>-66.367240179495411</v>
      </c>
      <c r="V33" s="221"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8">
        <v>30</v>
      </c>
      <c r="X33" s="714" t="str">
        <f t="shared" si="0"/>
        <v/>
      </c>
      <c r="Y33" s="129"/>
    </row>
    <row r="34" spans="1:25">
      <c r="A34" s="10" t="s">
        <v>17</v>
      </c>
      <c r="B34" s="114">
        <v>27531</v>
      </c>
      <c r="C34" s="114">
        <v>1</v>
      </c>
      <c r="D34" s="114"/>
      <c r="E34" s="114">
        <v>32</v>
      </c>
      <c r="F34" s="114">
        <v>16</v>
      </c>
      <c r="G34" s="116"/>
      <c r="H34" s="116"/>
      <c r="I34" s="114"/>
      <c r="J34" s="114"/>
      <c r="K34" s="114"/>
      <c r="L34" s="114">
        <v>33</v>
      </c>
      <c r="M34" s="116"/>
      <c r="N34" s="116"/>
      <c r="O34" s="114"/>
      <c r="P34" s="114" t="s">
        <v>1004</v>
      </c>
      <c r="Q34" s="114" t="s">
        <v>1045</v>
      </c>
      <c r="R34" s="114" t="s">
        <v>1455</v>
      </c>
      <c r="S34" s="114" t="s">
        <v>673</v>
      </c>
      <c r="T34" s="681"/>
      <c r="U34" s="891">
        <f>($D34*dpsStr+$E34*dpsAgi+$G34*dpsCrit+$H34*dpsHit+$F34*dpsAP+$I34*dpsHaste+$J34*dpsArmor+$K34*dpsExp+IF(MID(Q34,1,1)+MID(Q34,3,1)+MID(Q34,5,1)&gt;0,VLOOKUP('Gear &amp; Buffs'!$B$52,GenSocketStats,18,FALSE)+IF(MID(Q34,1,1)+MID(Q34,3,1)+MID(Q34,5,1)&gt;1,VLOOKUP('Gear &amp; Buffs'!$B$53,GenSocketStats,18,FALSE)+IF(MID(Q34,1,1)+MID(Q34,3,1)+MID(Q34,5,1)&gt;2,VLOOKUP('Gear &amp; Buffs'!$B$54,GenSocketStats,18,FALSE),0)),0))-'Gear &amp; Buffs'!$AF$50</f>
        <v>0</v>
      </c>
      <c r="V34" s="221">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8">
        <v>31</v>
      </c>
      <c r="X34" s="714" t="str">
        <f t="shared" si="0"/>
        <v/>
      </c>
      <c r="Y34" s="129"/>
    </row>
    <row r="35" spans="1:25">
      <c r="A35" s="10" t="s">
        <v>2371</v>
      </c>
      <c r="B35" s="114">
        <v>29507</v>
      </c>
      <c r="C35" s="114">
        <v>1</v>
      </c>
      <c r="D35" s="114">
        <v>36</v>
      </c>
      <c r="E35" s="114">
        <v>18</v>
      </c>
      <c r="F35" s="114"/>
      <c r="G35" s="116"/>
      <c r="H35" s="116">
        <v>17</v>
      </c>
      <c r="I35" s="114"/>
      <c r="J35" s="114"/>
      <c r="K35" s="114"/>
      <c r="L35" s="114">
        <v>25</v>
      </c>
      <c r="M35" s="116"/>
      <c r="N35" s="116"/>
      <c r="O35" s="114"/>
      <c r="P35" s="114"/>
      <c r="Q35" s="114" t="s">
        <v>1033</v>
      </c>
      <c r="R35" s="47"/>
      <c r="S35" s="114" t="s">
        <v>685</v>
      </c>
      <c r="T35" s="681"/>
      <c r="U35" s="891">
        <f>($D35*dpsStr+$E35*dpsAgi+$G35*dpsCrit+$H35*dpsHit+$F35*dpsAP+$I35*dpsHaste+$J35*dpsArmor+$K35*dpsExp+IF(MID(Q35,1,1)+MID(Q35,3,1)+MID(Q35,5,1)&gt;0,VLOOKUP('Gear &amp; Buffs'!$B$52,GenSocketStats,18,FALSE)+IF(MID(Q35,1,1)+MID(Q35,3,1)+MID(Q35,5,1)&gt;1,VLOOKUP('Gear &amp; Buffs'!$B$53,GenSocketStats,18,FALSE)+IF(MID(Q35,1,1)+MID(Q35,3,1)+MID(Q35,5,1)&gt;2,VLOOKUP('Gear &amp; Buffs'!$B$54,GenSocketStats,18,FALSE),0)),0))-'Gear &amp; Buffs'!$AF$50</f>
        <v>2.4020399066398568</v>
      </c>
      <c r="V35" s="221">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8">
        <v>32</v>
      </c>
      <c r="X35" s="714" t="str">
        <f t="shared" si="0"/>
        <v/>
      </c>
      <c r="Y35" s="129"/>
    </row>
    <row r="36" spans="1:25">
      <c r="A36" s="10" t="str">
        <f>'Gear &amp; Buffs'!$B$162</f>
        <v>(Unmodeled)</v>
      </c>
      <c r="B36" s="114"/>
      <c r="C36" s="114"/>
      <c r="D36" s="114">
        <f>'Gear &amp; Buffs'!$D$162</f>
        <v>0</v>
      </c>
      <c r="E36" s="114">
        <f>'Gear &amp; Buffs'!$E$162</f>
        <v>0</v>
      </c>
      <c r="F36" s="114">
        <f>'Gear &amp; Buffs'!$I$162</f>
        <v>0</v>
      </c>
      <c r="G36" s="115">
        <f>'Gear &amp; Buffs'!$G$162</f>
        <v>0</v>
      </c>
      <c r="H36" s="115">
        <f>'Gear &amp; Buffs'!$H$162</f>
        <v>0</v>
      </c>
      <c r="I36" s="115">
        <f>'Gear &amp; Buffs'!$P$162</f>
        <v>0</v>
      </c>
      <c r="J36" s="114">
        <f>'Gear &amp; Buffs'!$Q$162</f>
        <v>0</v>
      </c>
      <c r="K36" s="116">
        <f>'Gear &amp; Buffs'!$L$162</f>
        <v>0</v>
      </c>
      <c r="L36" s="114">
        <f>'Gear &amp; Buffs'!$F$162</f>
        <v>0</v>
      </c>
      <c r="M36" s="116">
        <f>'Gear &amp; Buffs'!$K$162</f>
        <v>0</v>
      </c>
      <c r="N36" s="114">
        <f>'Gear &amp; Buffs'!$J$162</f>
        <v>0</v>
      </c>
      <c r="O36" s="115">
        <f>'Gear &amp; Buffs'!M162</f>
        <v>0</v>
      </c>
      <c r="P36" s="114"/>
      <c r="Q36" s="114" t="str">
        <f>'Gear &amp; Buffs'!$R$162</f>
        <v>0 0 0</v>
      </c>
      <c r="R36" s="720">
        <f>'Gear &amp; Buffs'!$S$162</f>
        <v>0</v>
      </c>
      <c r="S36" s="114"/>
      <c r="T36" s="766"/>
      <c r="U36" s="891">
        <f>($D36*dpsStr+$E36*dpsAgi+$G36*dpsCrit+$H36*dpsHit+$F36*dpsAP+$I36*dpsHaste+$J36*dpsArmor+$K36*dpsExp+IF(MID(Q36,1,1)+MID(Q36,3,1)+MID(Q36,5,1)&gt;0,VLOOKUP('Gear &amp; Buffs'!$B$52,GenSocketStats,18,FALSE)+IF(MID(Q36,1,1)+MID(Q36,3,1)+MID(Q36,5,1)&gt;1,VLOOKUP('Gear &amp; Buffs'!$B$53,GenSocketStats,18,FALSE)+IF(MID(Q36,1,1)+MID(Q36,3,1)+MID(Q36,5,1)&gt;2,VLOOKUP('Gear &amp; Buffs'!$B$54,GenSocketStats,18,FALSE),0)),0))-'Gear &amp; Buffs'!$AF$50</f>
        <v>-120.98859570643617</v>
      </c>
      <c r="V36" s="681">
        <f>MAX($V$1:V35)+1</f>
        <v>22</v>
      </c>
      <c r="W36" s="738">
        <v>33</v>
      </c>
      <c r="X36" s="714" t="str">
        <f t="shared" si="0"/>
        <v/>
      </c>
      <c r="Y36" s="129"/>
    </row>
    <row r="37" spans="1:25">
      <c r="A37" s="10" t="s">
        <v>2207</v>
      </c>
      <c r="B37" s="114"/>
      <c r="C37" s="114"/>
      <c r="D37" s="114"/>
      <c r="E37" s="114"/>
      <c r="F37" s="114"/>
      <c r="G37" s="116"/>
      <c r="H37" s="116"/>
      <c r="I37" s="114"/>
      <c r="J37" s="114"/>
      <c r="K37" s="114"/>
      <c r="L37" s="114"/>
      <c r="M37" s="116"/>
      <c r="N37" s="116"/>
      <c r="O37" s="114"/>
      <c r="P37" s="114"/>
      <c r="Q37" s="114" t="s">
        <v>1033</v>
      </c>
      <c r="R37" s="114"/>
      <c r="S37" s="114"/>
      <c r="T37" s="681"/>
      <c r="U37" s="711"/>
      <c r="V37" s="681"/>
      <c r="W37" s="738">
        <v>34</v>
      </c>
      <c r="X37" s="714" t="str">
        <f t="shared" si="0"/>
        <v/>
      </c>
      <c r="Y37" s="129"/>
    </row>
    <row r="38" spans="1:25">
      <c r="J38" s="114"/>
      <c r="W38" s="738">
        <v>35</v>
      </c>
      <c r="X38" s="714" t="str">
        <f t="shared" si="0"/>
        <v/>
      </c>
      <c r="Y38" s="129"/>
    </row>
    <row r="39" spans="1:25">
      <c r="J39" s="114"/>
      <c r="R39" s="114"/>
    </row>
    <row r="40" spans="1:25" ht="23.25" thickBot="1">
      <c r="A40" s="740" t="s">
        <v>18</v>
      </c>
      <c r="B40" s="730" t="s">
        <v>1934</v>
      </c>
      <c r="C40" s="730" t="s">
        <v>2798</v>
      </c>
      <c r="D40" s="731" t="s">
        <v>1214</v>
      </c>
      <c r="E40" s="731" t="s">
        <v>1215</v>
      </c>
      <c r="F40" s="731" t="s">
        <v>768</v>
      </c>
      <c r="G40" s="730" t="s">
        <v>2140</v>
      </c>
      <c r="H40" s="730" t="s">
        <v>2139</v>
      </c>
      <c r="I40" s="730" t="s">
        <v>771</v>
      </c>
      <c r="J40" s="732" t="s">
        <v>770</v>
      </c>
      <c r="K40" s="730" t="s">
        <v>760</v>
      </c>
      <c r="L40" s="731" t="s">
        <v>1216</v>
      </c>
      <c r="M40" s="730" t="s">
        <v>264</v>
      </c>
      <c r="N40" s="730" t="s">
        <v>1217</v>
      </c>
      <c r="O40" s="730" t="s">
        <v>1287</v>
      </c>
      <c r="P40" s="730" t="s">
        <v>1046</v>
      </c>
      <c r="Q40" s="731" t="s">
        <v>1047</v>
      </c>
      <c r="R40" s="731" t="s">
        <v>1941</v>
      </c>
      <c r="S40" s="731" t="s">
        <v>666</v>
      </c>
      <c r="T40" s="730" t="s">
        <v>921</v>
      </c>
      <c r="U40" s="733" t="s">
        <v>265</v>
      </c>
      <c r="V40" s="744">
        <v>0</v>
      </c>
      <c r="W40" s="741"/>
      <c r="X40" s="735" t="s">
        <v>1689</v>
      </c>
    </row>
    <row r="41" spans="1:25">
      <c r="A41" s="695" t="s">
        <v>21</v>
      </c>
      <c r="B41" s="697">
        <v>1594</v>
      </c>
      <c r="C41" s="697">
        <v>1</v>
      </c>
      <c r="D41" s="696"/>
      <c r="E41" s="696"/>
      <c r="F41" s="696">
        <v>26</v>
      </c>
      <c r="G41" s="697"/>
      <c r="H41" s="697"/>
      <c r="I41" s="697"/>
      <c r="J41" s="696"/>
      <c r="K41" s="697"/>
      <c r="L41" s="696"/>
      <c r="M41" s="697"/>
      <c r="N41" s="697"/>
      <c r="O41" s="697"/>
      <c r="P41" s="697"/>
      <c r="Q41" s="697"/>
      <c r="R41" s="697"/>
      <c r="S41" s="696" t="s">
        <v>1689</v>
      </c>
      <c r="T41" s="697" t="b">
        <v>0</v>
      </c>
      <c r="U41" s="891">
        <f>($D41*dpsStr+$E41*dpsAgi+$G41*dpsCrit+$H41*dpsHit+$F41*dpsAP+$I41*dpsHaste+$J41*dpsArmor+$K41*dpsExp)-'Gear &amp; Buffs'!$AF$51</f>
        <v>-3.1176123677903433</v>
      </c>
      <c r="V41" s="221">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37"/>
      <c r="X41" s="737"/>
    </row>
    <row r="42" spans="1:25">
      <c r="A42" s="677" t="s">
        <v>19</v>
      </c>
      <c r="B42" s="679">
        <v>1887</v>
      </c>
      <c r="C42" s="679">
        <v>1</v>
      </c>
      <c r="D42" s="678"/>
      <c r="E42" s="678">
        <v>7</v>
      </c>
      <c r="F42" s="678"/>
      <c r="G42" s="679"/>
      <c r="H42" s="679"/>
      <c r="I42" s="679"/>
      <c r="J42" s="678"/>
      <c r="K42" s="679"/>
      <c r="L42" s="678"/>
      <c r="M42" s="679"/>
      <c r="N42" s="679"/>
      <c r="O42" s="679"/>
      <c r="P42" s="678"/>
      <c r="Q42" s="678"/>
      <c r="R42" s="678"/>
      <c r="S42" s="678" t="s">
        <v>668</v>
      </c>
      <c r="T42" s="679" t="b">
        <v>0</v>
      </c>
      <c r="U42" s="891">
        <f>($D42*dpsStr+$E42*dpsAgi+$G42*dpsCrit+$H42*dpsHit+$F42*dpsAP+$I42*dpsHaste+$J42*dpsArmor+$K42*dpsExp)-'Gear &amp; Buffs'!$AF$51</f>
        <v>-6.6177029546797712</v>
      </c>
      <c r="V42" s="221">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38">
        <v>1</v>
      </c>
      <c r="X42" s="752" t="str">
        <f>IF(ISNA(INDEX($A$41:$A$44,MATCH(W42,V$41:V$44,0))), "", INDEX($A$41:$A$44,MATCH(W42,V$41:V$44,0)))</f>
        <v>Assault (+26 ap)</v>
      </c>
    </row>
    <row r="43" spans="1:25">
      <c r="A43" s="677" t="s">
        <v>20</v>
      </c>
      <c r="B43" s="679">
        <v>931</v>
      </c>
      <c r="C43" s="679">
        <v>1</v>
      </c>
      <c r="D43" s="678"/>
      <c r="E43" s="678"/>
      <c r="F43" s="678"/>
      <c r="G43" s="679"/>
      <c r="H43" s="679"/>
      <c r="I43" s="679">
        <v>10</v>
      </c>
      <c r="J43" s="678"/>
      <c r="K43" s="679"/>
      <c r="L43" s="678"/>
      <c r="M43" s="679"/>
      <c r="N43" s="679"/>
      <c r="O43" s="679"/>
      <c r="P43" s="678"/>
      <c r="Q43" s="678"/>
      <c r="R43" s="678"/>
      <c r="S43" s="678" t="s">
        <v>668</v>
      </c>
      <c r="T43" s="679" t="b">
        <v>0</v>
      </c>
      <c r="U43" s="891">
        <f>($D43*dpsStr+$E43*dpsAgi+$G43*dpsCrit+$H43*dpsHit+$F43*dpsAP+$I43*dpsHaste+$J43*dpsArmor+$K43*dpsExp)-'Gear &amp; Buffs'!$AF$51</f>
        <v>24.305654350176837</v>
      </c>
      <c r="V43" s="221">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38">
        <v>2</v>
      </c>
      <c r="X43" s="752" t="str">
        <f>IF(ISNA(INDEX($A$41:$A$44,MATCH(W43,V$41:V$44,0))), "", INDEX($A$41:$A$44,MATCH(W43,V$41:V$44,0)))</f>
        <v>Greater Agility (+7 Agility)</v>
      </c>
    </row>
    <row r="44" spans="1:25">
      <c r="A44" s="677" t="s">
        <v>2077</v>
      </c>
      <c r="B44" s="679">
        <v>2564</v>
      </c>
      <c r="C44" s="679">
        <v>1</v>
      </c>
      <c r="D44" s="678"/>
      <c r="E44" s="678">
        <v>15</v>
      </c>
      <c r="F44" s="678"/>
      <c r="G44" s="679"/>
      <c r="H44" s="679"/>
      <c r="I44" s="679"/>
      <c r="J44" s="682"/>
      <c r="K44" s="679"/>
      <c r="L44" s="678"/>
      <c r="M44" s="679"/>
      <c r="N44" s="679"/>
      <c r="O44" s="679"/>
      <c r="P44" s="717"/>
      <c r="Q44" s="717"/>
      <c r="R44" s="717"/>
      <c r="S44" s="678" t="s">
        <v>668</v>
      </c>
      <c r="T44" s="679" t="b">
        <v>0</v>
      </c>
      <c r="U44" s="891">
        <f>($D44*dpsStr+$E44*dpsAgi+$G44*dpsCrit+$H44*dpsHit+$F44*dpsAP+$I44*dpsHaste+$J44*dpsArmor+$K44*dpsExp)-'Gear &amp; Buffs'!$AF$51</f>
        <v>0</v>
      </c>
      <c r="V44" s="221">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38">
        <v>3</v>
      </c>
      <c r="X44" s="752" t="str">
        <f>IF(ISNA(INDEX($A$41:$A$44,MATCH(W44,V$41:V$44,0))), "", INDEX($A$41:$A$44,MATCH(W44,V$41:V$44,0)))</f>
        <v>Minor Haste (+10 Haste)</v>
      </c>
    </row>
    <row r="45" spans="1:25">
      <c r="A45" s="677" t="s">
        <v>2207</v>
      </c>
      <c r="B45" s="682"/>
      <c r="C45" s="682"/>
      <c r="D45" s="682"/>
      <c r="E45" s="682"/>
      <c r="F45" s="682"/>
      <c r="G45" s="682"/>
      <c r="H45" s="682"/>
      <c r="I45" s="717"/>
      <c r="J45" s="682"/>
      <c r="K45" s="682"/>
      <c r="L45" s="682"/>
      <c r="M45" s="682"/>
      <c r="N45" s="682"/>
      <c r="O45" s="682"/>
      <c r="P45" s="685"/>
      <c r="Q45" s="685"/>
      <c r="R45" s="685"/>
      <c r="S45" s="682"/>
      <c r="T45" s="682"/>
      <c r="U45" s="768"/>
      <c r="V45" s="681"/>
      <c r="W45" s="738">
        <v>4</v>
      </c>
      <c r="X45" s="752" t="str">
        <f>IF(ISNA(INDEX($A$41:$A$44,MATCH(W45,V$41:V$44,0))), "", INDEX($A$41:$A$44,MATCH(W45,V$41:V$44,0)))</f>
        <v>Superior Agility (+15 Agility)</v>
      </c>
    </row>
    <row r="46" spans="1:25">
      <c r="K46" s="119"/>
      <c r="O46" s="119"/>
      <c r="T46" s="119"/>
    </row>
    <row r="47" spans="1:25">
      <c r="B47" s="131"/>
      <c r="C47" s="131"/>
      <c r="I47" s="131"/>
      <c r="K47" s="116"/>
      <c r="O47" s="116"/>
      <c r="T47" s="116"/>
    </row>
    <row r="48" spans="1:25">
      <c r="A48" s="175"/>
      <c r="B48" s="175"/>
      <c r="C48" s="175"/>
      <c r="D48" s="175"/>
      <c r="E48" s="175"/>
      <c r="F48" s="175"/>
      <c r="G48" s="175"/>
      <c r="H48" s="175"/>
      <c r="I48" s="175"/>
      <c r="J48" s="114"/>
      <c r="K48" s="179"/>
      <c r="L48" s="175"/>
      <c r="M48" s="175"/>
      <c r="N48" s="179"/>
      <c r="O48" s="179"/>
      <c r="P48" s="175"/>
      <c r="Q48" s="175"/>
      <c r="R48" s="114"/>
      <c r="T48" s="179"/>
    </row>
    <row r="54" spans="1:20">
      <c r="A54" s="6"/>
    </row>
    <row r="55" spans="1:20">
      <c r="A55" s="6"/>
      <c r="B55" s="175"/>
      <c r="C55" s="175"/>
      <c r="E55" s="175"/>
      <c r="F55" s="175"/>
      <c r="G55" s="175"/>
      <c r="H55" s="175"/>
      <c r="I55" s="175"/>
      <c r="K55" s="185"/>
      <c r="L55" s="175"/>
      <c r="M55" s="175"/>
      <c r="N55" s="179"/>
      <c r="O55" s="171"/>
      <c r="P55" s="175"/>
      <c r="Q55" s="175"/>
      <c r="T55" s="171"/>
    </row>
    <row r="56" spans="1:20">
      <c r="A56" s="6"/>
      <c r="B56" s="175"/>
      <c r="C56" s="175"/>
      <c r="E56" s="175"/>
      <c r="F56" s="175"/>
      <c r="G56" s="175"/>
      <c r="H56" s="175"/>
      <c r="I56" s="175"/>
      <c r="K56" s="185"/>
      <c r="L56" s="175"/>
      <c r="M56" s="175"/>
      <c r="N56" s="179"/>
      <c r="O56" s="171"/>
      <c r="P56" s="175"/>
      <c r="Q56" s="175"/>
      <c r="T56" s="171"/>
    </row>
    <row r="57" spans="1:20">
      <c r="A57" s="6"/>
      <c r="B57" s="175"/>
      <c r="C57" s="175"/>
      <c r="E57" s="175"/>
      <c r="F57" s="175"/>
      <c r="G57" s="175"/>
      <c r="H57" s="175"/>
      <c r="I57" s="175"/>
      <c r="K57" s="176"/>
      <c r="L57" s="175"/>
      <c r="M57" s="175"/>
      <c r="N57" s="179"/>
      <c r="O57" s="170"/>
      <c r="P57" s="175"/>
      <c r="Q57" s="175"/>
      <c r="T57" s="170"/>
    </row>
    <row r="58" spans="1:20">
      <c r="A58" s="6"/>
      <c r="B58" s="175"/>
      <c r="C58" s="175"/>
      <c r="E58" s="175"/>
      <c r="F58" s="175"/>
      <c r="G58" s="175"/>
      <c r="H58" s="175"/>
      <c r="I58" s="175"/>
      <c r="K58" s="185"/>
      <c r="L58" s="175"/>
      <c r="M58" s="175"/>
      <c r="N58" s="179"/>
      <c r="O58" s="171"/>
      <c r="P58" s="175"/>
      <c r="Q58" s="175"/>
      <c r="T58" s="171"/>
    </row>
    <row r="59" spans="1:20">
      <c r="A59" s="6"/>
      <c r="B59" s="131"/>
      <c r="C59" s="131"/>
      <c r="I59" s="131"/>
      <c r="K59" s="138"/>
      <c r="O59" s="116"/>
      <c r="T59" s="116"/>
    </row>
    <row r="60" spans="1:20">
      <c r="A60" s="6"/>
      <c r="B60" s="131"/>
      <c r="C60" s="131"/>
      <c r="E60" s="114"/>
      <c r="F60" s="114"/>
      <c r="G60" s="114"/>
      <c r="H60" s="114"/>
      <c r="I60" s="131"/>
      <c r="K60" s="116"/>
      <c r="L60" s="114"/>
      <c r="M60" s="127"/>
      <c r="N60" s="116"/>
      <c r="O60" s="116"/>
      <c r="T60" s="116"/>
    </row>
    <row r="61" spans="1:20">
      <c r="A61" s="6"/>
      <c r="E61" s="114"/>
      <c r="F61" s="114"/>
      <c r="G61" s="114"/>
      <c r="H61" s="127"/>
      <c r="K61" s="116"/>
      <c r="L61" s="114"/>
      <c r="M61" s="127"/>
      <c r="N61" s="116"/>
      <c r="O61" s="116"/>
      <c r="T61" s="116"/>
    </row>
    <row r="62" spans="1:20">
      <c r="A62" s="6"/>
      <c r="R62" s="114"/>
    </row>
    <row r="63" spans="1:20">
      <c r="A63" s="6"/>
      <c r="R63" s="114"/>
    </row>
    <row r="64" spans="1:20">
      <c r="A64" s="6"/>
    </row>
    <row r="65" spans="1:20">
      <c r="A65" s="6"/>
      <c r="R65" s="114"/>
    </row>
    <row r="66" spans="1:20">
      <c r="A66" s="6"/>
    </row>
    <row r="67" spans="1:20">
      <c r="A67" s="6"/>
      <c r="E67" s="133"/>
      <c r="F67" s="133"/>
      <c r="G67" s="133"/>
      <c r="H67" s="133"/>
      <c r="K67" s="134"/>
      <c r="L67" s="133"/>
      <c r="M67" s="133"/>
      <c r="N67" s="134"/>
      <c r="O67" s="134"/>
      <c r="T67" s="134"/>
    </row>
    <row r="68" spans="1:20">
      <c r="A68" s="6"/>
      <c r="E68" s="118"/>
      <c r="F68" s="118"/>
      <c r="G68" s="118"/>
      <c r="H68" s="118"/>
      <c r="K68" s="119"/>
      <c r="L68" s="118"/>
      <c r="M68" s="118"/>
      <c r="N68" s="119"/>
      <c r="O68" s="119"/>
      <c r="T68" s="119"/>
    </row>
    <row r="69" spans="1:20">
      <c r="A69" s="6"/>
      <c r="E69" s="114"/>
      <c r="F69" s="114"/>
      <c r="G69" s="114"/>
      <c r="H69" s="127"/>
      <c r="K69" s="116"/>
      <c r="L69" s="114"/>
      <c r="M69" s="114"/>
      <c r="N69" s="116"/>
      <c r="O69" s="116"/>
      <c r="T69" s="116"/>
    </row>
    <row r="70" spans="1:20">
      <c r="A70" s="6"/>
      <c r="E70" s="114"/>
      <c r="F70" s="114"/>
      <c r="G70" s="114"/>
      <c r="H70" s="114"/>
      <c r="K70" s="116"/>
      <c r="L70" s="114"/>
      <c r="M70" s="114"/>
      <c r="N70" s="116"/>
      <c r="O70" s="116"/>
      <c r="T70" s="116"/>
    </row>
    <row r="71" spans="1:20">
      <c r="A71" s="6"/>
      <c r="E71" s="114"/>
      <c r="F71" s="114"/>
      <c r="G71" s="114"/>
      <c r="H71" s="114"/>
      <c r="K71" s="116"/>
      <c r="L71" s="114"/>
      <c r="M71" s="114"/>
      <c r="N71" s="116"/>
      <c r="O71" s="116"/>
      <c r="T71" s="116"/>
    </row>
    <row r="72" spans="1:20">
      <c r="A72" s="6"/>
      <c r="E72" s="114"/>
      <c r="F72" s="114"/>
      <c r="G72" s="114"/>
      <c r="H72" s="114"/>
      <c r="K72" s="116"/>
      <c r="L72" s="114"/>
      <c r="M72" s="127"/>
      <c r="N72" s="116"/>
      <c r="O72" s="116"/>
      <c r="T72" s="116"/>
    </row>
    <row r="73" spans="1:20">
      <c r="A73" s="6"/>
      <c r="E73" s="114"/>
      <c r="F73" s="114"/>
      <c r="G73" s="114"/>
      <c r="H73" s="114"/>
      <c r="K73" s="116"/>
      <c r="L73" s="114"/>
      <c r="M73" s="114"/>
      <c r="N73" s="116"/>
      <c r="O73" s="116"/>
      <c r="T73" s="116"/>
    </row>
    <row r="74" spans="1:20">
      <c r="E74" s="114"/>
      <c r="F74" s="114"/>
      <c r="G74" s="114"/>
      <c r="H74" s="127"/>
      <c r="K74" s="116"/>
      <c r="L74" s="114"/>
      <c r="M74" s="114"/>
      <c r="N74" s="116"/>
      <c r="O74" s="116"/>
      <c r="T74" s="116"/>
    </row>
    <row r="75" spans="1:20">
      <c r="A75" s="10"/>
      <c r="D75" s="114"/>
      <c r="E75" s="114"/>
      <c r="F75" s="114"/>
      <c r="G75" s="127"/>
      <c r="H75" s="114"/>
      <c r="K75" s="116"/>
      <c r="L75" s="114"/>
      <c r="M75" s="114"/>
      <c r="N75" s="116"/>
      <c r="O75" s="116"/>
      <c r="T75" s="116"/>
    </row>
    <row r="76" spans="1:20">
      <c r="A76" s="130"/>
      <c r="D76" s="133"/>
      <c r="E76" s="133"/>
      <c r="F76" s="133"/>
      <c r="G76" s="133"/>
      <c r="H76" s="133"/>
      <c r="K76" s="134"/>
      <c r="L76" s="133"/>
      <c r="M76" s="133"/>
      <c r="N76" s="134"/>
      <c r="O76" s="134"/>
      <c r="T76" s="134"/>
    </row>
    <row r="77" spans="1:20">
      <c r="A77" s="132"/>
      <c r="D77" s="118"/>
      <c r="E77" s="118"/>
      <c r="F77" s="118"/>
      <c r="G77" s="118"/>
      <c r="H77" s="118"/>
      <c r="K77" s="119"/>
      <c r="L77" s="118"/>
      <c r="M77" s="118"/>
      <c r="N77" s="119"/>
      <c r="O77" s="119"/>
      <c r="T77" s="119"/>
    </row>
    <row r="78" spans="1:20">
      <c r="A78" s="10"/>
      <c r="B78" s="128"/>
      <c r="C78" s="128"/>
      <c r="D78" s="114"/>
      <c r="E78" s="114"/>
      <c r="F78" s="114"/>
      <c r="G78" s="127"/>
      <c r="H78" s="127"/>
      <c r="I78" s="128"/>
      <c r="K78" s="116"/>
      <c r="L78" s="114"/>
      <c r="M78" s="127"/>
      <c r="N78" s="116"/>
      <c r="O78" s="116"/>
      <c r="T78" s="116"/>
    </row>
    <row r="79" spans="1:20">
      <c r="A79" s="10"/>
      <c r="B79" s="129"/>
      <c r="C79" s="129"/>
      <c r="D79" s="114"/>
      <c r="E79" s="114"/>
      <c r="F79" s="114"/>
      <c r="G79" s="127"/>
      <c r="H79" s="127"/>
      <c r="I79" s="129"/>
      <c r="K79" s="116"/>
      <c r="L79" s="114"/>
      <c r="M79" s="127"/>
      <c r="N79" s="116"/>
      <c r="O79" s="116"/>
      <c r="T79" s="116"/>
    </row>
    <row r="80" spans="1:20">
      <c r="A80" s="10"/>
      <c r="D80" s="114"/>
      <c r="E80" s="114"/>
      <c r="F80" s="114"/>
      <c r="G80" s="114"/>
      <c r="H80" s="114"/>
      <c r="K80" s="116"/>
      <c r="L80" s="114"/>
      <c r="M80" s="114"/>
      <c r="N80" s="116"/>
      <c r="O80" s="116"/>
      <c r="T80" s="116"/>
    </row>
    <row r="81" spans="1:20">
      <c r="A81" s="10"/>
      <c r="D81" s="114"/>
      <c r="E81" s="114"/>
      <c r="F81" s="114"/>
      <c r="G81" s="114"/>
      <c r="H81" s="114"/>
      <c r="K81" s="116"/>
      <c r="L81" s="114"/>
      <c r="M81" s="114"/>
      <c r="N81" s="116"/>
      <c r="O81" s="116"/>
      <c r="T81" s="116"/>
    </row>
    <row r="82" spans="1:20">
      <c r="A82" s="10"/>
      <c r="D82" s="114"/>
      <c r="E82" s="114"/>
      <c r="F82" s="118"/>
      <c r="G82" s="114"/>
      <c r="H82" s="127"/>
      <c r="K82" s="116"/>
      <c r="L82" s="114"/>
      <c r="M82" s="114"/>
      <c r="N82" s="116"/>
      <c r="O82" s="116"/>
      <c r="T82" s="116"/>
    </row>
    <row r="83" spans="1:20">
      <c r="A83" s="10"/>
      <c r="D83" s="114"/>
      <c r="E83" s="114"/>
      <c r="F83" s="114"/>
      <c r="G83" s="114"/>
      <c r="H83" s="114"/>
      <c r="K83" s="116"/>
      <c r="L83" s="114"/>
      <c r="M83" s="114"/>
      <c r="N83" s="116"/>
      <c r="O83" s="116"/>
      <c r="T83" s="116"/>
    </row>
    <row r="84" spans="1:20">
      <c r="A84" s="10"/>
      <c r="D84" s="114"/>
      <c r="E84" s="114"/>
      <c r="F84" s="114"/>
      <c r="G84" s="127"/>
      <c r="H84" s="127"/>
      <c r="K84" s="116"/>
      <c r="L84" s="114"/>
      <c r="M84" s="114"/>
      <c r="N84" s="116"/>
      <c r="O84" s="116"/>
      <c r="T84" s="116"/>
    </row>
    <row r="85" spans="1:20">
      <c r="A85" s="135"/>
      <c r="D85" s="133"/>
      <c r="E85" s="133"/>
      <c r="F85" s="133"/>
      <c r="G85" s="133"/>
      <c r="H85" s="133"/>
      <c r="K85" s="134"/>
      <c r="L85" s="133"/>
      <c r="M85" s="133"/>
      <c r="N85" s="134"/>
      <c r="O85" s="134"/>
      <c r="T85" s="134"/>
    </row>
    <row r="86" spans="1:20">
      <c r="A86" s="132"/>
      <c r="D86" s="118"/>
      <c r="E86" s="118"/>
      <c r="F86" s="118"/>
      <c r="G86" s="118"/>
      <c r="H86" s="118"/>
      <c r="K86" s="119"/>
      <c r="L86" s="118"/>
      <c r="M86" s="118"/>
      <c r="N86" s="119"/>
      <c r="O86" s="119"/>
      <c r="T86" s="119"/>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14"/>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27"/>
      <c r="K91" s="116"/>
      <c r="L91" s="114"/>
      <c r="M91" s="114"/>
      <c r="N91" s="116"/>
      <c r="O91" s="116"/>
      <c r="T91" s="116"/>
    </row>
    <row r="92" spans="1:20">
      <c r="A92" s="10"/>
      <c r="B92" s="131"/>
      <c r="C92" s="131"/>
      <c r="D92" s="114"/>
      <c r="E92" s="114"/>
      <c r="F92" s="114"/>
      <c r="G92" s="127"/>
      <c r="H92" s="114"/>
      <c r="I92" s="131"/>
      <c r="K92" s="116"/>
      <c r="L92" s="114"/>
      <c r="M92" s="114"/>
      <c r="N92" s="116"/>
      <c r="O92" s="116"/>
      <c r="T92" s="116"/>
    </row>
    <row r="93" spans="1:20">
      <c r="A93" s="10"/>
      <c r="D93" s="114"/>
      <c r="E93" s="114"/>
      <c r="F93" s="114"/>
      <c r="G93" s="114"/>
      <c r="H93" s="127"/>
      <c r="K93" s="116"/>
      <c r="L93" s="114"/>
      <c r="M93" s="127"/>
      <c r="N93" s="116"/>
      <c r="O93" s="116"/>
      <c r="T93" s="116"/>
    </row>
    <row r="94" spans="1:20">
      <c r="A94" s="10"/>
      <c r="D94" s="114"/>
      <c r="E94" s="114"/>
      <c r="F94" s="114"/>
      <c r="G94" s="127"/>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14"/>
      <c r="H96" s="127"/>
      <c r="K96" s="116"/>
      <c r="L96" s="114"/>
      <c r="M96" s="114"/>
      <c r="N96" s="116"/>
      <c r="O96" s="116"/>
      <c r="T96" s="116"/>
    </row>
    <row r="97" spans="1:20">
      <c r="A97" s="136"/>
      <c r="D97" s="114"/>
      <c r="E97" s="114"/>
      <c r="F97" s="114"/>
      <c r="G97" s="114"/>
      <c r="H97" s="114"/>
      <c r="K97" s="116"/>
      <c r="L97" s="114"/>
      <c r="M97" s="114"/>
      <c r="N97" s="116"/>
      <c r="O97" s="116"/>
      <c r="T97" s="116"/>
    </row>
    <row r="98" spans="1:20">
      <c r="A98" s="132"/>
      <c r="D98" s="118"/>
      <c r="E98" s="118"/>
      <c r="F98" s="118"/>
      <c r="G98" s="118"/>
      <c r="H98" s="118"/>
      <c r="K98" s="119"/>
      <c r="L98" s="118"/>
      <c r="M98" s="118"/>
      <c r="N98" s="119"/>
      <c r="O98" s="119"/>
      <c r="T98" s="119"/>
    </row>
    <row r="99" spans="1:20">
      <c r="A99" s="10"/>
      <c r="D99" s="114"/>
      <c r="E99" s="114"/>
      <c r="F99" s="114"/>
      <c r="G99" s="127"/>
      <c r="H99" s="114"/>
      <c r="K99" s="116"/>
      <c r="L99" s="114"/>
      <c r="M99" s="114"/>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27"/>
      <c r="N101" s="116"/>
      <c r="O101" s="116"/>
      <c r="T101" s="116"/>
    </row>
    <row r="102" spans="1:20">
      <c r="A102" s="10"/>
      <c r="D102" s="114"/>
      <c r="E102" s="114"/>
      <c r="F102" s="114"/>
      <c r="G102" s="114"/>
      <c r="H102" s="127"/>
      <c r="K102" s="116"/>
      <c r="L102" s="114"/>
      <c r="M102" s="114"/>
      <c r="N102" s="116"/>
      <c r="O102" s="116"/>
      <c r="T102" s="116"/>
    </row>
    <row r="103" spans="1:20">
      <c r="A103" s="10"/>
      <c r="D103" s="114"/>
      <c r="E103" s="114"/>
      <c r="F103" s="114"/>
      <c r="G103" s="114"/>
      <c r="H103" s="127"/>
      <c r="K103" s="116"/>
      <c r="L103" s="114"/>
      <c r="M103" s="114"/>
      <c r="N103" s="116"/>
      <c r="O103" s="116"/>
      <c r="T103" s="116"/>
    </row>
    <row r="104" spans="1:20">
      <c r="A104" s="136"/>
      <c r="D104" s="114"/>
      <c r="E104" s="114"/>
      <c r="F104" s="114"/>
      <c r="G104" s="114"/>
      <c r="H104" s="114"/>
      <c r="K104" s="116"/>
      <c r="L104" s="114"/>
      <c r="M104" s="114"/>
      <c r="N104" s="116"/>
      <c r="O104" s="116"/>
      <c r="T104" s="116"/>
    </row>
    <row r="105" spans="1:20">
      <c r="A105" s="132"/>
      <c r="D105" s="118"/>
      <c r="E105" s="118"/>
      <c r="F105" s="118"/>
      <c r="G105" s="118"/>
      <c r="H105" s="118"/>
      <c r="K105" s="119"/>
      <c r="L105" s="118"/>
      <c r="M105" s="118"/>
      <c r="N105" s="119"/>
      <c r="O105" s="119"/>
      <c r="T105" s="119"/>
    </row>
    <row r="106" spans="1:20">
      <c r="A106" s="10"/>
      <c r="D106" s="114"/>
      <c r="E106" s="114"/>
      <c r="F106" s="114"/>
      <c r="G106" s="114"/>
      <c r="H106" s="114"/>
      <c r="K106" s="116"/>
      <c r="L106" s="114"/>
      <c r="M106" s="114"/>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14"/>
      <c r="K108" s="116"/>
      <c r="L108" s="114"/>
      <c r="M108" s="127"/>
      <c r="N108" s="116"/>
      <c r="O108" s="116"/>
      <c r="T108" s="116"/>
    </row>
    <row r="109" spans="1:20">
      <c r="A109" s="10"/>
      <c r="D109" s="114"/>
      <c r="E109" s="114"/>
      <c r="F109" s="114"/>
      <c r="G109" s="114"/>
      <c r="H109" s="114"/>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27"/>
      <c r="H111" s="127"/>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27"/>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14"/>
      <c r="H116" s="114"/>
      <c r="K116" s="116"/>
      <c r="L116" s="114"/>
      <c r="M116" s="114"/>
      <c r="N116" s="116"/>
      <c r="O116" s="116"/>
      <c r="T116" s="116"/>
    </row>
    <row r="117" spans="1:20">
      <c r="A117" s="132"/>
      <c r="D117" s="118"/>
      <c r="E117" s="118"/>
      <c r="F117" s="118"/>
      <c r="G117" s="118"/>
      <c r="H117" s="118"/>
      <c r="K117" s="119"/>
      <c r="L117" s="118"/>
      <c r="M117" s="118"/>
      <c r="N117" s="119"/>
      <c r="O117" s="119"/>
      <c r="T117" s="119"/>
    </row>
    <row r="118" spans="1:20">
      <c r="A118" s="10"/>
      <c r="D118" s="114"/>
      <c r="E118" s="114"/>
      <c r="F118" s="114"/>
      <c r="G118" s="127"/>
      <c r="H118" s="114"/>
      <c r="K118" s="116"/>
      <c r="L118" s="114"/>
      <c r="M118" s="114"/>
      <c r="N118" s="116"/>
      <c r="O118" s="116"/>
      <c r="T118" s="116"/>
    </row>
    <row r="119" spans="1:20">
      <c r="A119" s="10"/>
      <c r="D119" s="114"/>
      <c r="E119" s="114"/>
      <c r="F119" s="114"/>
      <c r="G119" s="114"/>
      <c r="H119" s="127"/>
      <c r="K119" s="116"/>
      <c r="L119" s="114"/>
      <c r="M119" s="114"/>
      <c r="N119" s="116"/>
      <c r="O119" s="116"/>
      <c r="T119" s="116"/>
    </row>
    <row r="120" spans="1:20">
      <c r="A120" s="10"/>
      <c r="D120" s="114"/>
      <c r="E120" s="114"/>
      <c r="F120" s="114"/>
      <c r="G120" s="114"/>
      <c r="H120" s="114"/>
      <c r="K120" s="116"/>
      <c r="L120" s="114"/>
      <c r="M120" s="127"/>
      <c r="N120" s="116"/>
      <c r="O120" s="116"/>
      <c r="T120" s="116"/>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14"/>
      <c r="K125" s="116"/>
      <c r="L125" s="114"/>
      <c r="M125" s="114"/>
      <c r="N125" s="116"/>
      <c r="O125" s="116"/>
      <c r="T125" s="116"/>
    </row>
    <row r="126" spans="1:20">
      <c r="A126" s="10"/>
      <c r="D126" s="114"/>
      <c r="E126" s="114"/>
      <c r="F126" s="114"/>
      <c r="G126" s="114"/>
      <c r="H126" s="127"/>
      <c r="K126" s="116"/>
      <c r="L126" s="114"/>
      <c r="M126" s="114"/>
      <c r="N126" s="116"/>
      <c r="O126" s="116"/>
      <c r="T126" s="116"/>
    </row>
  </sheetData>
  <phoneticPr fontId="2" type="noConversion"/>
  <conditionalFormatting sqref="U2:U36">
    <cfRule type="cellIs" dxfId="27" priority="3" stopIfTrue="1" operator="lessThan">
      <formula>0</formula>
    </cfRule>
    <cfRule type="cellIs" dxfId="26" priority="4" stopIfTrue="1" operator="greaterThan">
      <formula>0</formula>
    </cfRule>
  </conditionalFormatting>
  <conditionalFormatting sqref="U41:U44">
    <cfRule type="cellIs" dxfId="25" priority="1" stopIfTrue="1" operator="lessThan">
      <formula>0</formula>
    </cfRule>
    <cfRule type="cellIs" dxfId="2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Z129"/>
  <sheetViews>
    <sheetView workbookViewId="0">
      <selection activeCell="AA29" sqref="AA29"/>
    </sheetView>
  </sheetViews>
  <sheetFormatPr defaultRowHeight="11.25"/>
  <cols>
    <col min="1" max="1" width="24.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140625" style="48"/>
    <col min="17" max="17" width="8" style="48" bestFit="1" customWidth="1"/>
    <col min="18" max="18" width="11.85546875" style="48" bestFit="1" customWidth="1"/>
    <col min="19" max="19" width="11.85546875" style="129" bestFit="1" customWidth="1"/>
    <col min="20" max="20" width="1.85546875" style="122" bestFit="1" customWidth="1"/>
    <col min="21" max="21" width="6.28515625" style="129" customWidth="1"/>
    <col min="22" max="23" width="2.7109375" style="129" bestFit="1" customWidth="1"/>
    <col min="24" max="24" width="22.42578125" style="48" bestFit="1" customWidth="1"/>
    <col min="25" max="16384" width="9.140625" style="48"/>
  </cols>
  <sheetData>
    <row r="1" spans="1:26" ht="23.25" thickBot="1">
      <c r="A1" s="700" t="s">
        <v>164</v>
      </c>
      <c r="B1" s="700" t="s">
        <v>1934</v>
      </c>
      <c r="C1" s="700" t="s">
        <v>2798</v>
      </c>
      <c r="D1" s="700" t="s">
        <v>1214</v>
      </c>
      <c r="E1" s="700" t="s">
        <v>1215</v>
      </c>
      <c r="F1" s="700" t="s">
        <v>768</v>
      </c>
      <c r="G1" s="705" t="s">
        <v>2140</v>
      </c>
      <c r="H1" s="705" t="s">
        <v>2139</v>
      </c>
      <c r="I1" s="700" t="s">
        <v>771</v>
      </c>
      <c r="J1" s="700" t="s">
        <v>1219</v>
      </c>
      <c r="K1" s="705" t="s">
        <v>760</v>
      </c>
      <c r="L1" s="700" t="s">
        <v>1216</v>
      </c>
      <c r="M1" s="705" t="s">
        <v>264</v>
      </c>
      <c r="N1" s="705" t="s">
        <v>1217</v>
      </c>
      <c r="O1" s="705" t="s">
        <v>1287</v>
      </c>
      <c r="P1" s="706" t="s">
        <v>1046</v>
      </c>
      <c r="Q1" s="704" t="s">
        <v>1047</v>
      </c>
      <c r="R1" s="704" t="s">
        <v>1941</v>
      </c>
      <c r="S1" s="704" t="s">
        <v>666</v>
      </c>
      <c r="T1" s="706"/>
      <c r="U1" s="702" t="s">
        <v>265</v>
      </c>
      <c r="V1" s="743">
        <v>0</v>
      </c>
      <c r="W1" s="743"/>
      <c r="X1" s="700" t="s">
        <v>2078</v>
      </c>
      <c r="Y1" s="47"/>
      <c r="Z1" s="47"/>
    </row>
    <row r="2" spans="1:26">
      <c r="A2" s="691" t="s">
        <v>2079</v>
      </c>
      <c r="B2" s="114">
        <v>30040</v>
      </c>
      <c r="C2" s="114">
        <v>2</v>
      </c>
      <c r="D2" s="114"/>
      <c r="E2" s="114">
        <v>32</v>
      </c>
      <c r="F2" s="114">
        <v>66</v>
      </c>
      <c r="G2" s="114"/>
      <c r="H2" s="114">
        <v>18</v>
      </c>
      <c r="I2" s="114"/>
      <c r="J2" s="114"/>
      <c r="K2" s="114"/>
      <c r="L2" s="114">
        <v>14</v>
      </c>
      <c r="M2" s="116"/>
      <c r="N2" s="116"/>
      <c r="O2" s="114"/>
      <c r="P2" s="114"/>
      <c r="Q2" s="114" t="s">
        <v>843</v>
      </c>
      <c r="R2" s="114" t="s">
        <v>22</v>
      </c>
      <c r="S2" s="114" t="s">
        <v>685</v>
      </c>
      <c r="T2" s="114"/>
      <c r="U2" s="891">
        <f>($D2*dpsStr+$E2*dpsAgi+$G2*dpsCrit+$H2*dpsHit+$F2*dpsAP+$I2*dpsHaste+$J2*dpsArmor+$K2*dpsExp+IF(MID(Q2,1,1)+MID(Q2,3,1)+MID(Q2,5,1)&gt;0,VLOOKUP('Gear &amp; Buffs'!$B$55,GenSocketStats,18,FALSE)+IF(MID(Q2,1,1)+MID(Q2,3,1)+MID(Q2,5,1)&gt;1,VLOOKUP('Gear &amp; Buffs'!$B$56,GenSocketStats,18,FALSE)+IF(MID(Q2,1,1)+MID(Q2,3,1)+MID(Q2,5,1)&gt;2,VLOOKUP('Gear &amp; Buffs'!$B$57,GenSocketStats,18,FALSE),0)),0))-'Gear &amp; Buffs'!$AF$54</f>
        <v>46.800043493334215</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8"/>
      <c r="X2" s="714" t="s">
        <v>1689</v>
      </c>
      <c r="Y2" s="47"/>
      <c r="Z2" s="47"/>
    </row>
    <row r="3" spans="1:26">
      <c r="A3" s="10" t="s">
        <v>2345</v>
      </c>
      <c r="B3" s="114">
        <v>30106</v>
      </c>
      <c r="C3" s="114">
        <v>2</v>
      </c>
      <c r="D3" s="114">
        <v>29</v>
      </c>
      <c r="E3" s="114">
        <v>20</v>
      </c>
      <c r="F3" s="114"/>
      <c r="G3" s="116"/>
      <c r="H3" s="116"/>
      <c r="I3" s="114"/>
      <c r="J3" s="114"/>
      <c r="K3" s="114"/>
      <c r="L3" s="114">
        <v>38</v>
      </c>
      <c r="M3" s="116"/>
      <c r="N3" s="116"/>
      <c r="O3" s="114"/>
      <c r="P3" s="114"/>
      <c r="Q3" s="114" t="s">
        <v>1454</v>
      </c>
      <c r="R3" s="114" t="s">
        <v>1459</v>
      </c>
      <c r="S3" s="114" t="s">
        <v>685</v>
      </c>
      <c r="T3" s="114"/>
      <c r="U3" s="891">
        <f>($D3*dpsStr+$E3*dpsAgi+$G3*dpsCrit+$H3*dpsHit+$F3*dpsAP+$I3*dpsHaste+$J3*dpsArmor+$K3*dpsExp+IF(MID(Q3,1,1)+MID(Q3,3,1)+MID(Q3,5,1)&gt;0,VLOOKUP('Gear &amp; Buffs'!$B$55,GenSocketStats,18,FALSE)+IF(MID(Q3,1,1)+MID(Q3,3,1)+MID(Q3,5,1)&gt;1,VLOOKUP('Gear &amp; Buffs'!$B$56,GenSocketStats,18,FALSE)+IF(MID(Q3,1,1)+MID(Q3,3,1)+MID(Q3,5,1)&gt;2,VLOOKUP('Gear &amp; Buffs'!$B$57,GenSocketStats,18,FALSE),0)),0))-'Gear &amp; Buffs'!$AF$54</f>
        <v>-75.212031228618798</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8"/>
      <c r="X3" s="714" t="str">
        <f>" "</f>
        <v xml:space="preserve"> </v>
      </c>
      <c r="Y3" s="47"/>
      <c r="Z3" s="47"/>
    </row>
    <row r="4" spans="1:26">
      <c r="A4" s="10" t="s">
        <v>2346</v>
      </c>
      <c r="B4" s="114">
        <v>21586</v>
      </c>
      <c r="C4" s="114">
        <v>1</v>
      </c>
      <c r="D4" s="114"/>
      <c r="E4" s="114"/>
      <c r="F4" s="114">
        <v>64</v>
      </c>
      <c r="G4" s="116">
        <v>14</v>
      </c>
      <c r="H4" s="116">
        <v>10</v>
      </c>
      <c r="I4" s="114"/>
      <c r="J4" s="114"/>
      <c r="K4" s="114"/>
      <c r="L4" s="114">
        <v>20</v>
      </c>
      <c r="M4" s="116"/>
      <c r="N4" s="116"/>
      <c r="O4" s="114"/>
      <c r="P4" s="114"/>
      <c r="Q4" s="114" t="s">
        <v>1033</v>
      </c>
      <c r="R4" s="114"/>
      <c r="S4" s="114" t="s">
        <v>668</v>
      </c>
      <c r="T4" s="114"/>
      <c r="U4" s="891">
        <f>($D4*dpsStr+$E4*dpsAgi+$G4*dpsCrit+$H4*dpsHit+$F4*dpsAP+$I4*dpsHaste+$J4*dpsArmor+$K4*dpsExp+IF(MID(Q4,1,1)+MID(Q4,3,1)+MID(Q4,5,1)&gt;0,VLOOKUP('Gear &amp; Buffs'!$B$55,GenSocketStats,18,FALSE)+IF(MID(Q4,1,1)+MID(Q4,3,1)+MID(Q4,5,1)&gt;1,VLOOKUP('Gear &amp; Buffs'!$B$56,GenSocketStats,18,FALSE)+IF(MID(Q4,1,1)+MID(Q4,3,1)+MID(Q4,5,1)&gt;2,VLOOKUP('Gear &amp; Buffs'!$B$57,GenSocketStats,18,FALSE),0)),0))-'Gear &amp; Buffs'!$AF$54</f>
        <v>-66.202486528676673</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1</v>
      </c>
      <c r="W4" s="738">
        <v>1</v>
      </c>
      <c r="X4" s="714" t="str">
        <f>IF(ISNA(INDEX($A$2:$A$37,MATCH(W4,V$2:V$37,0))), "", INDEX($A$2:$A$37,MATCH(W4,V$2:V$37,0)))</f>
        <v>Belt of Never-ending Agony</v>
      </c>
      <c r="Y4" s="47"/>
      <c r="Z4" s="47"/>
    </row>
    <row r="5" spans="1:26">
      <c r="A5" s="10" t="s">
        <v>23</v>
      </c>
      <c r="B5" s="114">
        <v>30106</v>
      </c>
      <c r="C5" s="114">
        <v>2</v>
      </c>
      <c r="D5" s="114"/>
      <c r="E5" s="114">
        <v>29</v>
      </c>
      <c r="F5" s="114">
        <v>74</v>
      </c>
      <c r="G5" s="116"/>
      <c r="H5" s="116"/>
      <c r="I5" s="114"/>
      <c r="J5" s="114"/>
      <c r="K5" s="114">
        <v>25</v>
      </c>
      <c r="L5" s="114">
        <v>25</v>
      </c>
      <c r="M5" s="116"/>
      <c r="N5" s="116"/>
      <c r="O5" s="114"/>
      <c r="P5" s="114"/>
      <c r="Q5" s="114" t="s">
        <v>1037</v>
      </c>
      <c r="R5" s="114" t="s">
        <v>22</v>
      </c>
      <c r="S5" s="114" t="s">
        <v>667</v>
      </c>
      <c r="T5" s="114"/>
      <c r="U5" s="891">
        <f>($D5*dpsStr+$E5*dpsAgi+$G5*dpsCrit+$H5*dpsHit+$F5*dpsAP+$I5*dpsHaste+$J5*dpsArmor+$K5*dpsExp+IF(MID(Q5,1,1)+MID(Q5,3,1)+MID(Q5,5,1)&gt;0,VLOOKUP('Gear &amp; Buffs'!$B$55,GenSocketStats,18,FALSE)+IF(MID(Q5,1,1)+MID(Q5,3,1)+MID(Q5,5,1)&gt;1,VLOOKUP('Gear &amp; Buffs'!$B$56,GenSocketStats,18,FALSE)+IF(MID(Q5,1,1)+MID(Q5,3,1)+MID(Q5,5,1)&gt;2,VLOOKUP('Gear &amp; Buffs'!$B$57,GenSocketStats,18,FALSE),0)),0))-'Gear &amp; Buffs'!$AF$54</f>
        <v>-23.258267657882016</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8">
        <v>2</v>
      </c>
      <c r="X5" s="714" t="str">
        <f t="shared" ref="X5:X39" si="0">IF(ISNA(INDEX($A$2:$A$37,MATCH(W5,V$2:V$37,0))), "", INDEX($A$2:$A$37,MATCH(W5,V$2:V$37,0)))</f>
        <v>Bonescythe Waistguard</v>
      </c>
      <c r="Y5" s="47"/>
      <c r="Z5" s="47"/>
    </row>
    <row r="6" spans="1:26">
      <c r="A6" s="130" t="s">
        <v>2347</v>
      </c>
      <c r="B6" s="114">
        <v>32769</v>
      </c>
      <c r="C6" s="114">
        <v>3</v>
      </c>
      <c r="D6" s="114">
        <v>25</v>
      </c>
      <c r="E6" s="114">
        <v>17</v>
      </c>
      <c r="F6" s="114"/>
      <c r="G6" s="116"/>
      <c r="H6" s="116"/>
      <c r="I6" s="114"/>
      <c r="J6" s="114"/>
      <c r="K6" s="114"/>
      <c r="L6" s="114">
        <v>22</v>
      </c>
      <c r="M6" s="116"/>
      <c r="N6" s="116"/>
      <c r="O6" s="114"/>
      <c r="P6" s="114"/>
      <c r="Q6" s="114" t="s">
        <v>1037</v>
      </c>
      <c r="R6" s="114" t="s">
        <v>22</v>
      </c>
      <c r="S6" s="114" t="s">
        <v>673</v>
      </c>
      <c r="T6" s="114"/>
      <c r="U6" s="891">
        <f>($D6*dpsStr+$E6*dpsAgi+$G6*dpsCrit+$H6*dpsHit+$F6*dpsAP+$I6*dpsHaste+$J6*dpsArmor+$K6*dpsExp+IF(MID(Q6,1,1)+MID(Q6,3,1)+MID(Q6,5,1)&gt;0,VLOOKUP('Gear &amp; Buffs'!$B$55,GenSocketStats,18,FALSE)+IF(MID(Q6,1,1)+MID(Q6,3,1)+MID(Q6,5,1)&gt;1,VLOOKUP('Gear &amp; Buffs'!$B$56,GenSocketStats,18,FALSE)+IF(MID(Q6,1,1)+MID(Q6,3,1)+MID(Q6,5,1)&gt;2,VLOOKUP('Gear &amp; Buffs'!$B$57,GenSocketStats,18,FALSE),0)),0))-'Gear &amp; Buffs'!$AF$54</f>
        <v>-79.265921950388702</v>
      </c>
      <c r="V6" s="114"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8">
        <v>3</v>
      </c>
      <c r="X6" s="714" t="str">
        <f t="shared" si="0"/>
        <v>Dunewind Sash</v>
      </c>
      <c r="Y6" s="47"/>
      <c r="Z6" s="47"/>
    </row>
    <row r="7" spans="1:26">
      <c r="A7" s="10" t="s">
        <v>1884</v>
      </c>
      <c r="B7" s="114">
        <v>34929</v>
      </c>
      <c r="C7" s="114">
        <v>5</v>
      </c>
      <c r="D7" s="114"/>
      <c r="E7" s="114">
        <v>34</v>
      </c>
      <c r="F7" s="114">
        <v>78</v>
      </c>
      <c r="G7" s="116"/>
      <c r="H7" s="116">
        <v>23</v>
      </c>
      <c r="I7" s="114"/>
      <c r="J7" s="114"/>
      <c r="K7" s="114"/>
      <c r="L7" s="114">
        <v>33</v>
      </c>
      <c r="M7" s="116"/>
      <c r="N7" s="116"/>
      <c r="O7" s="114"/>
      <c r="P7" s="114"/>
      <c r="Q7" s="114" t="s">
        <v>1043</v>
      </c>
      <c r="R7" s="114" t="s">
        <v>1463</v>
      </c>
      <c r="S7" s="114" t="s">
        <v>691</v>
      </c>
      <c r="T7" s="114"/>
      <c r="U7" s="891">
        <f>($D7*dpsStr+$E7*dpsAgi+$G7*dpsCrit+$H7*dpsHit+$F7*dpsAP+$I7*dpsHaste+$J7*dpsArmor+$K7*dpsExp+IF(MID(Q7,1,1)+MID(Q7,3,1)+MID(Q7,5,1)&gt;0,VLOOKUP('Gear &amp; Buffs'!$B$55,GenSocketStats,18,FALSE)+IF(MID(Q7,1,1)+MID(Q7,3,1)+MID(Q7,5,1)&gt;1,VLOOKUP('Gear &amp; Buffs'!$B$56,GenSocketStats,18,FALSE)+IF(MID(Q7,1,1)+MID(Q7,3,1)+MID(Q7,5,1)&gt;2,VLOOKUP('Gear &amp; Buffs'!$B$57,GenSocketStats,18,FALSE),0)),0))-'Gear &amp; Buffs'!$AF$54</f>
        <v>54.983609532053379</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8">
        <v>4</v>
      </c>
      <c r="X7" s="714" t="str">
        <f t="shared" si="0"/>
        <v>Epoch's Whispering Cinch</v>
      </c>
      <c r="Y7" s="47"/>
      <c r="Z7" s="47"/>
    </row>
    <row r="8" spans="1:26">
      <c r="A8" s="10" t="s">
        <v>1530</v>
      </c>
      <c r="B8" s="114">
        <v>33211</v>
      </c>
      <c r="C8" s="114">
        <v>4</v>
      </c>
      <c r="D8" s="114"/>
      <c r="E8" s="114">
        <v>25</v>
      </c>
      <c r="F8" s="114">
        <v>58</v>
      </c>
      <c r="G8" s="116">
        <v>21</v>
      </c>
      <c r="H8" s="116"/>
      <c r="I8" s="114"/>
      <c r="J8" s="114">
        <v>77</v>
      </c>
      <c r="K8" s="114"/>
      <c r="L8" s="114">
        <v>27</v>
      </c>
      <c r="M8" s="116"/>
      <c r="N8" s="116"/>
      <c r="O8" s="114"/>
      <c r="P8" s="114"/>
      <c r="Q8" s="114" t="s">
        <v>1039</v>
      </c>
      <c r="R8" s="114" t="s">
        <v>1066</v>
      </c>
      <c r="S8" s="114" t="s">
        <v>664</v>
      </c>
      <c r="T8" s="114"/>
      <c r="U8" s="891">
        <f>($D8*dpsStr+$E8*dpsAgi+$G8*dpsCrit+$H8*dpsHit+$F8*dpsAP+$I8*dpsHaste+$J8*dpsArmor+$K8*dpsExp+IF(MID(Q8,1,1)+MID(Q8,3,1)+MID(Q8,5,1)&gt;0,VLOOKUP('Gear &amp; Buffs'!$B$55,GenSocketStats,18,FALSE)+IF(MID(Q8,1,1)+MID(Q8,3,1)+MID(Q8,5,1)&gt;1,VLOOKUP('Gear &amp; Buffs'!$B$56,GenSocketStats,18,FALSE)+IF(MID(Q8,1,1)+MID(Q8,3,1)+MID(Q8,5,1)&gt;2,VLOOKUP('Gear &amp; Buffs'!$B$57,GenSocketStats,18,FALSE),0)),0))-'Gear &amp; Buffs'!$AF$54</f>
        <v>-63.392945834373677</v>
      </c>
      <c r="V8" s="114"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8">
        <v>5</v>
      </c>
      <c r="X8" s="714" t="str">
        <f t="shared" si="0"/>
        <v>Eva's Strap</v>
      </c>
      <c r="Y8" s="47"/>
      <c r="Z8" s="47"/>
    </row>
    <row r="9" spans="1:26">
      <c r="A9" s="10" t="s">
        <v>2348</v>
      </c>
      <c r="B9" s="114">
        <v>22482</v>
      </c>
      <c r="C9" s="114">
        <v>1</v>
      </c>
      <c r="D9" s="114">
        <v>23</v>
      </c>
      <c r="E9" s="114">
        <v>24</v>
      </c>
      <c r="F9" s="114"/>
      <c r="G9" s="116">
        <v>14</v>
      </c>
      <c r="H9" s="116"/>
      <c r="I9" s="114"/>
      <c r="J9" s="114"/>
      <c r="K9" s="114"/>
      <c r="L9" s="114">
        <v>20</v>
      </c>
      <c r="M9" s="116"/>
      <c r="N9" s="116"/>
      <c r="O9" s="114"/>
      <c r="P9" s="114" t="s">
        <v>2335</v>
      </c>
      <c r="Q9" s="114" t="s">
        <v>1033</v>
      </c>
      <c r="R9" s="114"/>
      <c r="S9" s="114" t="s">
        <v>668</v>
      </c>
      <c r="T9" s="114"/>
      <c r="U9" s="891">
        <f>($D9*dpsStr+$E9*dpsAgi+$G9*dpsCrit+$H9*dpsHit+$F9*dpsAP+$I9*dpsHaste+$J9*dpsArmor+$K9*dpsExp+IF(MID(Q9,1,1)+MID(Q9,3,1)+MID(Q9,5,1)&gt;0,VLOOKUP('Gear &amp; Buffs'!$B$55,GenSocketStats,18,FALSE)+IF(MID(Q9,1,1)+MID(Q9,3,1)+MID(Q9,5,1)&gt;1,VLOOKUP('Gear &amp; Buffs'!$B$56,GenSocketStats,18,FALSE)+IF(MID(Q9,1,1)+MID(Q9,3,1)+MID(Q9,5,1)&gt;2,VLOOKUP('Gear &amp; Buffs'!$B$57,GenSocketStats,18,FALSE),0)),0))-'Gear &amp; Buffs'!$AF$54</f>
        <v>-115.67836433649063</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2</v>
      </c>
      <c r="W9" s="738">
        <v>6</v>
      </c>
      <c r="X9" s="714" t="str">
        <f t="shared" si="0"/>
        <v>General's Leather Belt</v>
      </c>
      <c r="Y9" s="47"/>
      <c r="Z9" s="47"/>
    </row>
    <row r="10" spans="1:26">
      <c r="A10" s="10" t="s">
        <v>24</v>
      </c>
      <c r="B10" s="114">
        <v>30879</v>
      </c>
      <c r="C10" s="114">
        <v>3</v>
      </c>
      <c r="D10" s="114"/>
      <c r="E10" s="114">
        <v>29</v>
      </c>
      <c r="F10" s="114">
        <v>76</v>
      </c>
      <c r="G10" s="116">
        <v>19</v>
      </c>
      <c r="H10" s="116"/>
      <c r="I10" s="114"/>
      <c r="J10" s="114"/>
      <c r="K10" s="114"/>
      <c r="L10" s="114">
        <v>37</v>
      </c>
      <c r="M10" s="116"/>
      <c r="N10" s="116"/>
      <c r="O10" s="114"/>
      <c r="P10" s="114"/>
      <c r="Q10" s="114" t="s">
        <v>1045</v>
      </c>
      <c r="R10" s="114" t="s">
        <v>1459</v>
      </c>
      <c r="S10" s="114" t="s">
        <v>684</v>
      </c>
      <c r="T10" s="114"/>
      <c r="U10" s="891">
        <f>($D10*dpsStr+$E10*dpsAgi+$G10*dpsCrit+$H10*dpsHit+$F10*dpsAP+$I10*dpsHaste+$J10*dpsArmor+$K10*dpsExp+IF(MID(Q10,1,1)+MID(Q10,3,1)+MID(Q10,5,1)&gt;0,VLOOKUP('Gear &amp; Buffs'!$B$55,GenSocketStats,18,FALSE)+IF(MID(Q10,1,1)+MID(Q10,3,1)+MID(Q10,5,1)&gt;1,VLOOKUP('Gear &amp; Buffs'!$B$56,GenSocketStats,18,FALSE)+IF(MID(Q10,1,1)+MID(Q10,3,1)+MID(Q10,5,1)&gt;2,VLOOKUP('Gear &amp; Buffs'!$B$57,GenSocketStats,18,FALSE),0)),0))-'Gear &amp; Buffs'!$AF$54</f>
        <v>-38.978731459727669</v>
      </c>
      <c r="V10" s="114"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8">
        <v>7</v>
      </c>
      <c r="X10" s="714" t="str">
        <f t="shared" si="0"/>
        <v>Girdle of the Deathdealer</v>
      </c>
      <c r="Y10" s="47"/>
      <c r="Z10" s="47"/>
    </row>
    <row r="11" spans="1:26" s="129" customFormat="1">
      <c r="A11" s="10" t="s">
        <v>25</v>
      </c>
      <c r="B11" s="114">
        <v>27760</v>
      </c>
      <c r="C11" s="114">
        <v>1</v>
      </c>
      <c r="D11" s="114"/>
      <c r="E11" s="114">
        <v>21</v>
      </c>
      <c r="F11" s="114">
        <v>50</v>
      </c>
      <c r="G11" s="116"/>
      <c r="H11" s="116"/>
      <c r="I11" s="114"/>
      <c r="J11" s="114"/>
      <c r="K11" s="114"/>
      <c r="L11" s="114">
        <v>16</v>
      </c>
      <c r="M11" s="116"/>
      <c r="N11" s="116"/>
      <c r="O11" s="114"/>
      <c r="P11" s="114"/>
      <c r="Q11" s="114" t="s">
        <v>1037</v>
      </c>
      <c r="R11" s="114" t="s">
        <v>22</v>
      </c>
      <c r="S11" s="114" t="s">
        <v>691</v>
      </c>
      <c r="T11" s="114"/>
      <c r="U11" s="891">
        <f>($D11*dpsStr+$E11*dpsAgi+$G11*dpsCrit+$H11*dpsHit+$F11*dpsAP+$I11*dpsHaste+$J11*dpsArmor+$K11*dpsExp+IF(MID(Q11,1,1)+MID(Q11,3,1)+MID(Q11,5,1)&gt;0,VLOOKUP('Gear &amp; Buffs'!$B$55,GenSocketStats,18,FALSE)+IF(MID(Q11,1,1)+MID(Q11,3,1)+MID(Q11,5,1)&gt;1,VLOOKUP('Gear &amp; Buffs'!$B$56,GenSocketStats,18,FALSE)+IF(MID(Q11,1,1)+MID(Q11,3,1)+MID(Q11,5,1)&gt;2,VLOOKUP('Gear &amp; Buffs'!$B$57,GenSocketStats,18,FALSE),0)),0))-'Gear &amp; Buffs'!$AF$54</f>
        <v>-67.917144891321868</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3</v>
      </c>
      <c r="W11" s="738">
        <v>8</v>
      </c>
      <c r="X11" s="714" t="str">
        <f t="shared" si="0"/>
        <v>Girdle of Treachery</v>
      </c>
      <c r="Y11" s="114"/>
      <c r="Z11" s="114"/>
    </row>
    <row r="12" spans="1:26" s="47" customFormat="1">
      <c r="A12" s="10" t="s">
        <v>26</v>
      </c>
      <c r="B12" s="114">
        <v>27911</v>
      </c>
      <c r="C12" s="114">
        <v>1</v>
      </c>
      <c r="D12" s="114"/>
      <c r="E12" s="114">
        <v>25</v>
      </c>
      <c r="F12" s="114">
        <v>40</v>
      </c>
      <c r="G12" s="116"/>
      <c r="H12" s="116">
        <v>17</v>
      </c>
      <c r="I12" s="114"/>
      <c r="J12" s="114"/>
      <c r="K12" s="114"/>
      <c r="L12" s="114">
        <v>24</v>
      </c>
      <c r="M12" s="116"/>
      <c r="N12" s="116"/>
      <c r="O12" s="114"/>
      <c r="P12" s="114"/>
      <c r="Q12" s="114" t="s">
        <v>1033</v>
      </c>
      <c r="R12" s="114"/>
      <c r="S12" s="114" t="s">
        <v>691</v>
      </c>
      <c r="T12" s="114"/>
      <c r="U12" s="891">
        <f>($D12*dpsStr+$E12*dpsAgi+$G12*dpsCrit+$H12*dpsHit+$F12*dpsAP+$I12*dpsHaste+$J12*dpsArmor+$K12*dpsExp+IF(MID(Q12,1,1)+MID(Q12,3,1)+MID(Q12,5,1)&gt;0,VLOOKUP('Gear &amp; Buffs'!$B$55,GenSocketStats,18,FALSE)+IF(MID(Q12,1,1)+MID(Q12,3,1)+MID(Q12,5,1)&gt;1,VLOOKUP('Gear &amp; Buffs'!$B$56,GenSocketStats,18,FALSE)+IF(MID(Q12,1,1)+MID(Q12,3,1)+MID(Q12,5,1)&gt;2,VLOOKUP('Gear &amp; Buffs'!$B$57,GenSocketStats,18,FALSE),0)),0))-'Gear &amp; Buffs'!$AF$54</f>
        <v>-24.849013423068982</v>
      </c>
      <c r="V12" s="114">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4</v>
      </c>
      <c r="W12" s="738">
        <v>9</v>
      </c>
      <c r="X12" s="714" t="str">
        <f t="shared" si="0"/>
        <v>Gronn-Stitched Girdle</v>
      </c>
    </row>
    <row r="13" spans="1:26">
      <c r="A13" s="10" t="s">
        <v>27</v>
      </c>
      <c r="B13" s="114">
        <v>30936</v>
      </c>
      <c r="C13" s="114">
        <v>1</v>
      </c>
      <c r="D13" s="114"/>
      <c r="E13" s="114"/>
      <c r="F13" s="114">
        <v>60</v>
      </c>
      <c r="G13" s="114">
        <v>16</v>
      </c>
      <c r="H13" s="114">
        <v>12</v>
      </c>
      <c r="I13" s="114"/>
      <c r="J13" s="114"/>
      <c r="K13" s="114"/>
      <c r="L13" s="114"/>
      <c r="M13" s="114"/>
      <c r="N13" s="114"/>
      <c r="O13" s="114"/>
      <c r="P13" s="114"/>
      <c r="Q13" s="114" t="s">
        <v>1033</v>
      </c>
      <c r="R13" s="114"/>
      <c r="S13" s="114" t="s">
        <v>675</v>
      </c>
      <c r="T13" s="114"/>
      <c r="U13" s="891">
        <f>($D13*dpsStr+$E13*dpsAgi+$G13*dpsCrit+$H13*dpsHit+$F13*dpsAP+$I13*dpsHaste+$J13*dpsArmor+$K13*dpsExp+IF(MID(Q13,1,1)+MID(Q13,3,1)+MID(Q13,5,1)&gt;0,VLOOKUP('Gear &amp; Buffs'!$B$55,GenSocketStats,18,FALSE)+IF(MID(Q13,1,1)+MID(Q13,3,1)+MID(Q13,5,1)&gt;1,VLOOKUP('Gear &amp; Buffs'!$B$56,GenSocketStats,18,FALSE)+IF(MID(Q13,1,1)+MID(Q13,3,1)+MID(Q13,5,1)&gt;2,VLOOKUP('Gear &amp; Buffs'!$B$57,GenSocketStats,18,FALSE),0)),0))-'Gear &amp; Buffs'!$AF$54</f>
        <v>-55.160151086824044</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5</v>
      </c>
      <c r="W13" s="738">
        <v>10</v>
      </c>
      <c r="X13" s="714" t="str">
        <f t="shared" si="0"/>
        <v>Kirin'Var Scout's Belt</v>
      </c>
      <c r="Y13" s="47"/>
      <c r="Z13" s="47"/>
    </row>
    <row r="14" spans="1:26">
      <c r="A14" s="10" t="s">
        <v>1522</v>
      </c>
      <c r="B14" s="114">
        <v>28423</v>
      </c>
      <c r="C14" s="114">
        <v>1</v>
      </c>
      <c r="D14" s="114"/>
      <c r="E14" s="114">
        <v>27</v>
      </c>
      <c r="F14" s="114">
        <v>30</v>
      </c>
      <c r="G14" s="116">
        <v>15</v>
      </c>
      <c r="H14" s="116"/>
      <c r="I14" s="114"/>
      <c r="J14" s="114"/>
      <c r="K14" s="114"/>
      <c r="L14" s="114">
        <v>39</v>
      </c>
      <c r="M14" s="116"/>
      <c r="N14" s="116">
        <v>26</v>
      </c>
      <c r="O14" s="114"/>
      <c r="P14" s="114"/>
      <c r="Q14" s="114" t="s">
        <v>1033</v>
      </c>
      <c r="R14" s="114"/>
      <c r="S14" s="114" t="s">
        <v>677</v>
      </c>
      <c r="T14" s="114"/>
      <c r="U14" s="891">
        <f>($D14*dpsStr+$E14*dpsAgi+$G14*dpsCrit+$H14*dpsHit+$F14*dpsAP+$I14*dpsHaste+$J14*dpsArmor+$K14*dpsExp+IF(MID(Q14,1,1)+MID(Q14,3,1)+MID(Q14,5,1)&gt;0,VLOOKUP('Gear &amp; Buffs'!$B$55,GenSocketStats,18,FALSE)+IF(MID(Q14,1,1)+MID(Q14,3,1)+MID(Q14,5,1)&gt;1,VLOOKUP('Gear &amp; Buffs'!$B$56,GenSocketStats,18,FALSE)+IF(MID(Q14,1,1)+MID(Q14,3,1)+MID(Q14,5,1)&gt;2,VLOOKUP('Gear &amp; Buffs'!$B$57,GenSocketStats,18,FALSE),0)),0))-'Gear &amp; Buffs'!$AF$54</f>
        <v>-110.83147830147004</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6</v>
      </c>
      <c r="W14" s="738">
        <v>11</v>
      </c>
      <c r="X14" s="714" t="str">
        <f t="shared" si="0"/>
        <v>Lurker's Grasp of the Bandit</v>
      </c>
      <c r="Y14" s="47"/>
      <c r="Z14" s="47"/>
    </row>
    <row r="15" spans="1:26">
      <c r="A15" s="10" t="s">
        <v>1532</v>
      </c>
      <c r="B15" s="114">
        <v>29247</v>
      </c>
      <c r="C15" s="114">
        <v>1</v>
      </c>
      <c r="D15" s="114"/>
      <c r="E15" s="114">
        <v>28</v>
      </c>
      <c r="F15" s="114">
        <v>56</v>
      </c>
      <c r="G15" s="116"/>
      <c r="H15" s="116">
        <v>20</v>
      </c>
      <c r="I15" s="114"/>
      <c r="J15" s="114"/>
      <c r="K15" s="114"/>
      <c r="L15" s="114">
        <v>28</v>
      </c>
      <c r="M15" s="116"/>
      <c r="N15" s="116"/>
      <c r="O15" s="114"/>
      <c r="P15" s="114"/>
      <c r="Q15" s="114" t="s">
        <v>1033</v>
      </c>
      <c r="R15" s="114"/>
      <c r="S15" s="114" t="s">
        <v>691</v>
      </c>
      <c r="T15" s="114"/>
      <c r="U15" s="891">
        <f>($D15*dpsStr+$E15*dpsAgi+$G15*dpsCrit+$H15*dpsHit+$F15*dpsAP+$I15*dpsHaste+$J15*dpsArmor+$K15*dpsExp+IF(MID(Q15,1,1)+MID(Q15,3,1)+MID(Q15,5,1)&gt;0,VLOOKUP('Gear &amp; Buffs'!$B$55,GenSocketStats,18,FALSE)+IF(MID(Q15,1,1)+MID(Q15,3,1)+MID(Q15,5,1)&gt;1,VLOOKUP('Gear &amp; Buffs'!$B$56,GenSocketStats,18,FALSE)+IF(MID(Q15,1,1)+MID(Q15,3,1)+MID(Q15,5,1)&gt;2,VLOOKUP('Gear &amp; Buffs'!$B$57,GenSocketStats,18,FALSE),0)),0))-'Gear &amp; Buffs'!$AF$54</f>
        <v>0</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8">
        <v>12</v>
      </c>
      <c r="X15" s="714" t="str">
        <f t="shared" si="0"/>
        <v>Marshal's Leather Belt</v>
      </c>
      <c r="Y15" s="47"/>
      <c r="Z15" s="47"/>
    </row>
    <row r="16" spans="1:26">
      <c r="A16" s="10" t="s">
        <v>1523</v>
      </c>
      <c r="B16" s="114">
        <v>28750</v>
      </c>
      <c r="C16" s="114">
        <v>1</v>
      </c>
      <c r="D16" s="114"/>
      <c r="E16" s="114">
        <v>18</v>
      </c>
      <c r="F16" s="114">
        <v>58</v>
      </c>
      <c r="G16" s="116"/>
      <c r="H16" s="116"/>
      <c r="I16" s="114"/>
      <c r="J16" s="114"/>
      <c r="K16" s="114"/>
      <c r="L16" s="114">
        <v>37</v>
      </c>
      <c r="M16" s="116"/>
      <c r="N16" s="116"/>
      <c r="O16" s="114"/>
      <c r="P16" s="114"/>
      <c r="Q16" s="114" t="s">
        <v>1454</v>
      </c>
      <c r="R16" s="114" t="s">
        <v>22</v>
      </c>
      <c r="S16" s="114" t="s">
        <v>672</v>
      </c>
      <c r="T16" s="114"/>
      <c r="U16" s="891">
        <f>($D16*dpsStr+$E16*dpsAgi+$G16*dpsCrit+$H16*dpsHit+$F16*dpsAP+$I16*dpsHaste+$J16*dpsArmor+$K16*dpsExp+IF(MID(Q16,1,1)+MID(Q16,3,1)+MID(Q16,5,1)&gt;0,VLOOKUP('Gear &amp; Buffs'!$B$55,GenSocketStats,18,FALSE)+IF(MID(Q16,1,1)+MID(Q16,3,1)+MID(Q16,5,1)&gt;1,VLOOKUP('Gear &amp; Buffs'!$B$56,GenSocketStats,18,FALSE)+IF(MID(Q16,1,1)+MID(Q16,3,1)+MID(Q16,5,1)&gt;2,VLOOKUP('Gear &amp; Buffs'!$B$57,GenSocketStats,18,FALSE),0)),0))-'Gear &amp; Buffs'!$AF$54</f>
        <v>-67.540143292485482</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8">
        <v>13</v>
      </c>
      <c r="X16" s="714" t="str">
        <f t="shared" si="0"/>
        <v>Naaru Belt of Precision</v>
      </c>
      <c r="Y16" s="47"/>
      <c r="Z16" s="47"/>
    </row>
    <row r="17" spans="1:26">
      <c r="A17" s="10" t="s">
        <v>1533</v>
      </c>
      <c r="B17" s="114">
        <v>28828</v>
      </c>
      <c r="C17" s="114">
        <v>1</v>
      </c>
      <c r="D17" s="114"/>
      <c r="E17" s="114"/>
      <c r="F17" s="114">
        <v>72</v>
      </c>
      <c r="G17" s="116">
        <v>25</v>
      </c>
      <c r="H17" s="116"/>
      <c r="I17" s="114"/>
      <c r="J17" s="114"/>
      <c r="K17" s="114"/>
      <c r="L17" s="114">
        <v>27</v>
      </c>
      <c r="M17" s="116"/>
      <c r="N17" s="116"/>
      <c r="O17" s="114"/>
      <c r="P17" s="114"/>
      <c r="Q17" s="114" t="s">
        <v>1041</v>
      </c>
      <c r="R17" s="114" t="s">
        <v>1449</v>
      </c>
      <c r="S17" s="114" t="s">
        <v>678</v>
      </c>
      <c r="T17" s="114"/>
      <c r="U17" s="891">
        <f>($D17*dpsStr+$E17*dpsAgi+$G17*dpsCrit+$H17*dpsHit+$F17*dpsAP+$I17*dpsHaste+$J17*dpsArmor+$K17*dpsExp+IF(MID(Q17,1,1)+MID(Q17,3,1)+MID(Q17,5,1)&gt;0,VLOOKUP('Gear &amp; Buffs'!$B$55,GenSocketStats,18,FALSE)+IF(MID(Q17,1,1)+MID(Q17,3,1)+MID(Q17,5,1)&gt;1,VLOOKUP('Gear &amp; Buffs'!$B$56,GenSocketStats,18,FALSE)+IF(MID(Q17,1,1)+MID(Q17,3,1)+MID(Q17,5,1)&gt;2,VLOOKUP('Gear &amp; Buffs'!$B$57,GenSocketStats,18,FALSE),0)),0))-'Gear &amp; Buffs'!$AF$54</f>
        <v>-60.282446940805585</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9</v>
      </c>
      <c r="W17" s="738">
        <v>14</v>
      </c>
      <c r="X17" s="714" t="str">
        <f t="shared" si="0"/>
        <v>Pilgrim's Belt</v>
      </c>
      <c r="Y17" s="47"/>
      <c r="Z17" s="47"/>
    </row>
    <row r="18" spans="1:26">
      <c r="A18" s="10" t="s">
        <v>2819</v>
      </c>
      <c r="B18" s="114">
        <v>35152</v>
      </c>
      <c r="C18" s="114">
        <v>5</v>
      </c>
      <c r="D18" s="114">
        <v>34</v>
      </c>
      <c r="E18" s="114">
        <v>33</v>
      </c>
      <c r="F18" s="114"/>
      <c r="G18" s="116">
        <v>25</v>
      </c>
      <c r="H18" s="116"/>
      <c r="I18" s="114"/>
      <c r="J18" s="114"/>
      <c r="K18" s="114"/>
      <c r="L18" s="114">
        <v>46</v>
      </c>
      <c r="M18" s="116"/>
      <c r="N18" s="116">
        <v>26</v>
      </c>
      <c r="O18" s="114"/>
      <c r="P18" s="114"/>
      <c r="Q18" s="114" t="s">
        <v>1033</v>
      </c>
      <c r="R18" s="114"/>
      <c r="S18" s="114" t="s">
        <v>677</v>
      </c>
      <c r="T18" s="114"/>
      <c r="U18" s="891">
        <f>($D18*dpsStr+$E18*dpsAgi+$G18*dpsCrit+$H18*dpsHit+$F18*dpsAP+$I18*dpsHaste+$J18*dpsArmor+$K18*dpsExp+IF(MID(Q18,1,1)+MID(Q18,3,1)+MID(Q18,5,1)&gt;0,VLOOKUP('Gear &amp; Buffs'!$B$55,GenSocketStats,18,FALSE)+IF(MID(Q18,1,1)+MID(Q18,3,1)+MID(Q18,5,1)&gt;1,VLOOKUP('Gear &amp; Buffs'!$B$56,GenSocketStats,18,FALSE)+IF(MID(Q18,1,1)+MID(Q18,3,1)+MID(Q18,5,1)&gt;2,VLOOKUP('Gear &amp; Buffs'!$B$57,GenSocketStats,18,FALSE),0)),0))-'Gear &amp; Buffs'!$AF$54</f>
        <v>-96.365995839017842</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Aman"),IF(includeprebc,S18="Pre-BC"),IF(includesunwell,S18="Sunwell"))),MAX($V$1:V16)+1,"")</f>
        <v/>
      </c>
      <c r="W18" s="738">
        <v>15</v>
      </c>
      <c r="X18" s="714" t="str">
        <f t="shared" ref="X18" si="1">IF(ISNA(INDEX($A$2:$A$37,MATCH(W18,V$2:V$37,0))), "", INDEX($A$2:$A$37,MATCH(W18,V$2:V$37,0)))</f>
        <v>Sash of Silent Blades</v>
      </c>
      <c r="Y18" s="47"/>
      <c r="Z18" s="47"/>
    </row>
    <row r="19" spans="1:26">
      <c r="A19" s="10" t="s">
        <v>1990</v>
      </c>
      <c r="B19" s="114">
        <v>35156</v>
      </c>
      <c r="C19" s="114">
        <v>5</v>
      </c>
      <c r="D19" s="114"/>
      <c r="E19" s="114">
        <v>37</v>
      </c>
      <c r="F19" s="114">
        <v>48</v>
      </c>
      <c r="G19" s="116">
        <v>24</v>
      </c>
      <c r="H19" s="116"/>
      <c r="I19" s="114"/>
      <c r="J19" s="114"/>
      <c r="K19" s="114"/>
      <c r="L19" s="114">
        <v>55</v>
      </c>
      <c r="M19" s="116"/>
      <c r="N19" s="116">
        <v>30</v>
      </c>
      <c r="O19" s="114"/>
      <c r="P19" s="114"/>
      <c r="Q19" s="114" t="s">
        <v>1033</v>
      </c>
      <c r="R19" s="114"/>
      <c r="S19" s="114" t="s">
        <v>677</v>
      </c>
      <c r="T19" s="114"/>
      <c r="U19" s="891">
        <f>($D19*dpsStr+$E19*dpsAgi+$G19*dpsCrit+$H19*dpsHit+$F19*dpsAP+$I19*dpsHaste+$J19*dpsArmor+$K19*dpsExp+IF(MID(Q19,1,1)+MID(Q19,3,1)+MID(Q19,5,1)&gt;0,VLOOKUP('Gear &amp; Buffs'!$B$55,GenSocketStats,18,FALSE)+IF(MID(Q19,1,1)+MID(Q19,3,1)+MID(Q19,5,1)&gt;1,VLOOKUP('Gear &amp; Buffs'!$B$56,GenSocketStats,18,FALSE)+IF(MID(Q19,1,1)+MID(Q19,3,1)+MID(Q19,5,1)&gt;2,VLOOKUP('Gear &amp; Buffs'!$B$57,GenSocketStats,18,FALSE),0)),0))-'Gear &amp; Buffs'!$AF$54</f>
        <v>-89.955242393142044</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Aman"),IF(includeprebc,S19="Pre-BC"),IF(includesunwell,S19="Sunwell"))),MAX($V$1:V17)+1,"")</f>
        <v/>
      </c>
      <c r="W19" s="738">
        <v>15</v>
      </c>
      <c r="X19" s="714" t="str">
        <f t="shared" si="0"/>
        <v>Sash of Silent Blades</v>
      </c>
      <c r="Y19" s="47"/>
      <c r="Z19" s="47"/>
    </row>
    <row r="20" spans="1:26">
      <c r="A20" s="10" t="s">
        <v>2820</v>
      </c>
      <c r="B20" s="114">
        <v>29772</v>
      </c>
      <c r="C20" s="114">
        <v>1</v>
      </c>
      <c r="D20" s="114">
        <v>20</v>
      </c>
      <c r="E20" s="114">
        <v>20</v>
      </c>
      <c r="F20" s="114"/>
      <c r="G20" s="116"/>
      <c r="H20" s="116">
        <v>12</v>
      </c>
      <c r="I20" s="114"/>
      <c r="J20" s="114"/>
      <c r="K20" s="114"/>
      <c r="L20" s="114">
        <v>19</v>
      </c>
      <c r="M20" s="116"/>
      <c r="N20" s="116"/>
      <c r="O20" s="114"/>
      <c r="P20" s="114"/>
      <c r="Q20" s="114" t="s">
        <v>1033</v>
      </c>
      <c r="R20" s="114"/>
      <c r="S20" s="114" t="s">
        <v>675</v>
      </c>
      <c r="T20" s="114"/>
      <c r="U20" s="891">
        <f>($D20*dpsStr+$E20*dpsAgi+$G20*dpsCrit+$H20*dpsHit+$F20*dpsAP+$I20*dpsHaste+$J20*dpsArmor+$K20*dpsExp+IF(MID(Q20,1,1)+MID(Q20,3,1)+MID(Q20,5,1)&gt;0,VLOOKUP('Gear &amp; Buffs'!$B$55,GenSocketStats,18,FALSE)+IF(MID(Q20,1,1)+MID(Q20,3,1)+MID(Q20,5,1)&gt;1,VLOOKUP('Gear &amp; Buffs'!$B$56,GenSocketStats,18,FALSE)+IF(MID(Q20,1,1)+MID(Q20,3,1)+MID(Q20,5,1)&gt;2,VLOOKUP('Gear &amp; Buffs'!$B$57,GenSocketStats,18,FALSE),0)),0))-'Gear &amp; Buffs'!$AF$54</f>
        <v>-63.167175570761174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Aman"),IF(includeprebc,S20="Pre-BC"),IF(includesunwell,S20="Sunwell"))),MAX($V$1:V18)+1,"")</f>
        <v>10</v>
      </c>
      <c r="W20" s="738">
        <v>15</v>
      </c>
      <c r="X20" s="714" t="str">
        <f t="shared" ref="X20" si="2">IF(ISNA(INDEX($A$2:$A$37,MATCH(W20,V$2:V$37,0))), "", INDEX($A$2:$A$37,MATCH(W20,V$2:V$37,0)))</f>
        <v>Sash of Silent Blades</v>
      </c>
      <c r="Y20" s="47"/>
      <c r="Z20" s="47"/>
    </row>
    <row r="21" spans="1:26">
      <c r="A21" s="10" t="s">
        <v>1534</v>
      </c>
      <c r="B21" s="114">
        <v>28124</v>
      </c>
      <c r="C21" s="114">
        <v>1</v>
      </c>
      <c r="D21" s="114"/>
      <c r="E21" s="114"/>
      <c r="F21" s="114">
        <v>34</v>
      </c>
      <c r="G21" s="116">
        <v>18</v>
      </c>
      <c r="H21" s="116"/>
      <c r="I21" s="114"/>
      <c r="J21" s="114"/>
      <c r="K21" s="114"/>
      <c r="L21" s="114">
        <v>24</v>
      </c>
      <c r="M21" s="116"/>
      <c r="N21" s="116"/>
      <c r="O21" s="114"/>
      <c r="P21" s="114"/>
      <c r="Q21" s="114" t="s">
        <v>1045</v>
      </c>
      <c r="R21" s="114" t="s">
        <v>1455</v>
      </c>
      <c r="S21" s="114" t="s">
        <v>691</v>
      </c>
      <c r="T21" s="114"/>
      <c r="U21" s="891">
        <f>($D21*dpsStr+$E21*dpsAgi+$G21*dpsCrit+$H21*dpsHit+$F21*dpsAP+$I21*dpsHaste+$J21*dpsArmor+$K21*dpsExp+IF(MID(Q21,1,1)+MID(Q21,3,1)+MID(Q21,5,1)&gt;0,VLOOKUP('Gear &amp; Buffs'!$B$55,GenSocketStats,18,FALSE)+IF(MID(Q21,1,1)+MID(Q21,3,1)+MID(Q21,5,1)&gt;1,VLOOKUP('Gear &amp; Buffs'!$B$56,GenSocketStats,18,FALSE)+IF(MID(Q21,1,1)+MID(Q21,3,1)+MID(Q21,5,1)&gt;2,VLOOKUP('Gear &amp; Buffs'!$B$57,GenSocketStats,18,FALSE),0)),0))-'Gear &amp; Buffs'!$AF$54</f>
        <v>-78.661562061868153</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Aman"),IF(includeprebc,S21="Pre-BC"),IF(includesunwell,S21="Sunwell"))),MAX($V$1:V19)+1,"")</f>
        <v>10</v>
      </c>
      <c r="W21" s="738">
        <v>16</v>
      </c>
      <c r="X21" s="714" t="str">
        <f t="shared" si="0"/>
        <v>Shifting Sash of Midnight</v>
      </c>
      <c r="Y21" s="47"/>
      <c r="Z21" s="47"/>
    </row>
    <row r="22" spans="1:26">
      <c r="A22" s="10" t="s">
        <v>2349</v>
      </c>
      <c r="B22" s="114">
        <v>30676</v>
      </c>
      <c r="C22" s="114">
        <v>1</v>
      </c>
      <c r="D22" s="114"/>
      <c r="E22" s="114">
        <v>28</v>
      </c>
      <c r="F22" s="114">
        <v>57</v>
      </c>
      <c r="G22" s="116"/>
      <c r="H22" s="116"/>
      <c r="I22" s="114"/>
      <c r="J22" s="114"/>
      <c r="K22" s="114"/>
      <c r="L22" s="114">
        <v>43</v>
      </c>
      <c r="M22" s="116"/>
      <c r="N22" s="116"/>
      <c r="O22" s="114"/>
      <c r="P22" s="114"/>
      <c r="Q22" s="114" t="s">
        <v>1033</v>
      </c>
      <c r="R22" s="114"/>
      <c r="S22" s="114" t="s">
        <v>672</v>
      </c>
      <c r="T22" s="114"/>
      <c r="U22" s="891">
        <f>($D22*dpsStr+$E22*dpsAgi+$G22*dpsCrit+$H22*dpsHit+$F22*dpsAP+$I22*dpsHaste+$J22*dpsArmor+$K22*dpsExp+IF(MID(Q22,1,1)+MID(Q22,3,1)+MID(Q22,5,1)&gt;0,VLOOKUP('Gear &amp; Buffs'!$B$55,GenSocketStats,18,FALSE)+IF(MID(Q22,1,1)+MID(Q22,3,1)+MID(Q22,5,1)&gt;1,VLOOKUP('Gear &amp; Buffs'!$B$56,GenSocketStats,18,FALSE)+IF(MID(Q22,1,1)+MID(Q22,3,1)+MID(Q22,5,1)&gt;2,VLOOKUP('Gear &amp; Buffs'!$B$57,GenSocketStats,18,FALSE),0)),0))-'Gear &amp; Buffs'!$AF$54</f>
        <v>-110.64329931668794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11</v>
      </c>
      <c r="W22" s="738">
        <v>17</v>
      </c>
      <c r="X22" s="714" t="str">
        <f t="shared" si="0"/>
        <v>Socrethar's Girdle</v>
      </c>
      <c r="Y22" s="47"/>
      <c r="Z22" s="47"/>
    </row>
    <row r="23" spans="1:26">
      <c r="A23" s="10" t="s">
        <v>1535</v>
      </c>
      <c r="B23" s="114">
        <v>28986</v>
      </c>
      <c r="C23" s="114">
        <v>1</v>
      </c>
      <c r="D23" s="114"/>
      <c r="E23" s="114">
        <v>27</v>
      </c>
      <c r="F23" s="114">
        <v>30</v>
      </c>
      <c r="G23" s="116">
        <v>15</v>
      </c>
      <c r="H23" s="116"/>
      <c r="I23" s="114"/>
      <c r="J23" s="114"/>
      <c r="K23" s="114"/>
      <c r="L23" s="114">
        <v>39</v>
      </c>
      <c r="M23" s="116"/>
      <c r="N23" s="116">
        <v>26</v>
      </c>
      <c r="O23" s="114"/>
      <c r="P23" s="114"/>
      <c r="Q23" s="114" t="s">
        <v>1033</v>
      </c>
      <c r="R23" s="114"/>
      <c r="S23" s="114" t="s">
        <v>677</v>
      </c>
      <c r="T23" s="114"/>
      <c r="U23" s="891">
        <f>($D23*dpsStr+$E23*dpsAgi+$G23*dpsCrit+$H23*dpsHit+$F23*dpsAP+$I23*dpsHaste+$J23*dpsArmor+$K23*dpsExp+IF(MID(Q23,1,1)+MID(Q23,3,1)+MID(Q23,5,1)&gt;0,VLOOKUP('Gear &amp; Buffs'!$B$55,GenSocketStats,18,FALSE)+IF(MID(Q23,1,1)+MID(Q23,3,1)+MID(Q23,5,1)&gt;1,VLOOKUP('Gear &amp; Buffs'!$B$56,GenSocketStats,18,FALSE)+IF(MID(Q23,1,1)+MID(Q23,3,1)+MID(Q23,5,1)&gt;2,VLOOKUP('Gear &amp; Buffs'!$B$57,GenSocketStats,18,FALSE),0)),0))-'Gear &amp; Buffs'!$AF$54</f>
        <v>-110.83147830147004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8">
        <v>18</v>
      </c>
      <c r="X23" s="714" t="str">
        <f t="shared" si="0"/>
        <v>Tree Warden's Belt</v>
      </c>
      <c r="Y23" s="47"/>
      <c r="Z23" s="47"/>
    </row>
    <row r="24" spans="1:26">
      <c r="A24" s="10" t="s">
        <v>1536</v>
      </c>
      <c r="B24" s="114">
        <v>31464</v>
      </c>
      <c r="C24" s="114">
        <v>1</v>
      </c>
      <c r="D24" s="114"/>
      <c r="E24" s="114">
        <v>25</v>
      </c>
      <c r="F24" s="114">
        <v>44</v>
      </c>
      <c r="G24" s="116"/>
      <c r="H24" s="116">
        <v>15</v>
      </c>
      <c r="I24" s="114"/>
      <c r="J24" s="114"/>
      <c r="K24" s="114"/>
      <c r="L24" s="114"/>
      <c r="M24" s="116">
        <v>21</v>
      </c>
      <c r="N24" s="116"/>
      <c r="O24" s="114"/>
      <c r="P24" s="114"/>
      <c r="Q24" s="114" t="s">
        <v>1033</v>
      </c>
      <c r="R24" s="114"/>
      <c r="S24" s="114" t="s">
        <v>675</v>
      </c>
      <c r="T24" s="114"/>
      <c r="U24" s="891">
        <f>($D24*dpsStr+$E24*dpsAgi+$G24*dpsCrit+$H24*dpsHit+$F24*dpsAP+$I24*dpsHaste+$J24*dpsArmor+$K24*dpsExp+IF(MID(Q24,1,1)+MID(Q24,3,1)+MID(Q24,5,1)&gt;0,VLOOKUP('Gear &amp; Buffs'!$B$55,GenSocketStats,18,FALSE)+IF(MID(Q24,1,1)+MID(Q24,3,1)+MID(Q24,5,1)&gt;1,VLOOKUP('Gear &amp; Buffs'!$B$56,GenSocketStats,18,FALSE)+IF(MID(Q24,1,1)+MID(Q24,3,1)+MID(Q24,5,1)&gt;2,VLOOKUP('Gear &amp; Buffs'!$B$57,GenSocketStats,18,FALSE),0)),0))-'Gear &amp; Buffs'!$AF$54</f>
        <v>-34.519756253902642</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8">
        <v>19</v>
      </c>
      <c r="X24" s="714" t="str">
        <f t="shared" si="0"/>
        <v>(Unmodeled)</v>
      </c>
      <c r="Y24" s="47"/>
      <c r="Z24" s="47"/>
    </row>
    <row r="25" spans="1:26">
      <c r="A25" s="10" t="s">
        <v>2350</v>
      </c>
      <c r="B25" s="114">
        <v>25504</v>
      </c>
      <c r="C25" s="114">
        <v>1</v>
      </c>
      <c r="D25" s="114"/>
      <c r="E25" s="114">
        <v>16</v>
      </c>
      <c r="F25" s="114">
        <v>32</v>
      </c>
      <c r="G25" s="116"/>
      <c r="H25" s="116">
        <v>16</v>
      </c>
      <c r="I25" s="114"/>
      <c r="J25" s="114"/>
      <c r="K25" s="114"/>
      <c r="L25" s="114"/>
      <c r="M25" s="116"/>
      <c r="N25" s="116"/>
      <c r="O25" s="114"/>
      <c r="P25" s="114"/>
      <c r="Q25" s="114" t="s">
        <v>1033</v>
      </c>
      <c r="R25" s="114"/>
      <c r="S25" s="114" t="s">
        <v>675</v>
      </c>
      <c r="T25" s="114"/>
      <c r="U25" s="891">
        <f>($D25*dpsStr+$E25*dpsAgi+$G25*dpsCrit+$H25*dpsHit+$F25*dpsAP+$I25*dpsHaste+$J25*dpsArmor+$K25*dpsExp+IF(MID(Q25,1,1)+MID(Q25,3,1)+MID(Q25,5,1)&gt;0,VLOOKUP('Gear &amp; Buffs'!$B$55,GenSocketStats,18,FALSE)+IF(MID(Q25,1,1)+MID(Q25,3,1)+MID(Q25,5,1)&gt;1,VLOOKUP('Gear &amp; Buffs'!$B$56,GenSocketStats,18,FALSE)+IF(MID(Q25,1,1)+MID(Q25,3,1)+MID(Q25,5,1)&gt;2,VLOOKUP('Gear &amp; Buffs'!$B$57,GenSocketStats,18,FALSE),0)),0))-'Gear &amp; Buffs'!$AF$54</f>
        <v>-40.702600921052181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14</v>
      </c>
      <c r="W25" s="738">
        <v>20</v>
      </c>
      <c r="X25" s="714" t="str">
        <f t="shared" si="0"/>
        <v/>
      </c>
      <c r="Y25" s="47"/>
      <c r="Z25" s="47"/>
    </row>
    <row r="26" spans="1:26">
      <c r="A26" s="10" t="s">
        <v>1251</v>
      </c>
      <c r="B26" s="114">
        <v>29526</v>
      </c>
      <c r="C26" s="114">
        <v>1</v>
      </c>
      <c r="D26" s="114"/>
      <c r="E26" s="114">
        <v>20</v>
      </c>
      <c r="F26" s="114">
        <v>84</v>
      </c>
      <c r="G26" s="116"/>
      <c r="H26" s="116"/>
      <c r="I26" s="114"/>
      <c r="J26" s="114"/>
      <c r="K26" s="114"/>
      <c r="L26" s="114">
        <v>32</v>
      </c>
      <c r="M26" s="116"/>
      <c r="N26" s="116"/>
      <c r="O26" s="114"/>
      <c r="P26" s="114" t="s">
        <v>826</v>
      </c>
      <c r="Q26" s="114" t="s">
        <v>1033</v>
      </c>
      <c r="R26" s="114"/>
      <c r="S26" s="114" t="s">
        <v>687</v>
      </c>
      <c r="T26" s="114"/>
      <c r="U26" s="891">
        <f>($D26*dpsStr+$E26*dpsAgi+$G26*dpsCrit+$H26*dpsHit+$F26*dpsAP+$I26*dpsHaste+$J26*dpsArmor+$K26*dpsExp+IF(MID(Q26,1,1)+MID(Q26,3,1)+MID(Q26,5,1)&gt;0,VLOOKUP('Gear &amp; Buffs'!$B$55,GenSocketStats,18,FALSE)+IF(MID(Q26,1,1)+MID(Q26,3,1)+MID(Q26,5,1)&gt;1,VLOOKUP('Gear &amp; Buffs'!$B$56,GenSocketStats,18,FALSE)+IF(MID(Q26,1,1)+MID(Q26,3,1)+MID(Q26,5,1)&gt;2,VLOOKUP('Gear &amp; Buffs'!$B$57,GenSocketStats,18,FALSE),0)),0))-'Gear &amp; Buffs'!$AF$54</f>
        <v>-107.61309157327833</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8">
        <v>21</v>
      </c>
      <c r="X26" s="714" t="str">
        <f t="shared" si="0"/>
        <v/>
      </c>
      <c r="Y26" s="47"/>
      <c r="Z26" s="47"/>
    </row>
    <row r="27" spans="1:26">
      <c r="A27" s="10" t="s">
        <v>1252</v>
      </c>
      <c r="B27" s="114">
        <v>31131</v>
      </c>
      <c r="C27" s="114">
        <v>1</v>
      </c>
      <c r="D27" s="114"/>
      <c r="E27" s="114">
        <v>28</v>
      </c>
      <c r="F27" s="114">
        <v>30</v>
      </c>
      <c r="G27" s="116"/>
      <c r="H27" s="116">
        <v>11</v>
      </c>
      <c r="I27" s="114"/>
      <c r="J27" s="114"/>
      <c r="K27" s="114"/>
      <c r="L27" s="114"/>
      <c r="M27" s="116"/>
      <c r="N27" s="116"/>
      <c r="O27" s="114"/>
      <c r="P27" s="114"/>
      <c r="Q27" s="114" t="s">
        <v>1033</v>
      </c>
      <c r="R27" s="114"/>
      <c r="S27" s="114" t="s">
        <v>674</v>
      </c>
      <c r="T27" s="114"/>
      <c r="U27" s="891">
        <f>($D27*dpsStr+$E27*dpsAgi+$G27*dpsCrit+$H27*dpsHit+$F27*dpsAP+$I27*dpsHaste+$J27*dpsArmor+$K27*dpsExp+IF(MID(Q27,1,1)+MID(Q27,3,1)+MID(Q27,5,1)&gt;0,VLOOKUP('Gear &amp; Buffs'!$B$55,GenSocketStats,18,FALSE)+IF(MID(Q27,1,1)+MID(Q27,3,1)+MID(Q27,5,1)&gt;1,VLOOKUP('Gear &amp; Buffs'!$B$56,GenSocketStats,18,FALSE)+IF(MID(Q27,1,1)+MID(Q27,3,1)+MID(Q27,5,1)&gt;2,VLOOKUP('Gear &amp; Buffs'!$B$57,GenSocketStats,18,FALSE),0)),0))-'Gear &amp; Buffs'!$AF$54</f>
        <v>-59.240863876378626</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15</v>
      </c>
      <c r="W27" s="738">
        <v>22</v>
      </c>
      <c r="X27" s="714" t="str">
        <f t="shared" si="0"/>
        <v/>
      </c>
      <c r="Y27" s="47"/>
      <c r="Z27" s="47"/>
    </row>
    <row r="28" spans="1:26">
      <c r="A28" s="10" t="s">
        <v>1253</v>
      </c>
      <c r="B28" s="114">
        <v>32265</v>
      </c>
      <c r="C28" s="114">
        <v>3</v>
      </c>
      <c r="D28" s="114"/>
      <c r="E28" s="114">
        <v>27</v>
      </c>
      <c r="F28" s="114">
        <v>76</v>
      </c>
      <c r="G28" s="116"/>
      <c r="H28" s="116"/>
      <c r="I28" s="114">
        <v>37</v>
      </c>
      <c r="J28" s="114"/>
      <c r="K28" s="114"/>
      <c r="L28" s="114">
        <v>38</v>
      </c>
      <c r="M28" s="116"/>
      <c r="N28" s="116"/>
      <c r="O28" s="114"/>
      <c r="P28" s="114"/>
      <c r="Q28" s="114" t="s">
        <v>1033</v>
      </c>
      <c r="R28" s="114"/>
      <c r="S28" s="114" t="s">
        <v>683</v>
      </c>
      <c r="T28" s="114"/>
      <c r="U28" s="891">
        <f>($D28*dpsStr+$E28*dpsAgi+$G28*dpsCrit+$H28*dpsHit+$F28*dpsAP+$I28*dpsHaste+$J28*dpsArmor+$K28*dpsExp+IF(MID(Q28,1,1)+MID(Q28,3,1)+MID(Q28,5,1)&gt;0,VLOOKUP('Gear &amp; Buffs'!$B$55,GenSocketStats,18,FALSE)+IF(MID(Q28,1,1)+MID(Q28,3,1)+MID(Q28,5,1)&gt;1,VLOOKUP('Gear &amp; Buffs'!$B$56,GenSocketStats,18,FALSE)+IF(MID(Q28,1,1)+MID(Q28,3,1)+MID(Q28,5,1)&gt;2,VLOOKUP('Gear &amp; Buffs'!$B$57,GenSocketStats,18,FALSE),0)),0))-'Gear &amp; Buffs'!$AF$54</f>
        <v>31.159993648970385</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8">
        <v>23</v>
      </c>
      <c r="X28" s="714" t="str">
        <f t="shared" si="0"/>
        <v/>
      </c>
      <c r="Y28" s="47"/>
      <c r="Z28" s="47"/>
    </row>
    <row r="29" spans="1:26">
      <c r="A29" s="10" t="s">
        <v>2351</v>
      </c>
      <c r="B29" s="114">
        <v>24063</v>
      </c>
      <c r="C29" s="114">
        <v>1</v>
      </c>
      <c r="D29" s="114"/>
      <c r="E29" s="114">
        <v>15</v>
      </c>
      <c r="F29" s="114">
        <v>28</v>
      </c>
      <c r="G29" s="116"/>
      <c r="H29" s="116"/>
      <c r="I29" s="114"/>
      <c r="J29" s="114"/>
      <c r="K29" s="114"/>
      <c r="L29" s="114">
        <v>19</v>
      </c>
      <c r="M29" s="116"/>
      <c r="N29" s="116"/>
      <c r="O29" s="114"/>
      <c r="P29" s="114"/>
      <c r="Q29" s="114" t="s">
        <v>1454</v>
      </c>
      <c r="R29" s="114" t="s">
        <v>1455</v>
      </c>
      <c r="S29" s="114" t="s">
        <v>673</v>
      </c>
      <c r="T29" s="114"/>
      <c r="U29" s="891">
        <f>($D29*dpsStr+$E29*dpsAgi+$G29*dpsCrit+$H29*dpsHit+$F29*dpsAP+$I29*dpsHaste+$J29*dpsArmor+$K29*dpsExp+IF(MID(Q29,1,1)+MID(Q29,3,1)+MID(Q29,5,1)&gt;0,VLOOKUP('Gear &amp; Buffs'!$B$55,GenSocketStats,18,FALSE)+IF(MID(Q29,1,1)+MID(Q29,3,1)+MID(Q29,5,1)&gt;1,VLOOKUP('Gear &amp; Buffs'!$B$56,GenSocketStats,18,FALSE)+IF(MID(Q29,1,1)+MID(Q29,3,1)+MID(Q29,5,1)&gt;2,VLOOKUP('Gear &amp; Buffs'!$B$57,GenSocketStats,18,FALSE),0)),0))-'Gear &amp; Buffs'!$AF$54</f>
        <v>-80.741682676145274</v>
      </c>
      <c r="V29" s="114">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16</v>
      </c>
      <c r="W29" s="738">
        <v>24</v>
      </c>
      <c r="X29" s="714" t="str">
        <f t="shared" si="0"/>
        <v/>
      </c>
      <c r="Y29" s="47"/>
      <c r="Z29" s="47"/>
    </row>
    <row r="30" spans="1:26">
      <c r="A30" s="10" t="s">
        <v>981</v>
      </c>
      <c r="B30" s="114">
        <v>34558</v>
      </c>
      <c r="C30" s="114">
        <v>5</v>
      </c>
      <c r="D30" s="114"/>
      <c r="E30" s="114">
        <v>29</v>
      </c>
      <c r="F30" s="114">
        <v>86</v>
      </c>
      <c r="G30" s="116">
        <v>13</v>
      </c>
      <c r="H30" s="116">
        <v>30</v>
      </c>
      <c r="I30" s="114">
        <v>27</v>
      </c>
      <c r="J30" s="114"/>
      <c r="K30" s="114"/>
      <c r="L30" s="114">
        <v>21</v>
      </c>
      <c r="M30" s="116"/>
      <c r="N30" s="116"/>
      <c r="O30" s="114"/>
      <c r="P30" s="114" t="s">
        <v>999</v>
      </c>
      <c r="Q30" s="114" t="s">
        <v>1035</v>
      </c>
      <c r="R30" s="114" t="s">
        <v>1473</v>
      </c>
      <c r="S30" s="114" t="s">
        <v>871</v>
      </c>
      <c r="T30" s="114"/>
      <c r="U30" s="891">
        <f>($D30*dpsStr+$E30*dpsAgi+$G30*dpsCrit+$H30*dpsHit+$F30*dpsAP+$I30*dpsHaste+$J30*dpsArmor+$K30*dpsExp+IF(MID(Q30,1,1)+MID(Q30,3,1)+MID(Q30,5,1)&gt;0,VLOOKUP('Gear &amp; Buffs'!$B$55,GenSocketStats,18,FALSE)+IF(MID(Q30,1,1)+MID(Q30,3,1)+MID(Q30,5,1)&gt;1,VLOOKUP('Gear &amp; Buffs'!$B$56,GenSocketStats,18,FALSE)+IF(MID(Q30,1,1)+MID(Q30,3,1)+MID(Q30,5,1)&gt;2,VLOOKUP('Gear &amp; Buffs'!$B$57,GenSocketStats,18,FALSE),0)),0))-'Gear &amp; Buffs'!$AF$54</f>
        <v>200.59914558727701</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8">
        <v>25</v>
      </c>
      <c r="X30" s="714" t="str">
        <f t="shared" si="0"/>
        <v/>
      </c>
      <c r="Y30" s="47"/>
      <c r="Z30" s="47"/>
    </row>
    <row r="31" spans="1:26">
      <c r="A31" s="10" t="s">
        <v>1254</v>
      </c>
      <c r="B31" s="114">
        <v>30372</v>
      </c>
      <c r="C31" s="114">
        <v>1</v>
      </c>
      <c r="D31" s="114"/>
      <c r="E31" s="114">
        <v>23</v>
      </c>
      <c r="F31" s="114">
        <v>48</v>
      </c>
      <c r="G31" s="116"/>
      <c r="H31" s="116">
        <v>20</v>
      </c>
      <c r="I31" s="114"/>
      <c r="J31" s="114"/>
      <c r="K31" s="114"/>
      <c r="L31" s="114">
        <v>21</v>
      </c>
      <c r="M31" s="116"/>
      <c r="N31" s="116"/>
      <c r="O31" s="114"/>
      <c r="P31" s="114"/>
      <c r="Q31" s="114" t="s">
        <v>1033</v>
      </c>
      <c r="R31" s="114"/>
      <c r="S31" s="114" t="s">
        <v>675</v>
      </c>
      <c r="T31" s="114"/>
      <c r="U31" s="891">
        <f>($D31*dpsStr+$E31*dpsAgi+$G31*dpsCrit+$H31*dpsHit+$F31*dpsAP+$I31*dpsHaste+$J31*dpsArmor+$K31*dpsExp+IF(MID(Q31,1,1)+MID(Q31,3,1)+MID(Q31,5,1)&gt;0,VLOOKUP('Gear &amp; Buffs'!$B$55,GenSocketStats,18,FALSE)+IF(MID(Q31,1,1)+MID(Q31,3,1)+MID(Q31,5,1)&gt;1,VLOOKUP('Gear &amp; Buffs'!$B$56,GenSocketStats,18,FALSE)+IF(MID(Q31,1,1)+MID(Q31,3,1)+MID(Q31,5,1)&gt;2,VLOOKUP('Gear &amp; Buffs'!$B$57,GenSocketStats,18,FALSE),0)),0))-'Gear &amp; Buffs'!$AF$54</f>
        <v>-6.9947045535161578</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17</v>
      </c>
      <c r="W31" s="738">
        <v>26</v>
      </c>
      <c r="X31" s="714" t="str">
        <f t="shared" si="0"/>
        <v/>
      </c>
      <c r="Y31" s="47"/>
      <c r="Z31" s="47"/>
    </row>
    <row r="32" spans="1:26">
      <c r="A32" s="10" t="s">
        <v>2352</v>
      </c>
      <c r="B32" s="114">
        <v>31512</v>
      </c>
      <c r="C32" s="114">
        <v>1</v>
      </c>
      <c r="D32" s="114"/>
      <c r="E32" s="114"/>
      <c r="F32" s="114">
        <v>30</v>
      </c>
      <c r="G32" s="116">
        <v>27</v>
      </c>
      <c r="H32" s="116">
        <v>11</v>
      </c>
      <c r="I32" s="114"/>
      <c r="J32" s="114"/>
      <c r="K32" s="114"/>
      <c r="L32" s="114"/>
      <c r="M32" s="116"/>
      <c r="N32" s="116"/>
      <c r="O32" s="114"/>
      <c r="P32" s="114"/>
      <c r="Q32" s="114" t="s">
        <v>1033</v>
      </c>
      <c r="R32" s="114"/>
      <c r="S32" s="114" t="s">
        <v>675</v>
      </c>
      <c r="T32" s="114"/>
      <c r="U32" s="891">
        <f>($D32*dpsStr+$E32*dpsAgi+$G32*dpsCrit+$H32*dpsHit+$F32*dpsAP+$I32*dpsHaste+$J32*dpsArmor+$K32*dpsExp+IF(MID(Q32,1,1)+MID(Q32,3,1)+MID(Q32,5,1)&gt;0,VLOOKUP('Gear &amp; Buffs'!$B$55,GenSocketStats,18,FALSE)+IF(MID(Q32,1,1)+MID(Q32,3,1)+MID(Q32,5,1)&gt;1,VLOOKUP('Gear &amp; Buffs'!$B$56,GenSocketStats,18,FALSE)+IF(MID(Q32,1,1)+MID(Q32,3,1)+MID(Q32,5,1)&gt;2,VLOOKUP('Gear &amp; Buffs'!$B$57,GenSocketStats,18,FALSE),0)),0))-'Gear &amp; Buffs'!$AF$54</f>
        <v>-63.886323969001751</v>
      </c>
      <c r="V32" s="114">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18</v>
      </c>
      <c r="W32" s="738">
        <v>27</v>
      </c>
      <c r="X32" s="714" t="str">
        <f t="shared" si="0"/>
        <v/>
      </c>
      <c r="Y32" s="47"/>
      <c r="Z32" s="47"/>
    </row>
    <row r="33" spans="1:26">
      <c r="A33" s="10" t="s">
        <v>1255</v>
      </c>
      <c r="B33" s="114">
        <v>32802</v>
      </c>
      <c r="C33" s="114">
        <v>2</v>
      </c>
      <c r="D33" s="114"/>
      <c r="E33" s="114">
        <v>30</v>
      </c>
      <c r="F33" s="114">
        <v>34</v>
      </c>
      <c r="G33" s="116">
        <v>16</v>
      </c>
      <c r="H33" s="116"/>
      <c r="I33" s="114"/>
      <c r="J33" s="114"/>
      <c r="K33" s="114"/>
      <c r="L33" s="114">
        <v>45</v>
      </c>
      <c r="M33" s="116"/>
      <c r="N33" s="116">
        <v>30</v>
      </c>
      <c r="O33" s="114"/>
      <c r="P33" s="114"/>
      <c r="Q33" s="114" t="s">
        <v>1033</v>
      </c>
      <c r="R33" s="114"/>
      <c r="S33" s="114" t="s">
        <v>677</v>
      </c>
      <c r="T33" s="114"/>
      <c r="U33" s="891">
        <f>($D33*dpsStr+$E33*dpsAgi+$G33*dpsCrit+$H33*dpsHit+$F33*dpsAP+$I33*dpsHaste+$J33*dpsArmor+$K33*dpsExp+IF(MID(Q33,1,1)+MID(Q33,3,1)+MID(Q33,5,1)&gt;0,VLOOKUP('Gear &amp; Buffs'!$B$55,GenSocketStats,18,FALSE)+IF(MID(Q33,1,1)+MID(Q33,3,1)+MID(Q33,5,1)&gt;1,VLOOKUP('Gear &amp; Buffs'!$B$56,GenSocketStats,18,FALSE)+IF(MID(Q33,1,1)+MID(Q33,3,1)+MID(Q33,5,1)&gt;2,VLOOKUP('Gear &amp; Buffs'!$B$57,GenSocketStats,18,FALSE),0)),0))-'Gear &amp; Buffs'!$AF$54</f>
        <v>-106.23472328453499</v>
      </c>
      <c r="V33" s="114"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8">
        <v>28</v>
      </c>
      <c r="X33" s="714" t="str">
        <f t="shared" si="0"/>
        <v/>
      </c>
      <c r="Y33" s="47"/>
      <c r="Z33" s="47"/>
    </row>
    <row r="34" spans="1:26">
      <c r="A34" s="130" t="s">
        <v>1363</v>
      </c>
      <c r="B34" s="114">
        <v>33879</v>
      </c>
      <c r="C34" s="114">
        <v>3</v>
      </c>
      <c r="D34" s="114">
        <v>30</v>
      </c>
      <c r="E34" s="114">
        <v>29</v>
      </c>
      <c r="F34" s="114"/>
      <c r="G34" s="116">
        <v>21</v>
      </c>
      <c r="H34" s="116"/>
      <c r="I34" s="114"/>
      <c r="J34" s="114"/>
      <c r="K34" s="114"/>
      <c r="L34" s="114">
        <v>42</v>
      </c>
      <c r="M34" s="116"/>
      <c r="N34" s="116">
        <v>26</v>
      </c>
      <c r="O34" s="114"/>
      <c r="P34" s="114"/>
      <c r="Q34" s="114" t="s">
        <v>1033</v>
      </c>
      <c r="R34" s="114"/>
      <c r="S34" s="114" t="s">
        <v>677</v>
      </c>
      <c r="T34" s="114"/>
      <c r="U34" s="891">
        <f>($D34*dpsStr+$E34*dpsAgi+$G34*dpsCrit+$H34*dpsHit+$F34*dpsAP+$I34*dpsHaste+$J34*dpsArmor+$K34*dpsExp+IF(MID(Q34,1,1)+MID(Q34,3,1)+MID(Q34,5,1)&gt;0,VLOOKUP('Gear &amp; Buffs'!$B$55,GenSocketStats,18,FALSE)+IF(MID(Q34,1,1)+MID(Q34,3,1)+MID(Q34,5,1)&gt;1,VLOOKUP('Gear &amp; Buffs'!$B$56,GenSocketStats,18,FALSE)+IF(MID(Q34,1,1)+MID(Q34,3,1)+MID(Q34,5,1)&gt;2,VLOOKUP('Gear &amp; Buffs'!$B$57,GenSocketStats,18,FALSE),0)),0))-'Gear &amp; Buffs'!$AF$54</f>
        <v>-103.99028465216065</v>
      </c>
      <c r="V34" s="114"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8">
        <v>29</v>
      </c>
      <c r="X34" s="714" t="str">
        <f t="shared" si="0"/>
        <v/>
      </c>
      <c r="Y34" s="47"/>
      <c r="Z34" s="47"/>
    </row>
    <row r="35" spans="1:26">
      <c r="A35" s="130" t="s">
        <v>1422</v>
      </c>
      <c r="B35" s="114">
        <v>33891</v>
      </c>
      <c r="C35" s="114">
        <v>3</v>
      </c>
      <c r="D35" s="114"/>
      <c r="E35" s="114">
        <v>33</v>
      </c>
      <c r="F35" s="114">
        <v>40</v>
      </c>
      <c r="G35" s="116">
        <v>19</v>
      </c>
      <c r="H35" s="116"/>
      <c r="I35" s="114"/>
      <c r="J35" s="114"/>
      <c r="K35" s="114"/>
      <c r="L35" s="114">
        <v>49</v>
      </c>
      <c r="M35" s="116"/>
      <c r="N35" s="116">
        <v>30</v>
      </c>
      <c r="O35" s="114"/>
      <c r="P35" s="114"/>
      <c r="Q35" s="114" t="s">
        <v>1033</v>
      </c>
      <c r="R35" s="114"/>
      <c r="S35" s="114" t="s">
        <v>677</v>
      </c>
      <c r="T35" s="114"/>
      <c r="U35" s="891">
        <f>($D35*dpsStr+$E35*dpsAgi+$G35*dpsCrit+$H35*dpsHit+$F35*dpsAP+$I35*dpsHaste+$J35*dpsArmor+$K35*dpsExp+IF(MID(Q35,1,1)+MID(Q35,3,1)+MID(Q35,5,1)&gt;0,VLOOKUP('Gear &amp; Buffs'!$B$55,GenSocketStats,18,FALSE)+IF(MID(Q35,1,1)+MID(Q35,3,1)+MID(Q35,5,1)&gt;1,VLOOKUP('Gear &amp; Buffs'!$B$56,GenSocketStats,18,FALSE)+IF(MID(Q35,1,1)+MID(Q35,3,1)+MID(Q35,5,1)&gt;2,VLOOKUP('Gear &amp; Buffs'!$B$57,GenSocketStats,18,FALSE),0)),0))-'Gear &amp; Buffs'!$AF$54</f>
        <v>-99.551715604870651</v>
      </c>
      <c r="V35" s="114" t="str">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8">
        <v>30</v>
      </c>
      <c r="X35" s="714" t="str">
        <f t="shared" si="0"/>
        <v/>
      </c>
      <c r="Y35" s="47"/>
      <c r="Z35" s="47"/>
    </row>
    <row r="36" spans="1:26">
      <c r="A36" s="130" t="s">
        <v>1408</v>
      </c>
      <c r="B36" s="114">
        <v>33583</v>
      </c>
      <c r="C36" s="114">
        <v>4</v>
      </c>
      <c r="D36" s="114">
        <v>29</v>
      </c>
      <c r="E36" s="114">
        <v>28</v>
      </c>
      <c r="F36" s="114"/>
      <c r="G36" s="116"/>
      <c r="H36" s="116">
        <v>18</v>
      </c>
      <c r="I36" s="114"/>
      <c r="J36" s="114"/>
      <c r="K36" s="114"/>
      <c r="L36" s="114">
        <v>30</v>
      </c>
      <c r="M36" s="116"/>
      <c r="N36" s="116"/>
      <c r="O36" s="114"/>
      <c r="P36" s="114"/>
      <c r="Q36" s="114" t="s">
        <v>1037</v>
      </c>
      <c r="R36" s="114" t="s">
        <v>1338</v>
      </c>
      <c r="S36" s="114" t="s">
        <v>691</v>
      </c>
      <c r="T36" s="114"/>
      <c r="U36" s="891">
        <f>($D36*dpsStr+$E36*dpsAgi+$G36*dpsCrit+$H36*dpsHit+$F36*dpsAP+$I36*dpsHaste+$J36*dpsArmor+$K36*dpsExp+IF(MID(Q36,1,1)+MID(Q36,3,1)+MID(Q36,5,1)&gt;0,VLOOKUP('Gear &amp; Buffs'!$B$55,GenSocketStats,18,FALSE)+IF(MID(Q36,1,1)+MID(Q36,3,1)+MID(Q36,5,1)&gt;1,VLOOKUP('Gear &amp; Buffs'!$B$56,GenSocketStats,18,FALSE)+IF(MID(Q36,1,1)+MID(Q36,3,1)+MID(Q36,5,1)&gt;2,VLOOKUP('Gear &amp; Buffs'!$B$57,GenSocketStats,18,FALSE),0)),0))-'Gear &amp; Buffs'!$AF$54</f>
        <v>31.306238134349769</v>
      </c>
      <c r="V36" s="114" t="str">
        <f>IF(AND(IF('Gear &amp; Buffs'!$AC$50,U36&gt;0+'Gear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
      </c>
      <c r="W36" s="738">
        <v>31</v>
      </c>
      <c r="X36" s="714" t="str">
        <f t="shared" si="0"/>
        <v/>
      </c>
      <c r="Y36" s="47"/>
      <c r="Z36" s="47"/>
    </row>
    <row r="37" spans="1:26">
      <c r="A37" s="10" t="str">
        <f>'Gear &amp; Buffs'!$B$163</f>
        <v>(Unmodeled)</v>
      </c>
      <c r="B37" s="114"/>
      <c r="C37" s="114"/>
      <c r="D37" s="114">
        <f>'Gear &amp; Buffs'!$D$163</f>
        <v>0</v>
      </c>
      <c r="E37" s="114">
        <f>'Gear &amp; Buffs'!$E$163</f>
        <v>0</v>
      </c>
      <c r="F37" s="114">
        <f>'Gear &amp; Buffs'!$I$163</f>
        <v>0</v>
      </c>
      <c r="G37" s="115">
        <f>'Gear &amp; Buffs'!$G$163</f>
        <v>0</v>
      </c>
      <c r="H37" s="115">
        <f>'Gear &amp; Buffs'!$H$163</f>
        <v>0</v>
      </c>
      <c r="I37" s="115">
        <f>'Gear &amp; Buffs'!$P$163</f>
        <v>0</v>
      </c>
      <c r="J37" s="114">
        <f>'Gear &amp; Buffs'!$Q$163</f>
        <v>0</v>
      </c>
      <c r="K37" s="116">
        <f>'Gear &amp; Buffs'!$L$163</f>
        <v>0</v>
      </c>
      <c r="L37" s="114">
        <f>'Gear &amp; Buffs'!$F$163</f>
        <v>0</v>
      </c>
      <c r="M37" s="116">
        <f>'Gear &amp; Buffs'!$K$163</f>
        <v>0</v>
      </c>
      <c r="N37" s="114">
        <f>'Gear &amp; Buffs'!$J$163</f>
        <v>0</v>
      </c>
      <c r="O37" s="115">
        <f>'Gear &amp; Buffs'!M163</f>
        <v>0</v>
      </c>
      <c r="P37" s="114"/>
      <c r="Q37" s="114" t="str">
        <f>'Gear &amp; Buffs'!$R$163</f>
        <v>0 0 0</v>
      </c>
      <c r="R37" s="720">
        <f>'Gear &amp; Buffs'!$S$163</f>
        <v>0</v>
      </c>
      <c r="S37" s="114"/>
      <c r="T37" s="114"/>
      <c r="U37" s="891">
        <f>($D37*dpsStr+$E37*dpsAgi+$G37*dpsCrit+$H37*dpsHit+$F37*dpsAP+$I37*dpsHaste+$J37*dpsArmor+$K37*dpsExp+IF(MID(Q37,1,1)+MID(Q37,3,1)+MID(Q37,5,1)&gt;0,VLOOKUP('Gear &amp; Buffs'!$B$55,GenSocketStats,18,FALSE)+IF(MID(Q37,1,1)+MID(Q37,3,1)+MID(Q37,5,1)&gt;1,VLOOKUP('Gear &amp; Buffs'!$B$56,GenSocketStats,18,FALSE)+IF(MID(Q37,1,1)+MID(Q37,3,1)+MID(Q37,5,1)&gt;2,VLOOKUP('Gear &amp; Buffs'!$B$57,GenSocketStats,18,FALSE),0)),0))-'Gear &amp; Buffs'!$AF$54</f>
        <v>-154.17307113181141</v>
      </c>
      <c r="V37" s="114">
        <f>MAX($V$1:V36)+1</f>
        <v>19</v>
      </c>
      <c r="W37" s="738">
        <v>32</v>
      </c>
      <c r="X37" s="714" t="str">
        <f t="shared" si="0"/>
        <v/>
      </c>
      <c r="Y37" s="47"/>
      <c r="Z37" s="47"/>
    </row>
    <row r="38" spans="1:26">
      <c r="A38" s="10" t="s">
        <v>2207</v>
      </c>
      <c r="B38" s="114"/>
      <c r="C38" s="114"/>
      <c r="D38" s="114"/>
      <c r="E38" s="114"/>
      <c r="F38" s="114"/>
      <c r="G38" s="116"/>
      <c r="H38" s="116"/>
      <c r="I38" s="114"/>
      <c r="J38" s="114"/>
      <c r="K38" s="114"/>
      <c r="L38" s="114"/>
      <c r="M38" s="116"/>
      <c r="N38" s="116"/>
      <c r="O38" s="114"/>
      <c r="P38" s="114"/>
      <c r="Q38" s="114" t="s">
        <v>1033</v>
      </c>
      <c r="R38" s="114"/>
      <c r="S38" s="114"/>
      <c r="T38" s="114"/>
      <c r="U38" s="770"/>
      <c r="V38" s="114"/>
      <c r="W38" s="738">
        <v>33</v>
      </c>
      <c r="X38" s="714" t="str">
        <f t="shared" si="0"/>
        <v/>
      </c>
      <c r="Y38" s="47"/>
      <c r="Z38" s="47"/>
    </row>
    <row r="39" spans="1:26">
      <c r="A39" s="47"/>
      <c r="B39" s="47"/>
      <c r="C39" s="47"/>
      <c r="D39" s="47"/>
      <c r="E39" s="47"/>
      <c r="F39" s="47"/>
      <c r="G39" s="47"/>
      <c r="H39" s="47"/>
      <c r="I39" s="47"/>
      <c r="J39" s="47"/>
      <c r="K39" s="47"/>
      <c r="L39" s="47"/>
      <c r="M39" s="47"/>
      <c r="N39" s="47"/>
      <c r="O39" s="47"/>
      <c r="P39" s="47"/>
      <c r="Q39" s="47"/>
      <c r="R39" s="47"/>
      <c r="S39" s="114"/>
      <c r="T39" s="47"/>
      <c r="U39" s="114"/>
      <c r="V39" s="114"/>
      <c r="W39" s="738">
        <v>34</v>
      </c>
      <c r="X39" s="714" t="str">
        <f t="shared" si="0"/>
        <v/>
      </c>
      <c r="Y39" s="47"/>
      <c r="Z39" s="47"/>
    </row>
    <row r="40" spans="1:26">
      <c r="A40" s="10"/>
      <c r="B40" s="47"/>
      <c r="C40" s="47"/>
      <c r="D40" s="114"/>
      <c r="E40" s="114"/>
      <c r="F40" s="114"/>
      <c r="G40" s="127"/>
      <c r="H40" s="114"/>
      <c r="I40" s="47"/>
      <c r="J40" s="47"/>
      <c r="K40" s="116"/>
      <c r="L40" s="114"/>
      <c r="M40" s="114"/>
      <c r="N40" s="116"/>
      <c r="O40" s="116"/>
      <c r="P40" s="47"/>
      <c r="Q40" s="47"/>
      <c r="R40" s="47"/>
      <c r="S40" s="114"/>
      <c r="T40" s="116"/>
      <c r="U40" s="114"/>
      <c r="V40" s="114"/>
      <c r="W40" s="114"/>
      <c r="X40" s="47"/>
      <c r="Y40" s="47"/>
      <c r="Z40" s="47"/>
    </row>
    <row r="41" spans="1:26">
      <c r="A41" s="47"/>
      <c r="B41" s="47"/>
      <c r="C41" s="47"/>
      <c r="D41" s="47"/>
      <c r="E41" s="47"/>
      <c r="F41" s="47"/>
      <c r="G41" s="47"/>
      <c r="H41" s="47"/>
      <c r="I41" s="47"/>
      <c r="J41" s="47"/>
      <c r="K41" s="755"/>
      <c r="L41" s="47"/>
      <c r="M41" s="47"/>
      <c r="N41" s="755"/>
      <c r="O41" s="755"/>
      <c r="P41" s="47"/>
      <c r="Q41" s="47"/>
      <c r="R41" s="47"/>
      <c r="S41" s="114"/>
      <c r="T41" s="755"/>
      <c r="U41" s="114"/>
      <c r="V41" s="114"/>
      <c r="W41" s="114"/>
      <c r="X41" s="47"/>
      <c r="Y41" s="47"/>
      <c r="Z41" s="47"/>
    </row>
    <row r="44" spans="1:26">
      <c r="J44" s="114"/>
    </row>
    <row r="45" spans="1:26">
      <c r="J45" s="114"/>
    </row>
    <row r="46" spans="1:26">
      <c r="A46" s="6"/>
      <c r="J46" s="114"/>
    </row>
    <row r="47" spans="1:26">
      <c r="A47" s="6"/>
      <c r="J47" s="114"/>
    </row>
    <row r="48" spans="1:26">
      <c r="A48" s="6"/>
    </row>
    <row r="49" spans="1:20">
      <c r="A49" s="6"/>
    </row>
    <row r="50" spans="1:20">
      <c r="A50" s="6"/>
      <c r="B50" s="128"/>
      <c r="C50" s="128"/>
      <c r="E50" s="114"/>
      <c r="F50" s="114"/>
      <c r="G50" s="127"/>
      <c r="H50" s="114"/>
      <c r="I50" s="128"/>
      <c r="K50" s="116"/>
      <c r="L50" s="114"/>
      <c r="M50" s="127"/>
      <c r="N50" s="116"/>
      <c r="O50" s="116"/>
      <c r="T50" s="116"/>
    </row>
    <row r="51" spans="1:20">
      <c r="A51" s="6"/>
      <c r="B51" s="129"/>
      <c r="C51" s="129"/>
      <c r="E51" s="114"/>
      <c r="F51" s="114"/>
      <c r="G51" s="127"/>
      <c r="H51" s="114"/>
      <c r="I51" s="129"/>
      <c r="K51" s="116"/>
      <c r="L51" s="114"/>
      <c r="M51" s="114"/>
      <c r="N51" s="116"/>
      <c r="O51" s="116"/>
      <c r="T51" s="116"/>
    </row>
    <row r="52" spans="1:20">
      <c r="A52" s="6"/>
      <c r="E52" s="114"/>
      <c r="F52" s="114"/>
      <c r="G52" s="127"/>
      <c r="H52" s="114"/>
      <c r="K52" s="116"/>
      <c r="L52" s="114"/>
      <c r="M52" s="127"/>
      <c r="N52" s="116"/>
      <c r="O52" s="116"/>
      <c r="T52" s="116"/>
    </row>
    <row r="53" spans="1:20">
      <c r="A53" s="6"/>
      <c r="E53" s="114"/>
      <c r="F53" s="114"/>
      <c r="G53" s="114"/>
      <c r="H53" s="114"/>
      <c r="K53" s="116"/>
      <c r="L53" s="114"/>
      <c r="M53" s="114"/>
      <c r="N53" s="116"/>
      <c r="O53" s="116"/>
      <c r="T53" s="116"/>
    </row>
    <row r="54" spans="1:20">
      <c r="A54" s="6"/>
      <c r="E54" s="133"/>
      <c r="F54" s="133"/>
      <c r="G54" s="133"/>
      <c r="H54" s="133"/>
      <c r="K54" s="134"/>
      <c r="L54" s="133"/>
      <c r="M54" s="133"/>
      <c r="N54" s="134"/>
      <c r="O54" s="134"/>
      <c r="T54" s="134"/>
    </row>
    <row r="55" spans="1:20">
      <c r="A55" s="6"/>
      <c r="E55" s="118"/>
      <c r="F55" s="118"/>
      <c r="G55" s="118"/>
      <c r="H55" s="118"/>
      <c r="K55" s="119"/>
      <c r="L55" s="118"/>
      <c r="M55" s="118"/>
      <c r="N55" s="119"/>
      <c r="O55" s="119"/>
      <c r="T55" s="119"/>
    </row>
    <row r="56" spans="1:20">
      <c r="A56" s="6"/>
      <c r="E56" s="114"/>
      <c r="F56" s="114"/>
      <c r="G56" s="127"/>
      <c r="H56" s="114"/>
      <c r="K56" s="116"/>
      <c r="L56" s="114"/>
      <c r="M56" s="114"/>
      <c r="N56" s="116"/>
      <c r="O56" s="116"/>
      <c r="T56" s="116"/>
    </row>
    <row r="57" spans="1:20">
      <c r="A57" s="6"/>
      <c r="E57" s="114"/>
      <c r="F57" s="114"/>
      <c r="G57" s="127"/>
      <c r="H57" s="114"/>
      <c r="K57" s="116"/>
      <c r="L57" s="114"/>
      <c r="M57" s="127"/>
      <c r="N57" s="116"/>
      <c r="O57" s="116"/>
      <c r="T57" s="116"/>
    </row>
    <row r="58" spans="1:20">
      <c r="A58" s="6"/>
      <c r="E58" s="114"/>
      <c r="F58" s="114"/>
      <c r="G58" s="127"/>
      <c r="H58" s="114"/>
      <c r="K58" s="116"/>
      <c r="L58" s="114"/>
      <c r="M58" s="127"/>
      <c r="N58" s="116"/>
      <c r="O58" s="116"/>
      <c r="T58" s="116"/>
    </row>
    <row r="59" spans="1:20">
      <c r="A59" s="6"/>
      <c r="E59" s="114"/>
      <c r="F59" s="114"/>
      <c r="G59" s="127"/>
      <c r="H59" s="114"/>
      <c r="K59" s="116"/>
      <c r="L59" s="114"/>
      <c r="M59" s="114"/>
      <c r="N59" s="116"/>
      <c r="O59" s="116"/>
      <c r="T59" s="116"/>
    </row>
    <row r="60" spans="1:20">
      <c r="A60" s="6"/>
      <c r="E60" s="133"/>
      <c r="F60" s="133"/>
      <c r="G60" s="133"/>
      <c r="H60" s="133"/>
      <c r="K60" s="134"/>
      <c r="L60" s="133"/>
      <c r="M60" s="133"/>
      <c r="N60" s="134"/>
      <c r="O60" s="134"/>
      <c r="T60" s="134"/>
    </row>
    <row r="61" spans="1:20">
      <c r="A61" s="6"/>
      <c r="E61" s="118"/>
      <c r="F61" s="118"/>
      <c r="G61" s="118"/>
      <c r="H61" s="118"/>
      <c r="K61" s="119"/>
      <c r="L61" s="118"/>
      <c r="M61" s="118"/>
      <c r="N61" s="119"/>
      <c r="O61" s="119"/>
      <c r="T61" s="119"/>
    </row>
    <row r="62" spans="1:20">
      <c r="A62" s="6"/>
      <c r="B62" s="131"/>
      <c r="C62" s="131"/>
      <c r="E62" s="114"/>
      <c r="F62" s="114"/>
      <c r="G62" s="114"/>
      <c r="H62" s="127"/>
      <c r="I62" s="131"/>
      <c r="K62" s="116"/>
      <c r="L62" s="114"/>
      <c r="M62" s="114"/>
      <c r="N62" s="116"/>
      <c r="O62" s="116"/>
      <c r="T62" s="116"/>
    </row>
    <row r="63" spans="1:20">
      <c r="A63" s="6"/>
      <c r="B63" s="131"/>
      <c r="C63" s="131"/>
      <c r="E63" s="114"/>
      <c r="F63" s="114"/>
      <c r="G63" s="114"/>
      <c r="H63" s="114"/>
      <c r="I63" s="131"/>
      <c r="K63" s="116"/>
      <c r="L63" s="114"/>
      <c r="M63" s="127"/>
      <c r="N63" s="116"/>
      <c r="O63" s="116"/>
      <c r="T63" s="116"/>
    </row>
    <row r="64" spans="1:20">
      <c r="A64" s="6"/>
      <c r="E64" s="114"/>
      <c r="F64" s="114"/>
      <c r="G64" s="114"/>
      <c r="H64" s="127"/>
      <c r="K64" s="116"/>
      <c r="L64" s="114"/>
      <c r="M64" s="127"/>
      <c r="N64" s="116"/>
      <c r="O64" s="116"/>
      <c r="T64" s="116"/>
    </row>
    <row r="65" spans="1:20">
      <c r="A65" s="6"/>
      <c r="E65" s="114"/>
      <c r="F65" s="114"/>
      <c r="G65" s="114"/>
      <c r="H65" s="127"/>
      <c r="K65" s="116"/>
      <c r="L65" s="114"/>
      <c r="M65" s="114"/>
      <c r="N65" s="116"/>
      <c r="O65" s="116"/>
      <c r="T65" s="116"/>
    </row>
    <row r="66" spans="1:20">
      <c r="E66" s="114"/>
      <c r="F66" s="114"/>
      <c r="G66" s="114"/>
      <c r="H66" s="127"/>
      <c r="K66" s="116"/>
      <c r="L66" s="114"/>
      <c r="M66" s="114"/>
      <c r="N66" s="116"/>
      <c r="O66" s="116"/>
      <c r="T66" s="116"/>
    </row>
    <row r="67" spans="1:20">
      <c r="E67" s="114"/>
      <c r="F67" s="114"/>
      <c r="G67" s="114"/>
      <c r="H67" s="127"/>
      <c r="K67" s="116"/>
      <c r="L67" s="114"/>
      <c r="M67" s="114"/>
      <c r="N67" s="116"/>
      <c r="O67" s="116"/>
      <c r="T67" s="116"/>
    </row>
    <row r="68" spans="1:20">
      <c r="E68" s="114"/>
      <c r="F68" s="114"/>
      <c r="G68" s="114"/>
      <c r="H68" s="114"/>
      <c r="K68" s="116"/>
      <c r="L68" s="114"/>
      <c r="M68" s="114"/>
      <c r="N68" s="116"/>
      <c r="O68" s="116"/>
      <c r="T68" s="116"/>
    </row>
    <row r="69" spans="1:20">
      <c r="E69" s="114"/>
      <c r="F69" s="114"/>
      <c r="G69" s="114"/>
      <c r="H69" s="127"/>
      <c r="K69" s="116"/>
      <c r="L69" s="114"/>
      <c r="M69" s="114"/>
      <c r="N69" s="116"/>
      <c r="O69" s="116"/>
      <c r="T69" s="116"/>
    </row>
    <row r="70" spans="1:20">
      <c r="E70" s="133"/>
      <c r="F70" s="133"/>
      <c r="G70" s="133"/>
      <c r="H70" s="133"/>
      <c r="K70" s="134"/>
      <c r="L70" s="133"/>
      <c r="M70" s="133"/>
      <c r="N70" s="134"/>
      <c r="O70" s="134"/>
      <c r="T70" s="134"/>
    </row>
    <row r="71" spans="1:20">
      <c r="E71" s="118"/>
      <c r="F71" s="118"/>
      <c r="G71" s="118"/>
      <c r="H71" s="118"/>
      <c r="K71" s="119"/>
      <c r="L71" s="118"/>
      <c r="M71" s="118"/>
      <c r="N71" s="119"/>
      <c r="O71" s="119"/>
      <c r="T71" s="119"/>
    </row>
    <row r="72" spans="1:20">
      <c r="E72" s="114"/>
      <c r="F72" s="114"/>
      <c r="G72" s="114"/>
      <c r="H72" s="127"/>
      <c r="K72" s="116"/>
      <c r="L72" s="114"/>
      <c r="M72" s="114"/>
      <c r="N72" s="116"/>
      <c r="O72" s="116"/>
      <c r="T72" s="116"/>
    </row>
    <row r="73" spans="1:20">
      <c r="E73" s="114"/>
      <c r="F73" s="114"/>
      <c r="G73" s="114"/>
      <c r="H73" s="114"/>
      <c r="K73" s="116"/>
      <c r="L73" s="114"/>
      <c r="M73" s="114"/>
      <c r="N73" s="116"/>
      <c r="O73" s="116"/>
      <c r="T73" s="116"/>
    </row>
    <row r="74" spans="1:20">
      <c r="E74" s="114"/>
      <c r="F74" s="114"/>
      <c r="G74" s="114"/>
      <c r="H74" s="114"/>
      <c r="K74" s="116"/>
      <c r="L74" s="114"/>
      <c r="M74" s="114"/>
      <c r="N74" s="116"/>
      <c r="O74" s="116"/>
      <c r="T74" s="116"/>
    </row>
    <row r="75" spans="1:20">
      <c r="E75" s="114"/>
      <c r="F75" s="114"/>
      <c r="G75" s="114"/>
      <c r="H75" s="114"/>
      <c r="K75" s="116"/>
      <c r="L75" s="114"/>
      <c r="M75" s="127"/>
      <c r="N75" s="116"/>
      <c r="O75" s="116"/>
      <c r="T75" s="116"/>
    </row>
    <row r="76" spans="1:20">
      <c r="E76" s="114"/>
      <c r="F76" s="114"/>
      <c r="G76" s="114"/>
      <c r="H76" s="114"/>
      <c r="K76" s="116"/>
      <c r="L76" s="114"/>
      <c r="M76" s="114"/>
      <c r="N76" s="116"/>
      <c r="O76" s="116"/>
      <c r="T76" s="116"/>
    </row>
    <row r="77" spans="1:20">
      <c r="E77" s="114"/>
      <c r="F77" s="114"/>
      <c r="G77" s="114"/>
      <c r="H77" s="127"/>
      <c r="K77" s="116"/>
      <c r="L77" s="114"/>
      <c r="M77" s="114"/>
      <c r="N77" s="116"/>
      <c r="O77" s="116"/>
      <c r="T77" s="116"/>
    </row>
    <row r="78" spans="1:20">
      <c r="A78" s="10"/>
      <c r="D78" s="114"/>
      <c r="E78" s="114"/>
      <c r="F78" s="114"/>
      <c r="G78" s="127"/>
      <c r="H78" s="114"/>
      <c r="K78" s="116"/>
      <c r="L78" s="114"/>
      <c r="M78" s="114"/>
      <c r="N78" s="116"/>
      <c r="O78" s="116"/>
      <c r="T78" s="116"/>
    </row>
    <row r="79" spans="1:20">
      <c r="A79" s="130"/>
      <c r="D79" s="133"/>
      <c r="E79" s="133"/>
      <c r="F79" s="133"/>
      <c r="G79" s="133"/>
      <c r="H79" s="133"/>
      <c r="K79" s="134"/>
      <c r="L79" s="133"/>
      <c r="M79" s="133"/>
      <c r="N79" s="134"/>
      <c r="O79" s="134"/>
      <c r="T79" s="134"/>
    </row>
    <row r="80" spans="1:20">
      <c r="A80" s="132"/>
      <c r="D80" s="118"/>
      <c r="E80" s="118"/>
      <c r="F80" s="118"/>
      <c r="G80" s="118"/>
      <c r="H80" s="118"/>
      <c r="K80" s="119"/>
      <c r="L80" s="118"/>
      <c r="M80" s="118"/>
      <c r="N80" s="119"/>
      <c r="O80" s="119"/>
      <c r="T80" s="119"/>
    </row>
    <row r="81" spans="1:20">
      <c r="A81" s="10"/>
      <c r="B81" s="128"/>
      <c r="C81" s="128"/>
      <c r="D81" s="114"/>
      <c r="E81" s="114"/>
      <c r="F81" s="114"/>
      <c r="G81" s="127"/>
      <c r="H81" s="127"/>
      <c r="I81" s="128"/>
      <c r="K81" s="116"/>
      <c r="L81" s="114"/>
      <c r="M81" s="127"/>
      <c r="N81" s="116"/>
      <c r="O81" s="116"/>
      <c r="T81" s="116"/>
    </row>
    <row r="82" spans="1:20">
      <c r="A82" s="10"/>
      <c r="B82" s="129"/>
      <c r="C82" s="129"/>
      <c r="D82" s="114"/>
      <c r="E82" s="114"/>
      <c r="F82" s="114"/>
      <c r="G82" s="127"/>
      <c r="H82" s="127"/>
      <c r="I82" s="129"/>
      <c r="K82" s="116"/>
      <c r="L82" s="114"/>
      <c r="M82" s="127"/>
      <c r="N82" s="116"/>
      <c r="O82" s="116"/>
      <c r="T82" s="116"/>
    </row>
    <row r="83" spans="1:20">
      <c r="A83" s="10"/>
      <c r="D83" s="114"/>
      <c r="E83" s="114"/>
      <c r="F83" s="114"/>
      <c r="G83" s="114"/>
      <c r="H83" s="114"/>
      <c r="K83" s="116"/>
      <c r="L83" s="114"/>
      <c r="M83" s="114"/>
      <c r="N83" s="116"/>
      <c r="O83" s="116"/>
      <c r="T83" s="116"/>
    </row>
    <row r="84" spans="1:20">
      <c r="A84" s="10"/>
      <c r="D84" s="114"/>
      <c r="E84" s="114"/>
      <c r="F84" s="114"/>
      <c r="G84" s="114"/>
      <c r="H84" s="114"/>
      <c r="K84" s="116"/>
      <c r="L84" s="114"/>
      <c r="M84" s="114"/>
      <c r="N84" s="116"/>
      <c r="O84" s="116"/>
      <c r="T84" s="116"/>
    </row>
    <row r="85" spans="1:20">
      <c r="A85" s="10"/>
      <c r="D85" s="114"/>
      <c r="E85" s="114"/>
      <c r="F85" s="118"/>
      <c r="G85" s="114"/>
      <c r="H85" s="127"/>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4"/>
      <c r="G87" s="127"/>
      <c r="H87" s="127"/>
      <c r="K87" s="116"/>
      <c r="L87" s="114"/>
      <c r="M87" s="114"/>
      <c r="N87" s="116"/>
      <c r="O87" s="116"/>
      <c r="T87" s="11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C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7">
    <cfRule type="cellIs" dxfId="23" priority="1" stopIfTrue="1" operator="lessThan">
      <formula>0</formula>
    </cfRule>
    <cfRule type="cellIs" dxfId="2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Y131"/>
  <sheetViews>
    <sheetView workbookViewId="0">
      <selection activeCell="X4" sqref="X4"/>
    </sheetView>
  </sheetViews>
  <sheetFormatPr defaultRowHeight="11.25"/>
  <cols>
    <col min="1" max="1" width="29.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9.42578125" style="48" bestFit="1" customWidth="1"/>
    <col min="25" max="16384" width="9.140625" style="48"/>
  </cols>
  <sheetData>
    <row r="1" spans="1:24" ht="23.25" thickBot="1">
      <c r="A1" s="753" t="s">
        <v>164</v>
      </c>
      <c r="B1" s="753" t="s">
        <v>1934</v>
      </c>
      <c r="C1" s="753" t="s">
        <v>2798</v>
      </c>
      <c r="D1" s="753" t="s">
        <v>1214</v>
      </c>
      <c r="E1" s="753" t="s">
        <v>1215</v>
      </c>
      <c r="F1" s="753" t="s">
        <v>768</v>
      </c>
      <c r="G1" s="754" t="s">
        <v>2140</v>
      </c>
      <c r="H1" s="754" t="s">
        <v>2139</v>
      </c>
      <c r="I1" s="753" t="s">
        <v>771</v>
      </c>
      <c r="J1" s="753" t="s">
        <v>1219</v>
      </c>
      <c r="K1" s="754" t="s">
        <v>760</v>
      </c>
      <c r="L1" s="753" t="s">
        <v>1216</v>
      </c>
      <c r="M1" s="754" t="s">
        <v>264</v>
      </c>
      <c r="N1" s="754" t="s">
        <v>1217</v>
      </c>
      <c r="O1" s="754" t="s">
        <v>1287</v>
      </c>
      <c r="P1" s="730" t="s">
        <v>1046</v>
      </c>
      <c r="Q1" s="731" t="s">
        <v>1047</v>
      </c>
      <c r="R1" s="731" t="s">
        <v>1941</v>
      </c>
      <c r="S1" s="731" t="s">
        <v>666</v>
      </c>
      <c r="T1" s="730"/>
      <c r="U1" s="733" t="s">
        <v>265</v>
      </c>
      <c r="V1" s="744">
        <v>0</v>
      </c>
      <c r="W1" s="744"/>
      <c r="X1" s="753" t="s">
        <v>2080</v>
      </c>
    </row>
    <row r="2" spans="1:24">
      <c r="A2" s="10" t="s">
        <v>2353</v>
      </c>
      <c r="B2" s="116">
        <v>22477</v>
      </c>
      <c r="C2" s="116">
        <v>1</v>
      </c>
      <c r="D2" s="114">
        <v>31</v>
      </c>
      <c r="E2" s="114">
        <v>32</v>
      </c>
      <c r="F2" s="114"/>
      <c r="G2" s="116">
        <v>14</v>
      </c>
      <c r="H2" s="116">
        <v>10</v>
      </c>
      <c r="I2" s="116"/>
      <c r="J2" s="114"/>
      <c r="K2" s="116"/>
      <c r="L2" s="114">
        <v>25</v>
      </c>
      <c r="M2" s="116"/>
      <c r="N2" s="116"/>
      <c r="O2" s="116"/>
      <c r="P2" s="114" t="s">
        <v>2335</v>
      </c>
      <c r="Q2" s="114" t="s">
        <v>1033</v>
      </c>
      <c r="R2" s="114"/>
      <c r="S2" s="114" t="s">
        <v>668</v>
      </c>
      <c r="T2" s="116"/>
      <c r="U2" s="891">
        <f>($D2*dpsStr+$E2*dpsAgi+$G2*dpsCrit+$H2*dpsHit+$F2*dpsAP+$I2*dpsHaste+$J2*dpsArmor+$K2*dpsExp+IF(MID(Q2,1,1)+MID(Q2,3,1)+MID(Q2,5,1)&gt;0,VLOOKUP('Gear &amp; Buffs'!$B$59,GenSocketStats,18,FALSE)+IF(MID(Q2,1,1)+MID(Q2,3,1)+MID(Q2,5,1)&gt;1,VLOOKUP('Gear &amp; Buffs'!$B$60,GenSocketStats,18,FALSE)+IF(MID(Q2,1,1)+MID(Q2,3,1)+MID(Q2,5,1)&gt;2,VLOOKUP('Gear &amp; Buffs'!$B$61,GenSocketStats,18,FALSE),0)),0))-'Gear &amp; Buffs'!$AF$57</f>
        <v>-234.18434111525949</v>
      </c>
      <c r="V2" s="114">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8"/>
      <c r="X2" s="714" t="s">
        <v>1689</v>
      </c>
    </row>
    <row r="3" spans="1:24">
      <c r="A3" s="10" t="s">
        <v>1987</v>
      </c>
      <c r="B3" s="116">
        <v>35034</v>
      </c>
      <c r="C3" s="116">
        <v>5</v>
      </c>
      <c r="D3" s="114"/>
      <c r="E3" s="114">
        <v>40</v>
      </c>
      <c r="F3" s="114">
        <v>60</v>
      </c>
      <c r="G3" s="116">
        <v>30</v>
      </c>
      <c r="H3" s="116">
        <v>17</v>
      </c>
      <c r="I3" s="116"/>
      <c r="J3" s="114">
        <v>48</v>
      </c>
      <c r="K3" s="116"/>
      <c r="L3" s="114">
        <v>74</v>
      </c>
      <c r="M3" s="116"/>
      <c r="N3" s="116">
        <v>40</v>
      </c>
      <c r="O3" s="116"/>
      <c r="P3" s="114" t="s">
        <v>1068</v>
      </c>
      <c r="Q3" s="114" t="s">
        <v>1033</v>
      </c>
      <c r="R3" s="114"/>
      <c r="S3" s="114" t="s">
        <v>677</v>
      </c>
      <c r="T3" s="116"/>
      <c r="U3" s="891">
        <f>($D3*dpsStr+$E3*dpsAgi+$G3*dpsCrit+$H3*dpsHit+$F3*dpsAP+$I3*dpsHaste+$J3*dpsArmor+$K3*dpsExp+IF(MID(Q3,1,1)+MID(Q3,3,1)+MID(Q3,5,1)&gt;0,VLOOKUP('Gear &amp; Buffs'!$B$59,GenSocketStats,18,FALSE)+IF(MID(Q3,1,1)+MID(Q3,3,1)+MID(Q3,5,1)&gt;1,VLOOKUP('Gear &amp; Buffs'!$B$60,GenSocketStats,18,FALSE)+IF(MID(Q3,1,1)+MID(Q3,3,1)+MID(Q3,5,1)&gt;2,VLOOKUP('Gear &amp; Buffs'!$B$61,GenSocketStats,18,FALSE),0)),0))-'Gear &amp; Buffs'!$AF$57</f>
        <v>-162.58921646875115</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8"/>
      <c r="X3" s="714" t="str">
        <f>" "</f>
        <v xml:space="preserve"> </v>
      </c>
    </row>
    <row r="4" spans="1:24">
      <c r="A4" s="130" t="s">
        <v>2354</v>
      </c>
      <c r="B4" s="116">
        <v>31544</v>
      </c>
      <c r="C4" s="116">
        <v>1</v>
      </c>
      <c r="D4" s="114">
        <v>30</v>
      </c>
      <c r="E4" s="114">
        <v>30</v>
      </c>
      <c r="F4" s="114"/>
      <c r="G4" s="116"/>
      <c r="H4" s="116">
        <v>17</v>
      </c>
      <c r="I4" s="116"/>
      <c r="J4" s="114"/>
      <c r="K4" s="116">
        <v>18</v>
      </c>
      <c r="L4" s="114">
        <v>24</v>
      </c>
      <c r="M4" s="116"/>
      <c r="N4" s="116"/>
      <c r="O4" s="116"/>
      <c r="P4" s="114"/>
      <c r="Q4" s="114" t="s">
        <v>1033</v>
      </c>
      <c r="R4" s="114"/>
      <c r="S4" s="114" t="s">
        <v>675</v>
      </c>
      <c r="T4" s="116"/>
      <c r="U4" s="891">
        <f>($D4*dpsStr+$E4*dpsAgi+$G4*dpsCrit+$H4*dpsHit+$F4*dpsAP+$I4*dpsHaste+$J4*dpsArmor+$K4*dpsExp+IF(MID(Q4,1,1)+MID(Q4,3,1)+MID(Q4,5,1)&gt;0,VLOOKUP('Gear &amp; Buffs'!$B$59,GenSocketStats,18,FALSE)+IF(MID(Q4,1,1)+MID(Q4,3,1)+MID(Q4,5,1)&gt;1,VLOOKUP('Gear &amp; Buffs'!$B$60,GenSocketStats,18,FALSE)+IF(MID(Q4,1,1)+MID(Q4,3,1)+MID(Q4,5,1)&gt;2,VLOOKUP('Gear &amp; Buffs'!$B$61,GenSocketStats,18,FALSE),0)),0))-'Gear &amp; Buffs'!$AF$57</f>
        <v>-185.76777525568332</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8">
        <v>1</v>
      </c>
      <c r="X4" s="714" t="str">
        <f>IF(ISNA(INDEX($A$2:$A$36,MATCH(W4,V$2:V$36,0))), "", INDEX($A$2:$A$36,MATCH(W4,V$2:V$36,0)))</f>
        <v>Bonescythe Legplates</v>
      </c>
    </row>
    <row r="5" spans="1:24">
      <c r="A5" s="10" t="s">
        <v>30</v>
      </c>
      <c r="B5" s="116">
        <v>30148</v>
      </c>
      <c r="C5" s="116">
        <v>2</v>
      </c>
      <c r="D5" s="114"/>
      <c r="E5" s="114">
        <v>47</v>
      </c>
      <c r="F5" s="114">
        <v>86</v>
      </c>
      <c r="G5" s="116">
        <v>26</v>
      </c>
      <c r="H5" s="116"/>
      <c r="I5" s="116"/>
      <c r="J5" s="114"/>
      <c r="K5" s="116"/>
      <c r="L5" s="114">
        <v>49</v>
      </c>
      <c r="M5" s="116"/>
      <c r="N5" s="116"/>
      <c r="O5" s="116"/>
      <c r="P5" s="114" t="s">
        <v>1063</v>
      </c>
      <c r="Q5" s="114" t="s">
        <v>1039</v>
      </c>
      <c r="R5" s="114" t="s">
        <v>1066</v>
      </c>
      <c r="S5" s="114" t="s">
        <v>667</v>
      </c>
      <c r="T5" s="116"/>
      <c r="U5" s="891">
        <f>($D5*dpsStr+$E5*dpsAgi+$G5*dpsCrit+$H5*dpsHit+$F5*dpsAP+$I5*dpsHaste+$J5*dpsArmor+$K5*dpsExp+IF(MID(Q5,1,1)+MID(Q5,3,1)+MID(Q5,5,1)&gt;0,VLOOKUP('Gear &amp; Buffs'!$B$59,GenSocketStats,18,FALSE)+IF(MID(Q5,1,1)+MID(Q5,3,1)+MID(Q5,5,1)&gt;1,VLOOKUP('Gear &amp; Buffs'!$B$60,GenSocketStats,18,FALSE)+IF(MID(Q5,1,1)+MID(Q5,3,1)+MID(Q5,5,1)&gt;2,VLOOKUP('Gear &amp; Buffs'!$B$61,GenSocketStats,18,FALSE),0)),0))-'Gear &amp; Buffs'!$AF$57</f>
        <v>-206.1012270015101</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8">
        <v>2</v>
      </c>
      <c r="X5" s="714" t="str">
        <f t="shared" ref="X5:X38" si="0">IF(ISNA(INDEX($A$2:$A$36,MATCH(W5,V$2:V$36,0))), "", INDEX($A$2:$A$36,MATCH(W5,V$2:V$36,0)))</f>
        <v>Clefthoof Hide Leggings</v>
      </c>
    </row>
    <row r="6" spans="1:24" s="47" customFormat="1">
      <c r="A6" s="10" t="s">
        <v>2502</v>
      </c>
      <c r="B6" s="116">
        <v>30272</v>
      </c>
      <c r="C6" s="116">
        <v>1</v>
      </c>
      <c r="D6" s="114"/>
      <c r="E6" s="114">
        <v>23</v>
      </c>
      <c r="F6" s="114">
        <v>46</v>
      </c>
      <c r="G6" s="116"/>
      <c r="H6" s="116">
        <v>18</v>
      </c>
      <c r="I6" s="116"/>
      <c r="J6" s="114"/>
      <c r="K6" s="116"/>
      <c r="L6" s="114">
        <v>34</v>
      </c>
      <c r="M6" s="116"/>
      <c r="N6" s="116"/>
      <c r="O6" s="116"/>
      <c r="P6" s="114"/>
      <c r="Q6" s="114" t="s">
        <v>1033</v>
      </c>
      <c r="R6" s="114"/>
      <c r="S6" s="114" t="s">
        <v>675</v>
      </c>
      <c r="T6" s="116"/>
      <c r="U6" s="891">
        <f>($D6*dpsStr+$E6*dpsAgi+$G6*dpsCrit+$H6*dpsHit+$F6*dpsAP+$I6*dpsHaste+$J6*dpsArmor+$K6*dpsExp+IF(MID(Q6,1,1)+MID(Q6,3,1)+MID(Q6,5,1)&gt;0,VLOOKUP('Gear &amp; Buffs'!$B$59,GenSocketStats,18,FALSE)+IF(MID(Q6,1,1)+MID(Q6,3,1)+MID(Q6,5,1)&gt;1,VLOOKUP('Gear &amp; Buffs'!$B$60,GenSocketStats,18,FALSE)+IF(MID(Q6,1,1)+MID(Q6,3,1)+MID(Q6,5,1)&gt;2,VLOOKUP('Gear &amp; Buffs'!$B$61,GenSocketStats,18,FALSE),0)),0))-'Gear &amp; Buffs'!$AF$57</f>
        <v>-202.57792617173095</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8">
        <v>3</v>
      </c>
      <c r="X6" s="714" t="str">
        <f t="shared" si="0"/>
        <v>Eco-Dome Leggings</v>
      </c>
    </row>
    <row r="7" spans="1:24" s="47" customFormat="1">
      <c r="A7" s="10" t="s">
        <v>31</v>
      </c>
      <c r="B7" s="116">
        <v>25687</v>
      </c>
      <c r="C7" s="116">
        <v>1</v>
      </c>
      <c r="D7" s="114"/>
      <c r="E7" s="114"/>
      <c r="F7" s="114">
        <v>52</v>
      </c>
      <c r="G7" s="116">
        <v>25</v>
      </c>
      <c r="H7" s="116">
        <v>25</v>
      </c>
      <c r="I7" s="116"/>
      <c r="J7" s="114"/>
      <c r="K7" s="116"/>
      <c r="L7" s="114"/>
      <c r="M7" s="116"/>
      <c r="N7" s="116"/>
      <c r="O7" s="116"/>
      <c r="P7" s="114" t="s">
        <v>1313</v>
      </c>
      <c r="Q7" s="114" t="s">
        <v>831</v>
      </c>
      <c r="R7" s="114" t="s">
        <v>1065</v>
      </c>
      <c r="S7" s="114" t="s">
        <v>685</v>
      </c>
      <c r="T7" s="116"/>
      <c r="U7" s="891">
        <f>($D7*dpsStr+$E7*dpsAgi+$G7*dpsCrit+$H7*dpsHit+$F7*dpsAP+$I7*dpsHaste+$J7*dpsArmor+$K7*dpsExp+IF(MID(Q7,1,1)+MID(Q7,3,1)+MID(Q7,5,1)&gt;0,VLOOKUP('Gear &amp; Buffs'!$B$59,GenSocketStats,18,FALSE)+IF(MID(Q7,1,1)+MID(Q7,3,1)+MID(Q7,5,1)&gt;1,VLOOKUP('Gear &amp; Buffs'!$B$60,GenSocketStats,18,FALSE)+IF(MID(Q7,1,1)+MID(Q7,3,1)+MID(Q7,5,1)&gt;2,VLOOKUP('Gear &amp; Buffs'!$B$61,GenSocketStats,18,FALSE),0)),0))-'Gear &amp; Buffs'!$AF$57</f>
        <v>-30.263958892625396</v>
      </c>
      <c r="V7" s="114">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4</v>
      </c>
      <c r="W7" s="738">
        <v>4</v>
      </c>
      <c r="X7" s="714" t="str">
        <f t="shared" si="0"/>
        <v>Fel Leather Leggings</v>
      </c>
    </row>
    <row r="8" spans="1:24" s="47" customFormat="1">
      <c r="A8" s="130" t="s">
        <v>2355</v>
      </c>
      <c r="B8" s="116">
        <v>30535</v>
      </c>
      <c r="C8" s="116">
        <v>3</v>
      </c>
      <c r="D8" s="114">
        <v>33</v>
      </c>
      <c r="E8" s="114">
        <v>26</v>
      </c>
      <c r="F8" s="114"/>
      <c r="G8" s="116"/>
      <c r="H8" s="116"/>
      <c r="I8" s="116"/>
      <c r="J8" s="114"/>
      <c r="K8" s="116"/>
      <c r="L8" s="114">
        <v>24</v>
      </c>
      <c r="M8" s="116"/>
      <c r="N8" s="116"/>
      <c r="O8" s="116"/>
      <c r="P8" s="114"/>
      <c r="Q8" s="114" t="s">
        <v>2343</v>
      </c>
      <c r="R8" s="114" t="s">
        <v>1459</v>
      </c>
      <c r="S8" s="114" t="s">
        <v>691</v>
      </c>
      <c r="T8" s="116"/>
      <c r="U8" s="891">
        <f>($D8*dpsStr+$E8*dpsAgi+$G8*dpsCrit+$H8*dpsHit+$F8*dpsAP+$I8*dpsHaste+$J8*dpsArmor+$K8*dpsExp+IF(MID(Q8,1,1)+MID(Q8,3,1)+MID(Q8,5,1)&gt;0,VLOOKUP('Gear &amp; Buffs'!$B$59,GenSocketStats,18,FALSE)+IF(MID(Q8,1,1)+MID(Q8,3,1)+MID(Q8,5,1)&gt;1,VLOOKUP('Gear &amp; Buffs'!$B$60,GenSocketStats,18,FALSE)+IF(MID(Q8,1,1)+MID(Q8,3,1)+MID(Q8,5,1)&gt;2,VLOOKUP('Gear &amp; Buffs'!$B$61,GenSocketStats,18,FALSE),0)),0))-'Gear &amp; Buffs'!$AF$57</f>
        <v>-170.26220001173942</v>
      </c>
      <c r="V8" s="114"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8">
        <v>5</v>
      </c>
      <c r="X8" s="714" t="str">
        <f t="shared" si="0"/>
        <v>Gladiator's Leather Legguards</v>
      </c>
    </row>
    <row r="9" spans="1:24">
      <c r="A9" s="10" t="s">
        <v>32</v>
      </c>
      <c r="B9" s="116">
        <v>25833</v>
      </c>
      <c r="C9" s="116">
        <v>1</v>
      </c>
      <c r="D9" s="114"/>
      <c r="E9" s="114">
        <v>36</v>
      </c>
      <c r="F9" s="114">
        <v>42</v>
      </c>
      <c r="G9" s="116">
        <v>19</v>
      </c>
      <c r="H9" s="116"/>
      <c r="I9" s="116"/>
      <c r="J9" s="114"/>
      <c r="K9" s="116"/>
      <c r="L9" s="114">
        <v>54</v>
      </c>
      <c r="M9" s="116"/>
      <c r="N9" s="116">
        <v>36</v>
      </c>
      <c r="O9" s="116"/>
      <c r="P9" s="114" t="s">
        <v>1068</v>
      </c>
      <c r="Q9" s="114" t="s">
        <v>1033</v>
      </c>
      <c r="R9" s="114"/>
      <c r="S9" s="114" t="s">
        <v>677</v>
      </c>
      <c r="T9" s="116"/>
      <c r="U9" s="891">
        <f>($D9*dpsStr+$E9*dpsAgi+$G9*dpsCrit+$H9*dpsHit+$F9*dpsAP+$I9*dpsHaste+$J9*dpsArmor+$K9*dpsExp+IF(MID(Q9,1,1)+MID(Q9,3,1)+MID(Q9,5,1)&gt;0,VLOOKUP('Gear &amp; Buffs'!$B$59,GenSocketStats,18,FALSE)+IF(MID(Q9,1,1)+MID(Q9,3,1)+MID(Q9,5,1)&gt;1,VLOOKUP('Gear &amp; Buffs'!$B$60,GenSocketStats,18,FALSE)+IF(MID(Q9,1,1)+MID(Q9,3,1)+MID(Q9,5,1)&gt;2,VLOOKUP('Gear &amp; Buffs'!$B$61,GenSocketStats,18,FALSE),0)),0))-'Gear &amp; Buffs'!$AF$57</f>
        <v>-280.12391557740557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8">
        <v>6</v>
      </c>
      <c r="X9" s="714" t="str">
        <f t="shared" si="0"/>
        <v>Leggings of Assassination</v>
      </c>
    </row>
    <row r="10" spans="1:24">
      <c r="A10" s="10" t="s">
        <v>33</v>
      </c>
      <c r="B10" s="116">
        <v>27908</v>
      </c>
      <c r="C10" s="116">
        <v>1</v>
      </c>
      <c r="D10" s="114"/>
      <c r="E10" s="114">
        <v>40</v>
      </c>
      <c r="F10" s="114">
        <v>44</v>
      </c>
      <c r="G10" s="116"/>
      <c r="H10" s="116">
        <v>22</v>
      </c>
      <c r="I10" s="116"/>
      <c r="J10" s="114"/>
      <c r="K10" s="116"/>
      <c r="L10" s="114">
        <v>33</v>
      </c>
      <c r="M10" s="116"/>
      <c r="N10" s="116"/>
      <c r="O10" s="116"/>
      <c r="P10" s="114" t="s">
        <v>2146</v>
      </c>
      <c r="Q10" s="114" t="s">
        <v>1033</v>
      </c>
      <c r="R10" s="114"/>
      <c r="S10" s="114" t="s">
        <v>673</v>
      </c>
      <c r="T10" s="116"/>
      <c r="U10" s="891">
        <f>($D10*dpsStr+$E10*dpsAgi+$G10*dpsCrit+$H10*dpsHit+$F10*dpsAP+$I10*dpsHaste+$J10*dpsArmor+$K10*dpsExp+IF(MID(Q10,1,1)+MID(Q10,3,1)+MID(Q10,5,1)&gt;0,VLOOKUP('Gear &amp; Buffs'!$B$59,GenSocketStats,18,FALSE)+IF(MID(Q10,1,1)+MID(Q10,3,1)+MID(Q10,5,1)&gt;1,VLOOKUP('Gear &amp; Buffs'!$B$60,GenSocketStats,18,FALSE)+IF(MID(Q10,1,1)+MID(Q10,3,1)+MID(Q10,5,1)&gt;2,VLOOKUP('Gear &amp; Buffs'!$B$61,GenSocketStats,18,FALSE),0)),0))-'Gear &amp; Buffs'!$AF$57</f>
        <v>-167.02984157623814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8">
        <v>7</v>
      </c>
      <c r="X10" s="714" t="str">
        <f t="shared" si="0"/>
        <v>Leggings of the Unrepentant</v>
      </c>
    </row>
    <row r="11" spans="1:24">
      <c r="A11" s="10" t="s">
        <v>34</v>
      </c>
      <c r="B11" s="116">
        <v>29995</v>
      </c>
      <c r="C11" s="116">
        <v>2</v>
      </c>
      <c r="D11" s="114"/>
      <c r="E11" s="114">
        <v>45</v>
      </c>
      <c r="F11" s="114">
        <v>92</v>
      </c>
      <c r="G11" s="116">
        <v>37</v>
      </c>
      <c r="H11" s="116"/>
      <c r="I11" s="116"/>
      <c r="J11" s="114"/>
      <c r="K11" s="116"/>
      <c r="L11" s="114">
        <v>31</v>
      </c>
      <c r="M11" s="116"/>
      <c r="N11" s="116"/>
      <c r="O11" s="116"/>
      <c r="P11" s="114"/>
      <c r="Q11" s="114" t="s">
        <v>1033</v>
      </c>
      <c r="R11" s="114"/>
      <c r="S11" s="114" t="s">
        <v>680</v>
      </c>
      <c r="T11" s="116"/>
      <c r="U11" s="891">
        <f>($D11*dpsStr+$E11*dpsAgi+$G11*dpsCrit+$H11*dpsHit+$F11*dpsAP+$I11*dpsHaste+$J11*dpsArmor+$K11*dpsExp+IF(MID(Q11,1,1)+MID(Q11,3,1)+MID(Q11,5,1)&gt;0,VLOOKUP('Gear &amp; Buffs'!$B$59,GenSocketStats,18,FALSE)+IF(MID(Q11,1,1)+MID(Q11,3,1)+MID(Q11,5,1)&gt;1,VLOOKUP('Gear &amp; Buffs'!$B$60,GenSocketStats,18,FALSE)+IF(MID(Q11,1,1)+MID(Q11,3,1)+MID(Q11,5,1)&gt;2,VLOOKUP('Gear &amp; Buffs'!$B$61,GenSocketStats,18,FALSE),0)),0))-'Gear &amp; Buffs'!$AF$57</f>
        <v>-242.46816496146198</v>
      </c>
      <c r="V11" s="114"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8">
        <v>8</v>
      </c>
      <c r="X11" s="714" t="str">
        <f t="shared" si="0"/>
        <v>Leggings of Unending Assault</v>
      </c>
    </row>
    <row r="12" spans="1:24">
      <c r="A12" s="10" t="s">
        <v>12</v>
      </c>
      <c r="B12" s="116">
        <v>34701</v>
      </c>
      <c r="C12" s="116">
        <v>5</v>
      </c>
      <c r="D12" s="114"/>
      <c r="E12" s="114">
        <v>26</v>
      </c>
      <c r="F12" s="114">
        <v>66</v>
      </c>
      <c r="G12" s="116"/>
      <c r="H12" s="116"/>
      <c r="I12" s="116">
        <v>18</v>
      </c>
      <c r="J12" s="114"/>
      <c r="K12" s="116"/>
      <c r="L12" s="114">
        <v>25</v>
      </c>
      <c r="M12" s="116"/>
      <c r="N12" s="116"/>
      <c r="O12" s="116"/>
      <c r="P12" s="114"/>
      <c r="Q12" s="114" t="s">
        <v>2093</v>
      </c>
      <c r="R12" s="114" t="s">
        <v>13</v>
      </c>
      <c r="S12" s="114" t="s">
        <v>673</v>
      </c>
      <c r="T12" s="116"/>
      <c r="U12" s="891">
        <f>($D12*dpsStr+$E12*dpsAgi+$G12*dpsCrit+$H12*dpsHit+$F12*dpsAP+$I12*dpsHaste+$J12*dpsArmor+$K12*dpsExp+IF(MID(Q12,1,1)+MID(Q12,3,1)+MID(Q12,5,1)&gt;0,VLOOKUP('Gear &amp; Buffs'!$B$59,GenSocketStats,18,FALSE)+IF(MID(Q12,1,1)+MID(Q12,3,1)+MID(Q12,5,1)&gt;1,VLOOKUP('Gear &amp; Buffs'!$B$60,GenSocketStats,18,FALSE)+IF(MID(Q12,1,1)+MID(Q12,3,1)+MID(Q12,5,1)&gt;2,VLOOKUP('Gear &amp; Buffs'!$B$61,GenSocketStats,18,FALSE),0)),0))-'Gear &amp; Buffs'!$AF$57</f>
        <v>-93.564572941497318</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8">
        <v>9</v>
      </c>
      <c r="X12" s="714" t="str">
        <f t="shared" si="0"/>
        <v>Mennu's Scaled Leggings</v>
      </c>
    </row>
    <row r="13" spans="1:24">
      <c r="A13" s="10" t="s">
        <v>970</v>
      </c>
      <c r="B13" s="116">
        <v>34385</v>
      </c>
      <c r="C13" s="116">
        <v>5</v>
      </c>
      <c r="D13" s="114">
        <v>44</v>
      </c>
      <c r="E13" s="114">
        <v>46</v>
      </c>
      <c r="F13" s="114"/>
      <c r="G13" s="116"/>
      <c r="H13" s="116"/>
      <c r="I13" s="116"/>
      <c r="J13" s="114">
        <v>189</v>
      </c>
      <c r="K13" s="116"/>
      <c r="L13" s="114">
        <v>66</v>
      </c>
      <c r="M13" s="116"/>
      <c r="N13" s="116"/>
      <c r="O13" s="116"/>
      <c r="P13" s="114"/>
      <c r="Q13" s="114" t="s">
        <v>2054</v>
      </c>
      <c r="R13" s="114" t="s">
        <v>1056</v>
      </c>
      <c r="S13" s="114" t="s">
        <v>871</v>
      </c>
      <c r="T13" s="116"/>
      <c r="U13" s="891">
        <f>($D13*dpsStr+$E13*dpsAgi+$G13*dpsCrit+$H13*dpsHit+$F13*dpsAP+$I13*dpsHaste+$J13*dpsArmor+$K13*dpsExp+IF(MID(Q13,1,1)+MID(Q13,3,1)+MID(Q13,5,1)&gt;0,VLOOKUP('Gear &amp; Buffs'!$B$59,GenSocketStats,18,FALSE)+IF(MID(Q13,1,1)+MID(Q13,3,1)+MID(Q13,5,1)&gt;1,VLOOKUP('Gear &amp; Buffs'!$B$60,GenSocketStats,18,FALSE)+IF(MID(Q13,1,1)+MID(Q13,3,1)+MID(Q13,5,1)&gt;2,VLOOKUP('Gear &amp; Buffs'!$B$61,GenSocketStats,18,FALSE),0)),0))-'Gear &amp; Buffs'!$AF$57</f>
        <v>-126.16452365957343</v>
      </c>
      <c r="V13" s="114"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8">
        <v>10</v>
      </c>
      <c r="X13" s="714" t="str">
        <f t="shared" si="0"/>
        <v>Midnight Legguards</v>
      </c>
    </row>
    <row r="14" spans="1:24">
      <c r="A14" s="10" t="s">
        <v>872</v>
      </c>
      <c r="B14" s="116">
        <v>34188</v>
      </c>
      <c r="C14" s="116">
        <v>5</v>
      </c>
      <c r="D14" s="114"/>
      <c r="E14" s="114">
        <v>41</v>
      </c>
      <c r="F14" s="114">
        <v>124</v>
      </c>
      <c r="G14" s="116"/>
      <c r="H14" s="116">
        <v>32</v>
      </c>
      <c r="I14" s="116"/>
      <c r="J14" s="114">
        <v>224</v>
      </c>
      <c r="K14" s="116"/>
      <c r="L14" s="114">
        <v>48</v>
      </c>
      <c r="M14" s="116"/>
      <c r="N14" s="116"/>
      <c r="O14" s="116"/>
      <c r="P14" s="114"/>
      <c r="Q14" s="114" t="s">
        <v>2019</v>
      </c>
      <c r="R14" s="114" t="s">
        <v>1056</v>
      </c>
      <c r="S14" s="114" t="s">
        <v>871</v>
      </c>
      <c r="T14" s="116"/>
      <c r="U14" s="891">
        <f>($D14*dpsStr+$E14*dpsAgi+$G14*dpsCrit+$H14*dpsHit+$F14*dpsAP+$I14*dpsHaste+$J14*dpsArmor+$K14*dpsExp+IF(MID(Q14,1,1)+MID(Q14,3,1)+MID(Q14,5,1)&gt;0,VLOOKUP('Gear &amp; Buffs'!$B$59,GenSocketStats,18,FALSE)+IF(MID(Q14,1,1)+MID(Q14,3,1)+MID(Q14,5,1)&gt;1,VLOOKUP('Gear &amp; Buffs'!$B$60,GenSocketStats,18,FALSE)+IF(MID(Q14,1,1)+MID(Q14,3,1)+MID(Q14,5,1)&gt;2,VLOOKUP('Gear &amp; Buffs'!$B$61,GenSocketStats,18,FALSE),0)),0))-'Gear &amp; Buffs'!$AF$57</f>
        <v>78.616369943226118</v>
      </c>
      <c r="V14" s="114" t="str">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8">
        <v>11</v>
      </c>
      <c r="X14" s="714" t="str">
        <f t="shared" si="0"/>
        <v>Netherblade Breeches</v>
      </c>
    </row>
    <row r="15" spans="1:24">
      <c r="A15" s="10" t="s">
        <v>35</v>
      </c>
      <c r="B15" s="116">
        <v>27514</v>
      </c>
      <c r="C15" s="116">
        <v>1</v>
      </c>
      <c r="D15" s="114"/>
      <c r="E15" s="114">
        <v>25</v>
      </c>
      <c r="F15" s="114">
        <v>60</v>
      </c>
      <c r="G15" s="116"/>
      <c r="H15" s="116"/>
      <c r="I15" s="116"/>
      <c r="J15" s="114"/>
      <c r="K15" s="116"/>
      <c r="L15" s="114">
        <v>25</v>
      </c>
      <c r="M15" s="116"/>
      <c r="N15" s="116"/>
      <c r="O15" s="116"/>
      <c r="P15" s="114"/>
      <c r="Q15" s="114" t="s">
        <v>2093</v>
      </c>
      <c r="R15" s="114" t="s">
        <v>1056</v>
      </c>
      <c r="S15" s="114" t="s">
        <v>691</v>
      </c>
      <c r="T15" s="116"/>
      <c r="U15" s="891">
        <f>($D15*dpsStr+$E15*dpsAgi+$G15*dpsCrit+$H15*dpsHit+$F15*dpsAP+$I15*dpsHaste+$J15*dpsArmor+$K15*dpsExp+IF(MID(Q15,1,1)+MID(Q15,3,1)+MID(Q15,5,1)&gt;0,VLOOKUP('Gear &amp; Buffs'!$B$59,GenSocketStats,18,FALSE)+IF(MID(Q15,1,1)+MID(Q15,3,1)+MID(Q15,5,1)&gt;1,VLOOKUP('Gear &amp; Buffs'!$B$60,GenSocketStats,18,FALSE)+IF(MID(Q15,1,1)+MID(Q15,3,1)+MID(Q15,5,1)&gt;2,VLOOKUP('Gear &amp; Buffs'!$B$61,GenSocketStats,18,FALSE),0)),0))-'Gear &amp; Buffs'!$AF$57</f>
        <v>-162.6206912683258</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8">
        <v>12</v>
      </c>
      <c r="X15" s="714" t="str">
        <f t="shared" si="0"/>
        <v>Nomad's Leggings</v>
      </c>
    </row>
    <row r="16" spans="1:24">
      <c r="A16" s="10" t="s">
        <v>2821</v>
      </c>
      <c r="B16" s="116"/>
      <c r="C16" s="116">
        <v>1</v>
      </c>
      <c r="D16" s="114"/>
      <c r="E16" s="114">
        <v>30</v>
      </c>
      <c r="F16" s="114">
        <v>62</v>
      </c>
      <c r="G16" s="116"/>
      <c r="H16" s="116"/>
      <c r="I16" s="116"/>
      <c r="J16" s="114"/>
      <c r="K16" s="116"/>
      <c r="L16" s="114">
        <v>45</v>
      </c>
      <c r="M16" s="116"/>
      <c r="N16" s="116"/>
      <c r="O16" s="116"/>
      <c r="P16" s="114"/>
      <c r="Q16" s="114" t="s">
        <v>1033</v>
      </c>
      <c r="R16" s="114"/>
      <c r="S16" s="114" t="s">
        <v>675</v>
      </c>
      <c r="T16" s="116"/>
      <c r="U16" s="891">
        <f>($D16*dpsStr+$E16*dpsAgi+$G16*dpsCrit+$H16*dpsHit+$F16*dpsAP+$I16*dpsHaste+$J16*dpsArmor+$K16*dpsExp+IF(MID(Q16,1,1)+MID(Q16,3,1)+MID(Q16,5,1)&gt;0,VLOOKUP('Gear &amp; Buffs'!$B$59,GenSocketStats,18,FALSE)+IF(MID(Q16,1,1)+MID(Q16,3,1)+MID(Q16,5,1)&gt;1,VLOOKUP('Gear &amp; Buffs'!$B$60,GenSocketStats,18,FALSE)+IF(MID(Q16,1,1)+MID(Q16,3,1)+MID(Q16,5,1)&gt;2,VLOOKUP('Gear &amp; Buffs'!$B$61,GenSocketStats,18,FALSE),0)),0))-'Gear &amp; Buffs'!$AF$57</f>
        <v>-290.97072208099235</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8">
        <v>13</v>
      </c>
      <c r="X16" s="714" t="str">
        <f t="shared" si="0"/>
        <v>Oilcloth Breeches</v>
      </c>
    </row>
    <row r="17" spans="1:25">
      <c r="A17" s="10" t="s">
        <v>2356</v>
      </c>
      <c r="B17" s="116">
        <v>27545</v>
      </c>
      <c r="C17" s="116">
        <v>1</v>
      </c>
      <c r="D17" s="114"/>
      <c r="E17" s="114"/>
      <c r="F17" s="114">
        <v>46</v>
      </c>
      <c r="G17" s="116">
        <v>32</v>
      </c>
      <c r="H17" s="116"/>
      <c r="I17" s="116"/>
      <c r="J17" s="114"/>
      <c r="K17" s="116"/>
      <c r="L17" s="114">
        <v>25</v>
      </c>
      <c r="M17" s="116"/>
      <c r="N17" s="116"/>
      <c r="O17" s="116"/>
      <c r="P17" s="114"/>
      <c r="Q17" s="114" t="s">
        <v>2054</v>
      </c>
      <c r="R17" s="114"/>
      <c r="S17" s="114" t="s">
        <v>691</v>
      </c>
      <c r="T17" s="116"/>
      <c r="U17" s="891">
        <f>($D17*dpsStr+$E17*dpsAgi+$G17*dpsCrit+$H17*dpsHit+$F17*dpsAP+$I17*dpsHaste+$J17*dpsArmor+$K17*dpsExp+IF(MID(Q17,1,1)+MID(Q17,3,1)+MID(Q17,5,1)&gt;0,VLOOKUP('Gear &amp; Buffs'!$B$59,GenSocketStats,18,FALSE)+IF(MID(Q17,1,1)+MID(Q17,3,1)+MID(Q17,5,1)&gt;1,VLOOKUP('Gear &amp; Buffs'!$B$60,GenSocketStats,18,FALSE)+IF(MID(Q17,1,1)+MID(Q17,3,1)+MID(Q17,5,1)&gt;2,VLOOKUP('Gear &amp; Buffs'!$B$61,GenSocketStats,18,FALSE),0)),0))-'Gear &amp; Buffs'!$AF$57</f>
        <v>-166.35815158736887</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9</v>
      </c>
      <c r="W17" s="738">
        <v>14</v>
      </c>
      <c r="X17" s="714" t="str">
        <f t="shared" si="0"/>
        <v>Opportunist's Leather Legguards</v>
      </c>
    </row>
    <row r="18" spans="1:25">
      <c r="A18" s="10" t="s">
        <v>1113</v>
      </c>
      <c r="B18" s="116">
        <v>32000</v>
      </c>
      <c r="C18" s="116">
        <v>2</v>
      </c>
      <c r="D18" s="114"/>
      <c r="E18" s="114">
        <v>41</v>
      </c>
      <c r="F18" s="114">
        <v>42</v>
      </c>
      <c r="G18" s="116">
        <v>21</v>
      </c>
      <c r="H18" s="116"/>
      <c r="I18" s="116"/>
      <c r="J18" s="114"/>
      <c r="K18" s="116"/>
      <c r="L18" s="114">
        <v>60</v>
      </c>
      <c r="M18" s="116"/>
      <c r="N18" s="116">
        <v>40</v>
      </c>
      <c r="O18" s="116"/>
      <c r="P18" s="114" t="s">
        <v>1068</v>
      </c>
      <c r="Q18" s="114" t="s">
        <v>1114</v>
      </c>
      <c r="R18" s="114"/>
      <c r="S18" s="114" t="s">
        <v>677</v>
      </c>
      <c r="T18" s="116"/>
      <c r="U18" s="891">
        <f>($D18*dpsStr+$E18*dpsAgi+$G18*dpsCrit+$H18*dpsHit+$F18*dpsAP+$I18*dpsHaste+$J18*dpsArmor+$K18*dpsExp+IF(MID(Q18,1,1)+MID(Q18,3,1)+MID(Q18,5,1)&gt;0,VLOOKUP('Gear &amp; Buffs'!$B$59,GenSocketStats,18,FALSE)+IF(MID(Q18,1,1)+MID(Q18,3,1)+MID(Q18,5,1)&gt;1,VLOOKUP('Gear &amp; Buffs'!$B$60,GenSocketStats,18,FALSE)+IF(MID(Q18,1,1)+MID(Q18,3,1)+MID(Q18,5,1)&gt;2,VLOOKUP('Gear &amp; Buffs'!$B$61,GenSocketStats,18,FALSE),0)),0))-'Gear &amp; Buffs'!$AF$57</f>
        <v>-274.61625861971174</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8">
        <v>15</v>
      </c>
      <c r="X18" s="714" t="str">
        <f t="shared" si="0"/>
        <v>Retainer's Leggings</v>
      </c>
    </row>
    <row r="19" spans="1:25">
      <c r="A19" s="10" t="s">
        <v>482</v>
      </c>
      <c r="B19" s="116">
        <v>30538</v>
      </c>
      <c r="C19" s="116">
        <v>1</v>
      </c>
      <c r="D19" s="114"/>
      <c r="E19" s="114"/>
      <c r="F19" s="114">
        <v>64</v>
      </c>
      <c r="G19" s="116">
        <v>27</v>
      </c>
      <c r="H19" s="116">
        <v>17</v>
      </c>
      <c r="I19" s="116"/>
      <c r="J19" s="114"/>
      <c r="K19" s="116"/>
      <c r="L19" s="114">
        <v>30</v>
      </c>
      <c r="M19" s="116"/>
      <c r="N19" s="116"/>
      <c r="O19" s="116"/>
      <c r="P19" s="114"/>
      <c r="Q19" s="114" t="s">
        <v>2054</v>
      </c>
      <c r="R19" s="114" t="s">
        <v>2020</v>
      </c>
      <c r="S19" s="114" t="s">
        <v>691</v>
      </c>
      <c r="T19" s="116"/>
      <c r="U19" s="891">
        <f>($D19*dpsStr+$E19*dpsAgi+$G19*dpsCrit+$H19*dpsHit+$F19*dpsAP+$I19*dpsHaste+$J19*dpsArmor+$K19*dpsExp+IF(MID(Q19,1,1)+MID(Q19,3,1)+MID(Q19,5,1)&gt;0,VLOOKUP('Gear &amp; Buffs'!$B$59,GenSocketStats,18,FALSE)+IF(MID(Q19,1,1)+MID(Q19,3,1)+MID(Q19,5,1)&gt;1,VLOOKUP('Gear &amp; Buffs'!$B$60,GenSocketStats,18,FALSE)+IF(MID(Q19,1,1)+MID(Q19,3,1)+MID(Q19,5,1)&gt;2,VLOOKUP('Gear &amp; Buffs'!$B$61,GenSocketStats,18,FALSE),0)),0))-'Gear &amp; Buffs'!$AF$57</f>
        <v>-69.004657708361719</v>
      </c>
      <c r="V19" s="114">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8">
        <v>16</v>
      </c>
      <c r="X19" s="714" t="str">
        <f t="shared" si="0"/>
        <v>Shattrath Leggings</v>
      </c>
    </row>
    <row r="20" spans="1:25">
      <c r="A20" s="10" t="s">
        <v>483</v>
      </c>
      <c r="B20" s="116">
        <v>29046</v>
      </c>
      <c r="C20" s="116">
        <v>1</v>
      </c>
      <c r="D20" s="114"/>
      <c r="E20" s="114">
        <v>43</v>
      </c>
      <c r="F20" s="114">
        <v>84</v>
      </c>
      <c r="G20" s="116"/>
      <c r="H20" s="116">
        <v>26</v>
      </c>
      <c r="I20" s="116"/>
      <c r="J20" s="114"/>
      <c r="K20" s="116"/>
      <c r="L20" s="114">
        <v>40</v>
      </c>
      <c r="M20" s="116"/>
      <c r="N20" s="116"/>
      <c r="O20" s="116"/>
      <c r="P20" s="114" t="s">
        <v>1078</v>
      </c>
      <c r="Q20" s="114" t="s">
        <v>1033</v>
      </c>
      <c r="R20" s="114"/>
      <c r="S20" s="114" t="s">
        <v>678</v>
      </c>
      <c r="T20" s="116"/>
      <c r="U20" s="891">
        <f>($D20*dpsStr+$E20*dpsAgi+$G20*dpsCrit+$H20*dpsHit+$F20*dpsAP+$I20*dpsHaste+$J20*dpsArmor+$K20*dpsExp+IF(MID(Q20,1,1)+MID(Q20,3,1)+MID(Q20,5,1)&gt;0,VLOOKUP('Gear &amp; Buffs'!$B$59,GenSocketStats,18,FALSE)+IF(MID(Q20,1,1)+MID(Q20,3,1)+MID(Q20,5,1)&gt;1,VLOOKUP('Gear &amp; Buffs'!$B$60,GenSocketStats,18,FALSE)+IF(MID(Q20,1,1)+MID(Q20,3,1)+MID(Q20,5,1)&gt;2,VLOOKUP('Gear &amp; Buffs'!$B$61,GenSocketStats,18,FALSE),0)),0))-'Gear &amp; Buffs'!$AF$57</f>
        <v>-128.0548760655181</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11</v>
      </c>
      <c r="W20" s="738">
        <v>17</v>
      </c>
      <c r="X20" s="714" t="str">
        <f t="shared" si="0"/>
        <v>Skulker's Greaves</v>
      </c>
    </row>
    <row r="21" spans="1:25">
      <c r="A21" s="10" t="s">
        <v>2822</v>
      </c>
      <c r="B21" s="114">
        <v>29116</v>
      </c>
      <c r="C21" s="114">
        <v>1</v>
      </c>
      <c r="D21" s="114"/>
      <c r="E21" s="114">
        <v>33</v>
      </c>
      <c r="F21" s="114">
        <v>66</v>
      </c>
      <c r="G21" s="114"/>
      <c r="H21" s="114"/>
      <c r="I21" s="114"/>
      <c r="J21" s="114"/>
      <c r="K21" s="114"/>
      <c r="L21" s="114">
        <v>49</v>
      </c>
      <c r="M21" s="114"/>
      <c r="N21" s="114"/>
      <c r="O21" s="114"/>
      <c r="P21" s="114"/>
      <c r="Q21" s="114" t="s">
        <v>1033</v>
      </c>
      <c r="R21" s="114"/>
      <c r="S21" s="114" t="s">
        <v>676</v>
      </c>
      <c r="T21" s="114"/>
      <c r="U21" s="891">
        <f>($D21*dpsStr+$E21*dpsAgi+$G21*dpsCrit+$H21*dpsHit+$F21*dpsAP+$I21*dpsHaste+$J21*dpsArmor+$K21*dpsExp+IF(MID(Q21,1,1)+MID(Q21,3,1)+MID(Q21,5,1)&gt;0,VLOOKUP('Gear &amp; Buffs'!$B$59,GenSocketStats,18,FALSE)+IF(MID(Q21,1,1)+MID(Q21,3,1)+MID(Q21,5,1)&gt;1,VLOOKUP('Gear &amp; Buffs'!$B$60,GenSocketStats,18,FALSE)+IF(MID(Q21,1,1)+MID(Q21,3,1)+MID(Q21,5,1)&gt;2,VLOOKUP('Gear &amp; Buffs'!$B$61,GenSocketStats,18,FALSE),0)),0))-'Gear &amp; Buffs'!$AF$57</f>
        <v>-287.05976336956678</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8">
        <v>18</v>
      </c>
      <c r="X21" s="714" t="str">
        <f t="shared" si="0"/>
        <v>Warpscale Leggings</v>
      </c>
    </row>
    <row r="22" spans="1:25">
      <c r="A22" s="10" t="s">
        <v>484</v>
      </c>
      <c r="B22" s="114">
        <v>31545</v>
      </c>
      <c r="C22" s="114">
        <v>1</v>
      </c>
      <c r="D22" s="114"/>
      <c r="E22" s="114"/>
      <c r="F22" s="114">
        <v>60</v>
      </c>
      <c r="G22" s="114">
        <v>30</v>
      </c>
      <c r="H22" s="114">
        <v>25</v>
      </c>
      <c r="I22" s="114"/>
      <c r="J22" s="114"/>
      <c r="K22" s="114"/>
      <c r="L22" s="114">
        <v>24</v>
      </c>
      <c r="M22" s="114"/>
      <c r="N22" s="114"/>
      <c r="O22" s="114"/>
      <c r="P22" s="114"/>
      <c r="Q22" s="114" t="s">
        <v>1033</v>
      </c>
      <c r="R22" s="114"/>
      <c r="S22" s="114" t="s">
        <v>675</v>
      </c>
      <c r="T22" s="114"/>
      <c r="U22" s="891">
        <f>($D22*dpsStr+$E22*dpsAgi+$G22*dpsCrit+$H22*dpsHit+$F22*dpsAP+$I22*dpsHaste+$J22*dpsArmor+$K22*dpsExp+IF(MID(Q22,1,1)+MID(Q22,3,1)+MID(Q22,5,1)&gt;0,VLOOKUP('Gear &amp; Buffs'!$B$59,GenSocketStats,18,FALSE)+IF(MID(Q22,1,1)+MID(Q22,3,1)+MID(Q22,5,1)&gt;1,VLOOKUP('Gear &amp; Buffs'!$B$60,GenSocketStats,18,FALSE)+IF(MID(Q22,1,1)+MID(Q22,3,1)+MID(Q22,5,1)&gt;2,VLOOKUP('Gear &amp; Buffs'!$B$61,GenSocketStats,18,FALSE),0)),0))-'Gear &amp; Buffs'!$AF$57</f>
        <v>-157.1770923692884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8">
        <v>19</v>
      </c>
      <c r="X22" s="714" t="str">
        <f t="shared" si="0"/>
        <v>Wastewalker Leggings</v>
      </c>
    </row>
    <row r="23" spans="1:25" s="129" customFormat="1">
      <c r="A23" s="10" t="s">
        <v>703</v>
      </c>
      <c r="B23" s="116">
        <v>35368</v>
      </c>
      <c r="C23" s="116">
        <v>1</v>
      </c>
      <c r="D23" s="114"/>
      <c r="E23" s="114">
        <v>28</v>
      </c>
      <c r="F23" s="114">
        <v>28</v>
      </c>
      <c r="G23" s="116">
        <v>14</v>
      </c>
      <c r="H23" s="116"/>
      <c r="I23" s="116"/>
      <c r="J23" s="114"/>
      <c r="K23" s="116"/>
      <c r="L23" s="114">
        <v>42</v>
      </c>
      <c r="M23" s="116"/>
      <c r="N23" s="116">
        <v>28</v>
      </c>
      <c r="O23" s="116"/>
      <c r="P23" s="114" t="s">
        <v>2861</v>
      </c>
      <c r="Q23" s="114" t="s">
        <v>1033</v>
      </c>
      <c r="R23" s="114"/>
      <c r="S23" s="114" t="s">
        <v>676</v>
      </c>
      <c r="T23" s="116"/>
      <c r="U23" s="891">
        <f>($D23*dpsStr+$E23*dpsAgi+$G23*dpsCrit+$H23*dpsHit+$F23*dpsAP+$I23*dpsHaste+$J23*dpsArmor+$K23*dpsExp+IF(MID(Q23,1,1)+MID(Q23,3,1)+MID(Q23,5,1)&gt;0,VLOOKUP('Gear &amp; Buffs'!$B$59,GenSocketStats,18,FALSE)+IF(MID(Q23,1,1)+MID(Q23,3,1)+MID(Q23,5,1)&gt;1,VLOOKUP('Gear &amp; Buffs'!$B$60,GenSocketStats,18,FALSE)+IF(MID(Q23,1,1)+MID(Q23,3,1)+MID(Q23,5,1)&gt;2,VLOOKUP('Gear &amp; Buffs'!$B$61,GenSocketStats,18,FALSE),0)),0))-'Gear &amp; Buffs'!$AF$57</f>
        <v>-295.17322042160504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8">
        <v>20</v>
      </c>
      <c r="X23" s="714" t="str">
        <f t="shared" ref="X23" si="1">IF(ISNA(INDEX($A$2:$A$36,MATCH(W23,V$2:V$36,0))), "", INDEX($A$2:$A$36,MATCH(W23,V$2:V$36,0)))</f>
        <v>X-52 Pilot's Leggings</v>
      </c>
    </row>
    <row r="24" spans="1:25" s="129" customFormat="1">
      <c r="A24" s="10" t="s">
        <v>485</v>
      </c>
      <c r="B24" s="116">
        <v>29131</v>
      </c>
      <c r="C24" s="116">
        <v>1</v>
      </c>
      <c r="D24" s="114"/>
      <c r="E24" s="114"/>
      <c r="F24" s="114">
        <v>92</v>
      </c>
      <c r="G24" s="116"/>
      <c r="H24" s="116">
        <v>26</v>
      </c>
      <c r="I24" s="116"/>
      <c r="J24" s="114"/>
      <c r="K24" s="116"/>
      <c r="L24" s="114">
        <v>28</v>
      </c>
      <c r="M24" s="116"/>
      <c r="N24" s="116"/>
      <c r="O24" s="116"/>
      <c r="P24" s="114"/>
      <c r="Q24" s="114" t="s">
        <v>1033</v>
      </c>
      <c r="R24" s="114"/>
      <c r="S24" s="114" t="s">
        <v>676</v>
      </c>
      <c r="T24" s="116"/>
      <c r="U24" s="891">
        <f>($D24*dpsStr+$E24*dpsAgi+$G24*dpsCrit+$H24*dpsHit+$F24*dpsAP+$I24*dpsHaste+$J24*dpsArmor+$K24*dpsExp+IF(MID(Q24,1,1)+MID(Q24,3,1)+MID(Q24,5,1)&gt;0,VLOOKUP('Gear &amp; Buffs'!$B$59,GenSocketStats,18,FALSE)+IF(MID(Q24,1,1)+MID(Q24,3,1)+MID(Q24,5,1)&gt;1,VLOOKUP('Gear &amp; Buffs'!$B$60,GenSocketStats,18,FALSE)+IF(MID(Q24,1,1)+MID(Q24,3,1)+MID(Q24,5,1)&gt;2,VLOOKUP('Gear &amp; Buffs'!$B$61,GenSocketStats,18,FALSE),0)),0))-'Gear &amp; Buffs'!$AF$57</f>
        <v>-160.76638924008057</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15</v>
      </c>
      <c r="W24" s="738">
        <v>21</v>
      </c>
      <c r="X24" s="714" t="str">
        <f t="shared" si="0"/>
        <v>(Unmodeled)</v>
      </c>
    </row>
    <row r="25" spans="1:25">
      <c r="A25" s="10" t="s">
        <v>486</v>
      </c>
      <c r="B25" s="116">
        <v>30898</v>
      </c>
      <c r="C25" s="116">
        <v>3</v>
      </c>
      <c r="D25" s="114"/>
      <c r="E25" s="114">
        <v>50</v>
      </c>
      <c r="F25" s="114">
        <v>102</v>
      </c>
      <c r="G25" s="116"/>
      <c r="H25" s="116"/>
      <c r="I25" s="116"/>
      <c r="J25" s="114">
        <v>175</v>
      </c>
      <c r="K25" s="116"/>
      <c r="L25" s="114">
        <v>61</v>
      </c>
      <c r="M25" s="116"/>
      <c r="N25" s="116"/>
      <c r="O25" s="116"/>
      <c r="P25" s="114"/>
      <c r="Q25" s="114" t="s">
        <v>1033</v>
      </c>
      <c r="R25" s="114"/>
      <c r="S25" s="114" t="s">
        <v>684</v>
      </c>
      <c r="T25" s="116"/>
      <c r="U25" s="891">
        <f>($D25*dpsStr+$E25*dpsAgi+$G25*dpsCrit+$H25*dpsHit+$F25*dpsAP+$I25*dpsHaste+$J25*dpsArmor+$K25*dpsExp+IF(MID(Q25,1,1)+MID(Q25,3,1)+MID(Q25,5,1)&gt;0,VLOOKUP('Gear &amp; Buffs'!$B$59,GenSocketStats,18,FALSE)+IF(MID(Q25,1,1)+MID(Q25,3,1)+MID(Q25,5,1)&gt;1,VLOOKUP('Gear &amp; Buffs'!$B$60,GenSocketStats,18,FALSE)+IF(MID(Q25,1,1)+MID(Q25,3,1)+MID(Q25,5,1)&gt;2,VLOOKUP('Gear &amp; Buffs'!$B$61,GenSocketStats,18,FALSE),0)),0))-'Gear &amp; Buffs'!$AF$57</f>
        <v>-238.62425842618563</v>
      </c>
      <c r="V25" s="114"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8">
        <v>22</v>
      </c>
      <c r="X25" s="714" t="str">
        <f t="shared" si="0"/>
        <v/>
      </c>
    </row>
    <row r="26" spans="1:25">
      <c r="A26" s="130" t="s">
        <v>1433</v>
      </c>
      <c r="B26" s="116">
        <v>33538</v>
      </c>
      <c r="C26" s="116">
        <v>4</v>
      </c>
      <c r="D26" s="114"/>
      <c r="E26" s="114">
        <v>45</v>
      </c>
      <c r="F26" s="114">
        <v>92</v>
      </c>
      <c r="G26" s="116"/>
      <c r="H26" s="116"/>
      <c r="I26" s="116">
        <v>30</v>
      </c>
      <c r="J26" s="114"/>
      <c r="K26" s="116"/>
      <c r="L26" s="114">
        <v>46</v>
      </c>
      <c r="M26" s="116"/>
      <c r="N26" s="116"/>
      <c r="O26" s="116"/>
      <c r="P26" s="114"/>
      <c r="Q26" s="114" t="s">
        <v>1033</v>
      </c>
      <c r="R26" s="114"/>
      <c r="S26" s="114" t="s">
        <v>691</v>
      </c>
      <c r="T26" s="116"/>
      <c r="U26" s="891">
        <f>($D26*dpsStr+$E26*dpsAgi+$G26*dpsCrit+$H26*dpsHit+$F26*dpsAP+$I26*dpsHaste+$J26*dpsArmor+$K26*dpsExp+IF(MID(Q26,1,1)+MID(Q26,3,1)+MID(Q26,5,1)&gt;0,VLOOKUP('Gear &amp; Buffs'!$B$59,GenSocketStats,18,FALSE)+IF(MID(Q26,1,1)+MID(Q26,3,1)+MID(Q26,5,1)&gt;1,VLOOKUP('Gear &amp; Buffs'!$B$60,GenSocketStats,18,FALSE)+IF(MID(Q26,1,1)+MID(Q26,3,1)+MID(Q26,5,1)&gt;2,VLOOKUP('Gear &amp; Buffs'!$B$61,GenSocketStats,18,FALSE),0)),0))-'Gear &amp; Buffs'!$AF$57</f>
        <v>-157.70108609470867</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8">
        <v>23</v>
      </c>
      <c r="X26" s="714" t="str">
        <f t="shared" si="0"/>
        <v/>
      </c>
    </row>
    <row r="27" spans="1:25">
      <c r="A27" s="10" t="s">
        <v>2357</v>
      </c>
      <c r="B27" s="116">
        <v>30257</v>
      </c>
      <c r="C27" s="116">
        <v>1</v>
      </c>
      <c r="D27" s="114">
        <v>35</v>
      </c>
      <c r="E27" s="114">
        <v>25</v>
      </c>
      <c r="F27" s="114"/>
      <c r="G27" s="116"/>
      <c r="H27" s="116"/>
      <c r="I27" s="116"/>
      <c r="J27" s="114"/>
      <c r="K27" s="116">
        <v>22</v>
      </c>
      <c r="L27" s="114">
        <v>27</v>
      </c>
      <c r="M27" s="116"/>
      <c r="N27" s="116"/>
      <c r="O27" s="116"/>
      <c r="P27" s="114"/>
      <c r="Q27" s="114" t="s">
        <v>1033</v>
      </c>
      <c r="R27" s="114"/>
      <c r="S27" s="114" t="s">
        <v>675</v>
      </c>
      <c r="T27" s="116"/>
      <c r="U27" s="891">
        <f>($D27*dpsStr+$E27*dpsAgi+$G27*dpsCrit+$H27*dpsHit+$F27*dpsAP+$I27*dpsHaste+$J27*dpsArmor+$K27*dpsExp+IF(MID(Q27,1,1)+MID(Q27,3,1)+MID(Q27,5,1)&gt;0,VLOOKUP('Gear &amp; Buffs'!$B$59,GenSocketStats,18,FALSE)+IF(MID(Q27,1,1)+MID(Q27,3,1)+MID(Q27,5,1)&gt;1,VLOOKUP('Gear &amp; Buffs'!$B$60,GenSocketStats,18,FALSE)+IF(MID(Q27,1,1)+MID(Q27,3,1)+MID(Q27,5,1)&gt;2,VLOOKUP('Gear &amp; Buffs'!$B$61,GenSocketStats,18,FALSE),0)),0))-'Gear &amp; Buffs'!$AF$57</f>
        <v>-277.57461881599579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16</v>
      </c>
      <c r="W27" s="738">
        <v>24</v>
      </c>
      <c r="X27" s="714" t="str">
        <f t="shared" si="0"/>
        <v/>
      </c>
    </row>
    <row r="28" spans="1:25">
      <c r="A28" s="10" t="s">
        <v>2081</v>
      </c>
      <c r="B28" s="116">
        <v>28741</v>
      </c>
      <c r="C28" s="116">
        <v>1</v>
      </c>
      <c r="D28" s="114"/>
      <c r="E28" s="114">
        <v>32</v>
      </c>
      <c r="F28" s="114">
        <v>64</v>
      </c>
      <c r="G28" s="116"/>
      <c r="H28" s="116">
        <v>28</v>
      </c>
      <c r="I28" s="116"/>
      <c r="J28" s="114"/>
      <c r="K28" s="116"/>
      <c r="L28" s="114">
        <v>28</v>
      </c>
      <c r="M28" s="116"/>
      <c r="N28" s="116"/>
      <c r="O28" s="116"/>
      <c r="P28" s="114"/>
      <c r="Q28" s="114" t="s">
        <v>2054</v>
      </c>
      <c r="R28" s="114" t="s">
        <v>1072</v>
      </c>
      <c r="S28" s="114" t="s">
        <v>672</v>
      </c>
      <c r="T28" s="116"/>
      <c r="U28" s="891">
        <f>($D28*dpsStr+$E28*dpsAgi+$G28*dpsCrit+$H28*dpsHit+$F28*dpsAP+$I28*dpsHaste+$J28*dpsArmor+$K28*dpsExp+IF(MID(Q28,1,1)+MID(Q28,3,1)+MID(Q28,5,1)&gt;0,VLOOKUP('Gear &amp; Buffs'!$B$59,GenSocketStats,18,FALSE)+IF(MID(Q28,1,1)+MID(Q28,3,1)+MID(Q28,5,1)&gt;1,VLOOKUP('Gear &amp; Buffs'!$B$60,GenSocketStats,18,FALSE)+IF(MID(Q28,1,1)+MID(Q28,3,1)+MID(Q28,5,1)&gt;2,VLOOKUP('Gear &amp; Buffs'!$B$61,GenSocketStats,18,FALSE),0)),0))-'Gear &amp; Buffs'!$AF$57</f>
        <v>0</v>
      </c>
      <c r="V28" s="114">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17</v>
      </c>
      <c r="W28" s="738">
        <v>25</v>
      </c>
      <c r="X28" s="714" t="str">
        <f t="shared" si="0"/>
        <v/>
      </c>
    </row>
    <row r="29" spans="1:25">
      <c r="A29" s="10" t="s">
        <v>487</v>
      </c>
      <c r="B29" s="116">
        <v>31029</v>
      </c>
      <c r="C29" s="116">
        <v>3</v>
      </c>
      <c r="D29" s="114"/>
      <c r="E29" s="114">
        <v>46</v>
      </c>
      <c r="F29" s="114">
        <v>94</v>
      </c>
      <c r="G29" s="116">
        <v>45</v>
      </c>
      <c r="H29" s="116"/>
      <c r="I29" s="116"/>
      <c r="J29" s="114"/>
      <c r="K29" s="116"/>
      <c r="L29" s="114">
        <v>54</v>
      </c>
      <c r="M29" s="116"/>
      <c r="N29" s="116"/>
      <c r="O29" s="116"/>
      <c r="P29" s="114" t="s">
        <v>999</v>
      </c>
      <c r="Q29" s="114" t="s">
        <v>1039</v>
      </c>
      <c r="R29" s="114" t="s">
        <v>1066</v>
      </c>
      <c r="S29" s="114" t="s">
        <v>683</v>
      </c>
      <c r="T29" s="116"/>
      <c r="U29" s="891">
        <f>($D29*dpsStr+$E29*dpsAgi+$G29*dpsCrit+$H29*dpsHit+$F29*dpsAP+$I29*dpsHaste+$J29*dpsArmor+$K29*dpsExp+IF(MID(Q29,1,1)+MID(Q29,3,1)+MID(Q29,5,1)&gt;0,VLOOKUP('Gear &amp; Buffs'!$B$59,GenSocketStats,18,FALSE)+IF(MID(Q29,1,1)+MID(Q29,3,1)+MID(Q29,5,1)&gt;1,VLOOKUP('Gear &amp; Buffs'!$B$60,GenSocketStats,18,FALSE)+IF(MID(Q29,1,1)+MID(Q29,3,1)+MID(Q29,5,1)&gt;2,VLOOKUP('Gear &amp; Buffs'!$B$61,GenSocketStats,18,FALSE),0)),0))-'Gear &amp; Buffs'!$AF$57</f>
        <v>-191.03966985932357</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8">
        <v>26</v>
      </c>
      <c r="X29" s="714" t="str">
        <f t="shared" si="0"/>
        <v/>
      </c>
    </row>
    <row r="30" spans="1:25">
      <c r="A30" s="10" t="s">
        <v>1888</v>
      </c>
      <c r="B30" s="116">
        <v>34910</v>
      </c>
      <c r="C30" s="116">
        <v>5</v>
      </c>
      <c r="D30" s="114">
        <v>39</v>
      </c>
      <c r="E30" s="114">
        <v>45</v>
      </c>
      <c r="F30" s="114"/>
      <c r="G30" s="116"/>
      <c r="H30" s="116"/>
      <c r="I30" s="116">
        <v>17</v>
      </c>
      <c r="J30" s="114"/>
      <c r="K30" s="116"/>
      <c r="L30" s="114">
        <v>52</v>
      </c>
      <c r="M30" s="116"/>
      <c r="N30" s="116"/>
      <c r="O30" s="116"/>
      <c r="P30" s="114"/>
      <c r="Q30" s="114" t="s">
        <v>1045</v>
      </c>
      <c r="R30" s="114" t="s">
        <v>1459</v>
      </c>
      <c r="S30" s="114" t="s">
        <v>691</v>
      </c>
      <c r="T30" s="116"/>
      <c r="U30" s="891">
        <f>($D30*dpsStr+$E30*dpsAgi+$G30*dpsCrit+$H30*dpsHit+$F30*dpsAP+$I30*dpsHaste+$J30*dpsArmor+$K30*dpsExp+IF(MID(Q30,1,1)+MID(Q30,3,1)+MID(Q30,5,1)&gt;0,VLOOKUP('Gear &amp; Buffs'!$B$59,GenSocketStats,18,FALSE)+IF(MID(Q30,1,1)+MID(Q30,3,1)+MID(Q30,5,1)&gt;1,VLOOKUP('Gear &amp; Buffs'!$B$60,GenSocketStats,18,FALSE)+IF(MID(Q30,1,1)+MID(Q30,3,1)+MID(Q30,5,1)&gt;2,VLOOKUP('Gear &amp; Buffs'!$B$61,GenSocketStats,18,FALSE),0)),0))-'Gear &amp; Buffs'!$AF$57</f>
        <v>-134.17348849740233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8">
        <v>27</v>
      </c>
      <c r="X30" s="714" t="str">
        <f t="shared" si="0"/>
        <v/>
      </c>
    </row>
    <row r="31" spans="1:25">
      <c r="A31" s="10" t="s">
        <v>1890</v>
      </c>
      <c r="B31" s="116">
        <v>34928</v>
      </c>
      <c r="C31" s="116">
        <v>5</v>
      </c>
      <c r="D31" s="114"/>
      <c r="E31" s="114">
        <v>43</v>
      </c>
      <c r="F31" s="114">
        <v>104</v>
      </c>
      <c r="G31" s="116"/>
      <c r="H31" s="116">
        <v>30</v>
      </c>
      <c r="I31" s="116"/>
      <c r="J31" s="114"/>
      <c r="K31" s="116"/>
      <c r="L31" s="114">
        <v>45</v>
      </c>
      <c r="M31" s="116"/>
      <c r="N31" s="116"/>
      <c r="O31" s="116"/>
      <c r="P31" s="114"/>
      <c r="Q31" s="114" t="s">
        <v>1041</v>
      </c>
      <c r="R31" s="114" t="s">
        <v>1447</v>
      </c>
      <c r="S31" s="114" t="s">
        <v>691</v>
      </c>
      <c r="T31" s="116"/>
      <c r="U31" s="891">
        <f>($D31*dpsStr+$E31*dpsAgi+$G31*dpsCrit+$H31*dpsHit+$F31*dpsAP+$I31*dpsHaste+$J31*dpsArmor+$K31*dpsExp+IF(MID(Q31,1,1)+MID(Q31,3,1)+MID(Q31,5,1)&gt;0,VLOOKUP('Gear &amp; Buffs'!$B$59,GenSocketStats,18,FALSE)+IF(MID(Q31,1,1)+MID(Q31,3,1)+MID(Q31,5,1)&gt;1,VLOOKUP('Gear &amp; Buffs'!$B$60,GenSocketStats,18,FALSE)+IF(MID(Q31,1,1)+MID(Q31,3,1)+MID(Q31,5,1)&gt;2,VLOOKUP('Gear &amp; Buffs'!$B$61,GenSocketStats,18,FALSE),0)),0))-'Gear &amp; Buffs'!$AF$57</f>
        <v>-9.9076462058717425</v>
      </c>
      <c r="V31" s="114"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8">
        <v>28</v>
      </c>
      <c r="X31" s="714" t="str">
        <f t="shared" si="0"/>
        <v/>
      </c>
    </row>
    <row r="32" spans="1:25">
      <c r="A32" s="10" t="s">
        <v>1529</v>
      </c>
      <c r="B32" s="116">
        <v>33702</v>
      </c>
      <c r="C32" s="116">
        <v>3</v>
      </c>
      <c r="D32" s="114"/>
      <c r="E32" s="114">
        <v>35</v>
      </c>
      <c r="F32" s="114">
        <v>50</v>
      </c>
      <c r="G32" s="116">
        <v>25</v>
      </c>
      <c r="H32" s="116">
        <v>12</v>
      </c>
      <c r="I32" s="116"/>
      <c r="J32" s="114">
        <v>48</v>
      </c>
      <c r="K32" s="116"/>
      <c r="L32" s="114">
        <v>67</v>
      </c>
      <c r="M32" s="116"/>
      <c r="N32" s="116">
        <v>40</v>
      </c>
      <c r="O32" s="116"/>
      <c r="P32" s="114" t="s">
        <v>1068</v>
      </c>
      <c r="Q32" s="114" t="s">
        <v>1033</v>
      </c>
      <c r="R32" s="114"/>
      <c r="S32" s="114" t="s">
        <v>677</v>
      </c>
      <c r="T32" s="116"/>
      <c r="U32" s="891">
        <f>($D32*dpsStr+$E32*dpsAgi+$G32*dpsCrit+$H32*dpsHit+$F32*dpsAP+$I32*dpsHaste+$J32*dpsArmor+$K32*dpsExp+IF(MID(Q32,1,1)+MID(Q32,3,1)+MID(Q32,5,1)&gt;0,VLOOKUP('Gear &amp; Buffs'!$B$59,GenSocketStats,18,FALSE)+IF(MID(Q32,1,1)+MID(Q32,3,1)+MID(Q32,5,1)&gt;1,VLOOKUP('Gear &amp; Buffs'!$B$60,GenSocketStats,18,FALSE)+IF(MID(Q32,1,1)+MID(Q32,3,1)+MID(Q32,5,1)&gt;2,VLOOKUP('Gear &amp; Buffs'!$B$61,GenSocketStats,18,FALSE),0)),0))-'Gear &amp; Buffs'!$AF$57</f>
        <v>-201.47771993716083</v>
      </c>
      <c r="V32" s="114"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8">
        <v>29</v>
      </c>
      <c r="X32" s="714" t="str">
        <f t="shared" si="0"/>
        <v/>
      </c>
      <c r="Y32" s="129"/>
    </row>
    <row r="33" spans="1:25">
      <c r="A33" s="10" t="s">
        <v>488</v>
      </c>
      <c r="B33" s="116">
        <v>28347</v>
      </c>
      <c r="C33" s="116">
        <v>1</v>
      </c>
      <c r="D33" s="114"/>
      <c r="E33" s="114">
        <v>32</v>
      </c>
      <c r="F33" s="114">
        <v>56</v>
      </c>
      <c r="G33" s="116"/>
      <c r="H33" s="116">
        <v>14</v>
      </c>
      <c r="I33" s="116"/>
      <c r="J33" s="114"/>
      <c r="K33" s="116"/>
      <c r="L33" s="114">
        <v>31</v>
      </c>
      <c r="M33" s="116">
        <v>21</v>
      </c>
      <c r="N33" s="116"/>
      <c r="O33" s="116"/>
      <c r="P33" s="114"/>
      <c r="Q33" s="114" t="s">
        <v>1033</v>
      </c>
      <c r="R33" s="114"/>
      <c r="S33" s="114" t="s">
        <v>673</v>
      </c>
      <c r="T33" s="116"/>
      <c r="U33" s="891">
        <f>($D33*dpsStr+$E33*dpsAgi+$G33*dpsCrit+$H33*dpsHit+$F33*dpsAP+$I33*dpsHaste+$J33*dpsArmor+$K33*dpsExp+IF(MID(Q33,1,1)+MID(Q33,3,1)+MID(Q33,5,1)&gt;0,VLOOKUP('Gear &amp; Buffs'!$B$59,GenSocketStats,18,FALSE)+IF(MID(Q33,1,1)+MID(Q33,3,1)+MID(Q33,5,1)&gt;1,VLOOKUP('Gear &amp; Buffs'!$B$60,GenSocketStats,18,FALSE)+IF(MID(Q33,1,1)+MID(Q33,3,1)+MID(Q33,5,1)&gt;2,VLOOKUP('Gear &amp; Buffs'!$B$61,GenSocketStats,18,FALSE),0)),0))-'Gear &amp; Buffs'!$AF$57</f>
        <v>-213.7598359576732</v>
      </c>
      <c r="V33" s="114">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18</v>
      </c>
      <c r="W33" s="738">
        <v>30</v>
      </c>
      <c r="X33" s="714" t="str">
        <f t="shared" si="0"/>
        <v/>
      </c>
      <c r="Y33" s="129"/>
    </row>
    <row r="34" spans="1:25">
      <c r="A34" s="10" t="s">
        <v>793</v>
      </c>
      <c r="B34" s="116">
        <v>27837</v>
      </c>
      <c r="C34" s="116">
        <v>1</v>
      </c>
      <c r="D34" s="114"/>
      <c r="E34" s="114">
        <v>31</v>
      </c>
      <c r="F34" s="114">
        <v>28</v>
      </c>
      <c r="G34" s="116"/>
      <c r="H34" s="116">
        <v>19</v>
      </c>
      <c r="I34" s="116"/>
      <c r="J34" s="114"/>
      <c r="K34" s="116"/>
      <c r="L34" s="114">
        <v>27</v>
      </c>
      <c r="M34" s="116"/>
      <c r="N34" s="116"/>
      <c r="O34" s="116"/>
      <c r="P34" s="114" t="s">
        <v>1004</v>
      </c>
      <c r="Q34" s="114" t="s">
        <v>2054</v>
      </c>
      <c r="R34" s="114" t="s">
        <v>1069</v>
      </c>
      <c r="S34" s="114" t="s">
        <v>691</v>
      </c>
      <c r="T34" s="116"/>
      <c r="U34" s="891">
        <f>($D34*dpsStr+$E34*dpsAgi+$G34*dpsCrit+$H34*dpsHit+$F34*dpsAP+$I34*dpsHaste+$J34*dpsArmor+$K34*dpsExp+IF(MID(Q34,1,1)+MID(Q34,3,1)+MID(Q34,5,1)&gt;0,VLOOKUP('Gear &amp; Buffs'!$B$59,GenSocketStats,18,FALSE)+IF(MID(Q34,1,1)+MID(Q34,3,1)+MID(Q34,5,1)&gt;1,VLOOKUP('Gear &amp; Buffs'!$B$60,GenSocketStats,18,FALSE)+IF(MID(Q34,1,1)+MID(Q34,3,1)+MID(Q34,5,1)&gt;2,VLOOKUP('Gear &amp; Buffs'!$B$61,GenSocketStats,18,FALSE),0)),0))-'Gear &amp; Buffs'!$AF$57</f>
        <v>-63.641377004265223</v>
      </c>
      <c r="V34" s="114">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19</v>
      </c>
      <c r="W34" s="738">
        <v>31</v>
      </c>
      <c r="X34" s="714" t="str">
        <f t="shared" si="0"/>
        <v/>
      </c>
      <c r="Y34" s="129"/>
    </row>
    <row r="35" spans="1:25">
      <c r="A35" s="10" t="s">
        <v>2823</v>
      </c>
      <c r="B35" s="116">
        <v>30014</v>
      </c>
      <c r="C35" s="116">
        <v>1</v>
      </c>
      <c r="D35" s="114"/>
      <c r="E35" s="114">
        <v>31</v>
      </c>
      <c r="F35" s="114">
        <v>62</v>
      </c>
      <c r="G35" s="116"/>
      <c r="H35" s="116"/>
      <c r="I35" s="116"/>
      <c r="J35" s="114"/>
      <c r="K35" s="116"/>
      <c r="L35" s="114">
        <v>46</v>
      </c>
      <c r="M35" s="116"/>
      <c r="N35" s="116"/>
      <c r="O35" s="116"/>
      <c r="P35" s="114"/>
      <c r="Q35" s="114" t="s">
        <v>1033</v>
      </c>
      <c r="R35" s="114"/>
      <c r="S35" s="114" t="s">
        <v>675</v>
      </c>
      <c r="T35" s="116"/>
      <c r="U35" s="891">
        <f>($D35*dpsStr+$E35*dpsAgi+$G35*dpsCrit+$H35*dpsHit+$F35*dpsAP+$I35*dpsHaste+$J35*dpsArmor+$K35*dpsExp+IF(MID(Q35,1,1)+MID(Q35,3,1)+MID(Q35,5,1)&gt;0,VLOOKUP('Gear &amp; Buffs'!$B$59,GenSocketStats,18,FALSE)+IF(MID(Q35,1,1)+MID(Q35,3,1)+MID(Q35,5,1)&gt;1,VLOOKUP('Gear &amp; Buffs'!$B$60,GenSocketStats,18,FALSE)+IF(MID(Q35,1,1)+MID(Q35,3,1)+MID(Q35,5,1)&gt;2,VLOOKUP('Gear &amp; Buffs'!$B$61,GenSocketStats,18,FALSE),0)),0))-'Gear &amp; Buffs'!$AF$57</f>
        <v>-290.14350921165737</v>
      </c>
      <c r="V35" s="114">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20</v>
      </c>
      <c r="W35" s="738">
        <v>32</v>
      </c>
      <c r="X35" s="714" t="str">
        <f t="shared" si="0"/>
        <v/>
      </c>
      <c r="Y35" s="129"/>
    </row>
    <row r="36" spans="1:25">
      <c r="A36" s="10" t="str">
        <f>'Gear &amp; Buffs'!$B$164</f>
        <v>(Unmodeled)</v>
      </c>
      <c r="B36" s="114"/>
      <c r="C36" s="114"/>
      <c r="D36" s="114">
        <f>'Gear &amp; Buffs'!$D$164</f>
        <v>0</v>
      </c>
      <c r="E36" s="114">
        <f>'Gear &amp; Buffs'!$E$164</f>
        <v>0</v>
      </c>
      <c r="F36" s="114">
        <f>'Gear &amp; Buffs'!$I$164</f>
        <v>0</v>
      </c>
      <c r="G36" s="115">
        <f>'Gear &amp; Buffs'!$G$164</f>
        <v>0</v>
      </c>
      <c r="H36" s="115">
        <f>'Gear &amp; Buffs'!$H$164</f>
        <v>0</v>
      </c>
      <c r="I36" s="115">
        <f>'Gear &amp; Buffs'!$P$164</f>
        <v>0</v>
      </c>
      <c r="J36" s="114">
        <f>'Gear &amp; Buffs'!$Q$164</f>
        <v>0</v>
      </c>
      <c r="K36" s="116">
        <f>'Gear &amp; Buffs'!$L$164</f>
        <v>0</v>
      </c>
      <c r="L36" s="114">
        <f>'Gear &amp; Buffs'!$F$164</f>
        <v>0</v>
      </c>
      <c r="M36" s="116">
        <f>'Gear &amp; Buffs'!$K$164</f>
        <v>0</v>
      </c>
      <c r="N36" s="114">
        <f>'Gear &amp; Buffs'!$J$164</f>
        <v>0</v>
      </c>
      <c r="O36" s="115">
        <f>'Gear &amp; Buffs'!M164</f>
        <v>0</v>
      </c>
      <c r="P36" s="114"/>
      <c r="Q36" s="114" t="str">
        <f>'Gear &amp; Buffs'!$R$164</f>
        <v>0 0 0</v>
      </c>
      <c r="R36" s="720">
        <f>'Gear &amp; Buffs'!$S$164</f>
        <v>0</v>
      </c>
      <c r="S36" s="114"/>
      <c r="T36" s="755"/>
      <c r="U36" s="891">
        <f>($D36*dpsStr+$E36*dpsAgi+$G36*dpsCrit+$H36*dpsHit+$F36*dpsAP+$I36*dpsHaste+$J36*dpsArmor+$K36*dpsExp+IF(MID(Q36,1,1)+MID(Q36,3,1)+MID(Q36,5,1)&gt;0,VLOOKUP('Gear &amp; Buffs'!$B$59,GenSocketStats,18,FALSE)+IF(MID(Q36,1,1)+MID(Q36,3,1)+MID(Q36,5,1)&gt;1,VLOOKUP('Gear &amp; Buffs'!$B$60,GenSocketStats,18,FALSE)+IF(MID(Q36,1,1)+MID(Q36,3,1)+MID(Q36,5,1)&gt;2,VLOOKUP('Gear &amp; Buffs'!$B$61,GenSocketStats,18,FALSE),0)),0))-'Gear &amp; Buffs'!$AF$57</f>
        <v>-337.94156976406157</v>
      </c>
      <c r="V36" s="114">
        <f>MAX($V$1:V35)+1</f>
        <v>21</v>
      </c>
      <c r="W36" s="738">
        <v>33</v>
      </c>
      <c r="X36" s="714" t="str">
        <f t="shared" si="0"/>
        <v/>
      </c>
      <c r="Y36" s="129"/>
    </row>
    <row r="37" spans="1:25">
      <c r="A37" s="695" t="s">
        <v>2207</v>
      </c>
      <c r="B37" s="696"/>
      <c r="C37" s="696"/>
      <c r="D37" s="696"/>
      <c r="E37" s="696"/>
      <c r="F37" s="696"/>
      <c r="G37" s="697"/>
      <c r="H37" s="697"/>
      <c r="I37" s="696"/>
      <c r="J37" s="696"/>
      <c r="K37" s="696"/>
      <c r="L37" s="696"/>
      <c r="M37" s="697"/>
      <c r="N37" s="697"/>
      <c r="O37" s="696"/>
      <c r="P37" s="696"/>
      <c r="Q37" s="696" t="s">
        <v>1033</v>
      </c>
      <c r="R37" s="696"/>
      <c r="S37" s="696"/>
      <c r="T37" s="773"/>
      <c r="U37" s="770"/>
      <c r="V37" s="114"/>
      <c r="W37" s="738">
        <v>34</v>
      </c>
      <c r="X37" s="714" t="str">
        <f t="shared" si="0"/>
        <v/>
      </c>
      <c r="Y37" s="129"/>
    </row>
    <row r="38" spans="1:25">
      <c r="J38" s="114"/>
      <c r="R38" s="114"/>
      <c r="U38" s="114"/>
      <c r="V38" s="114"/>
      <c r="W38" s="738">
        <v>35</v>
      </c>
      <c r="X38" s="714" t="str">
        <f t="shared" si="0"/>
        <v/>
      </c>
      <c r="Y38" s="129"/>
    </row>
    <row r="39" spans="1:25">
      <c r="A39" s="10"/>
      <c r="B39" s="116"/>
      <c r="C39" s="116"/>
      <c r="D39" s="114"/>
      <c r="E39" s="114"/>
      <c r="F39" s="114"/>
      <c r="G39" s="116"/>
      <c r="H39" s="116"/>
      <c r="I39" s="116"/>
      <c r="J39" s="114"/>
      <c r="K39" s="116"/>
      <c r="L39" s="114"/>
      <c r="M39" s="116"/>
      <c r="N39" s="116"/>
      <c r="O39" s="116"/>
      <c r="P39" s="114"/>
      <c r="Q39" s="114"/>
      <c r="R39" s="114"/>
      <c r="T39" s="116"/>
      <c r="U39" s="114"/>
      <c r="V39" s="114"/>
      <c r="Y39" s="129"/>
    </row>
    <row r="40" spans="1:25" ht="23.25" thickBot="1">
      <c r="A40" s="740" t="s">
        <v>794</v>
      </c>
      <c r="B40" s="730" t="s">
        <v>1934</v>
      </c>
      <c r="C40" s="730" t="s">
        <v>2798</v>
      </c>
      <c r="D40" s="731" t="s">
        <v>1214</v>
      </c>
      <c r="E40" s="731" t="s">
        <v>1215</v>
      </c>
      <c r="F40" s="731" t="s">
        <v>768</v>
      </c>
      <c r="G40" s="730" t="s">
        <v>2140</v>
      </c>
      <c r="H40" s="730" t="s">
        <v>2139</v>
      </c>
      <c r="I40" s="730" t="s">
        <v>771</v>
      </c>
      <c r="J40" s="732" t="s">
        <v>770</v>
      </c>
      <c r="K40" s="730" t="s">
        <v>760</v>
      </c>
      <c r="L40" s="731" t="s">
        <v>1216</v>
      </c>
      <c r="M40" s="730" t="s">
        <v>264</v>
      </c>
      <c r="N40" s="730" t="s">
        <v>1217</v>
      </c>
      <c r="O40" s="730" t="s">
        <v>1287</v>
      </c>
      <c r="P40" s="730" t="s">
        <v>1046</v>
      </c>
      <c r="Q40" s="731" t="s">
        <v>1047</v>
      </c>
      <c r="R40" s="731" t="s">
        <v>1941</v>
      </c>
      <c r="S40" s="731" t="s">
        <v>666</v>
      </c>
      <c r="T40" s="730" t="s">
        <v>921</v>
      </c>
      <c r="U40" s="733" t="s">
        <v>265</v>
      </c>
      <c r="V40" s="744">
        <v>0</v>
      </c>
      <c r="W40" s="741"/>
      <c r="X40" s="759" t="s">
        <v>1689</v>
      </c>
    </row>
    <row r="41" spans="1:25">
      <c r="A41" s="695" t="s">
        <v>1341</v>
      </c>
      <c r="B41" s="697">
        <v>3011</v>
      </c>
      <c r="C41" s="697">
        <v>1</v>
      </c>
      <c r="D41" s="696"/>
      <c r="E41" s="696">
        <v>10</v>
      </c>
      <c r="F41" s="696"/>
      <c r="G41" s="697"/>
      <c r="H41" s="697"/>
      <c r="I41" s="697"/>
      <c r="J41" s="699"/>
      <c r="K41" s="697"/>
      <c r="L41" s="696">
        <v>30</v>
      </c>
      <c r="M41" s="697"/>
      <c r="N41" s="697"/>
      <c r="O41" s="697"/>
      <c r="P41" s="697"/>
      <c r="Q41" s="697"/>
      <c r="R41" s="697"/>
      <c r="S41" s="696" t="s">
        <v>1689</v>
      </c>
      <c r="T41" s="774" t="b">
        <v>0</v>
      </c>
      <c r="U41" s="891">
        <f>($D41*dpsStr+$E41*dpsAgi+$G41*dpsCrit+$H41*dpsHit+$F41*dpsAP+$I41*dpsHaste+$J41*dpsArmor+$K41*dpsExp)-'Gear &amp; Buffs'!$AF$58</f>
        <v>-17.823928265522227</v>
      </c>
      <c r="V41" s="221">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49"/>
      <c r="X41" s="712"/>
      <c r="Y41" s="129"/>
    </row>
    <row r="42" spans="1:25">
      <c r="A42" s="677" t="s">
        <v>1414</v>
      </c>
      <c r="B42" s="679">
        <v>3010</v>
      </c>
      <c r="C42" s="679">
        <v>1</v>
      </c>
      <c r="D42" s="678"/>
      <c r="E42" s="678"/>
      <c r="F42" s="678">
        <v>40</v>
      </c>
      <c r="G42" s="679">
        <v>10</v>
      </c>
      <c r="H42" s="679"/>
      <c r="I42" s="679"/>
      <c r="J42" s="682"/>
      <c r="K42" s="679"/>
      <c r="L42" s="678"/>
      <c r="M42" s="679"/>
      <c r="N42" s="679"/>
      <c r="O42" s="679"/>
      <c r="P42" s="682"/>
      <c r="Q42" s="682"/>
      <c r="R42" s="682"/>
      <c r="S42" s="678" t="s">
        <v>1689</v>
      </c>
      <c r="T42" s="774" t="b">
        <v>0</v>
      </c>
      <c r="U42" s="891">
        <f>($D42*dpsStr+$E42*dpsAgi+$G42*dpsCrit+$H42*dpsHit+$F42*dpsAP+$I42*dpsHaste+$J42*dpsArmor+$K42*dpsExp)-'Gear &amp; Buffs'!$AF$58</f>
        <v>-4.9448928695705945</v>
      </c>
      <c r="V42" s="221">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51">
        <v>1</v>
      </c>
      <c r="X42" s="752" t="str">
        <f t="shared" ref="X42:X48" si="2">IF(ISNA(INDEX($A$41:$A$47,MATCH(W42,V$41:V$47,0))), "", INDEX($A$41:$A$47,MATCH(W42,V$41:V$47,0)))</f>
        <v>Clefthide Leg Armor (+10agi +30stam)</v>
      </c>
    </row>
    <row r="43" spans="1:25">
      <c r="A43" s="677" t="s">
        <v>795</v>
      </c>
      <c r="B43" s="679">
        <v>2585</v>
      </c>
      <c r="C43" s="679">
        <v>1</v>
      </c>
      <c r="D43" s="678"/>
      <c r="E43" s="678"/>
      <c r="F43" s="678">
        <v>28</v>
      </c>
      <c r="G43" s="679"/>
      <c r="H43" s="679"/>
      <c r="I43" s="679"/>
      <c r="J43" s="682"/>
      <c r="K43" s="679"/>
      <c r="L43" s="678"/>
      <c r="M43" s="679">
        <v>12</v>
      </c>
      <c r="N43" s="679"/>
      <c r="O43" s="679"/>
      <c r="P43" s="717"/>
      <c r="Q43" s="717"/>
      <c r="R43" s="717"/>
      <c r="S43" s="678" t="s">
        <v>668</v>
      </c>
      <c r="T43" s="774" t="b">
        <v>0</v>
      </c>
      <c r="U43" s="891">
        <f>($D43*dpsStr+$E43*dpsAgi+$G43*dpsCrit+$H43*dpsHit+$F43*dpsAP+$I43*dpsHaste+$J43*dpsArmor+$K43*dpsExp)-'Gear &amp; Buffs'!$AF$58</f>
        <v>-16.090816234927388</v>
      </c>
      <c r="V43" s="221">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51">
        <v>2</v>
      </c>
      <c r="X43" s="752" t="str">
        <f t="shared" si="2"/>
        <v>Cobrahide Leg Armor (+10crit +40ap)</v>
      </c>
    </row>
    <row r="44" spans="1:25">
      <c r="A44" s="677" t="s">
        <v>1104</v>
      </c>
      <c r="B44" s="679">
        <v>2543</v>
      </c>
      <c r="C44" s="679">
        <v>1</v>
      </c>
      <c r="D44" s="678"/>
      <c r="E44" s="678"/>
      <c r="F44" s="678"/>
      <c r="G44" s="679"/>
      <c r="H44" s="679"/>
      <c r="I44" s="679">
        <v>10</v>
      </c>
      <c r="J44" s="682"/>
      <c r="K44" s="679"/>
      <c r="L44" s="678"/>
      <c r="M44" s="679"/>
      <c r="N44" s="679"/>
      <c r="O44" s="679"/>
      <c r="P44" s="682"/>
      <c r="Q44" s="682"/>
      <c r="R44" s="682"/>
      <c r="S44" s="678" t="s">
        <v>668</v>
      </c>
      <c r="T44" s="774" t="b">
        <v>0</v>
      </c>
      <c r="U44" s="891">
        <f>($D44*dpsStr+$E44*dpsAgi+$G44*dpsCrit+$H44*dpsHit+$F44*dpsAP+$I44*dpsHaste+$J44*dpsArmor+$K44*dpsExp)-'Gear &amp; Buffs'!$AF$58</f>
        <v>10.617790431329468</v>
      </c>
      <c r="V44" s="221">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51">
        <v>3</v>
      </c>
      <c r="X44" s="752" t="str">
        <f t="shared" si="2"/>
        <v>Death's Embrace (+28ap 12 dodge)</v>
      </c>
    </row>
    <row r="45" spans="1:25">
      <c r="A45" s="677" t="s">
        <v>1105</v>
      </c>
      <c r="B45" s="678">
        <v>1508</v>
      </c>
      <c r="C45" s="678">
        <v>1</v>
      </c>
      <c r="D45" s="678"/>
      <c r="E45" s="678">
        <v>8</v>
      </c>
      <c r="F45" s="678"/>
      <c r="G45" s="679"/>
      <c r="H45" s="679"/>
      <c r="I45" s="679"/>
      <c r="J45" s="679"/>
      <c r="K45" s="679"/>
      <c r="L45" s="678"/>
      <c r="M45" s="679"/>
      <c r="N45" s="679"/>
      <c r="O45" s="679"/>
      <c r="P45" s="679"/>
      <c r="Q45" s="679"/>
      <c r="R45" s="679"/>
      <c r="S45" s="679" t="s">
        <v>668</v>
      </c>
      <c r="T45" s="774" t="b">
        <v>0</v>
      </c>
      <c r="U45" s="891">
        <f>($D45*dpsStr+$E45*dpsAgi+$G45*dpsCrit+$H45*dpsHit+$F45*dpsAP+$I45*dpsHaste+$J45*dpsArmor+$K45*dpsExp)-'Gear &amp; Buffs'!$AF$58</f>
        <v>-19.47835400419217</v>
      </c>
      <c r="V45" s="221">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5</v>
      </c>
      <c r="W45" s="751">
        <v>4</v>
      </c>
      <c r="X45" s="752" t="str">
        <f t="shared" si="2"/>
        <v>Libram of Rapidity (+10 Haste)</v>
      </c>
    </row>
    <row r="46" spans="1:25">
      <c r="A46" s="677" t="s">
        <v>1919</v>
      </c>
      <c r="B46" s="679">
        <v>3013</v>
      </c>
      <c r="C46" s="679">
        <v>1</v>
      </c>
      <c r="D46" s="678"/>
      <c r="E46" s="678">
        <v>12</v>
      </c>
      <c r="F46" s="678"/>
      <c r="G46" s="679"/>
      <c r="H46" s="679"/>
      <c r="I46" s="679"/>
      <c r="J46" s="682"/>
      <c r="K46" s="679"/>
      <c r="L46" s="678">
        <v>40</v>
      </c>
      <c r="M46" s="679"/>
      <c r="N46" s="679"/>
      <c r="O46" s="679"/>
      <c r="P46" s="775"/>
      <c r="Q46" s="775"/>
      <c r="R46" s="775"/>
      <c r="S46" s="678" t="s">
        <v>1689</v>
      </c>
      <c r="T46" s="774" t="b">
        <v>0</v>
      </c>
      <c r="U46" s="891">
        <f>($D46*dpsStr+$E46*dpsAgi+$G46*dpsCrit+$H46*dpsHit+$F46*dpsAP+$I46*dpsHaste+$J46*dpsArmor+$K46*dpsExp)-'Gear &amp; Buffs'!$AF$58</f>
        <v>-16.169502526852284</v>
      </c>
      <c r="V46" s="221">
        <f>IF(AND(OR(IF(includep1,$C46&lt;=1), IF(includep2,$C46&lt;=2), IF(includep3,$C46&lt;=3), IF(includep4,$C46&lt;=4), IF(includep5,$C46&lt;=5)), OR(IF(includeblacksmith,S46="Blacksmithing"),IF(includeleatherwork,S46="Leatherworking"),IF(includeengineer,S46="Engineering"),IF(includeenchanting,S46="Enchanting"),IF(includeboecrafted,S46="BoE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Hyjal"),IF(includeprebc,S46="Pre-BC"),S46="none"), IF(incDef, TRUE, NOT(T46))),MAX(V$40:$V45)+1,"")</f>
        <v>6</v>
      </c>
      <c r="W46" s="751">
        <v>5</v>
      </c>
      <c r="X46" s="752" t="str">
        <f t="shared" si="2"/>
        <v>Libram of Voracity (+8 Agility)</v>
      </c>
    </row>
    <row r="47" spans="1:25">
      <c r="A47" s="677" t="s">
        <v>1342</v>
      </c>
      <c r="B47" s="679">
        <v>3012</v>
      </c>
      <c r="C47" s="679">
        <v>1</v>
      </c>
      <c r="D47" s="678"/>
      <c r="E47" s="678"/>
      <c r="F47" s="678">
        <v>50</v>
      </c>
      <c r="G47" s="679">
        <v>12</v>
      </c>
      <c r="H47" s="679"/>
      <c r="I47" s="679"/>
      <c r="J47" s="682"/>
      <c r="K47" s="679"/>
      <c r="L47" s="678"/>
      <c r="M47" s="679"/>
      <c r="N47" s="679"/>
      <c r="O47" s="679"/>
      <c r="P47" s="685"/>
      <c r="Q47" s="685"/>
      <c r="R47" s="685"/>
      <c r="S47" s="678" t="s">
        <v>1689</v>
      </c>
      <c r="T47" s="774" t="b">
        <v>0</v>
      </c>
      <c r="U47" s="891">
        <f>($D47*dpsStr+$E47*dpsAgi+$G47*dpsCrit+$H47*dpsHit+$F47*dpsAP+$I47*dpsHaste+$J47*dpsArmor+$K47*dpsExp)-'Gear &amp; Buffs'!$AF$58</f>
        <v>0</v>
      </c>
      <c r="V47" s="221">
        <f>IF(AND(OR(IF(includep1,$C47&lt;=1), IF(includep2,$C47&lt;=2), IF(includep3,$C47&lt;=3), IF(includep4,$C47&lt;=4), IF(includep5,$C47&lt;=5)), OR(IF(includeblacksmith,S47="Blacksmithing"),IF(includeleatherwork,S47="Leatherworking"),IF(includeengineer,S47="Engineering"),IF(includeenchanting,S47="Enchanting"),IF(includeboecrafted,S47="BoE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Hyjal"),IF(includeprebc,S47="Pre-BC"),S47="none"), IF(incDef, TRUE, NOT(T47))),MAX(V$40:$V46)+1,"")</f>
        <v>7</v>
      </c>
      <c r="W47" s="751">
        <v>6</v>
      </c>
      <c r="X47" s="752" t="str">
        <f t="shared" si="2"/>
        <v>Nethercleft Leg Armor (+12agi +40stam)</v>
      </c>
    </row>
    <row r="48" spans="1:25">
      <c r="A48" s="677" t="s">
        <v>2207</v>
      </c>
      <c r="B48" s="682"/>
      <c r="C48" s="682"/>
      <c r="D48" s="682"/>
      <c r="E48" s="682"/>
      <c r="F48" s="682"/>
      <c r="G48" s="682"/>
      <c r="H48" s="682"/>
      <c r="I48" s="717"/>
      <c r="J48" s="758"/>
      <c r="K48" s="682"/>
      <c r="L48" s="682"/>
      <c r="M48" s="682"/>
      <c r="N48" s="682"/>
      <c r="O48" s="682"/>
      <c r="P48" s="679"/>
      <c r="Q48" s="679"/>
      <c r="R48" s="679"/>
      <c r="S48" s="678"/>
      <c r="T48" s="771"/>
      <c r="U48" s="772"/>
      <c r="V48" s="114"/>
      <c r="W48" s="751">
        <v>7</v>
      </c>
      <c r="X48" s="752" t="str">
        <f t="shared" si="2"/>
        <v>Nethercobra Leg Armor (+12crit +50ap)</v>
      </c>
    </row>
    <row r="49" spans="1:22">
      <c r="A49" s="10"/>
      <c r="D49" s="114"/>
      <c r="E49" s="114"/>
      <c r="F49" s="114"/>
      <c r="G49" s="127"/>
      <c r="H49" s="114"/>
      <c r="K49" s="116"/>
      <c r="L49" s="114"/>
      <c r="M49" s="114"/>
      <c r="N49" s="116"/>
      <c r="O49" s="116"/>
      <c r="T49" s="116"/>
      <c r="U49" s="114"/>
      <c r="V49" s="114"/>
    </row>
    <row r="50" spans="1:22">
      <c r="A50" s="10"/>
      <c r="D50" s="114"/>
      <c r="E50" s="114"/>
      <c r="F50" s="114"/>
      <c r="G50" s="114"/>
      <c r="H50" s="114"/>
      <c r="K50" s="116"/>
      <c r="L50" s="114"/>
      <c r="M50" s="127"/>
      <c r="N50" s="116"/>
      <c r="O50" s="116"/>
      <c r="T50" s="116"/>
      <c r="U50" s="114"/>
      <c r="V50" s="114"/>
    </row>
    <row r="51" spans="1:22">
      <c r="A51" s="10"/>
      <c r="B51" s="128"/>
      <c r="C51" s="128"/>
      <c r="D51" s="114"/>
      <c r="E51" s="114"/>
      <c r="F51" s="114"/>
      <c r="G51" s="127"/>
      <c r="H51" s="114"/>
      <c r="I51" s="128"/>
      <c r="K51" s="116"/>
      <c r="L51" s="114"/>
      <c r="M51" s="127"/>
      <c r="N51" s="116"/>
      <c r="O51" s="116"/>
      <c r="T51" s="116"/>
    </row>
    <row r="52" spans="1:22">
      <c r="B52" s="175"/>
      <c r="C52" s="175"/>
      <c r="E52" s="175"/>
      <c r="F52" s="175"/>
      <c r="G52" s="175"/>
      <c r="H52" s="175"/>
      <c r="I52" s="175"/>
      <c r="K52" s="179"/>
      <c r="L52" s="175"/>
      <c r="M52" s="175"/>
      <c r="N52" s="179"/>
      <c r="O52" s="179"/>
      <c r="P52" s="175"/>
      <c r="Q52" s="175"/>
      <c r="R52" s="175"/>
      <c r="T52" s="179"/>
    </row>
    <row r="53" spans="1:22">
      <c r="J53" s="114"/>
    </row>
    <row r="54" spans="1:22">
      <c r="A54" s="6"/>
    </row>
    <row r="55" spans="1:22">
      <c r="A55" s="6"/>
    </row>
    <row r="56" spans="1:22">
      <c r="A56" s="6"/>
    </row>
    <row r="57" spans="1:22">
      <c r="A57" s="6"/>
    </row>
    <row r="58" spans="1:22">
      <c r="A58" s="6"/>
    </row>
    <row r="59" spans="1:22">
      <c r="A59" s="6"/>
    </row>
    <row r="60" spans="1:22">
      <c r="A60" s="6"/>
    </row>
    <row r="61" spans="1:22">
      <c r="A61" s="6"/>
    </row>
    <row r="62" spans="1:22">
      <c r="A62" s="6"/>
    </row>
    <row r="63" spans="1:22">
      <c r="A63" s="6"/>
    </row>
    <row r="64" spans="1:22">
      <c r="A64" s="6"/>
    </row>
    <row r="65" spans="1:20">
      <c r="A65" s="6"/>
      <c r="B65" s="175"/>
      <c r="C65" s="175"/>
      <c r="E65" s="175"/>
      <c r="F65" s="175"/>
      <c r="G65" s="175"/>
      <c r="H65" s="175"/>
      <c r="I65" s="175"/>
      <c r="K65" s="171"/>
      <c r="L65" s="175"/>
      <c r="M65" s="175"/>
      <c r="N65" s="175"/>
      <c r="O65" s="171"/>
      <c r="P65" s="175"/>
      <c r="Q65" s="175"/>
      <c r="R65" s="175"/>
      <c r="T65" s="171"/>
    </row>
    <row r="66" spans="1:20">
      <c r="A66" s="6"/>
      <c r="B66" s="175"/>
      <c r="C66" s="175"/>
      <c r="E66" s="170"/>
      <c r="F66" s="170"/>
      <c r="G66" s="171"/>
      <c r="H66" s="171"/>
      <c r="I66" s="175"/>
      <c r="K66" s="171"/>
      <c r="L66" s="170"/>
      <c r="M66" s="171"/>
      <c r="N66" s="171"/>
      <c r="O66" s="171"/>
      <c r="P66" s="175"/>
      <c r="Q66" s="175"/>
      <c r="R66" s="175"/>
      <c r="T66" s="171"/>
    </row>
    <row r="67" spans="1:20">
      <c r="A67" s="6"/>
      <c r="B67" s="175"/>
      <c r="C67" s="175"/>
      <c r="E67" s="170"/>
      <c r="F67" s="170"/>
      <c r="G67" s="170"/>
      <c r="H67" s="177"/>
      <c r="I67" s="175"/>
      <c r="K67" s="171"/>
      <c r="L67" s="170"/>
      <c r="M67" s="170"/>
      <c r="N67" s="171"/>
      <c r="O67" s="171"/>
      <c r="P67" s="175"/>
      <c r="Q67" s="175"/>
      <c r="R67" s="175"/>
      <c r="T67" s="171"/>
    </row>
    <row r="68" spans="1:20">
      <c r="A68" s="6"/>
      <c r="E68" s="114"/>
      <c r="F68" s="114"/>
      <c r="G68" s="114"/>
      <c r="H68" s="114"/>
      <c r="K68" s="116"/>
      <c r="L68" s="114"/>
      <c r="M68" s="114"/>
      <c r="N68" s="116"/>
      <c r="O68" s="116"/>
      <c r="T68" s="116"/>
    </row>
    <row r="69" spans="1:20">
      <c r="A69" s="6"/>
      <c r="E69" s="114"/>
      <c r="F69" s="114"/>
      <c r="G69" s="114"/>
      <c r="H69" s="127"/>
      <c r="K69" s="116"/>
      <c r="L69" s="114"/>
      <c r="M69" s="114"/>
      <c r="N69" s="116"/>
      <c r="O69" s="116"/>
      <c r="T69" s="116"/>
    </row>
    <row r="70" spans="1:20">
      <c r="A70" s="6"/>
      <c r="E70" s="133"/>
      <c r="F70" s="133"/>
      <c r="G70" s="133"/>
      <c r="H70" s="133"/>
      <c r="K70" s="134"/>
      <c r="L70" s="133"/>
      <c r="M70" s="133"/>
      <c r="N70" s="134"/>
      <c r="O70" s="134"/>
      <c r="T70" s="134"/>
    </row>
    <row r="71" spans="1:20">
      <c r="A71" s="6"/>
      <c r="K71" s="48"/>
      <c r="N71" s="48"/>
      <c r="O71" s="48"/>
      <c r="T71" s="48"/>
    </row>
    <row r="72" spans="1:20">
      <c r="A72" s="6"/>
      <c r="K72" s="48"/>
      <c r="N72" s="48"/>
      <c r="O72" s="48"/>
      <c r="T72" s="48"/>
    </row>
    <row r="73" spans="1:20">
      <c r="A73" s="6"/>
      <c r="K73" s="48"/>
      <c r="N73" s="48"/>
      <c r="O73" s="48"/>
      <c r="T73" s="48"/>
    </row>
    <row r="74" spans="1:20">
      <c r="K74" s="48"/>
      <c r="N74" s="48"/>
      <c r="O74" s="48"/>
      <c r="T74" s="48"/>
    </row>
    <row r="75" spans="1:20">
      <c r="K75" s="48"/>
      <c r="N75" s="48"/>
      <c r="O75" s="48"/>
      <c r="T75" s="48"/>
    </row>
    <row r="76" spans="1:20">
      <c r="K76" s="48"/>
      <c r="N76" s="48"/>
      <c r="O76" s="48"/>
      <c r="T76" s="48"/>
    </row>
    <row r="77" spans="1:20">
      <c r="J77" s="114"/>
      <c r="K77" s="48"/>
      <c r="N77" s="48"/>
      <c r="O77" s="48"/>
      <c r="T77" s="48"/>
    </row>
    <row r="78" spans="1:20">
      <c r="J78" s="114"/>
      <c r="K78" s="48"/>
      <c r="N78" s="48"/>
      <c r="O78" s="48"/>
      <c r="T78" s="48"/>
    </row>
    <row r="79" spans="1:20">
      <c r="J79" s="114"/>
      <c r="K79" s="48"/>
      <c r="N79" s="48"/>
      <c r="O79" s="48"/>
      <c r="T79" s="48"/>
    </row>
    <row r="80" spans="1:20">
      <c r="K80" s="48"/>
      <c r="N80" s="48"/>
      <c r="O80" s="48"/>
      <c r="T80" s="48"/>
    </row>
    <row r="81" spans="1:20">
      <c r="K81" s="48"/>
      <c r="N81" s="48"/>
      <c r="O81" s="48"/>
      <c r="T81" s="48"/>
    </row>
    <row r="82" spans="1:20">
      <c r="A82" s="132"/>
      <c r="D82" s="118"/>
      <c r="E82" s="118"/>
      <c r="F82" s="118"/>
      <c r="G82" s="118"/>
      <c r="H82" s="118"/>
      <c r="K82" s="119"/>
      <c r="L82" s="118"/>
      <c r="M82" s="118"/>
      <c r="N82" s="119"/>
      <c r="O82" s="119"/>
      <c r="T82" s="119"/>
    </row>
    <row r="83" spans="1:20">
      <c r="A83" s="10"/>
      <c r="B83" s="128"/>
      <c r="C83" s="128"/>
      <c r="D83" s="114"/>
      <c r="E83" s="114"/>
      <c r="F83" s="114"/>
      <c r="G83" s="127"/>
      <c r="H83" s="127"/>
      <c r="I83" s="128"/>
      <c r="K83" s="116"/>
      <c r="L83" s="114"/>
      <c r="M83" s="127"/>
      <c r="N83" s="116"/>
      <c r="O83" s="116"/>
      <c r="T83" s="116"/>
    </row>
    <row r="84" spans="1:20">
      <c r="A84" s="10"/>
      <c r="B84" s="129"/>
      <c r="C84" s="129"/>
      <c r="D84" s="114"/>
      <c r="E84" s="114"/>
      <c r="F84" s="114"/>
      <c r="G84" s="127"/>
      <c r="H84" s="127"/>
      <c r="I84" s="129"/>
      <c r="K84" s="116"/>
      <c r="L84" s="114"/>
      <c r="M84" s="127"/>
      <c r="N84" s="116"/>
      <c r="O84" s="116"/>
      <c r="T84" s="116"/>
    </row>
    <row r="85" spans="1:20">
      <c r="A85" s="10"/>
      <c r="D85" s="114"/>
      <c r="E85" s="114"/>
      <c r="F85" s="114"/>
      <c r="G85" s="114"/>
      <c r="H85" s="114"/>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8"/>
      <c r="G87" s="114"/>
      <c r="H87" s="127"/>
      <c r="K87" s="116"/>
      <c r="L87" s="114"/>
      <c r="M87" s="114"/>
      <c r="N87" s="116"/>
      <c r="O87" s="116"/>
      <c r="T87" s="116"/>
    </row>
    <row r="88" spans="1:20">
      <c r="A88" s="10"/>
      <c r="D88" s="114"/>
      <c r="E88" s="114"/>
      <c r="F88" s="114"/>
      <c r="G88" s="114"/>
      <c r="H88" s="114"/>
      <c r="K88" s="116"/>
      <c r="L88" s="114"/>
      <c r="M88" s="114"/>
      <c r="N88" s="116"/>
      <c r="O88" s="116"/>
      <c r="T88" s="116"/>
    </row>
    <row r="89" spans="1:20">
      <c r="A89" s="10"/>
      <c r="D89" s="114"/>
      <c r="E89" s="114"/>
      <c r="F89" s="114"/>
      <c r="G89" s="127"/>
      <c r="H89" s="127"/>
      <c r="K89" s="116"/>
      <c r="L89" s="114"/>
      <c r="M89" s="114"/>
      <c r="N89" s="116"/>
      <c r="O89" s="116"/>
      <c r="T89" s="116"/>
    </row>
    <row r="90" spans="1:20">
      <c r="A90" s="135"/>
      <c r="D90" s="133"/>
      <c r="E90" s="133"/>
      <c r="F90" s="133"/>
      <c r="G90" s="133"/>
      <c r="H90" s="133"/>
      <c r="K90" s="134"/>
      <c r="L90" s="133"/>
      <c r="M90" s="133"/>
      <c r="N90" s="134"/>
      <c r="O90" s="134"/>
      <c r="T90" s="134"/>
    </row>
    <row r="91" spans="1:20">
      <c r="A91" s="132"/>
      <c r="D91" s="118"/>
      <c r="E91" s="118"/>
      <c r="F91" s="118"/>
      <c r="G91" s="118"/>
      <c r="H91" s="118"/>
      <c r="K91" s="119"/>
      <c r="L91" s="118"/>
      <c r="M91" s="118"/>
      <c r="N91" s="119"/>
      <c r="O91" s="119"/>
      <c r="T91" s="119"/>
    </row>
    <row r="92" spans="1:20">
      <c r="A92" s="10"/>
      <c r="D92" s="114"/>
      <c r="E92" s="114"/>
      <c r="F92" s="114"/>
      <c r="G92" s="127"/>
      <c r="H92" s="127"/>
      <c r="K92" s="116"/>
      <c r="L92" s="114"/>
      <c r="M92" s="114"/>
      <c r="N92" s="116"/>
      <c r="O92" s="116"/>
      <c r="T92" s="116"/>
    </row>
    <row r="93" spans="1:20">
      <c r="A93" s="10"/>
      <c r="D93" s="114"/>
      <c r="E93" s="114"/>
      <c r="F93" s="114"/>
      <c r="G93" s="114"/>
      <c r="H93" s="127"/>
      <c r="K93" s="116"/>
      <c r="L93" s="114"/>
      <c r="M93" s="114"/>
      <c r="N93" s="116"/>
      <c r="O93" s="116"/>
      <c r="T93" s="116"/>
    </row>
    <row r="94" spans="1:20">
      <c r="A94" s="10"/>
      <c r="D94" s="114"/>
      <c r="E94" s="114"/>
      <c r="F94" s="114"/>
      <c r="G94" s="114"/>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27"/>
      <c r="H96" s="127"/>
      <c r="K96" s="116"/>
      <c r="L96" s="114"/>
      <c r="M96" s="114"/>
      <c r="N96" s="116"/>
      <c r="O96" s="116"/>
      <c r="T96" s="116"/>
    </row>
    <row r="97" spans="1:20">
      <c r="A97" s="10"/>
      <c r="B97" s="131"/>
      <c r="C97" s="131"/>
      <c r="D97" s="114"/>
      <c r="E97" s="114"/>
      <c r="F97" s="114"/>
      <c r="G97" s="127"/>
      <c r="H97" s="114"/>
      <c r="I97" s="131"/>
      <c r="K97" s="116"/>
      <c r="L97" s="114"/>
      <c r="M97" s="114"/>
      <c r="N97" s="116"/>
      <c r="O97" s="116"/>
      <c r="T97" s="116"/>
    </row>
    <row r="98" spans="1:20">
      <c r="A98" s="10"/>
      <c r="D98" s="114"/>
      <c r="E98" s="114"/>
      <c r="F98" s="114"/>
      <c r="G98" s="114"/>
      <c r="H98" s="127"/>
      <c r="K98" s="116"/>
      <c r="L98" s="114"/>
      <c r="M98" s="127"/>
      <c r="N98" s="116"/>
      <c r="O98" s="116"/>
      <c r="T98" s="116"/>
    </row>
    <row r="99" spans="1:20">
      <c r="A99" s="10"/>
      <c r="D99" s="114"/>
      <c r="E99" s="114"/>
      <c r="F99" s="114"/>
      <c r="G99" s="127"/>
      <c r="H99" s="127"/>
      <c r="K99" s="116"/>
      <c r="L99" s="114"/>
      <c r="M99" s="114"/>
      <c r="N99" s="116"/>
      <c r="O99" s="116"/>
      <c r="T99" s="116"/>
    </row>
    <row r="100" spans="1:20">
      <c r="A100" s="10"/>
      <c r="D100" s="114"/>
      <c r="E100" s="114"/>
      <c r="F100" s="114"/>
      <c r="G100" s="127"/>
      <c r="H100" s="127"/>
      <c r="K100" s="116"/>
      <c r="L100" s="114"/>
      <c r="M100" s="114"/>
      <c r="N100" s="116"/>
      <c r="O100" s="116"/>
      <c r="T100" s="116"/>
    </row>
    <row r="101" spans="1:20">
      <c r="A101" s="10"/>
      <c r="D101" s="114"/>
      <c r="E101" s="114"/>
      <c r="F101" s="114"/>
      <c r="G101" s="114"/>
      <c r="H101" s="127"/>
      <c r="K101" s="116"/>
      <c r="L101" s="114"/>
      <c r="M101" s="114"/>
      <c r="N101" s="116"/>
      <c r="O101" s="116"/>
      <c r="T101" s="116"/>
    </row>
    <row r="102" spans="1:20">
      <c r="A102" s="136"/>
      <c r="D102" s="114"/>
      <c r="E102" s="114"/>
      <c r="F102" s="114"/>
      <c r="G102" s="114"/>
      <c r="H102" s="114"/>
      <c r="K102" s="116"/>
      <c r="L102" s="114"/>
      <c r="M102" s="114"/>
      <c r="N102" s="116"/>
      <c r="O102" s="116"/>
      <c r="T102" s="116"/>
    </row>
    <row r="103" spans="1:20">
      <c r="A103" s="132"/>
      <c r="D103" s="118"/>
      <c r="E103" s="118"/>
      <c r="F103" s="118"/>
      <c r="G103" s="118"/>
      <c r="H103" s="118"/>
      <c r="K103" s="119"/>
      <c r="L103" s="118"/>
      <c r="M103" s="118"/>
      <c r="N103" s="119"/>
      <c r="O103" s="119"/>
      <c r="T103" s="119"/>
    </row>
    <row r="104" spans="1:20">
      <c r="A104" s="10"/>
      <c r="D104" s="114"/>
      <c r="E104" s="114"/>
      <c r="F104" s="114"/>
      <c r="G104" s="127"/>
      <c r="H104" s="114"/>
      <c r="K104" s="116"/>
      <c r="L104" s="114"/>
      <c r="M104" s="114"/>
      <c r="N104" s="116"/>
      <c r="O104" s="116"/>
      <c r="T104" s="116"/>
    </row>
    <row r="105" spans="1:20">
      <c r="A105" s="10"/>
      <c r="D105" s="114"/>
      <c r="E105" s="114"/>
      <c r="F105" s="114"/>
      <c r="G105" s="114"/>
      <c r="H105" s="127"/>
      <c r="K105" s="116"/>
      <c r="L105" s="114"/>
      <c r="M105" s="127"/>
      <c r="N105" s="116"/>
      <c r="O105" s="116"/>
      <c r="T105" s="116"/>
    </row>
    <row r="106" spans="1:20">
      <c r="A106" s="10"/>
      <c r="D106" s="114"/>
      <c r="E106" s="114"/>
      <c r="F106" s="114"/>
      <c r="G106" s="114"/>
      <c r="H106" s="127"/>
      <c r="K106" s="116"/>
      <c r="L106" s="114"/>
      <c r="M106" s="127"/>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27"/>
      <c r="K108" s="116"/>
      <c r="L108" s="114"/>
      <c r="M108" s="114"/>
      <c r="N108" s="116"/>
      <c r="O108" s="116"/>
      <c r="T108" s="116"/>
    </row>
    <row r="109" spans="1:20">
      <c r="A109" s="136"/>
      <c r="D109" s="114"/>
      <c r="E109" s="114"/>
      <c r="F109" s="114"/>
      <c r="G109" s="114"/>
      <c r="H109" s="114"/>
      <c r="K109" s="116"/>
      <c r="L109" s="114"/>
      <c r="M109" s="114"/>
      <c r="N109" s="116"/>
      <c r="O109" s="116"/>
      <c r="T109" s="116"/>
    </row>
    <row r="110" spans="1:20">
      <c r="A110" s="132"/>
      <c r="D110" s="118"/>
      <c r="E110" s="118"/>
      <c r="F110" s="118"/>
      <c r="G110" s="118"/>
      <c r="H110" s="118"/>
      <c r="K110" s="119"/>
      <c r="L110" s="118"/>
      <c r="M110" s="118"/>
      <c r="N110" s="119"/>
      <c r="O110" s="119"/>
      <c r="T110" s="119"/>
    </row>
    <row r="111" spans="1:20">
      <c r="A111" s="10"/>
      <c r="D111" s="114"/>
      <c r="E111" s="114"/>
      <c r="F111" s="114"/>
      <c r="G111" s="114"/>
      <c r="H111" s="114"/>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14"/>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27"/>
      <c r="H116" s="127"/>
      <c r="K116" s="116"/>
      <c r="L116" s="114"/>
      <c r="M116" s="114"/>
      <c r="N116" s="116"/>
      <c r="O116" s="116"/>
      <c r="T116" s="116"/>
    </row>
    <row r="117" spans="1:20">
      <c r="A117" s="10"/>
      <c r="D117" s="114"/>
      <c r="E117" s="114"/>
      <c r="F117" s="114"/>
      <c r="G117" s="114"/>
      <c r="H117" s="127"/>
      <c r="K117" s="116"/>
      <c r="L117" s="114"/>
      <c r="M117" s="114"/>
      <c r="N117" s="116"/>
      <c r="O117" s="116"/>
      <c r="T117" s="116"/>
    </row>
    <row r="118" spans="1:20">
      <c r="A118" s="10"/>
      <c r="D118" s="114"/>
      <c r="E118" s="114"/>
      <c r="F118" s="114"/>
      <c r="G118" s="114"/>
      <c r="H118" s="114"/>
      <c r="K118" s="116"/>
      <c r="L118" s="114"/>
      <c r="M118" s="127"/>
      <c r="N118" s="116"/>
      <c r="O118" s="116"/>
      <c r="T118" s="116"/>
    </row>
    <row r="119" spans="1:20">
      <c r="A119" s="10"/>
      <c r="D119" s="114"/>
      <c r="E119" s="114"/>
      <c r="F119" s="114"/>
      <c r="G119" s="127"/>
      <c r="H119" s="114"/>
      <c r="K119" s="116"/>
      <c r="L119" s="114"/>
      <c r="M119" s="114"/>
      <c r="N119" s="116"/>
      <c r="O119" s="116"/>
      <c r="T119" s="116"/>
    </row>
    <row r="120" spans="1:20">
      <c r="A120" s="10"/>
      <c r="D120" s="114"/>
      <c r="E120" s="114"/>
      <c r="F120" s="114"/>
      <c r="G120" s="127"/>
      <c r="H120" s="127"/>
      <c r="K120" s="116"/>
      <c r="L120" s="114"/>
      <c r="M120" s="114"/>
      <c r="N120" s="116"/>
      <c r="O120" s="116"/>
      <c r="T120" s="116"/>
    </row>
    <row r="121" spans="1:20">
      <c r="A121" s="10"/>
      <c r="D121" s="114"/>
      <c r="E121" s="114"/>
      <c r="F121" s="114"/>
      <c r="G121" s="114"/>
      <c r="H121" s="114"/>
      <c r="K121" s="116"/>
      <c r="L121" s="114"/>
      <c r="M121" s="114"/>
      <c r="N121" s="116"/>
      <c r="O121" s="116"/>
      <c r="T121" s="116"/>
    </row>
    <row r="122" spans="1:20">
      <c r="A122" s="132"/>
      <c r="D122" s="118"/>
      <c r="E122" s="118"/>
      <c r="F122" s="118"/>
      <c r="G122" s="118"/>
      <c r="H122" s="118"/>
      <c r="K122" s="119"/>
      <c r="L122" s="118"/>
      <c r="M122" s="118"/>
      <c r="N122" s="119"/>
      <c r="O122" s="119"/>
      <c r="T122" s="119"/>
    </row>
    <row r="123" spans="1:20">
      <c r="A123" s="10"/>
      <c r="D123" s="114"/>
      <c r="E123" s="114"/>
      <c r="F123" s="114"/>
      <c r="G123" s="127"/>
      <c r="H123" s="114"/>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0"/>
      <c r="D125" s="114"/>
      <c r="E125" s="114"/>
      <c r="F125" s="114"/>
      <c r="G125" s="114"/>
      <c r="H125" s="114"/>
      <c r="K125" s="116"/>
      <c r="L125" s="114"/>
      <c r="M125" s="127"/>
      <c r="N125" s="116"/>
      <c r="O125" s="116"/>
      <c r="T125" s="116"/>
    </row>
    <row r="126" spans="1:20">
      <c r="A126" s="10"/>
      <c r="D126" s="114"/>
      <c r="E126" s="114"/>
      <c r="F126" s="114"/>
      <c r="G126" s="127"/>
      <c r="H126" s="114"/>
      <c r="K126" s="116"/>
      <c r="L126" s="114"/>
      <c r="M126" s="114"/>
      <c r="N126" s="116"/>
      <c r="O126" s="116"/>
      <c r="T126" s="116"/>
    </row>
    <row r="127" spans="1:20">
      <c r="A127" s="10"/>
      <c r="D127" s="114"/>
      <c r="E127" s="114"/>
      <c r="F127" s="114"/>
      <c r="G127" s="114"/>
      <c r="H127" s="127"/>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27"/>
      <c r="H129" s="114"/>
      <c r="K129" s="116"/>
      <c r="L129" s="114"/>
      <c r="M129" s="114"/>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14"/>
      <c r="H131" s="127"/>
      <c r="K131" s="116"/>
      <c r="L131" s="114"/>
      <c r="M131" s="114"/>
      <c r="N131" s="116"/>
      <c r="O131" s="116"/>
      <c r="T131" s="116"/>
    </row>
  </sheetData>
  <phoneticPr fontId="2" type="noConversion"/>
  <conditionalFormatting sqref="U2:U36">
    <cfRule type="cellIs" dxfId="21" priority="3" stopIfTrue="1" operator="lessThan">
      <formula>0</formula>
    </cfRule>
    <cfRule type="cellIs" dxfId="20" priority="4" stopIfTrue="1" operator="greaterThan">
      <formula>0</formula>
    </cfRule>
  </conditionalFormatting>
  <conditionalFormatting sqref="U41:U47">
    <cfRule type="cellIs" dxfId="19" priority="1" stopIfTrue="1" operator="lessThan">
      <formula>0</formula>
    </cfRule>
    <cfRule type="cellIs" dxfId="1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X129"/>
  <sheetViews>
    <sheetView workbookViewId="0">
      <selection activeCell="C20" sqref="C20"/>
    </sheetView>
  </sheetViews>
  <sheetFormatPr defaultRowHeight="11.25"/>
  <cols>
    <col min="1" max="1" width="30.5703125" style="48" bestFit="1" customWidth="1"/>
    <col min="2" max="2" width="6.42578125" style="48"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7109375" style="48" bestFit="1" customWidth="1"/>
    <col min="18" max="18" width="6.42578125" style="48" bestFit="1" customWidth="1"/>
    <col min="19" max="19" width="11.85546875" style="129" bestFit="1" customWidth="1"/>
    <col min="20" max="20" width="8.85546875" style="122" bestFit="1" customWidth="1"/>
    <col min="21" max="21" width="8.85546875" style="129" bestFit="1" customWidth="1"/>
    <col min="22" max="23" width="2.7109375" style="129" bestFit="1" customWidth="1"/>
    <col min="24" max="24" width="28.85546875" style="48" bestFit="1" customWidth="1"/>
    <col min="25" max="16384" width="9.140625" style="48"/>
  </cols>
  <sheetData>
    <row r="1" spans="1:24" ht="23.25" thickBot="1">
      <c r="A1" s="753" t="s">
        <v>164</v>
      </c>
      <c r="B1" s="753" t="s">
        <v>1934</v>
      </c>
      <c r="C1" s="753" t="s">
        <v>2798</v>
      </c>
      <c r="D1" s="753" t="s">
        <v>1214</v>
      </c>
      <c r="E1" s="753" t="s">
        <v>1215</v>
      </c>
      <c r="F1" s="753" t="s">
        <v>768</v>
      </c>
      <c r="G1" s="754" t="s">
        <v>2140</v>
      </c>
      <c r="H1" s="754" t="s">
        <v>2139</v>
      </c>
      <c r="I1" s="753" t="s">
        <v>771</v>
      </c>
      <c r="J1" s="753" t="s">
        <v>1219</v>
      </c>
      <c r="K1" s="754" t="s">
        <v>760</v>
      </c>
      <c r="L1" s="753" t="s">
        <v>1216</v>
      </c>
      <c r="M1" s="754" t="s">
        <v>264</v>
      </c>
      <c r="N1" s="754" t="s">
        <v>1217</v>
      </c>
      <c r="O1" s="754" t="s">
        <v>1287</v>
      </c>
      <c r="P1" s="730" t="s">
        <v>1046</v>
      </c>
      <c r="Q1" s="731" t="s">
        <v>1047</v>
      </c>
      <c r="R1" s="731" t="s">
        <v>1941</v>
      </c>
      <c r="S1" s="731" t="s">
        <v>666</v>
      </c>
      <c r="T1" s="730"/>
      <c r="U1" s="733" t="s">
        <v>265</v>
      </c>
      <c r="V1" s="744">
        <v>0</v>
      </c>
      <c r="W1" s="744"/>
      <c r="X1" s="753" t="s">
        <v>2078</v>
      </c>
    </row>
    <row r="2" spans="1:24">
      <c r="A2" s="10" t="s">
        <v>1920</v>
      </c>
      <c r="B2" s="114">
        <v>30891</v>
      </c>
      <c r="C2" s="114">
        <v>3</v>
      </c>
      <c r="D2" s="114"/>
      <c r="E2" s="114"/>
      <c r="F2" s="114">
        <v>98</v>
      </c>
      <c r="G2" s="116"/>
      <c r="H2" s="116">
        <v>34</v>
      </c>
      <c r="I2" s="114"/>
      <c r="J2" s="114"/>
      <c r="K2" s="114"/>
      <c r="L2" s="114">
        <v>41</v>
      </c>
      <c r="M2" s="116"/>
      <c r="N2" s="116"/>
      <c r="O2" s="114"/>
      <c r="P2" s="114"/>
      <c r="Q2" s="114" t="s">
        <v>1033</v>
      </c>
      <c r="R2" s="114"/>
      <c r="S2" s="114" t="s">
        <v>684</v>
      </c>
      <c r="T2" s="114"/>
      <c r="U2" s="891">
        <f>($D2*dpsStr+$E2*dpsAgi+$G2*dpsCrit+$H2*dpsHit+$F2*dpsAP+$I2*dpsHaste+$J2*dpsArmor+$K2*dpsExp+IF(MID(Q2,1,1)+MID(Q2,3,1)+MID(Q2,5,1)&gt;0,VLOOKUP('Gear &amp; Buffs'!$B$64,GenSocketStats,18,FALSE)+IF(MID(Q2,1,1)+MID(Q2,3,1)+MID(Q2,5,1)&gt;1,VLOOKUP('Gear &amp; Buffs'!$B$65,GenSocketStats,18,FALSE)+IF(MID(Q2,1,1)+MID(Q2,3,1)+MID(Q2,5,1)&gt;2,VLOOKUP('Gear &amp; Buffs'!$B$66,GenSocketStats,18,FALSE),0)),0))-'Gear &amp; Buffs'!$AF$62</f>
        <v>41.948079912269122</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8"/>
      <c r="X2" s="714" t="s">
        <v>1689</v>
      </c>
    </row>
    <row r="3" spans="1:24">
      <c r="A3" s="10" t="s">
        <v>2358</v>
      </c>
      <c r="B3" s="114">
        <v>22480</v>
      </c>
      <c r="C3" s="114">
        <v>1</v>
      </c>
      <c r="D3" s="114"/>
      <c r="E3" s="114"/>
      <c r="F3" s="114">
        <v>64</v>
      </c>
      <c r="G3" s="116">
        <v>14</v>
      </c>
      <c r="H3" s="116">
        <v>10</v>
      </c>
      <c r="I3" s="114"/>
      <c r="J3" s="114"/>
      <c r="K3" s="114"/>
      <c r="L3" s="114">
        <v>18</v>
      </c>
      <c r="M3" s="116"/>
      <c r="N3" s="116"/>
      <c r="O3" s="114"/>
      <c r="P3" s="114" t="s">
        <v>2335</v>
      </c>
      <c r="Q3" s="114" t="s">
        <v>1033</v>
      </c>
      <c r="R3" s="114"/>
      <c r="S3" s="114" t="s">
        <v>668</v>
      </c>
      <c r="T3" s="114"/>
      <c r="U3" s="891">
        <f>($D3*dpsStr+$E3*dpsAgi+$G3*dpsCrit+$H3*dpsHit+$F3*dpsAP+$I3*dpsHaste+$J3*dpsArmor+$K3*dpsExp+IF(MID(Q3,1,1)+MID(Q3,3,1)+MID(Q3,5,1)&gt;0,VLOOKUP('Gear &amp; Buffs'!$B$64,GenSocketStats,18,FALSE)+IF(MID(Q3,1,1)+MID(Q3,3,1)+MID(Q3,5,1)&gt;1,VLOOKUP('Gear &amp; Buffs'!$B$65,GenSocketStats,18,FALSE)+IF(MID(Q3,1,1)+MID(Q3,3,1)+MID(Q3,5,1)&gt;2,VLOOKUP('Gear &amp; Buffs'!$B$66,GenSocketStats,18,FALSE),0)),0))-'Gear &amp; Buffs'!$AF$62</f>
        <v>-93.800747900725355</v>
      </c>
      <c r="V3" s="114">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1</v>
      </c>
      <c r="W3" s="738"/>
      <c r="X3" s="714" t="str">
        <f>" "</f>
        <v xml:space="preserve"> </v>
      </c>
    </row>
    <row r="4" spans="1:24">
      <c r="A4" s="10" t="s">
        <v>665</v>
      </c>
      <c r="B4" s="114">
        <v>30060</v>
      </c>
      <c r="C4" s="114">
        <v>2</v>
      </c>
      <c r="D4" s="114"/>
      <c r="E4" s="114">
        <v>42</v>
      </c>
      <c r="F4" s="114">
        <v>58</v>
      </c>
      <c r="G4" s="116"/>
      <c r="H4" s="116"/>
      <c r="I4" s="114"/>
      <c r="J4" s="114"/>
      <c r="K4" s="114"/>
      <c r="L4" s="114">
        <v>41</v>
      </c>
      <c r="M4" s="116"/>
      <c r="N4" s="116"/>
      <c r="O4" s="114"/>
      <c r="P4" s="114"/>
      <c r="Q4" s="114" t="s">
        <v>1033</v>
      </c>
      <c r="R4" s="114"/>
      <c r="S4" s="114" t="s">
        <v>667</v>
      </c>
      <c r="T4" s="114"/>
      <c r="U4" s="891">
        <f>($D4*dpsStr+$E4*dpsAgi+$G4*dpsCrit+$H4*dpsHit+$F4*dpsAP+$I4*dpsHaste+$J4*dpsArmor+$K4*dpsExp+IF(MID(Q4,1,1)+MID(Q4,3,1)+MID(Q4,5,1)&gt;0,VLOOKUP('Gear &amp; Buffs'!$B$64,GenSocketStats,18,FALSE)+IF(MID(Q4,1,1)+MID(Q4,3,1)+MID(Q4,5,1)&gt;1,VLOOKUP('Gear &amp; Buffs'!$B$65,GenSocketStats,18,FALSE)+IF(MID(Q4,1,1)+MID(Q4,3,1)+MID(Q4,5,1)&gt;2,VLOOKUP('Gear &amp; Buffs'!$B$66,GenSocketStats,18,FALSE),0)),0))-'Gear &amp; Buffs'!$AF$62</f>
        <v>-126.30325049219186</v>
      </c>
      <c r="V4" s="114"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8">
        <v>1</v>
      </c>
      <c r="X4" s="714" t="str">
        <f>IF(ISNA(INDEX($A$2:$A$32,MATCH(W4,V$2:V$32,0))), "", INDEX($A$2:$A$32,MATCH(W4,V$2:V$32,0)))</f>
        <v>Bonescythe Sabatons</v>
      </c>
    </row>
    <row r="5" spans="1:24">
      <c r="A5" s="10" t="s">
        <v>693</v>
      </c>
      <c r="B5" s="116">
        <v>28339</v>
      </c>
      <c r="C5" s="116">
        <v>1</v>
      </c>
      <c r="D5" s="114"/>
      <c r="E5" s="114"/>
      <c r="F5" s="114">
        <v>40</v>
      </c>
      <c r="G5" s="116">
        <v>19</v>
      </c>
      <c r="H5" s="116"/>
      <c r="I5" s="116"/>
      <c r="J5" s="114"/>
      <c r="K5" s="116"/>
      <c r="L5" s="114">
        <v>30</v>
      </c>
      <c r="M5" s="116"/>
      <c r="N5" s="116"/>
      <c r="O5" s="116"/>
      <c r="P5" s="114"/>
      <c r="Q5" s="114" t="s">
        <v>1045</v>
      </c>
      <c r="R5" s="114" t="s">
        <v>1447</v>
      </c>
      <c r="S5" s="114" t="s">
        <v>673</v>
      </c>
      <c r="T5" s="116"/>
      <c r="U5" s="891">
        <f>($D5*dpsStr+$E5*dpsAgi+$G5*dpsCrit+$H5*dpsHit+$F5*dpsAP+$I5*dpsHaste+$J5*dpsArmor+$K5*dpsExp+IF(MID(Q5,1,1)+MID(Q5,3,1)+MID(Q5,5,1)&gt;0,VLOOKUP('Gear &amp; Buffs'!$B$64,GenSocketStats,18,FALSE)+IF(MID(Q5,1,1)+MID(Q5,3,1)+MID(Q5,5,1)&gt;1,VLOOKUP('Gear &amp; Buffs'!$B$65,GenSocketStats,18,FALSE)+IF(MID(Q5,1,1)+MID(Q5,3,1)+MID(Q5,5,1)&gt;2,VLOOKUP('Gear &amp; Buffs'!$B$66,GenSocketStats,18,FALSE),0)),0))-'Gear &amp; Buffs'!$AF$62</f>
        <v>-84.53877258210764</v>
      </c>
      <c r="V5" s="114">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8">
        <v>2</v>
      </c>
      <c r="X5" s="714" t="str">
        <f t="shared" ref="X5:X34" si="0">IF(ISNA(INDEX($A$2:$A$32,MATCH(W5,V$2:V$32,0))), "", INDEX($A$2:$A$32,MATCH(W5,V$2:V$32,0)))</f>
        <v>Boots of the Shifting Sands</v>
      </c>
    </row>
    <row r="6" spans="1:24">
      <c r="A6" s="10" t="s">
        <v>694</v>
      </c>
      <c r="B6" s="116">
        <v>27867</v>
      </c>
      <c r="C6" s="116">
        <v>1</v>
      </c>
      <c r="D6" s="114"/>
      <c r="E6" s="114"/>
      <c r="F6" s="114">
        <v>64</v>
      </c>
      <c r="G6" s="116">
        <v>19</v>
      </c>
      <c r="H6" s="116">
        <v>13</v>
      </c>
      <c r="I6" s="116"/>
      <c r="J6" s="114"/>
      <c r="K6" s="116"/>
      <c r="L6" s="114">
        <v>25</v>
      </c>
      <c r="M6" s="116"/>
      <c r="N6" s="116"/>
      <c r="O6" s="116"/>
      <c r="P6" s="114"/>
      <c r="Q6" s="114" t="s">
        <v>1033</v>
      </c>
      <c r="R6" s="114"/>
      <c r="S6" s="114" t="s">
        <v>691</v>
      </c>
      <c r="T6" s="116"/>
      <c r="U6" s="891">
        <f>($D6*dpsStr+$E6*dpsAgi+$G6*dpsCrit+$H6*dpsHit+$F6*dpsAP+$I6*dpsHaste+$J6*dpsArmor+$K6*dpsExp+IF(MID(Q6,1,1)+MID(Q6,3,1)+MID(Q6,5,1)&gt;0,VLOOKUP('Gear &amp; Buffs'!$B$64,GenSocketStats,18,FALSE)+IF(MID(Q6,1,1)+MID(Q6,3,1)+MID(Q6,5,1)&gt;1,VLOOKUP('Gear &amp; Buffs'!$B$65,GenSocketStats,18,FALSE)+IF(MID(Q6,1,1)+MID(Q6,3,1)+MID(Q6,5,1)&gt;2,VLOOKUP('Gear &amp; Buffs'!$B$66,GenSocketStats,18,FALSE),0)),0))-'Gear &amp; Buffs'!$AF$62</f>
        <v>-73.721671971796468</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8">
        <v>3</v>
      </c>
      <c r="X6" s="714" t="str">
        <f t="shared" si="0"/>
        <v>Boots of the Unjust</v>
      </c>
    </row>
    <row r="7" spans="1:24">
      <c r="A7" s="10" t="s">
        <v>695</v>
      </c>
      <c r="B7" s="116">
        <v>30039</v>
      </c>
      <c r="C7" s="116">
        <v>1</v>
      </c>
      <c r="D7" s="114"/>
      <c r="E7" s="114"/>
      <c r="F7" s="114">
        <v>66</v>
      </c>
      <c r="G7" s="116">
        <v>32</v>
      </c>
      <c r="H7" s="116">
        <v>23</v>
      </c>
      <c r="I7" s="116"/>
      <c r="J7" s="114"/>
      <c r="K7" s="116"/>
      <c r="L7" s="114">
        <v>34</v>
      </c>
      <c r="M7" s="116"/>
      <c r="N7" s="116"/>
      <c r="O7" s="116"/>
      <c r="P7" s="114"/>
      <c r="Q7" s="114" t="s">
        <v>1033</v>
      </c>
      <c r="R7" s="114"/>
      <c r="S7" s="114" t="s">
        <v>687</v>
      </c>
      <c r="T7" s="116"/>
      <c r="U7" s="891">
        <f>($D7*dpsStr+$E7*dpsAgi+$G7*dpsCrit+$H7*dpsHit+$F7*dpsAP+$I7*dpsHaste+$J7*dpsArmor+$K7*dpsExp+IF(MID(Q7,1,1)+MID(Q7,3,1)+MID(Q7,5,1)&gt;0,VLOOKUP('Gear &amp; Buffs'!$B$64,GenSocketStats,18,FALSE)+IF(MID(Q7,1,1)+MID(Q7,3,1)+MID(Q7,5,1)&gt;1,VLOOKUP('Gear &amp; Buffs'!$B$65,GenSocketStats,18,FALSE)+IF(MID(Q7,1,1)+MID(Q7,3,1)+MID(Q7,5,1)&gt;2,VLOOKUP('Gear &amp; Buffs'!$B$66,GenSocketStats,18,FALSE),0)),0))-'Gear &amp; Buffs'!$AF$62</f>
        <v>-8.5913452771912944</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8">
        <v>4</v>
      </c>
      <c r="X7" s="714" t="str">
        <f t="shared" si="0"/>
        <v>Edgewalker Longboots</v>
      </c>
    </row>
    <row r="8" spans="1:24">
      <c r="A8" s="10" t="s">
        <v>255</v>
      </c>
      <c r="B8" s="116">
        <v>28545</v>
      </c>
      <c r="C8" s="116">
        <v>1</v>
      </c>
      <c r="D8" s="114"/>
      <c r="E8" s="114">
        <v>29</v>
      </c>
      <c r="F8" s="114">
        <v>44</v>
      </c>
      <c r="G8" s="116"/>
      <c r="H8" s="116">
        <v>13</v>
      </c>
      <c r="I8" s="116"/>
      <c r="J8" s="114"/>
      <c r="K8" s="116"/>
      <c r="L8" s="114">
        <v>28</v>
      </c>
      <c r="M8" s="116"/>
      <c r="N8" s="116"/>
      <c r="O8" s="116"/>
      <c r="P8" s="114"/>
      <c r="Q8" s="114" t="s">
        <v>1045</v>
      </c>
      <c r="R8" s="114" t="s">
        <v>1447</v>
      </c>
      <c r="S8" s="114" t="s">
        <v>672</v>
      </c>
      <c r="T8" s="116"/>
      <c r="U8" s="891">
        <f>($D8*dpsStr+$E8*dpsAgi+$G8*dpsCrit+$H8*dpsHit+$F8*dpsAP+$I8*dpsHaste+$J8*dpsArmor+$K8*dpsExp+IF(MID(Q8,1,1)+MID(Q8,3,1)+MID(Q8,5,1)&gt;0,VLOOKUP('Gear &amp; Buffs'!$B$64,GenSocketStats,18,FALSE)+IF(MID(Q8,1,1)+MID(Q8,3,1)+MID(Q8,5,1)&gt;1,VLOOKUP('Gear &amp; Buffs'!$B$65,GenSocketStats,18,FALSE)+IF(MID(Q8,1,1)+MID(Q8,3,1)+MID(Q8,5,1)&gt;2,VLOOKUP('Gear &amp; Buffs'!$B$66,GenSocketStats,18,FALSE),0)),0))-'Gear &amp; Buffs'!$AF$62</f>
        <v>0</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8">
        <v>5</v>
      </c>
      <c r="X8" s="714" t="str">
        <f t="shared" si="0"/>
        <v>Farahlite Studded Boots</v>
      </c>
    </row>
    <row r="9" spans="1:24" s="129" customFormat="1">
      <c r="A9" s="10" t="s">
        <v>696</v>
      </c>
      <c r="B9" s="116">
        <v>30401</v>
      </c>
      <c r="C9" s="116">
        <v>1</v>
      </c>
      <c r="D9" s="114"/>
      <c r="E9" s="114">
        <v>16</v>
      </c>
      <c r="F9" s="114">
        <v>56</v>
      </c>
      <c r="G9" s="116">
        <v>16</v>
      </c>
      <c r="H9" s="116"/>
      <c r="I9" s="116"/>
      <c r="J9" s="114"/>
      <c r="K9" s="116"/>
      <c r="L9" s="114"/>
      <c r="M9" s="116"/>
      <c r="N9" s="116"/>
      <c r="O9" s="116"/>
      <c r="P9" s="114"/>
      <c r="Q9" s="114" t="s">
        <v>1033</v>
      </c>
      <c r="R9" s="114"/>
      <c r="S9" s="114" t="s">
        <v>675</v>
      </c>
      <c r="T9" s="116"/>
      <c r="U9" s="891">
        <f>($D9*dpsStr+$E9*dpsAgi+$G9*dpsCrit+$H9*dpsHit+$F9*dpsAP+$I9*dpsHaste+$J9*dpsArmor+$K9*dpsExp+IF(MID(Q9,1,1)+MID(Q9,3,1)+MID(Q9,5,1)&gt;0,VLOOKUP('Gear &amp; Buffs'!$B$64,GenSocketStats,18,FALSE)+IF(MID(Q9,1,1)+MID(Q9,3,1)+MID(Q9,5,1)&gt;1,VLOOKUP('Gear &amp; Buffs'!$B$65,GenSocketStats,18,FALSE)+IF(MID(Q9,1,1)+MID(Q9,3,1)+MID(Q9,5,1)&gt;2,VLOOKUP('Gear &amp; Buffs'!$B$66,GenSocketStats,18,FALSE),0)),0))-'Gear &amp; Buffs'!$AF$62</f>
        <v>-137.5527042584597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8">
        <v>6</v>
      </c>
      <c r="X9" s="714" t="str">
        <f t="shared" si="0"/>
        <v>Fel Leather Boots</v>
      </c>
    </row>
    <row r="10" spans="1:24">
      <c r="A10" s="10" t="s">
        <v>889</v>
      </c>
      <c r="B10" s="116">
        <v>25686</v>
      </c>
      <c r="C10" s="116">
        <v>1</v>
      </c>
      <c r="D10" s="114"/>
      <c r="E10" s="114"/>
      <c r="F10" s="114">
        <v>36</v>
      </c>
      <c r="G10" s="116">
        <v>17</v>
      </c>
      <c r="H10" s="116">
        <v>25</v>
      </c>
      <c r="I10" s="116"/>
      <c r="J10" s="114"/>
      <c r="K10" s="116"/>
      <c r="L10" s="114"/>
      <c r="M10" s="116"/>
      <c r="N10" s="116"/>
      <c r="O10" s="116"/>
      <c r="P10" s="114" t="s">
        <v>1313</v>
      </c>
      <c r="Q10" s="114" t="s">
        <v>1045</v>
      </c>
      <c r="R10" s="114" t="s">
        <v>1465</v>
      </c>
      <c r="S10" s="114" t="s">
        <v>685</v>
      </c>
      <c r="T10" s="116"/>
      <c r="U10" s="891">
        <f>($D10*dpsStr+$E10*dpsAgi+$G10*dpsCrit+$H10*dpsHit+$F10*dpsAP+$I10*dpsHaste+$J10*dpsArmor+$K10*dpsExp+IF(MID(Q10,1,1)+MID(Q10,3,1)+MID(Q10,5,1)&gt;0,VLOOKUP('Gear &amp; Buffs'!$B$64,GenSocketStats,18,FALSE)+IF(MID(Q10,1,1)+MID(Q10,3,1)+MID(Q10,5,1)&gt;1,VLOOKUP('Gear &amp; Buffs'!$B$65,GenSocketStats,18,FALSE)+IF(MID(Q10,1,1)+MID(Q10,3,1)+MID(Q10,5,1)&gt;2,VLOOKUP('Gear &amp; Buffs'!$B$66,GenSocketStats,18,FALSE),0)),0))-'Gear &amp; Buffs'!$AF$62</f>
        <v>51.411101381631624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8">
        <v>7</v>
      </c>
      <c r="X10" s="714" t="str">
        <f t="shared" si="0"/>
        <v>Felboar Hide Shoes</v>
      </c>
    </row>
    <row r="11" spans="1:24">
      <c r="A11" s="10" t="s">
        <v>888</v>
      </c>
      <c r="B11" s="116">
        <v>30939</v>
      </c>
      <c r="C11" s="116">
        <v>1</v>
      </c>
      <c r="D11" s="114"/>
      <c r="E11" s="114">
        <v>18</v>
      </c>
      <c r="F11" s="114">
        <v>68</v>
      </c>
      <c r="G11" s="116"/>
      <c r="H11" s="116">
        <v>9</v>
      </c>
      <c r="I11" s="116"/>
      <c r="J11" s="114"/>
      <c r="K11" s="116"/>
      <c r="L11" s="114">
        <v>15</v>
      </c>
      <c r="M11" s="116"/>
      <c r="N11" s="116"/>
      <c r="O11" s="116"/>
      <c r="P11" s="114"/>
      <c r="Q11" s="114" t="s">
        <v>1033</v>
      </c>
      <c r="R11" s="114"/>
      <c r="S11" s="114" t="s">
        <v>675</v>
      </c>
      <c r="T11" s="116"/>
      <c r="U11" s="891">
        <f>($D11*dpsStr+$E11*dpsAgi+$G11*dpsCrit+$H11*dpsHit+$F11*dpsAP+$I11*dpsHaste+$J11*dpsArmor+$K11*dpsExp+IF(MID(Q11,1,1)+MID(Q11,3,1)+MID(Q11,5,1)&gt;0,VLOOKUP('Gear &amp; Buffs'!$B$64,GenSocketStats,18,FALSE)+IF(MID(Q11,1,1)+MID(Q11,3,1)+MID(Q11,5,1)&gt;1,VLOOKUP('Gear &amp; Buffs'!$B$65,GenSocketStats,18,FALSE)+IF(MID(Q11,1,1)+MID(Q11,3,1)+MID(Q11,5,1)&gt;2,VLOOKUP('Gear &amp; Buffs'!$B$66,GenSocketStats,18,FALSE),0)),0))-'Gear &amp; Buffs'!$AF$62</f>
        <v>-92.632775893535154</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8">
        <v>8</v>
      </c>
      <c r="X11" s="714" t="str">
        <f t="shared" si="0"/>
        <v>General's Leather Boots</v>
      </c>
    </row>
    <row r="12" spans="1:24">
      <c r="A12" s="130" t="s">
        <v>2359</v>
      </c>
      <c r="B12" s="116">
        <v>33582</v>
      </c>
      <c r="C12" s="116">
        <v>4</v>
      </c>
      <c r="D12" s="114">
        <v>29</v>
      </c>
      <c r="E12" s="114">
        <v>29</v>
      </c>
      <c r="F12" s="114"/>
      <c r="G12" s="116"/>
      <c r="H12" s="116"/>
      <c r="I12" s="116"/>
      <c r="J12" s="114"/>
      <c r="K12" s="116"/>
      <c r="L12" s="114">
        <v>28</v>
      </c>
      <c r="M12" s="116"/>
      <c r="N12" s="116"/>
      <c r="O12" s="116"/>
      <c r="P12" s="114"/>
      <c r="Q12" s="114" t="s">
        <v>1045</v>
      </c>
      <c r="R12" s="114" t="s">
        <v>1338</v>
      </c>
      <c r="S12" s="114" t="s">
        <v>691</v>
      </c>
      <c r="T12" s="116"/>
      <c r="U12" s="891">
        <f>($D12*dpsStr+$E12*dpsAgi+$G12*dpsCrit+$H12*dpsHit+$F12*dpsAP+$I12*dpsHaste+$J12*dpsArmor+$K12*dpsExp+IF(MID(Q12,1,1)+MID(Q12,3,1)+MID(Q12,5,1)&gt;0,VLOOKUP('Gear &amp; Buffs'!$B$64,GenSocketStats,18,FALSE)+IF(MID(Q12,1,1)+MID(Q12,3,1)+MID(Q12,5,1)&gt;1,VLOOKUP('Gear &amp; Buffs'!$B$65,GenSocketStats,18,FALSE)+IF(MID(Q12,1,1)+MID(Q12,3,1)+MID(Q12,5,1)&gt;2,VLOOKUP('Gear &amp; Buffs'!$B$66,GenSocketStats,18,FALSE),0)),0))-'Gear &amp; Buffs'!$AF$62</f>
        <v>-76.474102385484002</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8">
        <v>9</v>
      </c>
      <c r="X12" s="714" t="str">
        <f t="shared" si="0"/>
        <v>Glider's Boots of the Bandit</v>
      </c>
    </row>
    <row r="13" spans="1:24">
      <c r="A13" s="10" t="s">
        <v>892</v>
      </c>
      <c r="B13" s="114">
        <v>28422</v>
      </c>
      <c r="C13" s="114">
        <v>1</v>
      </c>
      <c r="D13" s="114"/>
      <c r="E13" s="114">
        <v>27</v>
      </c>
      <c r="F13" s="114">
        <v>30</v>
      </c>
      <c r="G13" s="116">
        <v>15</v>
      </c>
      <c r="H13" s="116"/>
      <c r="I13" s="114"/>
      <c r="J13" s="114"/>
      <c r="K13" s="114"/>
      <c r="L13" s="114">
        <v>39</v>
      </c>
      <c r="M13" s="116"/>
      <c r="N13" s="116">
        <v>26</v>
      </c>
      <c r="O13" s="114"/>
      <c r="P13" s="114"/>
      <c r="Q13" s="114" t="s">
        <v>1033</v>
      </c>
      <c r="R13" s="114"/>
      <c r="S13" s="114" t="s">
        <v>677</v>
      </c>
      <c r="T13" s="114"/>
      <c r="U13" s="891">
        <f>($D13*dpsStr+$E13*dpsAgi+$G13*dpsCrit+$H13*dpsHit+$F13*dpsAP+$I13*dpsHaste+$J13*dpsArmor+$K13*dpsExp+IF(MID(Q13,1,1)+MID(Q13,3,1)+MID(Q13,5,1)&gt;0,VLOOKUP('Gear &amp; Buffs'!$B$64,GenSocketStats,18,FALSE)+IF(MID(Q13,1,1)+MID(Q13,3,1)+MID(Q13,5,1)&gt;1,VLOOKUP('Gear &amp; Buffs'!$B$65,GenSocketStats,18,FALSE)+IF(MID(Q13,1,1)+MID(Q13,3,1)+MID(Q13,5,1)&gt;2,VLOOKUP('Gear &amp; Buffs'!$B$66,GenSocketStats,18,FALSE),0)),0))-'Gear &amp; Buffs'!$AF$62</f>
        <v>-138.42973967351872</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8">
        <v>10</v>
      </c>
      <c r="X13" s="714" t="str">
        <f t="shared" si="0"/>
        <v>Marshal's Leather Boots</v>
      </c>
    </row>
    <row r="14" spans="1:24">
      <c r="A14" s="10" t="s">
        <v>2360</v>
      </c>
      <c r="B14" s="114">
        <v>30681</v>
      </c>
      <c r="C14" s="114">
        <v>1</v>
      </c>
      <c r="D14" s="114"/>
      <c r="E14" s="114">
        <v>28</v>
      </c>
      <c r="F14" s="114">
        <v>57</v>
      </c>
      <c r="G14" s="116"/>
      <c r="H14" s="116"/>
      <c r="I14" s="114"/>
      <c r="J14" s="114"/>
      <c r="K14" s="114"/>
      <c r="L14" s="114">
        <v>43</v>
      </c>
      <c r="M14" s="116"/>
      <c r="N14" s="116"/>
      <c r="O14" s="114"/>
      <c r="P14" s="114"/>
      <c r="Q14" s="114" t="s">
        <v>1033</v>
      </c>
      <c r="R14" s="114"/>
      <c r="S14" s="114" t="s">
        <v>672</v>
      </c>
      <c r="T14" s="114"/>
      <c r="U14" s="891">
        <f>($D14*dpsStr+$E14*dpsAgi+$G14*dpsCrit+$H14*dpsHit+$F14*dpsAP+$I14*dpsHaste+$J14*dpsArmor+$K14*dpsExp+IF(MID(Q14,1,1)+MID(Q14,3,1)+MID(Q14,5,1)&gt;0,VLOOKUP('Gear &amp; Buffs'!$B$64,GenSocketStats,18,FALSE)+IF(MID(Q14,1,1)+MID(Q14,3,1)+MID(Q14,5,1)&gt;1,VLOOKUP('Gear &amp; Buffs'!$B$65,GenSocketStats,18,FALSE)+IF(MID(Q14,1,1)+MID(Q14,3,1)+MID(Q14,5,1)&gt;2,VLOOKUP('Gear &amp; Buffs'!$B$66,GenSocketStats,18,FALSE),0)),0))-'Gear &amp; Buffs'!$AF$62</f>
        <v>-138.24156068873663</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8">
        <v>11</v>
      </c>
      <c r="X14" s="714" t="str">
        <f t="shared" si="0"/>
        <v>Nimble-foot Treads</v>
      </c>
    </row>
    <row r="15" spans="1:24">
      <c r="A15" s="10" t="s">
        <v>2824</v>
      </c>
      <c r="B15" s="114">
        <v>35137</v>
      </c>
      <c r="C15" s="114">
        <v>5</v>
      </c>
      <c r="D15" s="114">
        <v>34</v>
      </c>
      <c r="E15" s="114">
        <v>33</v>
      </c>
      <c r="F15" s="114"/>
      <c r="G15" s="116">
        <v>25</v>
      </c>
      <c r="H15" s="116"/>
      <c r="I15" s="114"/>
      <c r="J15" s="114"/>
      <c r="K15" s="114"/>
      <c r="L15" s="114">
        <v>46</v>
      </c>
      <c r="M15" s="116"/>
      <c r="N15" s="116">
        <v>26</v>
      </c>
      <c r="O15" s="114"/>
      <c r="P15" s="114"/>
      <c r="Q15" s="114" t="s">
        <v>1033</v>
      </c>
      <c r="R15" s="114"/>
      <c r="S15" s="114" t="s">
        <v>677</v>
      </c>
      <c r="T15" s="114"/>
      <c r="U15" s="891">
        <f>($D15*dpsStr+$E15*dpsAgi+$G15*dpsCrit+$H15*dpsHit+$F15*dpsAP+$I15*dpsHaste+$J15*dpsArmor+$K15*dpsExp+IF(MID(Q15,1,1)+MID(Q15,3,1)+MID(Q15,5,1)&gt;0,VLOOKUP('Gear &amp; Buffs'!$B$64,GenSocketStats,18,FALSE)+IF(MID(Q15,1,1)+MID(Q15,3,1)+MID(Q15,5,1)&gt;1,VLOOKUP('Gear &amp; Buffs'!$B$65,GenSocketStats,18,FALSE)+IF(MID(Q15,1,1)+MID(Q15,3,1)+MID(Q15,5,1)&gt;2,VLOOKUP('Gear &amp; Buffs'!$B$66,GenSocketStats,18,FALSE),0)),0))-'Gear &amp; Buffs'!$AF$62</f>
        <v>-123.96425721106652</v>
      </c>
      <c r="V15" s="114"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8">
        <v>12</v>
      </c>
      <c r="X15" s="714" t="str">
        <f t="shared" si="0"/>
        <v>Rapscallion Boots</v>
      </c>
    </row>
    <row r="16" spans="1:24">
      <c r="A16" s="10" t="s">
        <v>1991</v>
      </c>
      <c r="B16" s="114">
        <v>35141</v>
      </c>
      <c r="C16" s="114">
        <v>5</v>
      </c>
      <c r="D16" s="114"/>
      <c r="E16" s="114">
        <v>37</v>
      </c>
      <c r="F16" s="114">
        <v>48</v>
      </c>
      <c r="G16" s="116">
        <v>24</v>
      </c>
      <c r="H16" s="116"/>
      <c r="I16" s="114"/>
      <c r="J16" s="114"/>
      <c r="K16" s="114"/>
      <c r="L16" s="114">
        <v>55</v>
      </c>
      <c r="M16" s="116"/>
      <c r="N16" s="116">
        <v>30</v>
      </c>
      <c r="O16" s="114"/>
      <c r="P16" s="114"/>
      <c r="Q16" s="114" t="s">
        <v>1033</v>
      </c>
      <c r="R16" s="114"/>
      <c r="S16" s="114" t="s">
        <v>677</v>
      </c>
      <c r="T16" s="114"/>
      <c r="U16" s="891">
        <f>($D16*dpsStr+$E16*dpsAgi+$G16*dpsCrit+$H16*dpsHit+$F16*dpsAP+$I16*dpsHaste+$J16*dpsArmor+$K16*dpsExp+IF(MID(Q16,1,1)+MID(Q16,3,1)+MID(Q16,5,1)&gt;0,VLOOKUP('Gear &amp; Buffs'!$B$64,GenSocketStats,18,FALSE)+IF(MID(Q16,1,1)+MID(Q16,3,1)+MID(Q16,5,1)&gt;1,VLOOKUP('Gear &amp; Buffs'!$B$65,GenSocketStats,18,FALSE)+IF(MID(Q16,1,1)+MID(Q16,3,1)+MID(Q16,5,1)&gt;2,VLOOKUP('Gear &amp; Buffs'!$B$66,GenSocketStats,18,FALSE),0)),0))-'Gear &amp; Buffs'!$AF$62</f>
        <v>-117.55350376519073</v>
      </c>
      <c r="V16" s="114" t="str">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8">
        <v>13</v>
      </c>
      <c r="X16" s="714" t="str">
        <f t="shared" si="0"/>
        <v>Shadowstep Striders</v>
      </c>
    </row>
    <row r="17" spans="1:24" s="47" customFormat="1">
      <c r="A17" s="10" t="s">
        <v>893</v>
      </c>
      <c r="B17" s="114">
        <v>28987</v>
      </c>
      <c r="C17" s="114">
        <v>1</v>
      </c>
      <c r="D17" s="114"/>
      <c r="E17" s="114">
        <v>27</v>
      </c>
      <c r="F17" s="114">
        <v>30</v>
      </c>
      <c r="G17" s="116">
        <v>15</v>
      </c>
      <c r="H17" s="116"/>
      <c r="I17" s="114"/>
      <c r="J17" s="114"/>
      <c r="K17" s="114"/>
      <c r="L17" s="114">
        <v>39</v>
      </c>
      <c r="M17" s="116"/>
      <c r="N17" s="116">
        <v>26</v>
      </c>
      <c r="O17" s="114"/>
      <c r="P17" s="114"/>
      <c r="Q17" s="114" t="s">
        <v>1033</v>
      </c>
      <c r="R17" s="114"/>
      <c r="S17" s="114" t="s">
        <v>677</v>
      </c>
      <c r="T17" s="114"/>
      <c r="U17" s="891">
        <f>($D17*dpsStr+$E17*dpsAgi+$G17*dpsCrit+$H17*dpsHit+$F17*dpsAP+$I17*dpsHaste+$J17*dpsArmor+$K17*dpsExp+IF(MID(Q17,1,1)+MID(Q17,3,1)+MID(Q17,5,1)&gt;0,VLOOKUP('Gear &amp; Buffs'!$B$64,GenSocketStats,18,FALSE)+IF(MID(Q17,1,1)+MID(Q17,3,1)+MID(Q17,5,1)&gt;1,VLOOKUP('Gear &amp; Buffs'!$B$65,GenSocketStats,18,FALSE)+IF(MID(Q17,1,1)+MID(Q17,3,1)+MID(Q17,5,1)&gt;2,VLOOKUP('Gear &amp; Buffs'!$B$66,GenSocketStats,18,FALSE),0)),0))-'Gear &amp; Buffs'!$AF$62</f>
        <v>-138.42973967351872</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8">
        <v>14</v>
      </c>
      <c r="X17" s="714" t="str">
        <f t="shared" si="0"/>
        <v>Silent-Strider Kneeboots</v>
      </c>
    </row>
    <row r="18" spans="1:24" s="47" customFormat="1">
      <c r="A18" s="10" t="s">
        <v>2503</v>
      </c>
      <c r="B18" s="114">
        <v>30707</v>
      </c>
      <c r="C18" s="114">
        <v>1</v>
      </c>
      <c r="D18" s="114"/>
      <c r="E18" s="114">
        <v>32</v>
      </c>
      <c r="F18" s="114"/>
      <c r="G18" s="116"/>
      <c r="H18" s="116"/>
      <c r="I18" s="114"/>
      <c r="J18" s="114"/>
      <c r="K18" s="114"/>
      <c r="L18" s="114">
        <v>24</v>
      </c>
      <c r="M18" s="116">
        <v>25</v>
      </c>
      <c r="N18" s="116"/>
      <c r="O18" s="114"/>
      <c r="P18" s="114"/>
      <c r="Q18" s="114" t="s">
        <v>1033</v>
      </c>
      <c r="R18" s="114"/>
      <c r="S18" s="114" t="s">
        <v>673</v>
      </c>
      <c r="T18" s="114"/>
      <c r="U18" s="891">
        <f>($D18*dpsStr+$E18*dpsAgi+$G18*dpsCrit+$H18*dpsHit+$F18*dpsAP+$I18*dpsHaste+$J18*dpsArmor+$K18*dpsExp+IF(MID(Q18,1,1)+MID(Q18,3,1)+MID(Q18,5,1)&gt;0,VLOOKUP('Gear &amp; Buffs'!$B$64,GenSocketStats,18,FALSE)+IF(MID(Q18,1,1)+MID(Q18,3,1)+MID(Q18,5,1)&gt;1,VLOOKUP('Gear &amp; Buffs'!$B$65,GenSocketStats,18,FALSE)+IF(MID(Q18,1,1)+MID(Q18,3,1)+MID(Q18,5,1)&gt;2,VLOOKUP('Gear &amp; Buffs'!$B$66,GenSocketStats,18,FALSE),0)),0))-'Gear &amp; Buffs'!$AF$62</f>
        <v>-155.30052068514101</v>
      </c>
      <c r="V18" s="114">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11</v>
      </c>
      <c r="W18" s="738">
        <v>15</v>
      </c>
      <c r="X18" s="714" t="str">
        <f t="shared" si="0"/>
        <v>Spymistress's Boots</v>
      </c>
    </row>
    <row r="19" spans="1:24">
      <c r="A19" s="10" t="s">
        <v>1431</v>
      </c>
      <c r="B19" s="114">
        <v>33222</v>
      </c>
      <c r="C19" s="114">
        <v>3</v>
      </c>
      <c r="D19" s="114"/>
      <c r="E19" s="114">
        <v>29</v>
      </c>
      <c r="F19" s="114">
        <v>60</v>
      </c>
      <c r="G19" s="116"/>
      <c r="H19" s="116">
        <v>22</v>
      </c>
      <c r="I19" s="114"/>
      <c r="J19" s="114"/>
      <c r="K19" s="114"/>
      <c r="L19" s="114">
        <v>21</v>
      </c>
      <c r="M19" s="116"/>
      <c r="N19" s="116"/>
      <c r="O19" s="114"/>
      <c r="P19" s="114"/>
      <c r="Q19" s="114" t="s">
        <v>1037</v>
      </c>
      <c r="R19" s="114" t="s">
        <v>1447</v>
      </c>
      <c r="S19" s="114" t="s">
        <v>691</v>
      </c>
      <c r="T19" s="114"/>
      <c r="U19" s="891">
        <f>($D19*dpsStr+$E19*dpsAgi+$G19*dpsCrit+$H19*dpsHit+$F19*dpsAP+$I19*dpsHaste+$J19*dpsArmor+$K19*dpsExp+IF(MID(Q19,1,1)+MID(Q19,3,1)+MID(Q19,5,1)&gt;0,VLOOKUP('Gear &amp; Buffs'!$B$64,GenSocketStats,18,FALSE)+IF(MID(Q19,1,1)+MID(Q19,3,1)+MID(Q19,5,1)&gt;1,VLOOKUP('Gear &amp; Buffs'!$B$65,GenSocketStats,18,FALSE)+IF(MID(Q19,1,1)+MID(Q19,3,1)+MID(Q19,5,1)&gt;2,VLOOKUP('Gear &amp; Buffs'!$B$66,GenSocketStats,18,FALSE),0)),0))-'Gear &amp; Buffs'!$AF$62</f>
        <v>55.667563617827</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8">
        <v>16</v>
      </c>
      <c r="X19" s="714" t="str">
        <f t="shared" si="0"/>
        <v>The Master's Treads</v>
      </c>
    </row>
    <row r="20" spans="1:24">
      <c r="A20" s="10" t="s">
        <v>894</v>
      </c>
      <c r="B20" s="114">
        <v>28669</v>
      </c>
      <c r="C20" s="114">
        <v>1</v>
      </c>
      <c r="D20" s="114"/>
      <c r="E20" s="114"/>
      <c r="F20" s="114">
        <v>82</v>
      </c>
      <c r="G20" s="116">
        <v>24</v>
      </c>
      <c r="H20" s="116"/>
      <c r="I20" s="114"/>
      <c r="J20" s="114"/>
      <c r="K20" s="114"/>
      <c r="L20" s="114">
        <v>26</v>
      </c>
      <c r="M20" s="116"/>
      <c r="N20" s="116"/>
      <c r="O20" s="114"/>
      <c r="P20" s="114"/>
      <c r="Q20" s="114" t="s">
        <v>1033</v>
      </c>
      <c r="R20" s="114"/>
      <c r="S20" s="114" t="s">
        <v>672</v>
      </c>
      <c r="T20" s="114"/>
      <c r="U20" s="891">
        <f>($D20*dpsStr+$E20*dpsAgi+$G20*dpsCrit+$H20*dpsHit+$F20*dpsAP+$I20*dpsHaste+$J20*dpsArmor+$K20*dpsExp+IF(MID(Q20,1,1)+MID(Q20,3,1)+MID(Q20,5,1)&gt;0,VLOOKUP('Gear &amp; Buffs'!$B$64,GenSocketStats,18,FALSE)+IF(MID(Q20,1,1)+MID(Q20,3,1)+MID(Q20,5,1)&gt;1,VLOOKUP('Gear &amp; Buffs'!$B$65,GenSocketStats,18,FALSE)+IF(MID(Q20,1,1)+MID(Q20,3,1)+MID(Q20,5,1)&gt;2,VLOOKUP('Gear &amp; Buffs'!$B$66,GenSocketStats,18,FALSE),0)),0))-'Gear &amp; Buffs'!$AF$62</f>
        <v>-136.01115905150914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8">
        <v>17</v>
      </c>
      <c r="X20" s="714" t="str">
        <f t="shared" si="0"/>
        <v>Wrangler's Boots</v>
      </c>
    </row>
    <row r="21" spans="1:24">
      <c r="A21" s="10" t="s">
        <v>895</v>
      </c>
      <c r="B21" s="114">
        <v>32366</v>
      </c>
      <c r="C21" s="114">
        <v>3</v>
      </c>
      <c r="D21" s="114"/>
      <c r="E21" s="114">
        <v>30</v>
      </c>
      <c r="F21" s="114">
        <v>76</v>
      </c>
      <c r="G21" s="116">
        <v>17</v>
      </c>
      <c r="H21" s="116"/>
      <c r="I21" s="114"/>
      <c r="J21" s="114"/>
      <c r="K21" s="114"/>
      <c r="L21" s="114">
        <v>38</v>
      </c>
      <c r="M21" s="116"/>
      <c r="N21" s="116"/>
      <c r="O21" s="114"/>
      <c r="P21" s="114"/>
      <c r="Q21" s="114" t="s">
        <v>1045</v>
      </c>
      <c r="R21" s="114" t="s">
        <v>1449</v>
      </c>
      <c r="S21" s="114" t="s">
        <v>683</v>
      </c>
      <c r="T21" s="114"/>
      <c r="U21" s="891">
        <f>($D21*dpsStr+$E21*dpsAgi+$G21*dpsCrit+$H21*dpsHit+$F21*dpsAP+$I21*dpsHaste+$J21*dpsArmor+$K21*dpsExp+IF(MID(Q21,1,1)+MID(Q21,3,1)+MID(Q21,5,1)&gt;0,VLOOKUP('Gear &amp; Buffs'!$B$64,GenSocketStats,18,FALSE)+IF(MID(Q21,1,1)+MID(Q21,3,1)+MID(Q21,5,1)&gt;1,VLOOKUP('Gear &amp; Buffs'!$B$65,GenSocketStats,18,FALSE)+IF(MID(Q21,1,1)+MID(Q21,3,1)+MID(Q21,5,1)&gt;2,VLOOKUP('Gear &amp; Buffs'!$B$66,GenSocketStats,18,FALSE),0)),0))-'Gear &amp; Buffs'!$AF$62</f>
        <v>-48.230098182291613</v>
      </c>
      <c r="V21" s="114"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8">
        <v>18</v>
      </c>
      <c r="X21" s="714" t="str">
        <f t="shared" si="0"/>
        <v>(Unmodeled)</v>
      </c>
    </row>
    <row r="22" spans="1:24">
      <c r="A22" s="10" t="s">
        <v>896</v>
      </c>
      <c r="B22" s="114">
        <v>29248</v>
      </c>
      <c r="C22" s="114">
        <v>1</v>
      </c>
      <c r="D22" s="114"/>
      <c r="E22" s="114">
        <v>31</v>
      </c>
      <c r="F22" s="114">
        <v>54</v>
      </c>
      <c r="G22" s="116"/>
      <c r="H22" s="116"/>
      <c r="I22" s="114"/>
      <c r="J22" s="114"/>
      <c r="K22" s="114"/>
      <c r="L22" s="114">
        <v>30</v>
      </c>
      <c r="M22" s="116"/>
      <c r="N22" s="116"/>
      <c r="O22" s="114"/>
      <c r="P22" s="114"/>
      <c r="Q22" s="114" t="s">
        <v>1033</v>
      </c>
      <c r="R22" s="114"/>
      <c r="S22" s="114" t="s">
        <v>691</v>
      </c>
      <c r="T22" s="114"/>
      <c r="U22" s="891">
        <f>($D22*dpsStr+$E22*dpsAgi+$G22*dpsCrit+$H22*dpsHit+$F22*dpsAP+$I22*dpsHaste+$J22*dpsArmor+$K22*dpsExp+IF(MID(Q22,1,1)+MID(Q22,3,1)+MID(Q22,5,1)&gt;0,VLOOKUP('Gear &amp; Buffs'!$B$64,GenSocketStats,18,FALSE)+IF(MID(Q22,1,1)+MID(Q22,3,1)+MID(Q22,5,1)&gt;1,VLOOKUP('Gear &amp; Buffs'!$B$65,GenSocketStats,18,FALSE)+IF(MID(Q22,1,1)+MID(Q22,3,1)+MID(Q22,5,1)&gt;2,VLOOKUP('Gear &amp; Buffs'!$B$66,GenSocketStats,18,FALSE),0)),0))-'Gear &amp; Buffs'!$AF$62</f>
        <v>-136.8319121582972</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8">
        <v>19</v>
      </c>
      <c r="X22" s="714" t="str">
        <f t="shared" si="0"/>
        <v/>
      </c>
    </row>
    <row r="23" spans="1:24">
      <c r="A23" s="10" t="s">
        <v>2825</v>
      </c>
      <c r="B23" s="114">
        <v>27467</v>
      </c>
      <c r="C23" s="114">
        <v>1</v>
      </c>
      <c r="D23" s="114"/>
      <c r="E23" s="114">
        <v>27</v>
      </c>
      <c r="F23" s="114">
        <v>50</v>
      </c>
      <c r="G23" s="116"/>
      <c r="H23" s="116"/>
      <c r="I23" s="114"/>
      <c r="J23" s="114"/>
      <c r="K23" s="114"/>
      <c r="L23" s="114">
        <v>30</v>
      </c>
      <c r="M23" s="116"/>
      <c r="N23" s="116"/>
      <c r="O23" s="114"/>
      <c r="P23" s="114"/>
      <c r="Q23" s="114" t="s">
        <v>1033</v>
      </c>
      <c r="R23" s="114"/>
      <c r="S23" s="114" t="s">
        <v>691</v>
      </c>
      <c r="T23" s="114"/>
      <c r="U23" s="891">
        <f>($D23*dpsStr+$E23*dpsAgi+$G23*dpsCrit+$H23*dpsHit+$F23*dpsAP+$I23*dpsHaste+$J23*dpsArmor+$K23*dpsExp+IF(MID(Q23,1,1)+MID(Q23,3,1)+MID(Q23,5,1)&gt;0,VLOOKUP('Gear &amp; Buffs'!$B$64,GenSocketStats,18,FALSE)+IF(MID(Q23,1,1)+MID(Q23,3,1)+MID(Q23,5,1)&gt;1,VLOOKUP('Gear &amp; Buffs'!$B$65,GenSocketStats,18,FALSE)+IF(MID(Q23,1,1)+MID(Q23,3,1)+MID(Q23,5,1)&gt;2,VLOOKUP('Gear &amp; Buffs'!$B$66,GenSocketStats,18,FALSE),0)),0))-'Gear &amp; Buffs'!$AF$62</f>
        <v>-141.57008373905774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8">
        <v>20</v>
      </c>
      <c r="X23" s="714" t="str">
        <f t="shared" si="0"/>
        <v/>
      </c>
    </row>
    <row r="24" spans="1:24">
      <c r="A24" s="10" t="s">
        <v>982</v>
      </c>
      <c r="B24" s="114">
        <v>34575</v>
      </c>
      <c r="C24" s="114">
        <v>5</v>
      </c>
      <c r="D24" s="114"/>
      <c r="E24" s="114">
        <v>30</v>
      </c>
      <c r="F24" s="114">
        <v>86</v>
      </c>
      <c r="G24" s="116">
        <v>16</v>
      </c>
      <c r="H24" s="116">
        <v>28</v>
      </c>
      <c r="I24" s="114"/>
      <c r="J24" s="114"/>
      <c r="K24" s="114">
        <v>24</v>
      </c>
      <c r="L24" s="114">
        <v>24</v>
      </c>
      <c r="M24" s="116"/>
      <c r="N24" s="116"/>
      <c r="O24" s="114"/>
      <c r="P24" s="114" t="s">
        <v>999</v>
      </c>
      <c r="Q24" s="114" t="s">
        <v>1035</v>
      </c>
      <c r="R24" s="114" t="s">
        <v>1022</v>
      </c>
      <c r="S24" s="114" t="s">
        <v>871</v>
      </c>
      <c r="T24" s="114"/>
      <c r="U24" s="891">
        <f>($D24*dpsStr+$E24*dpsAgi+$G24*dpsCrit+$H24*dpsHit+$F24*dpsAP+$I24*dpsHaste+$J24*dpsArmor+$K24*dpsExp+IF(MID(Q24,1,1)+MID(Q24,3,1)+MID(Q24,5,1)&gt;0,VLOOKUP('Gear &amp; Buffs'!$B$64,GenSocketStats,18,FALSE)+IF(MID(Q24,1,1)+MID(Q24,3,1)+MID(Q24,5,1)&gt;1,VLOOKUP('Gear &amp; Buffs'!$B$65,GenSocketStats,18,FALSE)+IF(MID(Q24,1,1)+MID(Q24,3,1)+MID(Q24,5,1)&gt;2,VLOOKUP('Gear &amp; Buffs'!$B$66,GenSocketStats,18,FALSE),0)),0))-'Gear &amp; Buffs'!$AF$62</f>
        <v>112.8359530163691</v>
      </c>
      <c r="V24" s="114"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8">
        <v>21</v>
      </c>
      <c r="X24" s="714" t="str">
        <f t="shared" si="0"/>
        <v/>
      </c>
    </row>
    <row r="25" spans="1:24">
      <c r="A25" s="10" t="s">
        <v>2826</v>
      </c>
      <c r="B25" s="114">
        <v>28178</v>
      </c>
      <c r="C25" s="114">
        <v>1</v>
      </c>
      <c r="D25" s="114"/>
      <c r="E25" s="114"/>
      <c r="F25" s="114">
        <v>36</v>
      </c>
      <c r="G25" s="116"/>
      <c r="H25" s="116"/>
      <c r="I25" s="114"/>
      <c r="J25" s="114"/>
      <c r="K25" s="114"/>
      <c r="L25" s="114">
        <v>15</v>
      </c>
      <c r="M25" s="116">
        <v>27</v>
      </c>
      <c r="N25" s="116"/>
      <c r="O25" s="114"/>
      <c r="P25" s="114"/>
      <c r="Q25" s="114" t="s">
        <v>1037</v>
      </c>
      <c r="R25" s="114" t="s">
        <v>1459</v>
      </c>
      <c r="S25" s="114" t="s">
        <v>675</v>
      </c>
      <c r="T25" s="114"/>
      <c r="U25" s="891">
        <f>($D25*dpsStr+$E25*dpsAgi+$G25*dpsCrit+$H25*dpsHit+$F25*dpsAP+$I25*dpsHaste+$J25*dpsArmor+$K25*dpsExp+IF(MID(Q25,1,1)+MID(Q25,3,1)+MID(Q25,5,1)&gt;0,VLOOKUP('Gear &amp; Buffs'!$B$64,GenSocketStats,18,FALSE)+IF(MID(Q25,1,1)+MID(Q25,3,1)+MID(Q25,5,1)&gt;1,VLOOKUP('Gear &amp; Buffs'!$B$65,GenSocketStats,18,FALSE)+IF(MID(Q25,1,1)+MID(Q25,3,1)+MID(Q25,5,1)&gt;2,VLOOKUP('Gear &amp; Buffs'!$B$66,GenSocketStats,18,FALSE),0)),0))-'Gear &amp; Buffs'!$AF$62</f>
        <v>-98.998222490208491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8">
        <v>22</v>
      </c>
      <c r="X25" s="714" t="str">
        <f t="shared" si="0"/>
        <v/>
      </c>
    </row>
    <row r="26" spans="1:24">
      <c r="A26" s="10" t="s">
        <v>129</v>
      </c>
      <c r="B26" s="114">
        <v>34809</v>
      </c>
      <c r="C26" s="114">
        <v>5</v>
      </c>
      <c r="D26" s="114"/>
      <c r="E26" s="114">
        <v>28</v>
      </c>
      <c r="F26" s="114">
        <v>58</v>
      </c>
      <c r="G26" s="116"/>
      <c r="H26" s="116"/>
      <c r="I26" s="114"/>
      <c r="J26" s="114">
        <v>126</v>
      </c>
      <c r="K26" s="114"/>
      <c r="L26" s="114">
        <v>28</v>
      </c>
      <c r="M26" s="116"/>
      <c r="N26" s="116"/>
      <c r="O26" s="114"/>
      <c r="P26" s="114"/>
      <c r="Q26" s="114" t="s">
        <v>1035</v>
      </c>
      <c r="R26" s="114" t="s">
        <v>1338</v>
      </c>
      <c r="S26" s="114" t="s">
        <v>673</v>
      </c>
      <c r="T26" s="114"/>
      <c r="U26" s="891">
        <f>($D26*dpsStr+$E26*dpsAgi+$G26*dpsCrit+$H26*dpsHit+$F26*dpsAP+$I26*dpsHaste+$J26*dpsArmor+$K26*dpsExp+IF(MID(Q26,1,1)+MID(Q26,3,1)+MID(Q26,5,1)&gt;0,VLOOKUP('Gear &amp; Buffs'!$B$64,GenSocketStats,18,FALSE)+IF(MID(Q26,1,1)+MID(Q26,3,1)+MID(Q26,5,1)&gt;1,VLOOKUP('Gear &amp; Buffs'!$B$65,GenSocketStats,18,FALSE)+IF(MID(Q26,1,1)+MID(Q26,3,1)+MID(Q26,5,1)&gt;2,VLOOKUP('Gear &amp; Buffs'!$B$66,GenSocketStats,18,FALSE),0)),0))-'Gear &amp; Buffs'!$AF$62</f>
        <v>-77.99749515745566</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8">
        <v>23</v>
      </c>
      <c r="X26" s="714" t="str">
        <f t="shared" si="0"/>
        <v/>
      </c>
    </row>
    <row r="27" spans="1:24">
      <c r="A27" s="10" t="s">
        <v>716</v>
      </c>
      <c r="B27" s="114">
        <v>31288</v>
      </c>
      <c r="C27" s="114">
        <v>1</v>
      </c>
      <c r="D27" s="114"/>
      <c r="E27" s="114">
        <v>24</v>
      </c>
      <c r="F27" s="114">
        <v>48</v>
      </c>
      <c r="G27" s="116"/>
      <c r="H27" s="116">
        <v>16</v>
      </c>
      <c r="I27" s="114"/>
      <c r="J27" s="114"/>
      <c r="K27" s="114"/>
      <c r="L27" s="114">
        <v>19</v>
      </c>
      <c r="M27" s="116"/>
      <c r="N27" s="116"/>
      <c r="O27" s="114"/>
      <c r="P27" s="114"/>
      <c r="Q27" s="114" t="s">
        <v>1033</v>
      </c>
      <c r="R27" s="114"/>
      <c r="S27" s="114" t="s">
        <v>674</v>
      </c>
      <c r="T27" s="114"/>
      <c r="U27" s="891">
        <f>($D27*dpsStr+$E27*dpsAgi+$G27*dpsCrit+$H27*dpsHit+$F27*dpsAP+$I27*dpsHaste+$J27*dpsArmor+$K27*dpsExp+IF(MID(Q27,1,1)+MID(Q27,3,1)+MID(Q27,5,1)&gt;0,VLOOKUP('Gear &amp; Buffs'!$B$64,GenSocketStats,18,FALSE)+IF(MID(Q27,1,1)+MID(Q27,3,1)+MID(Q27,5,1)&gt;1,VLOOKUP('Gear &amp; Buffs'!$B$65,GenSocketStats,18,FALSE)+IF(MID(Q27,1,1)+MID(Q27,3,1)+MID(Q27,5,1)&gt;2,VLOOKUP('Gear &amp; Buffs'!$B$66,GenSocketStats,18,FALSE),0)),0))-'Gear &amp; Buffs'!$AF$62</f>
        <v>-55.96587892473849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16</v>
      </c>
      <c r="W27" s="738">
        <v>24</v>
      </c>
      <c r="X27" s="714" t="str">
        <f t="shared" si="0"/>
        <v/>
      </c>
    </row>
    <row r="28" spans="1:24">
      <c r="A28" s="10" t="s">
        <v>717</v>
      </c>
      <c r="B28" s="114">
        <v>32790</v>
      </c>
      <c r="C28" s="114">
        <v>2</v>
      </c>
      <c r="D28" s="114"/>
      <c r="E28" s="114">
        <v>30</v>
      </c>
      <c r="F28" s="114">
        <v>34</v>
      </c>
      <c r="G28" s="116">
        <v>16</v>
      </c>
      <c r="H28" s="116"/>
      <c r="I28" s="114"/>
      <c r="J28" s="114"/>
      <c r="K28" s="114"/>
      <c r="L28" s="114">
        <v>45</v>
      </c>
      <c r="M28" s="116"/>
      <c r="N28" s="116">
        <v>30</v>
      </c>
      <c r="O28" s="114"/>
      <c r="P28" s="114"/>
      <c r="Q28" s="114" t="s">
        <v>1033</v>
      </c>
      <c r="R28" s="114"/>
      <c r="S28" s="114" t="s">
        <v>677</v>
      </c>
      <c r="T28" s="114"/>
      <c r="U28" s="891">
        <f>($D28*dpsStr+$E28*dpsAgi+$G28*dpsCrit+$H28*dpsHit+$F28*dpsAP+$I28*dpsHaste+$J28*dpsArmor+$K28*dpsExp+IF(MID(Q28,1,1)+MID(Q28,3,1)+MID(Q28,5,1)&gt;0,VLOOKUP('Gear &amp; Buffs'!$B$64,GenSocketStats,18,FALSE)+IF(MID(Q28,1,1)+MID(Q28,3,1)+MID(Q28,5,1)&gt;1,VLOOKUP('Gear &amp; Buffs'!$B$65,GenSocketStats,18,FALSE)+IF(MID(Q28,1,1)+MID(Q28,3,1)+MID(Q28,5,1)&gt;2,VLOOKUP('Gear &amp; Buffs'!$B$66,GenSocketStats,18,FALSE),0)),0))-'Gear &amp; Buffs'!$AF$62</f>
        <v>-133.83298465658368</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8">
        <v>25</v>
      </c>
      <c r="X28" s="714" t="str">
        <f t="shared" si="0"/>
        <v/>
      </c>
    </row>
    <row r="29" spans="1:24">
      <c r="A29" s="130" t="s">
        <v>2827</v>
      </c>
      <c r="B29" s="114">
        <v>33880</v>
      </c>
      <c r="C29" s="114">
        <v>3</v>
      </c>
      <c r="D29" s="114">
        <v>30</v>
      </c>
      <c r="E29" s="114">
        <v>29</v>
      </c>
      <c r="F29" s="114"/>
      <c r="G29" s="116">
        <v>21</v>
      </c>
      <c r="H29" s="116"/>
      <c r="I29" s="114"/>
      <c r="J29" s="114"/>
      <c r="K29" s="114"/>
      <c r="L29" s="114">
        <v>42</v>
      </c>
      <c r="M29" s="116"/>
      <c r="N29" s="116">
        <v>26</v>
      </c>
      <c r="O29" s="114"/>
      <c r="P29" s="114"/>
      <c r="Q29" s="114" t="s">
        <v>1033</v>
      </c>
      <c r="R29" s="114"/>
      <c r="S29" s="114" t="s">
        <v>677</v>
      </c>
      <c r="T29" s="114"/>
      <c r="U29" s="891">
        <f>($D29*dpsStr+$E29*dpsAgi+$G29*dpsCrit+$H29*dpsHit+$F29*dpsAP+$I29*dpsHaste+$J29*dpsArmor+$K29*dpsExp+IF(MID(Q29,1,1)+MID(Q29,3,1)+MID(Q29,5,1)&gt;0,VLOOKUP('Gear &amp; Buffs'!$B$64,GenSocketStats,18,FALSE)+IF(MID(Q29,1,1)+MID(Q29,3,1)+MID(Q29,5,1)&gt;1,VLOOKUP('Gear &amp; Buffs'!$B$65,GenSocketStats,18,FALSE)+IF(MID(Q29,1,1)+MID(Q29,3,1)+MID(Q29,5,1)&gt;2,VLOOKUP('Gear &amp; Buffs'!$B$66,GenSocketStats,18,FALSE),0)),0))-'Gear &amp; Buffs'!$AF$62</f>
        <v>-131.58854602420934</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8">
        <v>26</v>
      </c>
      <c r="X29" s="714" t="str">
        <f t="shared" si="0"/>
        <v/>
      </c>
    </row>
    <row r="30" spans="1:24">
      <c r="A30" s="130" t="s">
        <v>1423</v>
      </c>
      <c r="B30" s="114">
        <v>33892</v>
      </c>
      <c r="C30" s="114">
        <v>3</v>
      </c>
      <c r="D30" s="114"/>
      <c r="E30" s="114">
        <v>33</v>
      </c>
      <c r="F30" s="114">
        <v>40</v>
      </c>
      <c r="G30" s="116">
        <v>19</v>
      </c>
      <c r="H30" s="116"/>
      <c r="I30" s="114"/>
      <c r="J30" s="114"/>
      <c r="K30" s="114"/>
      <c r="L30" s="114">
        <v>49</v>
      </c>
      <c r="M30" s="116"/>
      <c r="N30" s="116">
        <v>30</v>
      </c>
      <c r="O30" s="114"/>
      <c r="P30" s="114"/>
      <c r="Q30" s="114" t="s">
        <v>1033</v>
      </c>
      <c r="R30" s="114"/>
      <c r="S30" s="114" t="s">
        <v>677</v>
      </c>
      <c r="T30" s="114"/>
      <c r="U30" s="891">
        <f>($D30*dpsStr+$E30*dpsAgi+$G30*dpsCrit+$H30*dpsHit+$F30*dpsAP+$I30*dpsHaste+$J30*dpsArmor+$K30*dpsExp+IF(MID(Q30,1,1)+MID(Q30,3,1)+MID(Q30,5,1)&gt;0,VLOOKUP('Gear &amp; Buffs'!$B$64,GenSocketStats,18,FALSE)+IF(MID(Q30,1,1)+MID(Q30,3,1)+MID(Q30,5,1)&gt;1,VLOOKUP('Gear &amp; Buffs'!$B$65,GenSocketStats,18,FALSE)+IF(MID(Q30,1,1)+MID(Q30,3,1)+MID(Q30,5,1)&gt;2,VLOOKUP('Gear &amp; Buffs'!$B$66,GenSocketStats,18,FALSE),0)),0))-'Gear &amp; Buffs'!$AF$62</f>
        <v>-127.14997697691933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8">
        <v>27</v>
      </c>
      <c r="X30" s="714" t="str">
        <f t="shared" si="0"/>
        <v/>
      </c>
    </row>
    <row r="31" spans="1:24">
      <c r="A31" s="10" t="s">
        <v>2828</v>
      </c>
      <c r="B31" s="114">
        <v>29804</v>
      </c>
      <c r="C31" s="114">
        <v>1</v>
      </c>
      <c r="D31" s="114"/>
      <c r="E31" s="114">
        <v>28</v>
      </c>
      <c r="F31" s="114">
        <v>32</v>
      </c>
      <c r="G31" s="116"/>
      <c r="H31" s="116"/>
      <c r="I31" s="114"/>
      <c r="J31" s="114"/>
      <c r="K31" s="114"/>
      <c r="L31" s="114"/>
      <c r="M31" s="116">
        <v>11</v>
      </c>
      <c r="N31" s="116"/>
      <c r="O31" s="114"/>
      <c r="P31" s="114"/>
      <c r="Q31" s="114" t="s">
        <v>1033</v>
      </c>
      <c r="R31" s="114"/>
      <c r="S31" s="114" t="s">
        <v>675</v>
      </c>
      <c r="T31" s="114"/>
      <c r="U31" s="891">
        <f>($D31*dpsStr+$E31*dpsAgi+$G31*dpsCrit+$H31*dpsHit+$F31*dpsAP+$I31*dpsHaste+$J31*dpsArmor+$K31*dpsExp+IF(MID(Q31,1,1)+MID(Q31,3,1)+MID(Q31,5,1)&gt;0,VLOOKUP('Gear &amp; Buffs'!$B$64,GenSocketStats,18,FALSE)+IF(MID(Q31,1,1)+MID(Q31,3,1)+MID(Q31,5,1)&gt;1,VLOOKUP('Gear &amp; Buffs'!$B$65,GenSocketStats,18,FALSE)+IF(MID(Q31,1,1)+MID(Q31,3,1)+MID(Q31,5,1)&gt;2,VLOOKUP('Gear &amp; Buffs'!$B$66,GenSocketStats,18,FALSE),0)),0))-'Gear &amp; Buffs'!$AF$62</f>
        <v>-147.17481133511569</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17</v>
      </c>
      <c r="W31" s="738">
        <v>28</v>
      </c>
      <c r="X31" s="714" t="str">
        <f t="shared" si="0"/>
        <v/>
      </c>
    </row>
    <row r="32" spans="1:24">
      <c r="A32" s="10" t="str">
        <f>'Gear &amp; Buffs'!$B$165</f>
        <v>(Unmodeled)</v>
      </c>
      <c r="B32" s="114"/>
      <c r="C32" s="114"/>
      <c r="D32" s="114">
        <f>'Gear &amp; Buffs'!$D$165</f>
        <v>0</v>
      </c>
      <c r="E32" s="114">
        <f>'Gear &amp; Buffs'!$E$165</f>
        <v>0</v>
      </c>
      <c r="F32" s="114">
        <f>'Gear &amp; Buffs'!$I$165</f>
        <v>0</v>
      </c>
      <c r="G32" s="115">
        <f>'Gear &amp; Buffs'!$G$165</f>
        <v>0</v>
      </c>
      <c r="H32" s="115">
        <f>'Gear &amp; Buffs'!$H$165</f>
        <v>0</v>
      </c>
      <c r="I32" s="115">
        <f>'Gear &amp; Buffs'!$P$165</f>
        <v>0</v>
      </c>
      <c r="J32" s="114">
        <f>'Gear &amp; Buffs'!$Q$165</f>
        <v>0</v>
      </c>
      <c r="K32" s="116">
        <f>'Gear &amp; Buffs'!$L$165</f>
        <v>0</v>
      </c>
      <c r="L32" s="114">
        <f>'Gear &amp; Buffs'!$F$165</f>
        <v>0</v>
      </c>
      <c r="M32" s="116">
        <f>'Gear &amp; Buffs'!$K$165</f>
        <v>0</v>
      </c>
      <c r="N32" s="114">
        <f>'Gear &amp; Buffs'!$J$165</f>
        <v>0</v>
      </c>
      <c r="O32" s="115">
        <f>'Gear &amp; Buffs'!M165</f>
        <v>0</v>
      </c>
      <c r="P32" s="114"/>
      <c r="Q32" s="114" t="str">
        <f>'Gear &amp; Buffs'!$R$165</f>
        <v>0 0 0</v>
      </c>
      <c r="R32" s="720">
        <f>'Gear &amp; Buffs'!$S$165</f>
        <v>0</v>
      </c>
      <c r="S32" s="114"/>
      <c r="T32" s="755"/>
      <c r="U32" s="891">
        <f>($D32*dpsStr+$E32*dpsAgi+$G32*dpsCrit+$H32*dpsHit+$F32*dpsAP+$I32*dpsHaste+$J32*dpsArmor+$K32*dpsExp+IF(MID(Q32,1,1)+MID(Q32,3,1)+MID(Q32,5,1)&gt;0,VLOOKUP('Gear &amp; Buffs'!$B$64,GenSocketStats,18,FALSE)+IF(MID(Q32,1,1)+MID(Q32,3,1)+MID(Q32,5,1)&gt;1,VLOOKUP('Gear &amp; Buffs'!$B$65,GenSocketStats,18,FALSE)+IF(MID(Q32,1,1)+MID(Q32,3,1)+MID(Q32,5,1)&gt;2,VLOOKUP('Gear &amp; Buffs'!$B$66,GenSocketStats,18,FALSE),0)),0))-'Gear &amp; Buffs'!$AF$62</f>
        <v>-181.77133250386009</v>
      </c>
      <c r="V32" s="114">
        <f>MAX($V$1:V31)+1</f>
        <v>18</v>
      </c>
      <c r="W32" s="738">
        <v>29</v>
      </c>
      <c r="X32" s="714" t="str">
        <f t="shared" si="0"/>
        <v/>
      </c>
    </row>
    <row r="33" spans="1:24">
      <c r="A33" s="10" t="s">
        <v>2207</v>
      </c>
      <c r="B33" s="114"/>
      <c r="C33" s="114"/>
      <c r="D33" s="114"/>
      <c r="E33" s="114"/>
      <c r="F33" s="114"/>
      <c r="G33" s="116"/>
      <c r="H33" s="116"/>
      <c r="I33" s="114"/>
      <c r="J33" s="114"/>
      <c r="K33" s="114"/>
      <c r="L33" s="114"/>
      <c r="M33" s="116"/>
      <c r="N33" s="116"/>
      <c r="O33" s="114"/>
      <c r="P33" s="114"/>
      <c r="Q33" s="114" t="s">
        <v>1033</v>
      </c>
      <c r="R33" s="114"/>
      <c r="S33" s="114"/>
      <c r="T33" s="114"/>
      <c r="U33" s="770"/>
      <c r="V33" s="114"/>
      <c r="W33" s="738">
        <v>30</v>
      </c>
      <c r="X33" s="714" t="str">
        <f t="shared" si="0"/>
        <v/>
      </c>
    </row>
    <row r="34" spans="1:24">
      <c r="A34" s="47"/>
      <c r="B34" s="47"/>
      <c r="C34" s="114"/>
      <c r="D34" s="47"/>
      <c r="E34" s="47"/>
      <c r="F34" s="47"/>
      <c r="G34" s="47"/>
      <c r="H34" s="47"/>
      <c r="I34" s="47"/>
      <c r="J34" s="114"/>
      <c r="K34" s="755"/>
      <c r="L34" s="47"/>
      <c r="M34" s="47"/>
      <c r="N34" s="755"/>
      <c r="O34" s="755"/>
      <c r="P34" s="47"/>
      <c r="Q34" s="47"/>
      <c r="R34" s="114"/>
      <c r="S34" s="114"/>
      <c r="T34" s="755"/>
      <c r="U34" s="114"/>
      <c r="V34" s="114"/>
      <c r="W34" s="738">
        <v>31</v>
      </c>
      <c r="X34" s="714" t="str">
        <f t="shared" si="0"/>
        <v/>
      </c>
    </row>
    <row r="35" spans="1:24">
      <c r="A35" s="47"/>
      <c r="B35" s="47"/>
      <c r="C35" s="114"/>
      <c r="D35" s="47"/>
      <c r="E35" s="47"/>
      <c r="F35" s="47"/>
      <c r="G35" s="47"/>
      <c r="H35" s="47"/>
      <c r="I35" s="47"/>
      <c r="J35" s="114"/>
      <c r="K35" s="755"/>
      <c r="L35" s="47"/>
      <c r="M35" s="47"/>
      <c r="N35" s="755"/>
      <c r="O35" s="755"/>
      <c r="P35" s="47"/>
      <c r="Q35" s="47"/>
      <c r="R35" s="114"/>
      <c r="S35" s="114"/>
      <c r="T35" s="755"/>
      <c r="U35" s="114"/>
      <c r="V35" s="114"/>
      <c r="W35" s="114"/>
      <c r="X35" s="10"/>
    </row>
    <row r="36" spans="1:24" ht="23.25" thickBot="1">
      <c r="A36" s="740" t="s">
        <v>718</v>
      </c>
      <c r="B36" s="730" t="s">
        <v>1934</v>
      </c>
      <c r="C36" s="730" t="s">
        <v>2798</v>
      </c>
      <c r="D36" s="731" t="s">
        <v>1214</v>
      </c>
      <c r="E36" s="731" t="s">
        <v>1215</v>
      </c>
      <c r="F36" s="731" t="s">
        <v>768</v>
      </c>
      <c r="G36" s="730" t="s">
        <v>2140</v>
      </c>
      <c r="H36" s="730" t="s">
        <v>2139</v>
      </c>
      <c r="I36" s="730" t="s">
        <v>771</v>
      </c>
      <c r="J36" s="732" t="s">
        <v>770</v>
      </c>
      <c r="K36" s="730" t="s">
        <v>760</v>
      </c>
      <c r="L36" s="731" t="s">
        <v>1216</v>
      </c>
      <c r="M36" s="730" t="s">
        <v>264</v>
      </c>
      <c r="N36" s="730" t="s">
        <v>1217</v>
      </c>
      <c r="O36" s="730" t="s">
        <v>1287</v>
      </c>
      <c r="P36" s="730" t="s">
        <v>1046</v>
      </c>
      <c r="Q36" s="731" t="s">
        <v>1047</v>
      </c>
      <c r="R36" s="731" t="s">
        <v>1941</v>
      </c>
      <c r="S36" s="731" t="s">
        <v>666</v>
      </c>
      <c r="T36" s="730" t="s">
        <v>921</v>
      </c>
      <c r="U36" s="733" t="s">
        <v>265</v>
      </c>
      <c r="V36" s="744">
        <v>0</v>
      </c>
      <c r="W36" s="741"/>
      <c r="X36" s="735" t="s">
        <v>1689</v>
      </c>
    </row>
    <row r="37" spans="1:24">
      <c r="A37" s="695" t="s">
        <v>721</v>
      </c>
      <c r="B37" s="699">
        <v>2940</v>
      </c>
      <c r="C37" s="696">
        <v>1</v>
      </c>
      <c r="D37" s="696"/>
      <c r="E37" s="696"/>
      <c r="F37" s="696"/>
      <c r="G37" s="697"/>
      <c r="H37" s="697"/>
      <c r="I37" s="699"/>
      <c r="J37" s="696"/>
      <c r="K37" s="715"/>
      <c r="L37" s="696">
        <v>9</v>
      </c>
      <c r="M37" s="697"/>
      <c r="N37" s="715"/>
      <c r="O37" s="715"/>
      <c r="P37" s="699"/>
      <c r="Q37" s="699"/>
      <c r="R37" s="696"/>
      <c r="S37" s="696" t="s">
        <v>1689</v>
      </c>
      <c r="T37" s="715" t="b">
        <v>1</v>
      </c>
      <c r="U37" s="891">
        <f>($D37*dpsStr+$E37*dpsAgi+$G37*dpsCrit+$H37*dpsHit+$F37*dpsAP+$I37*dpsHaste+$J37*dpsArmor+$K37*dpsExp)-'Gear &amp; Buffs'!$AF$63</f>
        <v>-9.9265544320196568</v>
      </c>
      <c r="V37" s="114"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NOT(T37))),MAX(V36:$V$36)+1,"")</f>
        <v/>
      </c>
      <c r="W37" s="749"/>
      <c r="X37" s="737"/>
    </row>
    <row r="38" spans="1:24">
      <c r="A38" s="683" t="s">
        <v>720</v>
      </c>
      <c r="B38" s="682">
        <v>2939</v>
      </c>
      <c r="C38" s="678">
        <v>5</v>
      </c>
      <c r="D38" s="678"/>
      <c r="E38" s="678">
        <v>6</v>
      </c>
      <c r="F38" s="678"/>
      <c r="G38" s="679"/>
      <c r="H38" s="679"/>
      <c r="I38" s="682"/>
      <c r="J38" s="678"/>
      <c r="K38" s="717"/>
      <c r="L38" s="678"/>
      <c r="M38" s="679"/>
      <c r="N38" s="717"/>
      <c r="O38" s="717"/>
      <c r="P38" s="682"/>
      <c r="Q38" s="682"/>
      <c r="R38" s="682"/>
      <c r="S38" s="678" t="s">
        <v>1689</v>
      </c>
      <c r="T38" s="717" t="b">
        <v>0</v>
      </c>
      <c r="U38" s="891">
        <f>($D38*dpsStr+$E38*dpsAgi+$G38*dpsCrit+$H38*dpsHit+$F38*dpsAP+$I38*dpsHaste+$J38*dpsArmor+$K38*dpsExp)-'Gear &amp; Buffs'!$AF$63</f>
        <v>-4.9632772160098284</v>
      </c>
      <c r="V38" s="221" t="str">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NOT(T38))),MAX(V$36:$V37)+1,"")</f>
        <v/>
      </c>
      <c r="W38" s="738">
        <v>1</v>
      </c>
      <c r="X38" s="752" t="str">
        <f t="shared" ref="X38:X44" si="1">IF(ISNA(INDEX($A$37:$A$43,MATCH(W38,V$37:V$43,0))), "", INDEX($A$37:$A$43,MATCH(W38,V$37:V$43,0)))</f>
        <v>Dexterity (+12 Agility)</v>
      </c>
    </row>
    <row r="39" spans="1:24">
      <c r="A39" s="677" t="s">
        <v>257</v>
      </c>
      <c r="B39" s="682">
        <v>2657</v>
      </c>
      <c r="C39" s="678">
        <v>1</v>
      </c>
      <c r="D39" s="678"/>
      <c r="E39" s="678">
        <v>12</v>
      </c>
      <c r="F39" s="678"/>
      <c r="G39" s="679"/>
      <c r="H39" s="679"/>
      <c r="I39" s="682"/>
      <c r="J39" s="678"/>
      <c r="K39" s="717"/>
      <c r="L39" s="678"/>
      <c r="M39" s="679"/>
      <c r="N39" s="717"/>
      <c r="O39" s="717"/>
      <c r="P39" s="682"/>
      <c r="Q39" s="682"/>
      <c r="R39" s="682"/>
      <c r="S39" s="678" t="s">
        <v>1689</v>
      </c>
      <c r="T39" s="717" t="b">
        <v>0</v>
      </c>
      <c r="U39" s="891">
        <f>($D39*dpsStr+$E39*dpsAgi+$G39*dpsCrit+$H39*dpsHit+$F39*dpsAP+$I39*dpsHaste+$J39*dpsArmor+$K39*dpsExp)-'Gear &amp; Buffs'!$AF$63</f>
        <v>0</v>
      </c>
      <c r="V39" s="221">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NOT(T39))),MAX(V$36:$V38)+1,"")</f>
        <v>1</v>
      </c>
      <c r="W39" s="738">
        <v>2</v>
      </c>
      <c r="X39" s="752" t="str">
        <f t="shared" si="1"/>
        <v>Greater Agility (+7 Agility)</v>
      </c>
    </row>
    <row r="40" spans="1:24">
      <c r="A40" s="677" t="s">
        <v>1308</v>
      </c>
      <c r="B40" s="682">
        <v>2649</v>
      </c>
      <c r="C40" s="678">
        <v>1</v>
      </c>
      <c r="D40" s="678"/>
      <c r="E40" s="678"/>
      <c r="F40" s="678"/>
      <c r="G40" s="679"/>
      <c r="H40" s="679"/>
      <c r="I40" s="682"/>
      <c r="J40" s="678"/>
      <c r="K40" s="717"/>
      <c r="L40" s="678">
        <v>12</v>
      </c>
      <c r="M40" s="679"/>
      <c r="N40" s="717"/>
      <c r="O40" s="717"/>
      <c r="P40" s="682"/>
      <c r="Q40" s="682"/>
      <c r="R40" s="682"/>
      <c r="S40" s="678" t="s">
        <v>1689</v>
      </c>
      <c r="T40" s="717" t="b">
        <v>1</v>
      </c>
      <c r="U40" s="891">
        <f>($D40*dpsStr+$E40*dpsAgi+$G40*dpsCrit+$H40*dpsHit+$F40*dpsAP+$I40*dpsHaste+$J40*dpsArmor+$K40*dpsExp)-'Gear &amp; Buffs'!$AF$63</f>
        <v>-9.9265544320196568</v>
      </c>
      <c r="V40" s="221"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NOT(T40))),MAX(V$36:$V39)+1,"")</f>
        <v/>
      </c>
      <c r="W40" s="738">
        <v>3</v>
      </c>
      <c r="X40" s="752" t="str">
        <f t="shared" si="1"/>
        <v>Surefooted (+10 Hit + 5% Snare Resist)</v>
      </c>
    </row>
    <row r="41" spans="1:24">
      <c r="A41" s="677" t="s">
        <v>19</v>
      </c>
      <c r="B41" s="679">
        <v>1887</v>
      </c>
      <c r="C41" s="679">
        <v>1</v>
      </c>
      <c r="D41" s="678"/>
      <c r="E41" s="678">
        <v>7</v>
      </c>
      <c r="F41" s="678"/>
      <c r="G41" s="679"/>
      <c r="H41" s="679"/>
      <c r="I41" s="679"/>
      <c r="J41" s="678"/>
      <c r="K41" s="679"/>
      <c r="L41" s="678"/>
      <c r="M41" s="679"/>
      <c r="N41" s="679"/>
      <c r="O41" s="679"/>
      <c r="P41" s="678"/>
      <c r="Q41" s="678"/>
      <c r="R41" s="678"/>
      <c r="S41" s="678" t="s">
        <v>668</v>
      </c>
      <c r="T41" s="679" t="b">
        <v>0</v>
      </c>
      <c r="U41" s="891">
        <f>($D41*dpsStr+$E41*dpsAgi+$G41*dpsCrit+$H41*dpsHit+$F41*dpsAP+$I41*dpsHaste+$J41*dpsArmor+$K41*dpsExp)-'Gear &amp; Buffs'!$AF$63</f>
        <v>-4.136064346674857</v>
      </c>
      <c r="V41" s="221">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NOT(T41))),MAX(V$36:$V40)+1,"")</f>
        <v>2</v>
      </c>
      <c r="W41" s="738">
        <v>4</v>
      </c>
      <c r="X41" s="752" t="str">
        <f t="shared" si="1"/>
        <v/>
      </c>
    </row>
    <row r="42" spans="1:24">
      <c r="A42" s="677" t="s">
        <v>719</v>
      </c>
      <c r="B42" s="682">
        <v>911</v>
      </c>
      <c r="C42" s="678">
        <v>1</v>
      </c>
      <c r="D42" s="678"/>
      <c r="E42" s="678"/>
      <c r="F42" s="678"/>
      <c r="G42" s="679"/>
      <c r="H42" s="679"/>
      <c r="I42" s="682"/>
      <c r="J42" s="678"/>
      <c r="K42" s="717"/>
      <c r="L42" s="678"/>
      <c r="M42" s="679"/>
      <c r="N42" s="717"/>
      <c r="O42" s="717"/>
      <c r="P42" s="682"/>
      <c r="Q42" s="682"/>
      <c r="R42" s="682"/>
      <c r="S42" s="678" t="s">
        <v>668</v>
      </c>
      <c r="T42" s="717" t="b">
        <v>1</v>
      </c>
      <c r="U42" s="891">
        <f>($D42*dpsStr+$E42*dpsAgi+$G42*dpsCrit+$H42*dpsHit+$F42*dpsAP+$I42*dpsHaste+$J42*dpsArmor+$K42*dpsExp)-'Gear &amp; Buffs'!$AF$63</f>
        <v>-9.9265544320196568</v>
      </c>
      <c r="V42" s="221" t="str">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NOT(T42))),MAX(V$36:$V41)+1,"")</f>
        <v/>
      </c>
      <c r="W42" s="738">
        <v>5</v>
      </c>
      <c r="X42" s="752" t="str">
        <f t="shared" si="1"/>
        <v/>
      </c>
    </row>
    <row r="43" spans="1:24">
      <c r="A43" s="677" t="s">
        <v>722</v>
      </c>
      <c r="B43" s="682">
        <v>2658</v>
      </c>
      <c r="C43" s="678">
        <v>1</v>
      </c>
      <c r="D43" s="678"/>
      <c r="E43" s="678"/>
      <c r="F43" s="678"/>
      <c r="G43" s="679"/>
      <c r="H43" s="679">
        <v>10</v>
      </c>
      <c r="I43" s="682"/>
      <c r="J43" s="678"/>
      <c r="K43" s="717"/>
      <c r="L43" s="678"/>
      <c r="M43" s="679"/>
      <c r="N43" s="717"/>
      <c r="O43" s="717"/>
      <c r="P43" s="682"/>
      <c r="Q43" s="682"/>
      <c r="R43" s="678"/>
      <c r="S43" s="678" t="s">
        <v>1689</v>
      </c>
      <c r="T43" s="717" t="b">
        <v>0</v>
      </c>
      <c r="U43" s="891">
        <f>($D43*dpsStr+$E43*dpsAgi+$G43*dpsCrit+$H43*dpsHit+$F43*dpsAP+$I43*dpsHaste+$J43*dpsArmor+$K43*dpsExp)-'Gear &amp; Buffs'!$AF$63</f>
        <v>45.573760239251897</v>
      </c>
      <c r="V43" s="221">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NOT(T43))),MAX(V$36:$V42)+1,"")</f>
        <v>3</v>
      </c>
      <c r="W43" s="738">
        <v>6</v>
      </c>
      <c r="X43" s="752" t="str">
        <f t="shared" si="1"/>
        <v/>
      </c>
    </row>
    <row r="44" spans="1:24">
      <c r="A44" s="677" t="s">
        <v>2207</v>
      </c>
      <c r="B44" s="682"/>
      <c r="C44" s="678"/>
      <c r="D44" s="678"/>
      <c r="E44" s="678"/>
      <c r="F44" s="678"/>
      <c r="G44" s="679"/>
      <c r="H44" s="679"/>
      <c r="I44" s="682"/>
      <c r="J44" s="678"/>
      <c r="K44" s="717"/>
      <c r="L44" s="678"/>
      <c r="M44" s="679"/>
      <c r="N44" s="717"/>
      <c r="O44" s="717"/>
      <c r="P44" s="682"/>
      <c r="Q44" s="682"/>
      <c r="R44" s="678"/>
      <c r="S44" s="678"/>
      <c r="T44" s="717"/>
      <c r="U44" s="711"/>
      <c r="V44" s="681"/>
      <c r="W44" s="738">
        <v>7</v>
      </c>
      <c r="X44" s="752" t="str">
        <f t="shared" si="1"/>
        <v/>
      </c>
    </row>
    <row r="45" spans="1:24">
      <c r="J45" s="114"/>
      <c r="R45" s="114"/>
    </row>
    <row r="46" spans="1:24">
      <c r="J46" s="114"/>
      <c r="R46" s="114"/>
    </row>
    <row r="47" spans="1:24">
      <c r="A47" s="10"/>
      <c r="B47" s="114"/>
      <c r="C47" s="114"/>
      <c r="D47" s="114"/>
      <c r="E47" s="114"/>
      <c r="F47" s="114"/>
      <c r="G47" s="116"/>
      <c r="H47" s="116"/>
      <c r="I47" s="114"/>
      <c r="J47" s="114"/>
      <c r="K47" s="114"/>
      <c r="L47" s="114"/>
      <c r="M47" s="116"/>
      <c r="N47" s="116"/>
      <c r="O47" s="114"/>
      <c r="P47" s="114"/>
      <c r="Q47" s="114"/>
      <c r="R47" s="114"/>
      <c r="T47" s="114"/>
    </row>
    <row r="48" spans="1:24">
      <c r="J48" s="47"/>
      <c r="R48" s="47"/>
    </row>
    <row r="49" spans="1:20">
      <c r="A49" s="139"/>
      <c r="B49" s="47"/>
      <c r="C49" s="114"/>
      <c r="D49" s="112"/>
      <c r="E49" s="112"/>
      <c r="F49" s="112"/>
      <c r="G49" s="112"/>
      <c r="H49" s="112"/>
      <c r="I49" s="47"/>
      <c r="K49" s="113"/>
      <c r="L49" s="112"/>
      <c r="M49" s="112"/>
      <c r="N49" s="113"/>
      <c r="O49" s="113"/>
      <c r="P49" s="47"/>
      <c r="Q49" s="47"/>
      <c r="T49" s="113"/>
    </row>
    <row r="50" spans="1:20">
      <c r="A50" s="169"/>
      <c r="B50" s="184"/>
      <c r="C50" s="172"/>
      <c r="D50" s="170"/>
      <c r="E50" s="170"/>
      <c r="F50" s="170"/>
      <c r="G50" s="177"/>
      <c r="H50" s="177"/>
      <c r="I50" s="184"/>
      <c r="K50" s="171"/>
      <c r="L50" s="170"/>
      <c r="M50" s="177"/>
      <c r="N50" s="171"/>
      <c r="O50" s="171"/>
      <c r="P50" s="175"/>
      <c r="Q50" s="175"/>
      <c r="R50" s="175"/>
      <c r="T50" s="171"/>
    </row>
    <row r="51" spans="1:20">
      <c r="J51" s="114"/>
    </row>
    <row r="54" spans="1:20">
      <c r="A54" s="6"/>
    </row>
    <row r="55" spans="1:20">
      <c r="A55" s="6"/>
    </row>
    <row r="56" spans="1:20">
      <c r="A56" s="6"/>
    </row>
    <row r="57" spans="1:20">
      <c r="A57" s="6"/>
    </row>
    <row r="58" spans="1:20">
      <c r="A58" s="6"/>
    </row>
    <row r="59" spans="1:20">
      <c r="A59" s="6"/>
    </row>
    <row r="60" spans="1:20">
      <c r="A60" s="6"/>
    </row>
    <row r="61" spans="1:20">
      <c r="A61" s="6"/>
    </row>
    <row r="62" spans="1:20">
      <c r="A62" s="6"/>
    </row>
    <row r="63" spans="1:20">
      <c r="A63" s="6"/>
    </row>
    <row r="64" spans="1:20">
      <c r="A64" s="6"/>
    </row>
    <row r="65" spans="1:20">
      <c r="A65" s="6"/>
    </row>
    <row r="66" spans="1:20">
      <c r="A66" s="6"/>
    </row>
    <row r="67" spans="1:20">
      <c r="A67" s="6"/>
    </row>
    <row r="68" spans="1:20">
      <c r="A68" s="6"/>
    </row>
    <row r="69" spans="1:20">
      <c r="A69" s="6"/>
      <c r="J69" s="114"/>
    </row>
    <row r="70" spans="1:20">
      <c r="A70" s="6"/>
      <c r="B70" s="175"/>
      <c r="C70" s="172"/>
      <c r="E70" s="181"/>
      <c r="F70" s="181"/>
      <c r="G70" s="181"/>
      <c r="H70" s="181"/>
      <c r="I70" s="175"/>
      <c r="K70" s="178"/>
      <c r="L70" s="181"/>
      <c r="M70" s="181"/>
      <c r="N70" s="178"/>
      <c r="O70" s="178"/>
      <c r="P70" s="175"/>
      <c r="Q70" s="175"/>
      <c r="R70" s="175"/>
      <c r="T70" s="178"/>
    </row>
    <row r="71" spans="1:20">
      <c r="A71" s="6"/>
      <c r="B71" s="175"/>
      <c r="C71" s="172"/>
      <c r="E71" s="183"/>
      <c r="F71" s="183"/>
      <c r="G71" s="183"/>
      <c r="H71" s="183"/>
      <c r="I71" s="175"/>
      <c r="K71" s="180"/>
      <c r="L71" s="183"/>
      <c r="M71" s="183"/>
      <c r="N71" s="180"/>
      <c r="O71" s="180"/>
      <c r="P71" s="175"/>
      <c r="Q71" s="175"/>
      <c r="R71" s="175"/>
      <c r="T71" s="180"/>
    </row>
    <row r="72" spans="1:20">
      <c r="A72" s="6"/>
      <c r="B72" s="175"/>
      <c r="C72" s="172"/>
      <c r="E72" s="175"/>
      <c r="F72" s="175"/>
      <c r="G72" s="175"/>
      <c r="H72" s="175"/>
      <c r="I72" s="175"/>
      <c r="K72" s="179"/>
      <c r="L72" s="175"/>
      <c r="M72" s="175"/>
      <c r="N72" s="179"/>
      <c r="O72" s="179"/>
      <c r="P72" s="175"/>
      <c r="Q72" s="175"/>
      <c r="R72" s="175"/>
      <c r="T72" s="179"/>
    </row>
    <row r="73" spans="1:20">
      <c r="A73" s="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2">
    <cfRule type="cellIs" dxfId="17" priority="3" stopIfTrue="1" operator="lessThan">
      <formula>0</formula>
    </cfRule>
    <cfRule type="cellIs" dxfId="16" priority="4" stopIfTrue="1" operator="greaterThan">
      <formula>0</formula>
    </cfRule>
  </conditionalFormatting>
  <conditionalFormatting sqref="U37:U43">
    <cfRule type="cellIs" dxfId="15" priority="1" stopIfTrue="1" operator="lessThan">
      <formula>0</formula>
    </cfRule>
    <cfRule type="cellIs" dxfId="1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AC147"/>
  <sheetViews>
    <sheetView topLeftCell="A31" workbookViewId="0">
      <selection activeCell="Y4" sqref="Y4"/>
    </sheetView>
  </sheetViews>
  <sheetFormatPr defaultRowHeight="11.25"/>
  <cols>
    <col min="1" max="1" width="27.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0" style="129" bestFit="1" customWidth="1"/>
    <col min="20" max="20" width="8.85546875" style="122" bestFit="1" customWidth="1"/>
    <col min="21" max="22" width="6.28515625" style="129" bestFit="1" customWidth="1"/>
    <col min="23" max="24" width="2.7109375" style="129" bestFit="1" customWidth="1"/>
    <col min="25" max="25" width="27.85546875" style="48" bestFit="1" customWidth="1"/>
    <col min="26" max="26" width="4.140625" style="48" bestFit="1" customWidth="1"/>
    <col min="27" max="27" width="2.7109375" style="48" bestFit="1" customWidth="1"/>
    <col min="28" max="16384" width="9.140625" style="48"/>
  </cols>
  <sheetData>
    <row r="1" spans="1:27" s="47" customFormat="1" ht="23.25" thickBot="1">
      <c r="A1" s="753" t="s">
        <v>164</v>
      </c>
      <c r="B1" s="753" t="s">
        <v>1934</v>
      </c>
      <c r="C1" s="753" t="s">
        <v>2798</v>
      </c>
      <c r="D1" s="753" t="s">
        <v>1214</v>
      </c>
      <c r="E1" s="753" t="s">
        <v>1215</v>
      </c>
      <c r="F1" s="753" t="s">
        <v>768</v>
      </c>
      <c r="G1" s="754" t="s">
        <v>2140</v>
      </c>
      <c r="H1" s="754" t="s">
        <v>2139</v>
      </c>
      <c r="I1" s="753" t="s">
        <v>771</v>
      </c>
      <c r="J1" s="753" t="s">
        <v>1219</v>
      </c>
      <c r="K1" s="754" t="s">
        <v>760</v>
      </c>
      <c r="L1" s="753" t="s">
        <v>1216</v>
      </c>
      <c r="M1" s="754" t="s">
        <v>264</v>
      </c>
      <c r="N1" s="754" t="s">
        <v>1217</v>
      </c>
      <c r="O1" s="754" t="s">
        <v>1287</v>
      </c>
      <c r="P1" s="730" t="s">
        <v>1046</v>
      </c>
      <c r="Q1" s="731" t="s">
        <v>1047</v>
      </c>
      <c r="R1" s="731" t="s">
        <v>1941</v>
      </c>
      <c r="S1" s="731" t="s">
        <v>666</v>
      </c>
      <c r="T1" s="730"/>
      <c r="U1" s="733" t="s">
        <v>714</v>
      </c>
      <c r="V1" s="733" t="s">
        <v>1029</v>
      </c>
      <c r="W1" s="744">
        <v>0</v>
      </c>
      <c r="X1" s="744"/>
      <c r="Y1" s="753" t="s">
        <v>670</v>
      </c>
    </row>
    <row r="2" spans="1:27">
      <c r="A2" s="10" t="s">
        <v>2829</v>
      </c>
      <c r="B2" s="116">
        <v>29177</v>
      </c>
      <c r="C2" s="116">
        <v>1</v>
      </c>
      <c r="D2" s="114">
        <v>29</v>
      </c>
      <c r="E2" s="114">
        <v>16</v>
      </c>
      <c r="F2" s="114"/>
      <c r="G2" s="116"/>
      <c r="H2" s="116"/>
      <c r="I2" s="116"/>
      <c r="J2" s="114"/>
      <c r="K2" s="116"/>
      <c r="L2" s="114">
        <v>18</v>
      </c>
      <c r="M2" s="116"/>
      <c r="N2" s="116"/>
      <c r="O2" s="116"/>
      <c r="P2" s="114"/>
      <c r="Q2" s="114"/>
      <c r="R2" s="114"/>
      <c r="S2" s="114" t="s">
        <v>676</v>
      </c>
      <c r="T2" s="116"/>
      <c r="U2" s="891">
        <f>($D2*dpsStr+$E2*dpsAgi+$G2*dpsCrit+$H2*dpsHit+$F2*dpsAP+$I2*dpsHaste+$J2*dpsArmor+$K2*dpsExp)-'Gear &amp; Buffs'!$AF$66</f>
        <v>-106.10379109503901</v>
      </c>
      <c r="V2" s="891">
        <f>($D2*dpsStr+$E2*dpsAgi+$G2*dpsCrit+$H2*dpsHit+$F2*dpsAP+$I2*dpsHaste+$J2*dpsArmor+$K2*dpsExp)-'Gear &amp; Buffs'!$AF$68</f>
        <v>-112.31220030560553</v>
      </c>
      <c r="W2" s="114">
        <f>IF(OR('Gear &amp; Buffs'!$B$66=A2,'Gear &amp; Buffs'!$B$68=A2),"",IF(AND(IF('Gear &amp; Buffs'!$AC$50,MAX(V2,U2)&gt;0+'Gear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Aman"),IF(includeprebc,S2="Pre-BC"),IF(includesunwell,S2="Sunwell"))),MAX($W$1:W1)+1,""))</f>
        <v>1</v>
      </c>
      <c r="X2" s="738"/>
      <c r="Y2" s="714" t="s">
        <v>1689</v>
      </c>
      <c r="Z2" s="47"/>
      <c r="AA2" s="47"/>
    </row>
    <row r="3" spans="1:27">
      <c r="A3" s="10" t="s">
        <v>2830</v>
      </c>
      <c r="B3" s="116">
        <v>31381</v>
      </c>
      <c r="C3" s="116">
        <v>1</v>
      </c>
      <c r="D3" s="114"/>
      <c r="E3" s="114"/>
      <c r="F3" s="114">
        <v>24</v>
      </c>
      <c r="G3" s="116">
        <v>29</v>
      </c>
      <c r="H3" s="116"/>
      <c r="I3" s="116"/>
      <c r="J3" s="114"/>
      <c r="K3" s="116"/>
      <c r="L3" s="114"/>
      <c r="M3" s="116"/>
      <c r="N3" s="116"/>
      <c r="O3" s="116"/>
      <c r="P3" s="114"/>
      <c r="Q3" s="114"/>
      <c r="R3" s="114"/>
      <c r="S3" s="114" t="s">
        <v>675</v>
      </c>
      <c r="T3" s="116"/>
      <c r="U3" s="891">
        <f>($D3*dpsStr+$E3*dpsAgi+$G3*dpsCrit+$H3*dpsHit+$F3*dpsAP+$I3*dpsHaste+$J3*dpsArmor+$K3*dpsExp)-'Gear &amp; Buffs'!$AF$66</f>
        <v>-102.27401134889578</v>
      </c>
      <c r="V3" s="891">
        <f>($D3*dpsStr+$E3*dpsAgi+$G3*dpsCrit+$H3*dpsHit+$F3*dpsAP+$I3*dpsHaste+$J3*dpsArmor+$K3*dpsExp)-'Gear &amp; Buffs'!$AF$68</f>
        <v>-108.4824205594623</v>
      </c>
      <c r="W3" s="114">
        <f>IF(OR('Gear &amp; Buffs'!$B$66=A3,'Gear &amp; Buffs'!$B$68=A3),"",IF(AND(IF('Gear &amp; Buffs'!$AC$50,MAX(V3,U3)&gt;0+'Gear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Aman"),IF(includeprebc,S3="Pre-BC"),IF(includesunwell,S3="Sunwell"))),MAX($W$1:W2)+1,""))</f>
        <v>2</v>
      </c>
      <c r="X3" s="738"/>
      <c r="Y3" s="714" t="str">
        <f>" "</f>
        <v xml:space="preserve"> </v>
      </c>
      <c r="Z3" s="47"/>
      <c r="AA3" s="47"/>
    </row>
    <row r="4" spans="1:27">
      <c r="A4" s="10" t="s">
        <v>155</v>
      </c>
      <c r="B4" s="116">
        <v>34887</v>
      </c>
      <c r="C4" s="116">
        <v>5</v>
      </c>
      <c r="D4" s="114"/>
      <c r="E4" s="114">
        <v>29</v>
      </c>
      <c r="F4" s="114">
        <v>58</v>
      </c>
      <c r="G4" s="116"/>
      <c r="H4" s="116"/>
      <c r="I4" s="116"/>
      <c r="J4" s="114">
        <v>126</v>
      </c>
      <c r="K4" s="116"/>
      <c r="L4" s="114">
        <v>28</v>
      </c>
      <c r="M4" s="116"/>
      <c r="N4" s="116"/>
      <c r="O4" s="116"/>
      <c r="P4" s="114"/>
      <c r="Q4" s="114"/>
      <c r="R4" s="114"/>
      <c r="S4" s="114" t="s">
        <v>691</v>
      </c>
      <c r="T4" s="116"/>
      <c r="U4" s="891">
        <f>($D4*dpsStr+$E4*dpsAgi+$G4*dpsCrit+$H4*dpsHit+$F4*dpsAP+$I4*dpsHaste+$J4*dpsArmor+$K4*dpsExp)-'Gear &amp; Buffs'!$AF$66</f>
        <v>-70.537226350472565</v>
      </c>
      <c r="V4" s="891">
        <f>($D4*dpsStr+$E4*dpsAgi+$G4*dpsCrit+$H4*dpsHit+$F4*dpsAP+$I4*dpsHaste+$J4*dpsArmor+$K4*dpsExp)-'Gear &amp; Buffs'!$AF$68</f>
        <v>-76.74563556103908</v>
      </c>
      <c r="W4" s="114" t="str">
        <f>IF(OR('Gear &amp; Buffs'!$B$66=A4,'Gear &amp; Buffs'!$B$68=A4),"",IF(AND(IF('Gear &amp; Buffs'!$AC$50,MAX(V4,U4)&gt;0+'Gear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Aman"),IF(includeprebc,S4="Pre-BC"),IF(includesunwell,S4="Sunwell"))),MAX($W$1:W3)+1,""))</f>
        <v/>
      </c>
      <c r="X4" s="738">
        <v>1</v>
      </c>
      <c r="Y4" s="714" t="str">
        <f t="shared" ref="Y4:Y58" si="0">IF(ISNA(INDEX($A$2:$A$57,MATCH(X4,W$2:W$57,0))), "", INDEX($A$2:$A$57,MATCH(X4,W$2:W$57,0)))</f>
        <v>A'dal's Command</v>
      </c>
      <c r="Z4" s="47"/>
      <c r="AA4" s="47"/>
    </row>
    <row r="5" spans="1:27">
      <c r="A5" s="10" t="s">
        <v>2372</v>
      </c>
      <c r="B5" s="116">
        <v>27453</v>
      </c>
      <c r="C5" s="116">
        <v>1</v>
      </c>
      <c r="D5" s="114"/>
      <c r="E5" s="114">
        <v>22</v>
      </c>
      <c r="F5" s="114">
        <v>38</v>
      </c>
      <c r="G5" s="116"/>
      <c r="H5" s="116"/>
      <c r="I5" s="116"/>
      <c r="J5" s="114"/>
      <c r="K5" s="116"/>
      <c r="L5" s="114">
        <v>18</v>
      </c>
      <c r="M5" s="116"/>
      <c r="N5" s="116"/>
      <c r="O5" s="116"/>
      <c r="P5" s="114"/>
      <c r="Q5" s="114"/>
      <c r="R5" s="114"/>
      <c r="S5" s="114" t="s">
        <v>673</v>
      </c>
      <c r="T5" s="116"/>
      <c r="U5" s="891">
        <f>($D5*dpsStr+$E5*dpsAgi+$G5*dpsCrit+$H5*dpsHit+$F5*dpsAP+$I5*dpsHaste+$J5*dpsArmor+$K5*dpsExp)-'Gear &amp; Buffs'!$AF$66</f>
        <v>-98.960800721329178</v>
      </c>
      <c r="V5" s="891">
        <f>($D5*dpsStr+$E5*dpsAgi+$G5*dpsCrit+$H5*dpsHit+$F5*dpsAP+$I5*dpsHaste+$J5*dpsArmor+$K5*dpsExp)-'Gear &amp; Buffs'!$AF$68</f>
        <v>-105.16920993189569</v>
      </c>
      <c r="W5" s="114">
        <f>IF(OR('Gear &amp; Buffs'!$B$66=A5,'Gear &amp; Buffs'!$B$68=A5),"",IF(AND(IF('Gear &amp; Buffs'!$AC$50,MAX(V5,U5)&gt;0+'Gear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Aman"),IF(includeprebc,S5="Pre-BC"),IF(includesunwell,S5="Sunwell"))),MAX($W$1:W4)+1,""))</f>
        <v>3</v>
      </c>
      <c r="X5" s="738">
        <v>2</v>
      </c>
      <c r="Y5" s="714" t="str">
        <f t="shared" si="0"/>
        <v>Aggressor's Mark of the Sha'tar</v>
      </c>
      <c r="Z5" s="47"/>
      <c r="AA5" s="47"/>
    </row>
    <row r="6" spans="1:27">
      <c r="A6" s="10" t="s">
        <v>2373</v>
      </c>
      <c r="B6" s="116">
        <v>17063</v>
      </c>
      <c r="C6" s="116">
        <v>1</v>
      </c>
      <c r="D6" s="114"/>
      <c r="E6" s="114">
        <v>12</v>
      </c>
      <c r="F6" s="114">
        <v>16</v>
      </c>
      <c r="G6" s="116"/>
      <c r="H6" s="116">
        <v>20</v>
      </c>
      <c r="I6" s="116"/>
      <c r="J6" s="114"/>
      <c r="K6" s="116"/>
      <c r="L6" s="114">
        <v>10</v>
      </c>
      <c r="M6" s="116"/>
      <c r="N6" s="116"/>
      <c r="O6" s="116"/>
      <c r="P6" s="114"/>
      <c r="Q6" s="114"/>
      <c r="R6" s="114"/>
      <c r="S6" s="114" t="s">
        <v>668</v>
      </c>
      <c r="T6" s="116"/>
      <c r="U6" s="891">
        <f>($D6*dpsStr+$E6*dpsAgi+$G6*dpsCrit+$H6*dpsHit+$F6*dpsAP+$I6*dpsHaste+$J6*dpsArmor+$K6*dpsExp)-'Gear &amp; Buffs'!$AF$66</f>
        <v>-4.093560640949363</v>
      </c>
      <c r="V6" s="891">
        <f>($D6*dpsStr+$E6*dpsAgi+$G6*dpsCrit+$H6*dpsHit+$F6*dpsAP+$I6*dpsHaste+$J6*dpsArmor+$K6*dpsExp)-'Gear &amp; Buffs'!$AF$68</f>
        <v>-10.301969851515878</v>
      </c>
      <c r="W6" s="114">
        <f>IF(OR('Gear &amp; Buffs'!$B$66=A6,'Gear &amp; Buffs'!$B$68=A6),"",IF(AND(IF('Gear &amp; Buffs'!$AC$50,MAX(V6,U6)&gt;0+'Gear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Aman"),IF(includeprebc,S6="Pre-BC"),IF(includesunwell,S6="Sunwell"))),MAX($W$1:W5)+1,""))</f>
        <v>4</v>
      </c>
      <c r="X6" s="738">
        <v>3</v>
      </c>
      <c r="Y6" s="714" t="str">
        <f t="shared" si="0"/>
        <v>Averinn's Ring of Slaying</v>
      </c>
      <c r="Z6" s="47"/>
      <c r="AA6" s="47"/>
    </row>
    <row r="7" spans="1:27">
      <c r="A7" s="10" t="s">
        <v>1913</v>
      </c>
      <c r="B7" s="116">
        <v>30973</v>
      </c>
      <c r="C7" s="116">
        <v>1</v>
      </c>
      <c r="D7" s="112"/>
      <c r="E7" s="114">
        <v>13</v>
      </c>
      <c r="F7" s="114">
        <v>50</v>
      </c>
      <c r="G7" s="116"/>
      <c r="H7" s="116">
        <v>10</v>
      </c>
      <c r="I7" s="116"/>
      <c r="J7" s="114"/>
      <c r="K7" s="116"/>
      <c r="L7" s="114"/>
      <c r="M7" s="116"/>
      <c r="N7" s="116"/>
      <c r="O7" s="116"/>
      <c r="P7" s="116"/>
      <c r="Q7" s="114"/>
      <c r="R7" s="47"/>
      <c r="S7" s="114" t="s">
        <v>675</v>
      </c>
      <c r="T7" s="116"/>
      <c r="U7" s="891">
        <f>($D7*dpsStr+$E7*dpsAgi+$G7*dpsCrit+$H7*dpsHit+$F7*dpsAP+$I7*dpsHaste+$J7*dpsArmor+$K7*dpsExp)-'Gear &amp; Buffs'!$AF$66</f>
        <v>-46.617441563810416</v>
      </c>
      <c r="V7" s="891">
        <f>($D7*dpsStr+$E7*dpsAgi+$G7*dpsCrit+$H7*dpsHit+$F7*dpsAP+$I7*dpsHaste+$J7*dpsArmor+$K7*dpsExp)-'Gear &amp; Buffs'!$AF$68</f>
        <v>-52.825850774376931</v>
      </c>
      <c r="W7" s="114">
        <f>IF(OR('Gear &amp; Buffs'!$B$66=A7,'Gear &amp; Buffs'!$B$68=A7),"",IF(AND(IF('Gear &amp; Buffs'!$AC$50,MAX(V7,U7)&gt;0+'Gear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Aman"),IF(includeprebc,S7="Pre-BC"),IF(includesunwell,S7="Sunwell"))),MAX($W$1:W6)+1,""))</f>
        <v>5</v>
      </c>
      <c r="X7" s="738">
        <v>4</v>
      </c>
      <c r="Y7" s="714" t="str">
        <f t="shared" si="0"/>
        <v>Band of Accuria</v>
      </c>
      <c r="Z7" s="47"/>
      <c r="AA7" s="47"/>
    </row>
    <row r="8" spans="1:27">
      <c r="A8" s="10" t="s">
        <v>723</v>
      </c>
      <c r="B8" s="116">
        <v>32526</v>
      </c>
      <c r="C8" s="116">
        <v>3</v>
      </c>
      <c r="D8" s="114"/>
      <c r="E8" s="114"/>
      <c r="F8" s="114">
        <v>66</v>
      </c>
      <c r="G8" s="116"/>
      <c r="H8" s="116"/>
      <c r="I8" s="116">
        <v>31</v>
      </c>
      <c r="J8" s="114"/>
      <c r="K8" s="116"/>
      <c r="L8" s="114">
        <v>44</v>
      </c>
      <c r="M8" s="116"/>
      <c r="N8" s="116"/>
      <c r="O8" s="116"/>
      <c r="P8" s="116"/>
      <c r="Q8" s="114"/>
      <c r="R8" s="114"/>
      <c r="S8" s="114" t="s">
        <v>683</v>
      </c>
      <c r="T8" s="116"/>
      <c r="U8" s="891">
        <f>($D8*dpsStr+$E8*dpsAgi+$G8*dpsCrit+$H8*dpsHit+$F8*dpsAP+$I8*dpsHaste+$J8*dpsArmor+$K8*dpsExp)-'Gear &amp; Buffs'!$AF$66</f>
        <v>6.6586837868703697</v>
      </c>
      <c r="V8" s="891">
        <f>($D8*dpsStr+$E8*dpsAgi+$G8*dpsCrit+$H8*dpsHit+$F8*dpsAP+$I8*dpsHaste+$J8*dpsArmor+$K8*dpsExp)-'Gear &amp; Buffs'!$AF$68</f>
        <v>0.4502745763038547</v>
      </c>
      <c r="W8" s="114" t="str">
        <f>IF(OR('Gear &amp; Buffs'!$B$66=A8,'Gear &amp; Buffs'!$B$68=A8),"",IF(AND(IF('Gear &amp; Buffs'!$AC$50,MAX(V8,U8)&gt;0+'Gear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Aman"),IF(includeprebc,S8="Pre-BC"),IF(includesunwell,S8="Sunwell"))),MAX($W$1:W7)+1,""))</f>
        <v/>
      </c>
      <c r="X8" s="738">
        <v>5</v>
      </c>
      <c r="Y8" s="714" t="str">
        <f t="shared" si="0"/>
        <v>Band of Anguish</v>
      </c>
      <c r="Z8" s="47"/>
      <c r="AA8" s="47"/>
    </row>
    <row r="9" spans="1:27">
      <c r="A9" s="10" t="s">
        <v>2391</v>
      </c>
      <c r="B9" s="116">
        <v>29298</v>
      </c>
      <c r="C9" s="116">
        <v>3</v>
      </c>
      <c r="D9" s="114"/>
      <c r="E9" s="114">
        <v>25</v>
      </c>
      <c r="F9" s="114">
        <v>50</v>
      </c>
      <c r="G9" s="116"/>
      <c r="H9" s="116"/>
      <c r="I9" s="116"/>
      <c r="J9" s="114"/>
      <c r="K9" s="116"/>
      <c r="L9" s="114">
        <v>37</v>
      </c>
      <c r="M9" s="116"/>
      <c r="N9" s="116"/>
      <c r="O9" s="116"/>
      <c r="P9" s="114"/>
      <c r="Q9" s="114"/>
      <c r="R9" s="114"/>
      <c r="S9" s="114" t="s">
        <v>676</v>
      </c>
      <c r="T9" s="116"/>
      <c r="U9" s="891">
        <f>($D9*dpsStr+$E9*dpsAgi+$G9*dpsCrit+$H9*dpsHit+$F9*dpsAP+$I9*dpsHaste+$J9*dpsArmor+$K9*dpsExp)-'Gear &amp; Buffs'!$AF$66</f>
        <v>-92.191201803062313</v>
      </c>
      <c r="V9" s="891">
        <f>($D9*dpsStr+$E9*dpsAgi+$G9*dpsCrit+$H9*dpsHit+$F9*dpsAP+$I9*dpsHaste+$J9*dpsArmor+$K9*dpsExp)-'Gear &amp; Buffs'!$AF$68</f>
        <v>-98.399611013628828</v>
      </c>
      <c r="W9" s="114" t="str">
        <f>IF(OR('Gear &amp; Buffs'!$B$66=A9,'Gear &amp; Buffs'!$B$68=A9),"",IF(AND(IF('Gear &amp; Buffs'!$AC$50,MAX(V9,U9)&gt;0+'Gear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Aman"),IF(includeprebc,S9="Pre-BC"),IF(includesunwell,S9="Sunwell"))),MAX($W$1:W8)+1,""))</f>
        <v/>
      </c>
      <c r="X9" s="738">
        <v>6</v>
      </c>
      <c r="Y9" s="714" t="str">
        <f t="shared" si="0"/>
        <v>Band of Reanimation</v>
      </c>
      <c r="Z9" s="47"/>
      <c r="AA9" s="47"/>
    </row>
    <row r="10" spans="1:27">
      <c r="A10" s="10" t="s">
        <v>2392</v>
      </c>
      <c r="B10" s="116">
        <v>29299</v>
      </c>
      <c r="C10" s="116">
        <v>3</v>
      </c>
      <c r="D10" s="114"/>
      <c r="E10" s="114">
        <v>27</v>
      </c>
      <c r="F10" s="114">
        <v>56</v>
      </c>
      <c r="G10" s="116"/>
      <c r="H10" s="116"/>
      <c r="I10" s="116"/>
      <c r="J10" s="114"/>
      <c r="K10" s="116"/>
      <c r="L10" s="114">
        <v>40</v>
      </c>
      <c r="M10" s="116"/>
      <c r="N10" s="116"/>
      <c r="O10" s="116"/>
      <c r="P10" s="116"/>
      <c r="Q10" s="114"/>
      <c r="R10" s="114"/>
      <c r="S10" s="114" t="s">
        <v>676</v>
      </c>
      <c r="T10" s="116"/>
      <c r="U10" s="891">
        <f>($D10*dpsStr+$E10*dpsAgi+$G10*dpsCrit+$H10*dpsHit+$F10*dpsAP+$I10*dpsHaste+$J10*dpsArmor+$K10*dpsExp)-'Gear &amp; Buffs'!$AF$66</f>
        <v>-88.392795909261395</v>
      </c>
      <c r="V10" s="891">
        <f>($D10*dpsStr+$E10*dpsAgi+$G10*dpsCrit+$H10*dpsHit+$F10*dpsAP+$I10*dpsHaste+$J10*dpsArmor+$K10*dpsExp)-'Gear &amp; Buffs'!$AF$68</f>
        <v>-94.60120511982791</v>
      </c>
      <c r="W10" s="114" t="str">
        <f>IF(OR('Gear &amp; Buffs'!$B$66=A10,'Gear &amp; Buffs'!$B$68=A10),"",IF(AND(IF('Gear &amp; Buffs'!$AC$50,MAX(V10,U10)&gt;0+'Gear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Aman"),IF(includeprebc,S10="Pre-BC"),IF(includesunwell,S10="Sunwell"))),MAX($W$1:W9)+1,""))</f>
        <v/>
      </c>
      <c r="X10" s="738">
        <v>7</v>
      </c>
      <c r="Y10" s="714" t="str">
        <f t="shared" si="0"/>
        <v>Band of the Exorcist</v>
      </c>
      <c r="Z10" s="47"/>
      <c r="AA10" s="47"/>
    </row>
    <row r="11" spans="1:27">
      <c r="A11" s="10" t="s">
        <v>2393</v>
      </c>
      <c r="B11" s="116">
        <v>29300</v>
      </c>
      <c r="C11" s="116">
        <v>3</v>
      </c>
      <c r="D11" s="114"/>
      <c r="E11" s="114">
        <v>29</v>
      </c>
      <c r="F11" s="114">
        <f>60</f>
        <v>60</v>
      </c>
      <c r="G11" s="116"/>
      <c r="H11" s="116"/>
      <c r="I11" s="116"/>
      <c r="J11" s="114"/>
      <c r="K11" s="116"/>
      <c r="L11" s="114">
        <v>43</v>
      </c>
      <c r="M11" s="116"/>
      <c r="N11" s="116"/>
      <c r="O11" s="116"/>
      <c r="P11" s="116"/>
      <c r="Q11" s="114"/>
      <c r="R11" s="114"/>
      <c r="S11" s="114" t="s">
        <v>676</v>
      </c>
      <c r="T11" s="116"/>
      <c r="U11" s="891">
        <f>($D11*dpsStr+$E11*dpsAgi+$G11*dpsCrit+$H11*dpsHit+$F11*dpsAP+$I11*dpsHaste+$J11*dpsArmor+$K11*dpsExp)-'Gear &amp; Buffs'!$AF$66</f>
        <v>-85.309050067170801</v>
      </c>
      <c r="V11" s="891">
        <f>($D11*dpsStr+$E11*dpsAgi+$G11*dpsCrit+$H11*dpsHit+$F11*dpsAP+$I11*dpsHaste+$J11*dpsArmor+$K11*dpsExp)-'Gear &amp; Buffs'!$AF$68</f>
        <v>-91.517459277737316</v>
      </c>
      <c r="W11" s="114" t="str">
        <f>IF(OR('Gear &amp; Buffs'!$B$66=A11,'Gear &amp; Buffs'!$B$68=A11),"",IF(AND(IF('Gear &amp; Buffs'!$AC$50,MAX(V11,U11)&gt;0+'Gear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Aman"),IF(includeprebc,S11="Pre-BC"),IF(includesunwell,S11="Sunwell"))),MAX($W$1:W10)+1,""))</f>
        <v/>
      </c>
      <c r="X11" s="738">
        <v>8</v>
      </c>
      <c r="Y11" s="714" t="str">
        <f t="shared" si="0"/>
        <v>Band of Triumph</v>
      </c>
      <c r="Z11" s="47"/>
      <c r="AA11" s="47"/>
    </row>
    <row r="12" spans="1:27">
      <c r="A12" s="10" t="s">
        <v>2374</v>
      </c>
      <c r="B12" s="116">
        <v>22961</v>
      </c>
      <c r="C12" s="116">
        <v>1</v>
      </c>
      <c r="D12" s="114"/>
      <c r="E12" s="114">
        <v>22</v>
      </c>
      <c r="F12" s="114">
        <v>46</v>
      </c>
      <c r="G12" s="116"/>
      <c r="H12" s="116"/>
      <c r="I12" s="116"/>
      <c r="J12" s="114"/>
      <c r="K12" s="116"/>
      <c r="L12" s="114"/>
      <c r="M12" s="116"/>
      <c r="N12" s="116"/>
      <c r="O12" s="116"/>
      <c r="P12" s="116"/>
      <c r="Q12" s="114"/>
      <c r="R12" s="114"/>
      <c r="S12" s="114" t="s">
        <v>668</v>
      </c>
      <c r="T12" s="116"/>
      <c r="U12" s="891">
        <f>($D12*dpsStr+$E12*dpsAgi+$G12*dpsCrit+$H12*dpsHit+$F12*dpsAP+$I12*dpsHaste+$J12*dpsArmor+$K12*dpsExp)-'Gear &amp; Buffs'!$AF$66</f>
        <v>-96.102160514487878</v>
      </c>
      <c r="V12" s="891">
        <f>($D12*dpsStr+$E12*dpsAgi+$G12*dpsCrit+$H12*dpsHit+$F12*dpsAP+$I12*dpsHaste+$J12*dpsArmor+$K12*dpsExp)-'Gear &amp; Buffs'!$AF$68</f>
        <v>-102.31056972505439</v>
      </c>
      <c r="W12" s="114">
        <f>IF(OR('Gear &amp; Buffs'!$B$66=A12,'Gear &amp; Buffs'!$B$68=A12),"",IF(AND(IF('Gear &amp; Buffs'!$AC$50,MAX(V12,U12)&gt;0+'Gear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Aman"),IF(includeprebc,S12="Pre-BC"),IF(includesunwell,S12="Sunwell"))),MAX($W$1:W11)+1,""))</f>
        <v>6</v>
      </c>
      <c r="X12" s="738">
        <v>9</v>
      </c>
      <c r="Y12" s="714" t="str">
        <f t="shared" si="0"/>
        <v>Band of Unnatural Forces</v>
      </c>
      <c r="Z12" s="47"/>
      <c r="AA12" s="47"/>
    </row>
    <row r="13" spans="1:27">
      <c r="A13" s="10" t="s">
        <v>130</v>
      </c>
      <c r="B13" s="116">
        <v>34189</v>
      </c>
      <c r="C13" s="116">
        <v>5</v>
      </c>
      <c r="D13" s="114"/>
      <c r="E13" s="114"/>
      <c r="F13" s="114">
        <v>66</v>
      </c>
      <c r="G13" s="116">
        <v>32</v>
      </c>
      <c r="H13" s="116"/>
      <c r="I13" s="116"/>
      <c r="J13" s="114">
        <v>161</v>
      </c>
      <c r="K13" s="116"/>
      <c r="L13" s="114">
        <v>30</v>
      </c>
      <c r="M13" s="116"/>
      <c r="N13" s="116"/>
      <c r="O13" s="116"/>
      <c r="P13" s="116"/>
      <c r="Q13" s="114"/>
      <c r="R13" s="114"/>
      <c r="S13" s="114" t="s">
        <v>871</v>
      </c>
      <c r="T13" s="116"/>
      <c r="U13" s="891">
        <f>($D13*dpsStr+$E13*dpsAgi+$G13*dpsCrit+$H13*dpsHit+$F13*dpsAP+$I13*dpsHaste+$J13*dpsArmor+$K13*dpsExp)-'Gear &amp; Buffs'!$AF$66</f>
        <v>-65.420476531261784</v>
      </c>
      <c r="V13" s="891">
        <f>($D13*dpsStr+$E13*dpsAgi+$G13*dpsCrit+$H13*dpsHit+$F13*dpsAP+$I13*dpsHaste+$J13*dpsArmor+$K13*dpsExp)-'Gear &amp; Buffs'!$AF$68</f>
        <v>-71.628885741828299</v>
      </c>
      <c r="W13" s="114" t="str">
        <f>IF(OR('Gear &amp; Buffs'!$B$66=A13,'Gear &amp; Buffs'!$B$68=A13),"",IF(AND(IF('Gear &amp; Buffs'!$AC$50,MAX(V13,U13)&gt;0+'Gear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Aman"),IF(includeprebc,S13="Pre-BC"),IF(includesunwell,S13="Sunwell"))),MAX($W$1:W12)+1,""))</f>
        <v/>
      </c>
      <c r="X13" s="738">
        <v>10</v>
      </c>
      <c r="Y13" s="714" t="str">
        <f t="shared" si="0"/>
        <v>Bonescythe Ring</v>
      </c>
      <c r="Z13" s="47"/>
      <c r="AA13" s="47"/>
    </row>
    <row r="14" spans="1:27">
      <c r="A14" s="10" t="s">
        <v>1921</v>
      </c>
      <c r="B14" s="116">
        <v>29301</v>
      </c>
      <c r="C14" s="116">
        <v>3</v>
      </c>
      <c r="D14" s="114"/>
      <c r="E14" s="114">
        <v>29</v>
      </c>
      <c r="F14" s="114">
        <f>60+160*Optimize!C57</f>
        <v>82.158089843753658</v>
      </c>
      <c r="G14" s="116"/>
      <c r="H14" s="116"/>
      <c r="I14" s="116"/>
      <c r="J14" s="114"/>
      <c r="K14" s="116"/>
      <c r="L14" s="114">
        <v>43</v>
      </c>
      <c r="M14" s="116"/>
      <c r="N14" s="116"/>
      <c r="O14" s="116"/>
      <c r="P14" s="116"/>
      <c r="Q14" s="114"/>
      <c r="R14" s="114"/>
      <c r="S14" s="114" t="s">
        <v>676</v>
      </c>
      <c r="T14" s="116"/>
      <c r="U14" s="891">
        <f>($D14*dpsStr+$E14*dpsAgi+$G14*dpsCrit+$H14*dpsHit+$F14*dpsAP+$I14*dpsHaste+$J14*dpsArmor+$K14*dpsExp)-'Gear &amp; Buffs'!$AF$66</f>
        <v>-77.391299250401289</v>
      </c>
      <c r="V14" s="891">
        <f>($D14*dpsStr+$E14*dpsAgi+$G14*dpsCrit+$H14*dpsHit+$F14*dpsAP+$I14*dpsHaste+$J14*dpsArmor+$K14*dpsExp)-'Gear &amp; Buffs'!$AF$68</f>
        <v>-83.599708460967804</v>
      </c>
      <c r="W14" s="114" t="str">
        <f>IF(OR('Gear &amp; Buffs'!$B$66=A14,'Gear &amp; Buffs'!$B$68=A14),"",IF(AND(IF('Gear &amp; Buffs'!$AC$50,MAX(V14,U14)&gt;0+'Gear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Aman"),IF(includeprebc,S14="Pre-BC"),IF(includesunwell,S14="Sunwell"))),MAX($W$1:W13)+1,""))</f>
        <v/>
      </c>
      <c r="X14" s="738">
        <v>11</v>
      </c>
      <c r="Y14" s="714" t="str">
        <f t="shared" si="0"/>
        <v>Kaylaan's Signet</v>
      </c>
      <c r="Z14" s="47"/>
      <c r="AA14" s="47"/>
    </row>
    <row r="15" spans="1:27">
      <c r="A15" s="10" t="s">
        <v>724</v>
      </c>
      <c r="B15" s="116">
        <v>28553</v>
      </c>
      <c r="C15" s="116">
        <v>1</v>
      </c>
      <c r="D15" s="114"/>
      <c r="E15" s="114"/>
      <c r="F15" s="114">
        <v>34</v>
      </c>
      <c r="G15" s="116">
        <v>16</v>
      </c>
      <c r="H15" s="116">
        <v>10</v>
      </c>
      <c r="I15" s="116"/>
      <c r="J15" s="114"/>
      <c r="K15" s="116"/>
      <c r="L15" s="114">
        <v>24</v>
      </c>
      <c r="M15" s="116"/>
      <c r="N15" s="116">
        <v>11</v>
      </c>
      <c r="O15" s="116"/>
      <c r="P15" s="116"/>
      <c r="Q15" s="114"/>
      <c r="R15" s="114"/>
      <c r="S15" s="114" t="s">
        <v>677</v>
      </c>
      <c r="T15" s="116"/>
      <c r="U15" s="891">
        <f>($D15*dpsStr+$E15*dpsAgi+$G15*dpsCrit+$H15*dpsHit+$F15*dpsAP+$I15*dpsHaste+$J15*dpsArmor+$K15*dpsExp)-'Gear &amp; Buffs'!$AF$66</f>
        <v>-52.115748390695899</v>
      </c>
      <c r="V15" s="891">
        <f>($D15*dpsStr+$E15*dpsAgi+$G15*dpsCrit+$H15*dpsHit+$F15*dpsAP+$I15*dpsHaste+$J15*dpsArmor+$K15*dpsExp)-'Gear &amp; Buffs'!$AF$68</f>
        <v>-58.324157601262414</v>
      </c>
      <c r="W15" s="114">
        <f>IF(OR('Gear &amp; Buffs'!$B$66=A15,'Gear &amp; Buffs'!$B$68=A15),"",IF(AND(IF('Gear &amp; Buffs'!$AC$50,MAX(V15,U15)&gt;0+'Gear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Aman"),IF(includeprebc,S15="Pre-BC"),IF(includesunwell,S15="Sunwell"))),MAX($W$1:W14)+1,""))</f>
        <v>7</v>
      </c>
      <c r="X15" s="738">
        <v>12</v>
      </c>
      <c r="Y15" s="714" t="str">
        <f t="shared" si="0"/>
        <v>Leafbeard Ring</v>
      </c>
      <c r="Z15" s="47"/>
      <c r="AA15" s="47"/>
    </row>
    <row r="16" spans="1:27">
      <c r="A16" s="10" t="s">
        <v>491</v>
      </c>
      <c r="B16" s="116">
        <v>29997</v>
      </c>
      <c r="C16" s="116">
        <v>2</v>
      </c>
      <c r="D16" s="114"/>
      <c r="E16" s="114"/>
      <c r="F16" s="114">
        <v>56</v>
      </c>
      <c r="G16" s="116">
        <v>28</v>
      </c>
      <c r="H16" s="116">
        <v>18</v>
      </c>
      <c r="I16" s="116"/>
      <c r="J16" s="114"/>
      <c r="K16" s="116"/>
      <c r="L16" s="114">
        <v>27</v>
      </c>
      <c r="M16" s="116"/>
      <c r="N16" s="116"/>
      <c r="O16" s="116"/>
      <c r="P16" s="114"/>
      <c r="Q16" s="114"/>
      <c r="R16" s="114"/>
      <c r="S16" s="114" t="s">
        <v>680</v>
      </c>
      <c r="T16" s="116"/>
      <c r="U16" s="891">
        <f>($D16*dpsStr+$E16*dpsAgi+$G16*dpsCrit+$H16*dpsHit+$F16*dpsAP+$I16*dpsHaste+$J16*dpsArmor+$K16*dpsExp)-'Gear &amp; Buffs'!$AF$66</f>
        <v>8.375319581248732</v>
      </c>
      <c r="V16" s="891">
        <f>($D16*dpsStr+$E16*dpsAgi+$G16*dpsCrit+$H16*dpsHit+$F16*dpsAP+$I16*dpsHaste+$J16*dpsArmor+$K16*dpsExp)-'Gear &amp; Buffs'!$AF$68</f>
        <v>2.166910370682217</v>
      </c>
      <c r="W16" s="114" t="str">
        <f>IF(OR('Gear &amp; Buffs'!$B$66=A16,'Gear &amp; Buffs'!$B$68=A16),"",IF(AND(IF('Gear &amp; Buffs'!$AC$50,MAX(V16,U16)&gt;0+'Gear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Aman"),IF(includeprebc,S16="Pre-BC"),IF(includesunwell,S16="Sunwell"))),MAX($W$1:W15)+1,""))</f>
        <v/>
      </c>
      <c r="X16" s="738">
        <v>13</v>
      </c>
      <c r="Y16" s="714" t="str">
        <f t="shared" si="0"/>
        <v>Longstrider's Loop</v>
      </c>
      <c r="Z16" s="47"/>
      <c r="AA16" s="47"/>
    </row>
    <row r="17" spans="1:27">
      <c r="A17" s="10" t="s">
        <v>2507</v>
      </c>
      <c r="B17" s="114">
        <v>28246</v>
      </c>
      <c r="C17" s="114">
        <v>1</v>
      </c>
      <c r="D17" s="114"/>
      <c r="E17" s="114"/>
      <c r="F17" s="114">
        <v>32</v>
      </c>
      <c r="G17" s="116">
        <v>16</v>
      </c>
      <c r="H17" s="116"/>
      <c r="I17" s="114"/>
      <c r="J17" s="114"/>
      <c r="K17" s="114"/>
      <c r="L17" s="114">
        <v>21</v>
      </c>
      <c r="M17" s="116"/>
      <c r="N17" s="116">
        <v>16</v>
      </c>
      <c r="O17" s="114"/>
      <c r="P17" s="114"/>
      <c r="Q17" s="114"/>
      <c r="R17" s="114"/>
      <c r="S17" s="114" t="s">
        <v>677</v>
      </c>
      <c r="T17" s="114"/>
      <c r="U17" s="891">
        <f>($D17*dpsStr+$E17*dpsAgi+$G17*dpsCrit+$H17*dpsHit+$F17*dpsAP+$I17*dpsHaste+$J17*dpsArmor+$K17*dpsExp)-'Gear &amp; Buffs'!$AF$66</f>
        <v>-108.33072311367778</v>
      </c>
      <c r="V17" s="891">
        <f>($D17*dpsStr+$E17*dpsAgi+$G17*dpsCrit+$H17*dpsHit+$F17*dpsAP+$I17*dpsHaste+$J17*dpsArmor+$K17*dpsExp)-'Gear &amp; Buffs'!$AF$68</f>
        <v>-114.53913232424429</v>
      </c>
      <c r="W17" s="114">
        <f>IF(OR('Gear &amp; Buffs'!$B$66=A17,'Gear &amp; Buffs'!$B$68=A17),"",IF(AND(IF('Gear &amp; Buffs'!$AC$50,MAX(V17,U17)&gt;0+'Gear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Aman"),IF(includeprebc,S17="Pre-BC"),IF(includesunwell,S17="Sunwell"))),MAX($W$1:W16)+1,""))</f>
        <v>8</v>
      </c>
      <c r="X17" s="738">
        <v>14</v>
      </c>
      <c r="Y17" s="714" t="str">
        <f t="shared" ref="Y17" si="1">IF(ISNA(INDEX($A$2:$A$57,MATCH(X17,W$2:W$57,0))), "", INDEX($A$2:$A$57,MATCH(X17,W$2:W$57,0)))</f>
        <v>Mithril Band of the Unscarred</v>
      </c>
      <c r="Z17" s="47"/>
      <c r="AA17" s="47"/>
    </row>
    <row r="18" spans="1:27">
      <c r="A18" s="10" t="s">
        <v>2375</v>
      </c>
      <c r="B18" s="114">
        <v>23038</v>
      </c>
      <c r="C18" s="114">
        <v>1</v>
      </c>
      <c r="D18" s="114"/>
      <c r="E18" s="114"/>
      <c r="F18" s="114">
        <v>52</v>
      </c>
      <c r="G18" s="116">
        <v>14</v>
      </c>
      <c r="H18" s="116">
        <v>10</v>
      </c>
      <c r="I18" s="114"/>
      <c r="J18" s="114"/>
      <c r="K18" s="114"/>
      <c r="L18" s="114"/>
      <c r="M18" s="116"/>
      <c r="N18" s="116"/>
      <c r="O18" s="114"/>
      <c r="P18" s="114"/>
      <c r="Q18" s="114"/>
      <c r="R18" s="114"/>
      <c r="S18" s="114" t="s">
        <v>668</v>
      </c>
      <c r="T18" s="114"/>
      <c r="U18" s="891">
        <f>($D18*dpsStr+$E18*dpsAgi+$G18*dpsCrit+$H18*dpsHit+$F18*dpsAP+$I18*dpsHaste+$J18*dpsArmor+$K18*dpsExp)-'Gear &amp; Buffs'!$AF$66</f>
        <v>-47.05540053632194</v>
      </c>
      <c r="V18" s="891">
        <f>($D18*dpsStr+$E18*dpsAgi+$G18*dpsCrit+$H18*dpsHit+$F18*dpsAP+$I18*dpsHaste+$J18*dpsArmor+$K18*dpsExp)-'Gear &amp; Buffs'!$AF$68</f>
        <v>-53.263809746888455</v>
      </c>
      <c r="W18" s="114">
        <f>IF(OR('Gear &amp; Buffs'!$B$66=A18,'Gear &amp; Buffs'!$B$68=A18),"",IF(AND(IF('Gear &amp; Buffs'!$AC$50,MAX(V18,U18)&gt;0+'Gear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Aman"),IF(includeprebc,S18="Pre-BC"),IF(includesunwell,S18="Sunwell"))),MAX($W$1:W17)+1,""))</f>
        <v>9</v>
      </c>
      <c r="X18" s="738">
        <v>15</v>
      </c>
      <c r="Y18" s="714" t="str">
        <f t="shared" si="0"/>
        <v>Naliko's Revenge</v>
      </c>
      <c r="Z18" s="47"/>
      <c r="AA18" s="47"/>
    </row>
    <row r="19" spans="1:27">
      <c r="A19" s="10" t="s">
        <v>2376</v>
      </c>
      <c r="B19" s="114">
        <v>23060</v>
      </c>
      <c r="C19" s="114">
        <v>1</v>
      </c>
      <c r="D19" s="114">
        <v>20</v>
      </c>
      <c r="E19" s="114">
        <v>20</v>
      </c>
      <c r="F19" s="114"/>
      <c r="G19" s="116"/>
      <c r="H19" s="116">
        <v>10</v>
      </c>
      <c r="I19" s="114"/>
      <c r="J19" s="114"/>
      <c r="K19" s="114"/>
      <c r="L19" s="114">
        <v>10</v>
      </c>
      <c r="M19" s="116"/>
      <c r="N19" s="116"/>
      <c r="O19" s="114"/>
      <c r="P19" s="114" t="s">
        <v>2335</v>
      </c>
      <c r="Q19" s="114"/>
      <c r="R19" s="114"/>
      <c r="S19" s="114" t="s">
        <v>668</v>
      </c>
      <c r="T19" s="114"/>
      <c r="U19" s="891">
        <f>($D19*dpsStr+$E19*dpsAgi+$G19*dpsCrit+$H19*dpsHit+$F19*dpsAP+$I19*dpsHaste+$J19*dpsArmor+$K19*dpsExp)-'Gear &amp; Buffs'!$AF$66</f>
        <v>-50.832192202398801</v>
      </c>
      <c r="V19" s="891">
        <f>($D19*dpsStr+$E19*dpsAgi+$G19*dpsCrit+$H19*dpsHit+$F19*dpsAP+$I19*dpsHaste+$J19*dpsArmor+$K19*dpsExp)-'Gear &amp; Buffs'!$AF$68</f>
        <v>-57.040601412965316</v>
      </c>
      <c r="W19" s="114">
        <f>IF(OR('Gear &amp; Buffs'!$B$66=A19,'Gear &amp; Buffs'!$B$68=A19),"",IF(AND(IF('Gear &amp; Buffs'!$AC$50,MAX(V19,U19)&gt;0+'Gear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Aman"),IF(includeprebc,S19="Pre-BC"),IF(includesunwell,S19="Sunwell"))),MAX($W$1:W18)+1,""))</f>
        <v>10</v>
      </c>
      <c r="X19" s="738">
        <v>16</v>
      </c>
      <c r="Y19" s="714" t="str">
        <f t="shared" si="0"/>
        <v>Overseer's Signet</v>
      </c>
      <c r="Z19" s="47"/>
      <c r="AA19" s="47"/>
    </row>
    <row r="20" spans="1:27">
      <c r="A20" s="130" t="s">
        <v>2831</v>
      </c>
      <c r="B20" s="114">
        <v>32081</v>
      </c>
      <c r="C20" s="114">
        <v>3</v>
      </c>
      <c r="D20" s="114"/>
      <c r="E20" s="114"/>
      <c r="F20" s="114">
        <v>60</v>
      </c>
      <c r="G20" s="116"/>
      <c r="H20" s="116"/>
      <c r="I20" s="114"/>
      <c r="J20" s="114"/>
      <c r="K20" s="114"/>
      <c r="L20" s="114">
        <v>31</v>
      </c>
      <c r="M20" s="116"/>
      <c r="N20" s="116"/>
      <c r="O20" s="114"/>
      <c r="P20" s="114"/>
      <c r="Q20" s="114"/>
      <c r="R20" s="114"/>
      <c r="S20" s="114" t="s">
        <v>691</v>
      </c>
      <c r="T20" s="114"/>
      <c r="U20" s="891">
        <f>($D20*dpsStr+$E20*dpsAgi+$G20*dpsCrit+$H20*dpsHit+$F20*dpsAP+$I20*dpsHaste+$J20*dpsArmor+$K20*dpsExp)-'Gear &amp; Buffs'!$AF$66</f>
        <v>-109.29822327788497</v>
      </c>
      <c r="V20" s="891">
        <f>($D20*dpsStr+$E20*dpsAgi+$G20*dpsCrit+$H20*dpsHit+$F20*dpsAP+$I20*dpsHaste+$J20*dpsArmor+$K20*dpsExp)-'Gear &amp; Buffs'!$AF$68</f>
        <v>-115.50663248845149</v>
      </c>
      <c r="W20" s="114" t="str">
        <f>IF(OR('Gear &amp; Buffs'!$B$66=A20,'Gear &amp; Buffs'!$B$68=A20),"",IF(AND(IF('Gear &amp; Buffs'!$AC$50,MAX(V20,U20)&gt;0+'Gear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Aman"),IF(includeprebc,S20="Pre-BC"),IF(includesunwell,S20="Sunwell"))),MAX($W$1:W19)+1,""))</f>
        <v/>
      </c>
      <c r="X20" s="738">
        <v>17</v>
      </c>
      <c r="Y20" s="714" t="str">
        <f t="shared" si="0"/>
        <v>Pathfinder's Band</v>
      </c>
      <c r="Z20" s="47"/>
      <c r="AA20" s="47"/>
    </row>
    <row r="21" spans="1:27">
      <c r="A21" s="10" t="s">
        <v>492</v>
      </c>
      <c r="B21" s="116">
        <v>28649</v>
      </c>
      <c r="C21" s="116">
        <v>1</v>
      </c>
      <c r="D21" s="114"/>
      <c r="E21" s="114">
        <v>20</v>
      </c>
      <c r="F21" s="114">
        <v>40</v>
      </c>
      <c r="G21" s="116"/>
      <c r="H21" s="116">
        <v>18</v>
      </c>
      <c r="I21" s="116"/>
      <c r="J21" s="114"/>
      <c r="K21" s="116"/>
      <c r="L21" s="114">
        <v>25</v>
      </c>
      <c r="M21" s="116"/>
      <c r="N21" s="116"/>
      <c r="O21" s="116"/>
      <c r="P21" s="47"/>
      <c r="Q21" s="114"/>
      <c r="R21" s="114"/>
      <c r="S21" s="114" t="s">
        <v>672</v>
      </c>
      <c r="T21" s="116"/>
      <c r="U21" s="891">
        <f>($D21*dpsStr+$E21*dpsAgi+$G21*dpsCrit+$H21*dpsHit+$F21*dpsAP+$I21*dpsHaste+$J21*dpsArmor+$K21*dpsExp)-'Gear &amp; Buffs'!$AF$66</f>
        <v>0</v>
      </c>
      <c r="V21" s="891">
        <f>($D21*dpsStr+$E21*dpsAgi+$G21*dpsCrit+$H21*dpsHit+$F21*dpsAP+$I21*dpsHaste+$J21*dpsArmor+$K21*dpsExp)-'Gear &amp; Buffs'!$AF$68</f>
        <v>-6.208409210566515</v>
      </c>
      <c r="W21" s="114" t="str">
        <f>IF(OR('Gear &amp; Buffs'!$B$66=A21,'Gear &amp; Buffs'!$B$68=A21),"",IF(AND(IF('Gear &amp; Buffs'!$AC$50,MAX(V21,U21)&gt;0+'Gear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Aman"),IF(includeprebc,S21="Pre-BC"),IF(includesunwell,S21="Sunwell"))),MAX($W$1:W20)+1,""))</f>
        <v/>
      </c>
      <c r="X21" s="738">
        <v>18</v>
      </c>
      <c r="Y21" s="714" t="str">
        <f t="shared" si="0"/>
        <v>Ravenclaw Band</v>
      </c>
      <c r="Z21" s="47"/>
      <c r="AA21" s="47"/>
    </row>
    <row r="22" spans="1:27">
      <c r="A22" s="10" t="s">
        <v>1993</v>
      </c>
      <c r="B22" s="116">
        <v>35131</v>
      </c>
      <c r="C22" s="116">
        <v>5</v>
      </c>
      <c r="D22" s="114"/>
      <c r="E22" s="114"/>
      <c r="F22" s="114">
        <v>52</v>
      </c>
      <c r="G22" s="116">
        <v>30</v>
      </c>
      <c r="H22" s="116"/>
      <c r="I22" s="116"/>
      <c r="J22" s="114">
        <v>56</v>
      </c>
      <c r="K22" s="116"/>
      <c r="L22" s="114">
        <v>38</v>
      </c>
      <c r="M22" s="116"/>
      <c r="N22" s="116">
        <v>22</v>
      </c>
      <c r="O22" s="116"/>
      <c r="P22" s="114"/>
      <c r="Q22" s="114"/>
      <c r="R22" s="114"/>
      <c r="S22" s="114" t="s">
        <v>677</v>
      </c>
      <c r="T22" s="116"/>
      <c r="U22" s="891">
        <f>($D22*dpsStr+$E22*dpsAgi+$G22*dpsCrit+$H22*dpsHit+$F22*dpsAP+$I22*dpsHaste+$J22*dpsArmor+$K22*dpsExp)-'Gear &amp; Buffs'!$AF$66</f>
        <v>-84.700092644593497</v>
      </c>
      <c r="V22" s="891">
        <f>($D22*dpsStr+$E22*dpsAgi+$G22*dpsCrit+$H22*dpsHit+$F22*dpsAP+$I22*dpsHaste+$J22*dpsArmor+$K22*dpsExp)-'Gear &amp; Buffs'!$AF$68</f>
        <v>-90.908501855160011</v>
      </c>
      <c r="W22" s="114" t="str">
        <f>IF(OR('Gear &amp; Buffs'!$B$66=A22,'Gear &amp; Buffs'!$B$68=A22),"",IF(AND(IF('Gear &amp; Buffs'!$AC$50,MAX(V22,U22)&gt;0+'Gear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Aman"),IF(includeprebc,S22="Pre-BC"),IF(includesunwell,S22="Sunwell"))),MAX($W$1:W21)+1,""))</f>
        <v/>
      </c>
      <c r="X22" s="738">
        <v>19</v>
      </c>
      <c r="Y22" s="714" t="str">
        <f t="shared" si="0"/>
        <v>Ring of Reciprocity</v>
      </c>
      <c r="Z22" s="47"/>
      <c r="AA22" s="47"/>
    </row>
    <row r="23" spans="1:27">
      <c r="A23" s="10" t="s">
        <v>979</v>
      </c>
      <c r="B23" s="116">
        <v>34361</v>
      </c>
      <c r="C23" s="116">
        <v>5</v>
      </c>
      <c r="D23" s="114"/>
      <c r="E23" s="114">
        <v>30</v>
      </c>
      <c r="F23" s="114">
        <v>58</v>
      </c>
      <c r="G23" s="116"/>
      <c r="H23" s="116"/>
      <c r="I23" s="116">
        <v>28</v>
      </c>
      <c r="J23" s="114"/>
      <c r="K23" s="116"/>
      <c r="L23" s="114">
        <v>42</v>
      </c>
      <c r="M23" s="116"/>
      <c r="N23" s="116"/>
      <c r="O23" s="116"/>
      <c r="P23" s="114"/>
      <c r="Q23" s="114"/>
      <c r="R23" s="114"/>
      <c r="S23" s="114" t="s">
        <v>685</v>
      </c>
      <c r="T23" s="116"/>
      <c r="U23" s="891">
        <f>($D23*dpsStr+$E23*dpsAgi+$G23*dpsCrit+$H23*dpsHit+$F23*dpsAP+$I23*dpsHaste+$J23*dpsArmor+$K23*dpsExp)-'Gear &amp; Buffs'!$AF$66</f>
        <v>17.602275443017788</v>
      </c>
      <c r="V23" s="891">
        <f>($D23*dpsStr+$E23*dpsAgi+$G23*dpsCrit+$H23*dpsHit+$F23*dpsAP+$I23*dpsHaste+$J23*dpsArmor+$K23*dpsExp)-'Gear &amp; Buffs'!$AF$68</f>
        <v>11.393866232451273</v>
      </c>
      <c r="W23" s="114" t="str">
        <f>IF(OR('Gear &amp; Buffs'!$B$66=A23,'Gear &amp; Buffs'!$B$68=A23),"",IF(AND(IF('Gear &amp; Buffs'!$AC$50,MAX(V23,U23)&gt;0+'Gear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Aman"),IF(includeprebc,S23="Pre-BC"),IF(includesunwell,S23="Sunwell"))),MAX($W$1:W22)+1,""))</f>
        <v/>
      </c>
      <c r="X23" s="738">
        <v>20</v>
      </c>
      <c r="Y23" s="714" t="str">
        <f t="shared" si="0"/>
        <v>Ring of the Recalcitrant</v>
      </c>
      <c r="Z23" s="47"/>
      <c r="AA23" s="47"/>
    </row>
    <row r="24" spans="1:27">
      <c r="A24" s="10" t="s">
        <v>493</v>
      </c>
      <c r="B24" s="116">
        <v>30860</v>
      </c>
      <c r="C24" s="116">
        <v>1</v>
      </c>
      <c r="D24" s="114"/>
      <c r="E24" s="114">
        <v>15</v>
      </c>
      <c r="F24" s="114">
        <v>50</v>
      </c>
      <c r="G24" s="116"/>
      <c r="H24" s="116">
        <v>10</v>
      </c>
      <c r="I24" s="116"/>
      <c r="J24" s="114"/>
      <c r="K24" s="116"/>
      <c r="L24" s="114"/>
      <c r="M24" s="116"/>
      <c r="N24" s="116"/>
      <c r="O24" s="116"/>
      <c r="P24" s="114"/>
      <c r="Q24" s="114"/>
      <c r="R24" s="114"/>
      <c r="S24" s="114" t="s">
        <v>675</v>
      </c>
      <c r="T24" s="116"/>
      <c r="U24" s="891">
        <f>($D24*dpsStr+$E24*dpsAgi+$G24*dpsCrit+$H24*dpsHit+$F24*dpsAP+$I24*dpsHaste+$J24*dpsArmor+$K24*dpsExp)-'Gear &amp; Buffs'!$AF$66</f>
        <v>-44.963015825140474</v>
      </c>
      <c r="V24" s="891">
        <f>($D24*dpsStr+$E24*dpsAgi+$G24*dpsCrit+$H24*dpsHit+$F24*dpsAP+$I24*dpsHaste+$J24*dpsArmor+$K24*dpsExp)-'Gear &amp; Buffs'!$AF$68</f>
        <v>-51.171425035706989</v>
      </c>
      <c r="W24" s="114">
        <f>IF(OR('Gear &amp; Buffs'!$B$66=A24,'Gear &amp; Buffs'!$B$68=A24),"",IF(AND(IF('Gear &amp; Buffs'!$AC$50,MAX(V24,U24)&gt;0+'Gear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Aman"),IF(includeprebc,S24="Pre-BC"),IF(includesunwell,S24="Sunwell"))),MAX($W$1:W23)+1,""))</f>
        <v>11</v>
      </c>
      <c r="X24" s="738">
        <v>21</v>
      </c>
      <c r="Y24" s="714" t="str">
        <f t="shared" si="0"/>
        <v>Ring of the Shadow Deeps</v>
      </c>
      <c r="Z24" s="47"/>
      <c r="AA24" s="47"/>
    </row>
    <row r="25" spans="1:27">
      <c r="A25" s="10" t="s">
        <v>2377</v>
      </c>
      <c r="B25" s="116">
        <v>31527</v>
      </c>
      <c r="C25" s="116">
        <v>1</v>
      </c>
      <c r="D25" s="114"/>
      <c r="E25" s="114">
        <v>12</v>
      </c>
      <c r="F25" s="114">
        <v>38</v>
      </c>
      <c r="G25" s="116"/>
      <c r="H25" s="116">
        <v>12</v>
      </c>
      <c r="I25" s="116"/>
      <c r="J25" s="114"/>
      <c r="K25" s="116"/>
      <c r="L25" s="114"/>
      <c r="M25" s="116"/>
      <c r="N25" s="116"/>
      <c r="O25" s="116"/>
      <c r="P25" s="114"/>
      <c r="Q25" s="114"/>
      <c r="R25" s="114"/>
      <c r="S25" s="114" t="s">
        <v>675</v>
      </c>
      <c r="T25" s="116"/>
      <c r="U25" s="891">
        <f>($D25*dpsStr+$E25*dpsAgi+$G25*dpsCrit+$H25*dpsHit+$F25*dpsAP+$I25*dpsHaste+$J25*dpsArmor+$K25*dpsExp)-'Gear &amp; Buffs'!$AF$66</f>
        <v>-40.632551809153028</v>
      </c>
      <c r="V25" s="891">
        <f>($D25*dpsStr+$E25*dpsAgi+$G25*dpsCrit+$H25*dpsHit+$F25*dpsAP+$I25*dpsHaste+$J25*dpsArmor+$K25*dpsExp)-'Gear &amp; Buffs'!$AF$68</f>
        <v>-46.840961019719543</v>
      </c>
      <c r="W25" s="114">
        <f>IF(OR('Gear &amp; Buffs'!$B$66=A25,'Gear &amp; Buffs'!$B$68=A25),"",IF(AND(IF('Gear &amp; Buffs'!$AC$50,MAX(V25,U25)&gt;0+'Gear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Aman"),IF(includeprebc,S25="Pre-BC"),IF(includesunwell,S25="Sunwell"))),MAX($W$1:W24)+1,""))</f>
        <v>12</v>
      </c>
      <c r="X25" s="738">
        <v>22</v>
      </c>
      <c r="Y25" s="714" t="str">
        <f t="shared" si="0"/>
        <v>Ring of Umbral Doom</v>
      </c>
      <c r="Z25" s="47"/>
      <c r="AA25" s="47"/>
    </row>
    <row r="26" spans="1:27">
      <c r="A26" s="10" t="s">
        <v>2378</v>
      </c>
      <c r="B26" s="116">
        <v>25962</v>
      </c>
      <c r="C26" s="116">
        <v>1</v>
      </c>
      <c r="D26" s="114"/>
      <c r="E26" s="114">
        <v>16</v>
      </c>
      <c r="F26" s="114">
        <v>32</v>
      </c>
      <c r="G26" s="116"/>
      <c r="H26" s="116">
        <v>11</v>
      </c>
      <c r="I26" s="116"/>
      <c r="J26" s="114"/>
      <c r="K26" s="116"/>
      <c r="L26" s="114">
        <v>15</v>
      </c>
      <c r="M26" s="116"/>
      <c r="N26" s="116"/>
      <c r="O26" s="116"/>
      <c r="P26" s="114"/>
      <c r="Q26" s="114"/>
      <c r="R26" s="114"/>
      <c r="S26" s="114" t="s">
        <v>673</v>
      </c>
      <c r="T26" s="116"/>
      <c r="U26" s="891">
        <f>($D26*dpsStr+$E26*dpsAgi+$G26*dpsCrit+$H26*dpsHit+$F26*dpsAP+$I26*dpsHaste+$J26*dpsArmor+$K26*dpsExp)-'Gear &amp; Buffs'!$AF$66</f>
        <v>-45.017711954071274</v>
      </c>
      <c r="V26" s="891">
        <f>($D26*dpsStr+$E26*dpsAgi+$G26*dpsCrit+$H26*dpsHit+$F26*dpsAP+$I26*dpsHaste+$J26*dpsArmor+$K26*dpsExp)-'Gear &amp; Buffs'!$AF$68</f>
        <v>-51.226121164637789</v>
      </c>
      <c r="W26" s="114">
        <f>IF(OR('Gear &amp; Buffs'!$B$66=A26,'Gear &amp; Buffs'!$B$68=A26),"",IF(AND(IF('Gear &amp; Buffs'!$AC$50,MAX(V26,U26)&gt;0+'Gear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Aman"),IF(includeprebc,S26="Pre-BC"),IF(includesunwell,S26="Sunwell"))),MAX($W$1:W25)+1,""))</f>
        <v>13</v>
      </c>
      <c r="X26" s="738">
        <v>23</v>
      </c>
      <c r="Y26" s="714" t="str">
        <f t="shared" si="0"/>
        <v>Shapeshifter's Signet</v>
      </c>
      <c r="Z26" s="47"/>
      <c r="AA26" s="47"/>
    </row>
    <row r="27" spans="1:27">
      <c r="A27" s="130" t="s">
        <v>2832</v>
      </c>
      <c r="B27" s="116">
        <v>28730</v>
      </c>
      <c r="C27" s="116">
        <v>1</v>
      </c>
      <c r="D27" s="114">
        <v>26</v>
      </c>
      <c r="E27" s="114"/>
      <c r="F27" s="114"/>
      <c r="G27" s="116">
        <v>22</v>
      </c>
      <c r="H27" s="116"/>
      <c r="I27" s="116"/>
      <c r="J27" s="114"/>
      <c r="K27" s="116"/>
      <c r="L27" s="114">
        <v>24</v>
      </c>
      <c r="M27" s="116"/>
      <c r="N27" s="116"/>
      <c r="O27" s="116"/>
      <c r="P27" s="114"/>
      <c r="Q27" s="114"/>
      <c r="R27" s="114"/>
      <c r="S27" s="114" t="s">
        <v>672</v>
      </c>
      <c r="T27" s="116"/>
      <c r="U27" s="891">
        <f>($D27*dpsStr+$E27*dpsAgi+$G27*dpsCrit+$H27*dpsHit+$F27*dpsAP+$I27*dpsHaste+$J27*dpsArmor+$K27*dpsExp)-'Gear &amp; Buffs'!$AF$66</f>
        <v>-105.43086736851365</v>
      </c>
      <c r="V27" s="891">
        <f>($D27*dpsStr+$E27*dpsAgi+$G27*dpsCrit+$H27*dpsHit+$F27*dpsAP+$I27*dpsHaste+$J27*dpsArmor+$K27*dpsExp)-'Gear &amp; Buffs'!$AF$68</f>
        <v>-111.63927657908016</v>
      </c>
      <c r="W27" s="114">
        <f>IF(OR('Gear &amp; Buffs'!$B$66=A27,'Gear &amp; Buffs'!$B$68=A27),"",IF(AND(IF('Gear &amp; Buffs'!$AC$50,MAX(V27,U27)&gt;0+'Gear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Aman"),IF(includeprebc,S27="Pre-BC"),IF(includesunwell,S27="Sunwell"))),MAX($W$1:W26)+1,""))</f>
        <v>14</v>
      </c>
      <c r="X27" s="738">
        <v>24</v>
      </c>
      <c r="Y27" s="714" t="str">
        <f t="shared" si="0"/>
        <v>Signet Ring of the Bronze Dragonflight</v>
      </c>
      <c r="Z27" s="47"/>
      <c r="AA27" s="47"/>
    </row>
    <row r="28" spans="1:27">
      <c r="A28" s="10" t="s">
        <v>1230</v>
      </c>
      <c r="B28" s="116">
        <v>25804</v>
      </c>
      <c r="C28" s="116">
        <v>1</v>
      </c>
      <c r="D28" s="114"/>
      <c r="E28" s="114"/>
      <c r="F28" s="114">
        <v>34</v>
      </c>
      <c r="G28" s="116">
        <v>18</v>
      </c>
      <c r="H28" s="116"/>
      <c r="I28" s="116"/>
      <c r="J28" s="114"/>
      <c r="K28" s="116"/>
      <c r="L28" s="114">
        <v>27</v>
      </c>
      <c r="M28" s="116"/>
      <c r="N28" s="116"/>
      <c r="O28" s="116"/>
      <c r="P28" s="114"/>
      <c r="Q28" s="114"/>
      <c r="R28" s="114"/>
      <c r="S28" s="114" t="s">
        <v>675</v>
      </c>
      <c r="T28" s="116"/>
      <c r="U28" s="891">
        <f>($D28*dpsStr+$E28*dpsAgi+$G28*dpsCrit+$H28*dpsHit+$F28*dpsAP+$I28*dpsHaste+$J28*dpsArmor+$K28*dpsExp)-'Gear &amp; Buffs'!$AF$66</f>
        <v>-106.24447045094848</v>
      </c>
      <c r="V28" s="891">
        <f>($D28*dpsStr+$E28*dpsAgi+$G28*dpsCrit+$H28*dpsHit+$F28*dpsAP+$I28*dpsHaste+$J28*dpsArmor+$K28*dpsExp)-'Gear &amp; Buffs'!$AF$68</f>
        <v>-112.452879661515</v>
      </c>
      <c r="W28" s="114">
        <f>IF(OR('Gear &amp; Buffs'!$B$66=A28,'Gear &amp; Buffs'!$B$68=A28),"",IF(AND(IF('Gear &amp; Buffs'!$AC$50,MAX(V28,U28)&gt;0+'Gear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Aman"),IF(includeprebc,S28="Pre-BC"),IF(includesunwell,S28="Sunwell"))),MAX($W$1:W27)+1,""))</f>
        <v>15</v>
      </c>
      <c r="X28" s="738">
        <v>25</v>
      </c>
      <c r="Y28" s="714" t="str">
        <f t="shared" si="0"/>
        <v>Slayer's Mark of the Redemption</v>
      </c>
      <c r="Z28" s="47"/>
      <c r="AA28" s="47"/>
    </row>
    <row r="29" spans="1:27">
      <c r="A29" s="10" t="s">
        <v>2379</v>
      </c>
      <c r="B29" s="116">
        <v>30365</v>
      </c>
      <c r="C29" s="116">
        <v>1</v>
      </c>
      <c r="D29" s="114">
        <v>25</v>
      </c>
      <c r="E29" s="114">
        <v>15</v>
      </c>
      <c r="F29" s="114"/>
      <c r="G29" s="116"/>
      <c r="H29" s="116">
        <v>10</v>
      </c>
      <c r="I29" s="116"/>
      <c r="J29" s="114"/>
      <c r="K29" s="116"/>
      <c r="L29" s="114"/>
      <c r="M29" s="116"/>
      <c r="N29" s="116"/>
      <c r="O29" s="116"/>
      <c r="P29" s="114"/>
      <c r="Q29" s="114"/>
      <c r="R29" s="114"/>
      <c r="S29" s="114" t="s">
        <v>675</v>
      </c>
      <c r="T29" s="116"/>
      <c r="U29" s="891">
        <f>($D29*dpsStr+$E29*dpsAgi+$G29*dpsCrit+$H29*dpsHit+$F29*dpsAP+$I29*dpsHaste+$J29*dpsArmor+$K29*dpsExp)-'Gear &amp; Buffs'!$AF$66</f>
        <v>-53.002941406867421</v>
      </c>
      <c r="V29" s="891">
        <f>($D29*dpsStr+$E29*dpsAgi+$G29*dpsCrit+$H29*dpsHit+$F29*dpsAP+$I29*dpsHaste+$J29*dpsArmor+$K29*dpsExp)-'Gear &amp; Buffs'!$AF$68</f>
        <v>-59.211350617433936</v>
      </c>
      <c r="W29" s="114">
        <f>IF(OR('Gear &amp; Buffs'!$B$66=A29,'Gear &amp; Buffs'!$B$68=A29),"",IF(AND(IF('Gear &amp; Buffs'!$AC$50,MAX(V29,U29)&gt;0+'Gear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Aman"),IF(includeprebc,S29="Pre-BC"),IF(includesunwell,S29="Sunwell"))),MAX($W$1:W28)+1,""))</f>
        <v>16</v>
      </c>
      <c r="X29" s="738">
        <v>26</v>
      </c>
      <c r="Y29" s="714" t="str">
        <f t="shared" si="0"/>
        <v>Violet Signet (Friendly)</v>
      </c>
      <c r="Z29" s="47"/>
      <c r="AA29" s="47"/>
    </row>
    <row r="30" spans="1:27">
      <c r="A30" s="10" t="s">
        <v>2380</v>
      </c>
      <c r="B30" s="116">
        <v>31277</v>
      </c>
      <c r="C30" s="116">
        <v>1</v>
      </c>
      <c r="D30" s="114"/>
      <c r="E30" s="114">
        <v>25</v>
      </c>
      <c r="F30" s="114">
        <v>34</v>
      </c>
      <c r="G30" s="116"/>
      <c r="H30" s="116"/>
      <c r="I30" s="116"/>
      <c r="J30" s="114"/>
      <c r="K30" s="116"/>
      <c r="L30" s="114"/>
      <c r="M30" s="116"/>
      <c r="N30" s="116"/>
      <c r="O30" s="116"/>
      <c r="P30" s="114"/>
      <c r="Q30" s="114"/>
      <c r="R30" s="114"/>
      <c r="S30" s="114" t="s">
        <v>674</v>
      </c>
      <c r="T30" s="116"/>
      <c r="U30" s="891">
        <f>($D30*dpsStr+$E30*dpsAgi+$G30*dpsCrit+$H30*dpsHit+$F30*dpsAP+$I30*dpsHaste+$J30*dpsArmor+$K30*dpsExp)-'Gear &amp; Buffs'!$AF$66</f>
        <v>-97.908482216744915</v>
      </c>
      <c r="V30" s="891">
        <f>($D30*dpsStr+$E30*dpsAgi+$G30*dpsCrit+$H30*dpsHit+$F30*dpsAP+$I30*dpsHaste+$J30*dpsArmor+$K30*dpsExp)-'Gear &amp; Buffs'!$AF$68</f>
        <v>-104.11689142731143</v>
      </c>
      <c r="W30" s="114">
        <f>IF(OR('Gear &amp; Buffs'!$B$66=A30,'Gear &amp; Buffs'!$B$68=A30),"",IF(AND(IF('Gear &amp; Buffs'!$AC$50,MAX(V30,U30)&gt;0+'Gear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Aman"),IF(includeprebc,S30="Pre-BC"),IF(includesunwell,S30="Sunwell"))),MAX($W$1:W29)+1,""))</f>
        <v>17</v>
      </c>
      <c r="X30" s="738">
        <v>27</v>
      </c>
      <c r="Y30" s="714" t="str">
        <f t="shared" si="0"/>
        <v>Violet Signet (Honored)</v>
      </c>
      <c r="Z30" s="47"/>
      <c r="AA30" s="47"/>
    </row>
    <row r="31" spans="1:27">
      <c r="A31" s="10" t="s">
        <v>494</v>
      </c>
      <c r="B31" s="116">
        <v>27925</v>
      </c>
      <c r="C31" s="116">
        <v>1</v>
      </c>
      <c r="D31" s="114"/>
      <c r="E31" s="114">
        <v>20</v>
      </c>
      <c r="F31" s="114">
        <v>30</v>
      </c>
      <c r="G31" s="116"/>
      <c r="H31" s="116">
        <v>13</v>
      </c>
      <c r="I31" s="116"/>
      <c r="J31" s="114"/>
      <c r="K31" s="116"/>
      <c r="L31" s="114">
        <v>15</v>
      </c>
      <c r="M31" s="116"/>
      <c r="N31" s="116"/>
      <c r="O31" s="116"/>
      <c r="P31" s="114"/>
      <c r="Q31" s="114"/>
      <c r="R31" s="114"/>
      <c r="S31" s="114" t="s">
        <v>673</v>
      </c>
      <c r="T31" s="116"/>
      <c r="U31" s="891">
        <f>($D31*dpsStr+$E31*dpsAgi+$G31*dpsCrit+$H31*dpsHit+$F31*dpsAP+$I31*dpsHaste+$J31*dpsArmor+$K31*dpsExp)-'Gear &amp; Buffs'!$AF$66</f>
        <v>-31.323457594187403</v>
      </c>
      <c r="V31" s="891">
        <f>($D31*dpsStr+$E31*dpsAgi+$G31*dpsCrit+$H31*dpsHit+$F31*dpsAP+$I31*dpsHaste+$J31*dpsArmor+$K31*dpsExp)-'Gear &amp; Buffs'!$AF$68</f>
        <v>-37.531866804753918</v>
      </c>
      <c r="W31" s="114">
        <f>IF(OR('Gear &amp; Buffs'!$B$66=A31,'Gear &amp; Buffs'!$B$68=A31),"",IF(AND(IF('Gear &amp; Buffs'!$AC$50,MAX(V31,U31)&gt;0+'Gear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Aman"),IF(includeprebc,S31="Pre-BC"),IF(includesunwell,S31="Sunwell"))),MAX($W$1:W30)+1,""))</f>
        <v>18</v>
      </c>
      <c r="X31" s="738">
        <v>28</v>
      </c>
      <c r="Y31" s="714" t="str">
        <f t="shared" si="0"/>
        <v>Violet Signet (Revered)</v>
      </c>
      <c r="Z31" s="47"/>
      <c r="AA31" s="47"/>
    </row>
    <row r="32" spans="1:27">
      <c r="A32" s="10" t="s">
        <v>259</v>
      </c>
      <c r="B32" s="116">
        <v>28757</v>
      </c>
      <c r="C32" s="116">
        <v>1</v>
      </c>
      <c r="D32" s="114"/>
      <c r="E32" s="114"/>
      <c r="F32" s="114">
        <v>44</v>
      </c>
      <c r="G32" s="116">
        <v>23</v>
      </c>
      <c r="H32" s="116">
        <v>19</v>
      </c>
      <c r="I32" s="116"/>
      <c r="J32" s="114"/>
      <c r="K32" s="116"/>
      <c r="L32" s="114">
        <v>21</v>
      </c>
      <c r="M32" s="116"/>
      <c r="N32" s="116"/>
      <c r="O32" s="116"/>
      <c r="P32" s="114"/>
      <c r="Q32" s="114"/>
      <c r="R32" s="114"/>
      <c r="S32" s="114" t="s">
        <v>672</v>
      </c>
      <c r="T32" s="116"/>
      <c r="U32" s="891">
        <f>($D32*dpsStr+$E32*dpsAgi+$G32*dpsCrit+$H32*dpsHit+$F32*dpsAP+$I32*dpsHaste+$J32*dpsArmor+$K32*dpsExp)-'Gear &amp; Buffs'!$AF$66</f>
        <v>6.208409210566515</v>
      </c>
      <c r="V32" s="891">
        <f>($D32*dpsStr+$E32*dpsAgi+$G32*dpsCrit+$H32*dpsHit+$F32*dpsAP+$I32*dpsHaste+$J32*dpsArmor+$K32*dpsExp)-'Gear &amp; Buffs'!$AF$68</f>
        <v>0</v>
      </c>
      <c r="W32" s="114" t="str">
        <f>IF(OR('Gear &amp; Buffs'!$B$66=A32,'Gear &amp; Buffs'!$B$68=A32),"",IF(AND(IF('Gear &amp; Buffs'!$AC$50,MAX(V32,U32)&gt;0+'Gear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Aman"),IF(includeprebc,S32="Pre-BC"),IF(includesunwell,S32="Sunwell"))),MAX($W$1:W31)+1,""))</f>
        <v/>
      </c>
      <c r="X32" s="738">
        <v>29</v>
      </c>
      <c r="Y32" s="714" t="str">
        <f t="shared" si="0"/>
        <v>Violet Signet of the Master Assassin</v>
      </c>
      <c r="Z32" s="47"/>
      <c r="AA32" s="47"/>
    </row>
    <row r="33" spans="1:27">
      <c r="A33" s="130" t="s">
        <v>495</v>
      </c>
      <c r="B33" s="116">
        <v>29379</v>
      </c>
      <c r="C33" s="116">
        <v>3</v>
      </c>
      <c r="D33" s="114"/>
      <c r="E33" s="114"/>
      <c r="F33" s="114">
        <v>46</v>
      </c>
      <c r="G33" s="116">
        <v>23</v>
      </c>
      <c r="H33" s="116"/>
      <c r="I33" s="116"/>
      <c r="J33" s="114"/>
      <c r="K33" s="116"/>
      <c r="L33" s="114">
        <v>24</v>
      </c>
      <c r="M33" s="116"/>
      <c r="N33" s="116"/>
      <c r="O33" s="116"/>
      <c r="P33" s="114"/>
      <c r="Q33" s="114"/>
      <c r="R33" s="114"/>
      <c r="S33" s="114" t="s">
        <v>691</v>
      </c>
      <c r="T33" s="116"/>
      <c r="U33" s="891">
        <f>($D33*dpsStr+$E33*dpsAgi+$G33*dpsCrit+$H33*dpsHit+$F33*dpsAP+$I33*dpsHaste+$J33*dpsArmor+$K33*dpsExp)-'Gear &amp; Buffs'!$AF$66</f>
        <v>-98.527528613139111</v>
      </c>
      <c r="V33" s="891">
        <f>($D33*dpsStr+$E33*dpsAgi+$G33*dpsCrit+$H33*dpsHit+$F33*dpsAP+$I33*dpsHaste+$J33*dpsArmor+$K33*dpsExp)-'Gear &amp; Buffs'!$AF$68</f>
        <v>-104.73593782370563</v>
      </c>
      <c r="W33" s="114" t="str">
        <f>IF(OR('Gear &amp; Buffs'!$B$66=A33,'Gear &amp; Buffs'!$B$68=A33),"",IF(AND(IF('Gear &amp; Buffs'!$AC$50,MAX(V33,U33)&gt;0+'Gear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Aman"),IF(includeprebc,S33="Pre-BC"),IF(includesunwell,S33="Sunwell"))),MAX($W$1:W32)+1,""))</f>
        <v/>
      </c>
      <c r="X33" s="738">
        <v>30</v>
      </c>
      <c r="Y33" s="714" t="str">
        <f t="shared" si="0"/>
        <v>(Unmodeled)</v>
      </c>
      <c r="Z33" s="47"/>
      <c r="AA33" s="47"/>
    </row>
    <row r="34" spans="1:27">
      <c r="A34" s="10" t="s">
        <v>1936</v>
      </c>
      <c r="B34" s="116">
        <v>32266</v>
      </c>
      <c r="C34" s="116">
        <v>3</v>
      </c>
      <c r="D34" s="114"/>
      <c r="E34" s="114">
        <v>21</v>
      </c>
      <c r="F34" s="114">
        <v>58</v>
      </c>
      <c r="G34" s="116"/>
      <c r="H34" s="116">
        <v>19</v>
      </c>
      <c r="I34" s="116"/>
      <c r="J34" s="114"/>
      <c r="K34" s="116"/>
      <c r="L34" s="114">
        <v>42</v>
      </c>
      <c r="M34" s="116"/>
      <c r="N34" s="116"/>
      <c r="O34" s="116"/>
      <c r="P34" s="114"/>
      <c r="Q34" s="114"/>
      <c r="R34" s="114"/>
      <c r="S34" s="114" t="s">
        <v>683</v>
      </c>
      <c r="T34" s="116"/>
      <c r="U34" s="891">
        <f>($D34*dpsStr+$E34*dpsAgi+$G34*dpsCrit+$H34*dpsHit+$F34*dpsAP+$I34*dpsHaste+$J34*dpsArmor+$K34*dpsExp)-'Gear &amp; Buffs'!$AF$66</f>
        <v>12.809184801855054</v>
      </c>
      <c r="V34" s="891">
        <f>($D34*dpsStr+$E34*dpsAgi+$G34*dpsCrit+$H34*dpsHit+$F34*dpsAP+$I34*dpsHaste+$J34*dpsArmor+$K34*dpsExp)-'Gear &amp; Buffs'!$AF$68</f>
        <v>6.6007755912885386</v>
      </c>
      <c r="W34" s="114" t="str">
        <f>IF(OR('Gear &amp; Buffs'!$B$66=A34,'Gear &amp; Buffs'!$B$68=A34),"",IF(AND(IF('Gear &amp; Buffs'!$AC$50,MAX(V34,U34)&gt;0+'Gear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Aman"),IF(includeprebc,S34="Pre-BC"),IF(includesunwell,S34="Sunwell"))),MAX($W$1:W33)+1,""))</f>
        <v/>
      </c>
      <c r="X34" s="738">
        <v>31</v>
      </c>
      <c r="Y34" s="714" t="str">
        <f t="shared" si="0"/>
        <v>(Unmodeled 2)</v>
      </c>
      <c r="Z34" s="47"/>
      <c r="AA34" s="47"/>
    </row>
    <row r="35" spans="1:27">
      <c r="A35" s="10" t="s">
        <v>496</v>
      </c>
      <c r="B35" s="116">
        <v>30052</v>
      </c>
      <c r="C35" s="116">
        <v>2</v>
      </c>
      <c r="D35" s="114"/>
      <c r="E35" s="114">
        <v>24</v>
      </c>
      <c r="F35" s="114">
        <v>50</v>
      </c>
      <c r="G35" s="116"/>
      <c r="H35" s="116">
        <v>19</v>
      </c>
      <c r="I35" s="116"/>
      <c r="J35" s="114"/>
      <c r="K35" s="116"/>
      <c r="L35" s="114">
        <v>19</v>
      </c>
      <c r="M35" s="116"/>
      <c r="N35" s="116"/>
      <c r="O35" s="116"/>
      <c r="P35" s="114"/>
      <c r="Q35" s="114"/>
      <c r="R35" s="114"/>
      <c r="S35" s="114" t="s">
        <v>667</v>
      </c>
      <c r="T35" s="116"/>
      <c r="U35" s="891">
        <f>($D35*dpsStr+$E35*dpsAgi+$G35*dpsCrit+$H35*dpsHit+$F35*dpsAP+$I35*dpsHaste+$J35*dpsArmor+$K35*dpsExp)-'Gear &amp; Buffs'!$AF$66</f>
        <v>12.432183203018667</v>
      </c>
      <c r="V35" s="891">
        <f>($D35*dpsStr+$E35*dpsAgi+$G35*dpsCrit+$H35*dpsHit+$F35*dpsAP+$I35*dpsHaste+$J35*dpsArmor+$K35*dpsExp)-'Gear &amp; Buffs'!$AF$68</f>
        <v>6.223773992452152</v>
      </c>
      <c r="W35" s="114" t="str">
        <f>IF(OR('Gear &amp; Buffs'!$B$66=A35,'Gear &amp; Buffs'!$B$68=A35),"",IF(AND(IF('Gear &amp; Buffs'!$AC$50,MAX(V35,U35)&gt;0+'Gear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Aman"),IF(includeprebc,S35="Pre-BC"),IF(includesunwell,S35="Sunwell"))),MAX($W$1:W34)+1,""))</f>
        <v/>
      </c>
      <c r="X35" s="738">
        <v>32</v>
      </c>
      <c r="Y35" s="714" t="str">
        <f t="shared" si="0"/>
        <v/>
      </c>
      <c r="Z35" s="47"/>
      <c r="AA35" s="47"/>
    </row>
    <row r="36" spans="1:27">
      <c r="A36" s="10" t="s">
        <v>497</v>
      </c>
      <c r="B36" s="116">
        <v>30738</v>
      </c>
      <c r="C36" s="116">
        <v>1</v>
      </c>
      <c r="D36" s="114"/>
      <c r="E36" s="114"/>
      <c r="F36" s="114">
        <v>62</v>
      </c>
      <c r="G36" s="116">
        <v>19</v>
      </c>
      <c r="H36" s="116">
        <v>15</v>
      </c>
      <c r="I36" s="116"/>
      <c r="J36" s="114"/>
      <c r="K36" s="116"/>
      <c r="L36" s="114"/>
      <c r="M36" s="116"/>
      <c r="N36" s="116"/>
      <c r="O36" s="116"/>
      <c r="P36" s="114"/>
      <c r="Q36" s="114"/>
      <c r="R36" s="114"/>
      <c r="S36" s="114" t="s">
        <v>682</v>
      </c>
      <c r="T36" s="116"/>
      <c r="U36" s="891">
        <f>($D36*dpsStr+$E36*dpsAgi+$G36*dpsCrit+$H36*dpsHit+$F36*dpsAP+$I36*dpsHaste+$J36*dpsArmor+$K36*dpsExp)-'Gear &amp; Buffs'!$AF$66</f>
        <v>-12.302961414587116</v>
      </c>
      <c r="V36" s="891">
        <f>($D36*dpsStr+$E36*dpsAgi+$G36*dpsCrit+$H36*dpsHit+$F36*dpsAP+$I36*dpsHaste+$J36*dpsArmor+$K36*dpsExp)-'Gear &amp; Buffs'!$AF$68</f>
        <v>-18.511370625153631</v>
      </c>
      <c r="W36" s="114">
        <f>IF(OR('Gear &amp; Buffs'!$B$66=A36,'Gear &amp; Buffs'!$B$68=A36),"",IF(AND(IF('Gear &amp; Buffs'!$AC$50,MAX(V36,U36)&gt;0+'Gear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Aman"),IF(includeprebc,S36="Pre-BC"),IF(includesunwell,S36="Sunwell"))),MAX($W$1:W35)+1,""))</f>
        <v>19</v>
      </c>
      <c r="X36" s="738">
        <v>33</v>
      </c>
      <c r="Y36" s="714" t="str">
        <f t="shared" si="0"/>
        <v/>
      </c>
      <c r="Z36" s="47"/>
      <c r="AA36" s="47"/>
    </row>
    <row r="37" spans="1:27">
      <c r="A37" s="130" t="s">
        <v>2285</v>
      </c>
      <c r="B37" s="116">
        <v>32942</v>
      </c>
      <c r="C37" s="116">
        <v>3</v>
      </c>
      <c r="D37" s="114"/>
      <c r="E37" s="114">
        <v>16</v>
      </c>
      <c r="F37" s="114">
        <v>56</v>
      </c>
      <c r="G37" s="116"/>
      <c r="H37" s="116">
        <v>12</v>
      </c>
      <c r="I37" s="116"/>
      <c r="J37" s="114"/>
      <c r="K37" s="116"/>
      <c r="L37" s="114"/>
      <c r="M37" s="116"/>
      <c r="N37" s="116"/>
      <c r="O37" s="116"/>
      <c r="P37" s="114"/>
      <c r="Q37" s="114"/>
      <c r="R37" s="114"/>
      <c r="S37" s="114" t="s">
        <v>675</v>
      </c>
      <c r="T37" s="116"/>
      <c r="U37" s="891">
        <f>($D37*dpsStr+$E37*dpsAgi+$G37*dpsCrit+$H37*dpsHit+$F37*dpsAP+$I37*dpsHaste+$J37*dpsArmor+$K37*dpsExp)-'Gear &amp; Buffs'!$AF$66</f>
        <v>-30.891759866420216</v>
      </c>
      <c r="V37" s="891">
        <f>($D37*dpsStr+$E37*dpsAgi+$G37*dpsCrit+$H37*dpsHit+$F37*dpsAP+$I37*dpsHaste+$J37*dpsArmor+$K37*dpsExp)-'Gear &amp; Buffs'!$AF$68</f>
        <v>-37.100169076986731</v>
      </c>
      <c r="W37" s="114" t="str">
        <f>IF(OR('Gear &amp; Buffs'!$B$66=A37,'Gear &amp; Buffs'!$B$68=A37),"",IF(AND(IF('Gear &amp; Buffs'!$AC$50,MAX(V37,U37)&gt;0+'Gear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Aman"),IF(includeprebc,S37="Pre-BC"),IF(includesunwell,S37="Sunwell"))),MAX($W$1:W36)+1,""))</f>
        <v/>
      </c>
      <c r="X37" s="738">
        <v>34</v>
      </c>
      <c r="Y37" s="714" t="str">
        <f t="shared" si="0"/>
        <v/>
      </c>
      <c r="Z37" s="47"/>
      <c r="AA37" s="47"/>
    </row>
    <row r="38" spans="1:27">
      <c r="A38" s="10" t="s">
        <v>1916</v>
      </c>
      <c r="B38" s="116">
        <v>28791</v>
      </c>
      <c r="C38" s="116">
        <v>1</v>
      </c>
      <c r="D38" s="114"/>
      <c r="E38" s="114">
        <v>24</v>
      </c>
      <c r="F38" s="114">
        <v>54</v>
      </c>
      <c r="G38" s="116"/>
      <c r="H38" s="116"/>
      <c r="I38" s="116"/>
      <c r="J38" s="114"/>
      <c r="K38" s="116"/>
      <c r="L38" s="114">
        <v>27</v>
      </c>
      <c r="M38" s="116"/>
      <c r="N38" s="116"/>
      <c r="O38" s="116"/>
      <c r="P38" s="114"/>
      <c r="Q38" s="114"/>
      <c r="R38" s="114"/>
      <c r="S38" s="114" t="s">
        <v>675</v>
      </c>
      <c r="T38" s="116"/>
      <c r="U38" s="891">
        <f>($D38*dpsStr+$E38*dpsAgi+$G38*dpsCrit+$H38*dpsHit+$F38*dpsAP+$I38*dpsHaste+$J38*dpsArmor+$K38*dpsExp)-'Gear &amp; Buffs'!$AF$66</f>
        <v>-91.589094568976634</v>
      </c>
      <c r="V38" s="891">
        <f>($D38*dpsStr+$E38*dpsAgi+$G38*dpsCrit+$H38*dpsHit+$F38*dpsAP+$I38*dpsHaste+$J38*dpsArmor+$K38*dpsExp)-'Gear &amp; Buffs'!$AF$68</f>
        <v>-97.797503779543149</v>
      </c>
      <c r="W38" s="114">
        <f>IF(OR('Gear &amp; Buffs'!$B$66=A38,'Gear &amp; Buffs'!$B$68=A38),"",IF(AND(IF('Gear &amp; Buffs'!$AC$50,MAX(V38,U38)&gt;0+'Gear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Aman"),IF(includeprebc,S38="Pre-BC"),IF(includesunwell,S38="Sunwell"))),MAX($W$1:W37)+1,""))</f>
        <v>20</v>
      </c>
      <c r="X38" s="738">
        <v>35</v>
      </c>
      <c r="Y38" s="714" t="str">
        <f t="shared" si="0"/>
        <v/>
      </c>
      <c r="Z38" s="47"/>
      <c r="AA38" s="47"/>
    </row>
    <row r="39" spans="1:27">
      <c r="A39" s="10" t="s">
        <v>2381</v>
      </c>
      <c r="B39" s="116">
        <v>27761</v>
      </c>
      <c r="C39" s="116">
        <v>1</v>
      </c>
      <c r="D39" s="114"/>
      <c r="E39" s="114"/>
      <c r="F39" s="114">
        <v>24</v>
      </c>
      <c r="G39" s="116">
        <v>21</v>
      </c>
      <c r="H39" s="116">
        <v>13</v>
      </c>
      <c r="I39" s="116"/>
      <c r="J39" s="114"/>
      <c r="K39" s="116"/>
      <c r="L39" s="114">
        <v>15</v>
      </c>
      <c r="M39" s="116"/>
      <c r="N39" s="116"/>
      <c r="O39" s="116"/>
      <c r="P39" s="114"/>
      <c r="Q39" s="114"/>
      <c r="R39" s="114"/>
      <c r="S39" s="114" t="s">
        <v>691</v>
      </c>
      <c r="T39" s="116"/>
      <c r="U39" s="891">
        <f>($D39*dpsStr+$E39*dpsAgi+$G39*dpsCrit+$H39*dpsHit+$F39*dpsAP+$I39*dpsHaste+$J39*dpsArmor+$K39*dpsExp)-'Gear &amp; Buffs'!$AF$66</f>
        <v>-35.609972720318638</v>
      </c>
      <c r="V39" s="891">
        <f>($D39*dpsStr+$E39*dpsAgi+$G39*dpsCrit+$H39*dpsHit+$F39*dpsAP+$I39*dpsHaste+$J39*dpsArmor+$K39*dpsExp)-'Gear &amp; Buffs'!$AF$68</f>
        <v>-41.818381930885153</v>
      </c>
      <c r="W39" s="114">
        <f>IF(OR('Gear &amp; Buffs'!$B$66=A39,'Gear &amp; Buffs'!$B$68=A39),"",IF(AND(IF('Gear &amp; Buffs'!$AC$50,MAX(V39,U39)&gt;0+'Gear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Aman"),IF(includeprebc,S39="Pre-BC"),IF(includesunwell,S39="Sunwell"))),MAX($W$1:W38)+1,""))</f>
        <v>21</v>
      </c>
      <c r="X39" s="738">
        <v>36</v>
      </c>
      <c r="Y39" s="714" t="str">
        <f t="shared" si="0"/>
        <v/>
      </c>
      <c r="Z39" s="47"/>
      <c r="AA39" s="47"/>
    </row>
    <row r="40" spans="1:27">
      <c r="A40" s="10" t="s">
        <v>2833</v>
      </c>
      <c r="B40" s="116">
        <v>28323</v>
      </c>
      <c r="C40" s="116">
        <v>1</v>
      </c>
      <c r="D40" s="114"/>
      <c r="E40" s="114"/>
      <c r="F40" s="114">
        <v>40</v>
      </c>
      <c r="G40" s="116">
        <v>20</v>
      </c>
      <c r="H40" s="116"/>
      <c r="I40" s="116"/>
      <c r="J40" s="114"/>
      <c r="K40" s="116"/>
      <c r="L40" s="114">
        <v>18</v>
      </c>
      <c r="M40" s="116"/>
      <c r="N40" s="116"/>
      <c r="O40" s="116"/>
      <c r="P40" s="114"/>
      <c r="Q40" s="114"/>
      <c r="R40" s="114"/>
      <c r="S40" s="114" t="s">
        <v>673</v>
      </c>
      <c r="T40" s="116"/>
      <c r="U40" s="891">
        <f>($D40*dpsStr+$E40*dpsAgi+$G40*dpsCrit+$H40*dpsHit+$F40*dpsAP+$I40*dpsHaste+$J40*dpsArmor+$K40*dpsExp)-'Gear &amp; Buffs'!$AF$66</f>
        <v>-102.72889768479854</v>
      </c>
      <c r="V40" s="891">
        <f>($D40*dpsStr+$E40*dpsAgi+$G40*dpsCrit+$H40*dpsHit+$F40*dpsAP+$I40*dpsHaste+$J40*dpsArmor+$K40*dpsExp)-'Gear &amp; Buffs'!$AF$68</f>
        <v>-108.93730689536505</v>
      </c>
      <c r="W40" s="114">
        <f>IF(OR('Gear &amp; Buffs'!$B$66=A40,'Gear &amp; Buffs'!$B$68=A40),"",IF(AND(IF('Gear &amp; Buffs'!$AC$50,MAX(V40,U40)&gt;0+'Gear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Aman"),IF(includeprebc,S40="Pre-BC"),IF(includesunwell,S40="Sunwell"))),MAX($W$1:W39)+1,""))</f>
        <v>22</v>
      </c>
      <c r="X40" s="738">
        <v>37</v>
      </c>
      <c r="Y40" s="714" t="str">
        <f t="shared" si="0"/>
        <v/>
      </c>
      <c r="Z40" s="47"/>
      <c r="AA40" s="47"/>
    </row>
    <row r="41" spans="1:27">
      <c r="A41" s="130" t="s">
        <v>1699</v>
      </c>
      <c r="B41" s="116">
        <v>31920</v>
      </c>
      <c r="C41" s="116">
        <v>3</v>
      </c>
      <c r="D41" s="114"/>
      <c r="E41" s="114"/>
      <c r="F41" s="114">
        <v>40</v>
      </c>
      <c r="G41" s="116">
        <v>20</v>
      </c>
      <c r="H41" s="116">
        <v>19</v>
      </c>
      <c r="I41" s="116"/>
      <c r="J41" s="114"/>
      <c r="K41" s="116"/>
      <c r="L41" s="114"/>
      <c r="M41" s="116"/>
      <c r="N41" s="116"/>
      <c r="O41" s="116"/>
      <c r="P41" s="114"/>
      <c r="Q41" s="114"/>
      <c r="R41" s="114"/>
      <c r="S41" s="114" t="s">
        <v>691</v>
      </c>
      <c r="T41" s="116"/>
      <c r="U41" s="891">
        <f>($D41*dpsStr+$E41*dpsAgi+$G41*dpsCrit+$H41*dpsHit+$F41*dpsAP+$I41*dpsHaste+$J41*dpsArmor+$K41*dpsExp)-'Gear &amp; Buffs'!$AF$66</f>
        <v>2.7217001906174119</v>
      </c>
      <c r="V41" s="891">
        <f>($D41*dpsStr+$E41*dpsAgi+$G41*dpsCrit+$H41*dpsHit+$F41*dpsAP+$I41*dpsHaste+$J41*dpsArmor+$K41*dpsExp)-'Gear &amp; Buffs'!$AF$68</f>
        <v>-3.4867090199491031</v>
      </c>
      <c r="W41" s="114" t="str">
        <f>IF(OR('Gear &amp; Buffs'!$B$66=A41,'Gear &amp; Buffs'!$B$68=A41),"",IF(AND(IF('Gear &amp; Buffs'!$AC$50,MAX(V41,U41)&gt;0+'Gear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Aman"),IF(includeprebc,S41="Pre-BC"),IF(includesunwell,S41="Sunwell"))),MAX($W$1:W40)+1,""))</f>
        <v/>
      </c>
      <c r="X41" s="738">
        <v>38</v>
      </c>
      <c r="Y41" s="714" t="str">
        <f t="shared" si="0"/>
        <v/>
      </c>
      <c r="Z41" s="47"/>
      <c r="AA41" s="47"/>
    </row>
    <row r="42" spans="1:27">
      <c r="A42" s="10" t="s">
        <v>1700</v>
      </c>
      <c r="B42" s="116">
        <v>30834</v>
      </c>
      <c r="C42" s="116">
        <v>1</v>
      </c>
      <c r="D42" s="114"/>
      <c r="E42" s="114">
        <v>25</v>
      </c>
      <c r="F42" s="114"/>
      <c r="G42" s="116"/>
      <c r="H42" s="116"/>
      <c r="I42" s="116"/>
      <c r="J42" s="114"/>
      <c r="K42" s="116">
        <v>20</v>
      </c>
      <c r="L42" s="114">
        <v>18</v>
      </c>
      <c r="M42" s="116"/>
      <c r="N42" s="116"/>
      <c r="O42" s="116"/>
      <c r="P42" s="114"/>
      <c r="Q42" s="114"/>
      <c r="R42" s="114"/>
      <c r="S42" s="114" t="s">
        <v>676</v>
      </c>
      <c r="T42" s="116"/>
      <c r="U42" s="891">
        <f>($D42*dpsStr+$E42*dpsAgi+$G42*dpsCrit+$H42*dpsHit+$F42*dpsAP+$I42*dpsHaste+$J42*dpsArmor+$K42*dpsExp)-'Gear &amp; Buffs'!$AF$66</f>
        <v>-86.4855001692315</v>
      </c>
      <c r="V42" s="891">
        <f>($D42*dpsStr+$E42*dpsAgi+$G42*dpsCrit+$H42*dpsHit+$F42*dpsAP+$I42*dpsHaste+$J42*dpsArmor+$K42*dpsExp)-'Gear &amp; Buffs'!$AF$68</f>
        <v>-92.693909379798015</v>
      </c>
      <c r="W42" s="114">
        <f>IF(OR('Gear &amp; Buffs'!$B$66=A42,'Gear &amp; Buffs'!$B$68=A42),"",IF(AND(IF('Gear &amp; Buffs'!$AC$50,MAX(V42,U42)&gt;0+'Gear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Aman"),IF(includeprebc,S42="Pre-BC"),IF(includesunwell,S42="Sunwell"))),MAX($W$1:W41)+1,""))</f>
        <v>23</v>
      </c>
      <c r="X42" s="738">
        <v>39</v>
      </c>
      <c r="Y42" s="714" t="str">
        <f t="shared" si="0"/>
        <v/>
      </c>
      <c r="Z42" s="47"/>
      <c r="AA42" s="47"/>
    </row>
    <row r="43" spans="1:27">
      <c r="A43" s="10" t="s">
        <v>1437</v>
      </c>
      <c r="B43" s="116">
        <v>33496</v>
      </c>
      <c r="C43" s="116">
        <v>4</v>
      </c>
      <c r="D43" s="114"/>
      <c r="E43" s="114">
        <v>28</v>
      </c>
      <c r="F43" s="114">
        <v>58</v>
      </c>
      <c r="G43" s="116"/>
      <c r="H43" s="116"/>
      <c r="I43" s="116"/>
      <c r="J43" s="114">
        <v>126</v>
      </c>
      <c r="K43" s="116"/>
      <c r="L43" s="114">
        <v>30</v>
      </c>
      <c r="M43" s="116"/>
      <c r="N43" s="116"/>
      <c r="O43" s="116"/>
      <c r="P43" s="114"/>
      <c r="Q43" s="114"/>
      <c r="R43" s="114"/>
      <c r="S43" s="114" t="s">
        <v>664</v>
      </c>
      <c r="T43" s="116"/>
      <c r="U43" s="891">
        <f>($D43*dpsStr+$E43*dpsAgi+$G43*dpsCrit+$H43*dpsHit+$F43*dpsAP+$I43*dpsHaste+$J43*dpsArmor+$K43*dpsExp)-'Gear &amp; Buffs'!$AF$66</f>
        <v>-71.364439219807537</v>
      </c>
      <c r="V43" s="891">
        <f>($D43*dpsStr+$E43*dpsAgi+$G43*dpsCrit+$H43*dpsHit+$F43*dpsAP+$I43*dpsHaste+$J43*dpsArmor+$K43*dpsExp)-'Gear &amp; Buffs'!$AF$68</f>
        <v>-77.572848430374052</v>
      </c>
      <c r="W43" s="114" t="str">
        <f>IF(OR('Gear &amp; Buffs'!$B$66=A43,'Gear &amp; Buffs'!$B$68=A43),"",IF(AND(IF('Gear &amp; Buffs'!$AC$50,MAX(V43,U43)&gt;0+'Gear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Aman"),IF(includeprebc,S43="Pre-BC"),IF(includesunwell,S43="Sunwell"))),MAX($W$1:W42)+1,""))</f>
        <v/>
      </c>
      <c r="X43" s="738">
        <v>40</v>
      </c>
      <c r="Y43" s="714" t="str">
        <f t="shared" si="0"/>
        <v/>
      </c>
      <c r="Z43" s="47"/>
      <c r="AA43" s="47"/>
    </row>
    <row r="44" spans="1:27">
      <c r="A44" s="10" t="s">
        <v>2382</v>
      </c>
      <c r="B44" s="116">
        <v>21205</v>
      </c>
      <c r="C44" s="116">
        <v>1</v>
      </c>
      <c r="D44" s="114"/>
      <c r="E44" s="114">
        <v>18</v>
      </c>
      <c r="F44" s="114">
        <v>24</v>
      </c>
      <c r="G44" s="116"/>
      <c r="H44" s="116">
        <v>10</v>
      </c>
      <c r="I44" s="116"/>
      <c r="J44" s="114"/>
      <c r="K44" s="116"/>
      <c r="L44" s="114">
        <v>13</v>
      </c>
      <c r="M44" s="116"/>
      <c r="N44" s="116"/>
      <c r="O44" s="116"/>
      <c r="P44" s="114"/>
      <c r="Q44" s="114"/>
      <c r="R44" s="114"/>
      <c r="S44" s="114" t="s">
        <v>668</v>
      </c>
      <c r="T44" s="116"/>
      <c r="U44" s="891">
        <f>($D44*dpsStr+$E44*dpsAgi+$G44*dpsCrit+$H44*dpsHit+$F44*dpsAP+$I44*dpsHaste+$J44*dpsArmor+$K44*dpsExp)-'Gear &amp; Buffs'!$AF$66</f>
        <v>-51.771957889369787</v>
      </c>
      <c r="V44" s="891">
        <f>($D44*dpsStr+$E44*dpsAgi+$G44*dpsCrit+$H44*dpsHit+$F44*dpsAP+$I44*dpsHaste+$J44*dpsArmor+$K44*dpsExp)-'Gear &amp; Buffs'!$AF$68</f>
        <v>-57.980367099936302</v>
      </c>
      <c r="W44" s="114">
        <f>IF(OR('Gear &amp; Buffs'!$B$66=A44,'Gear &amp; Buffs'!$B$68=A44),"",IF(AND(IF('Gear &amp; Buffs'!$AC$50,MAX(V44,U44)&gt;0+'Gear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Aman"),IF(includeprebc,S44="Pre-BC"),IF(includesunwell,S44="Sunwell"))),MAX($W$1:W43)+1,""))</f>
        <v>24</v>
      </c>
      <c r="X44" s="738">
        <v>41</v>
      </c>
      <c r="Y44" s="714" t="str">
        <f t="shared" si="0"/>
        <v/>
      </c>
      <c r="Z44" s="47"/>
      <c r="AA44" s="47"/>
    </row>
    <row r="45" spans="1:27">
      <c r="A45" s="10" t="s">
        <v>2383</v>
      </c>
      <c r="B45" s="116">
        <v>35284</v>
      </c>
      <c r="C45" s="116">
        <v>5</v>
      </c>
      <c r="D45" s="114"/>
      <c r="E45" s="114"/>
      <c r="F45" s="114">
        <v>58</v>
      </c>
      <c r="G45" s="116">
        <v>28</v>
      </c>
      <c r="H45" s="116"/>
      <c r="I45" s="116"/>
      <c r="J45" s="114"/>
      <c r="K45" s="116"/>
      <c r="L45" s="114">
        <v>30</v>
      </c>
      <c r="M45" s="116"/>
      <c r="N45" s="116">
        <v>19</v>
      </c>
      <c r="O45" s="116"/>
      <c r="P45" s="114"/>
      <c r="Q45" s="114"/>
      <c r="R45" s="114"/>
      <c r="S45" s="114" t="s">
        <v>871</v>
      </c>
      <c r="T45" s="116"/>
      <c r="U45" s="891">
        <f>($D45*dpsStr+$E45*dpsAgi+$G45*dpsCrit+$H45*dpsHit+$F45*dpsAP+$I45*dpsHaste+$J45*dpsArmor+$K45*dpsExp)-'Gear &amp; Buffs'!$AF$66</f>
        <v>-90.810586775329739</v>
      </c>
      <c r="V45" s="891">
        <f>($D45*dpsStr+$E45*dpsAgi+$G45*dpsCrit+$H45*dpsHit+$F45*dpsAP+$I45*dpsHaste+$J45*dpsArmor+$K45*dpsExp)-'Gear &amp; Buffs'!$AF$68</f>
        <v>-97.018995985896254</v>
      </c>
      <c r="W45" s="114" t="str">
        <f>IF(OR('Gear &amp; Buffs'!$B$66=A45,'Gear &amp; Buffs'!$B$68=A45),"",IF(AND(IF('Gear &amp; Buffs'!$AC$50,MAX(V45,U45)&gt;0+'Gear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Aman"),IF(includeprebc,S45="Pre-BC"),IF(includesunwell,S45="Sunwell"))),MAX($W$1:W44)+1,""))</f>
        <v/>
      </c>
      <c r="X45" s="738">
        <v>42</v>
      </c>
      <c r="Y45" s="714" t="str">
        <f t="shared" si="0"/>
        <v/>
      </c>
      <c r="Z45" s="47"/>
      <c r="AA45" s="47"/>
    </row>
    <row r="46" spans="1:27">
      <c r="A46" s="10" t="s">
        <v>1701</v>
      </c>
      <c r="B46" s="114">
        <v>31077</v>
      </c>
      <c r="C46" s="114">
        <v>1</v>
      </c>
      <c r="D46" s="114"/>
      <c r="E46" s="114">
        <v>15</v>
      </c>
      <c r="F46" s="114">
        <v>50</v>
      </c>
      <c r="G46" s="116"/>
      <c r="H46" s="116">
        <v>10</v>
      </c>
      <c r="I46" s="114"/>
      <c r="J46" s="114"/>
      <c r="K46" s="114"/>
      <c r="L46" s="114"/>
      <c r="M46" s="116"/>
      <c r="N46" s="116"/>
      <c r="O46" s="114"/>
      <c r="P46" s="114"/>
      <c r="Q46" s="114"/>
      <c r="R46" s="114"/>
      <c r="S46" s="114" t="s">
        <v>675</v>
      </c>
      <c r="T46" s="114"/>
      <c r="U46" s="891">
        <f>($D46*dpsStr+$E46*dpsAgi+$G46*dpsCrit+$H46*dpsHit+$F46*dpsAP+$I46*dpsHaste+$J46*dpsArmor+$K46*dpsExp)-'Gear &amp; Buffs'!$AF$66</f>
        <v>-44.963015825140474</v>
      </c>
      <c r="V46" s="891">
        <f>($D46*dpsStr+$E46*dpsAgi+$G46*dpsCrit+$H46*dpsHit+$F46*dpsAP+$I46*dpsHaste+$J46*dpsArmor+$K46*dpsExp)-'Gear &amp; Buffs'!$AF$68</f>
        <v>-51.171425035706989</v>
      </c>
      <c r="W46" s="114">
        <f>IF(OR('Gear &amp; Buffs'!$B$66=A46,'Gear &amp; Buffs'!$B$68=A46),"",IF(AND(IF('Gear &amp; Buffs'!$AC$50,MAX(V46,U46)&gt;0+'Gear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Aman"),IF(includeprebc,S46="Pre-BC"),IF(includesunwell,S46="Sunwell"))),MAX($W$1:W45)+1,""))</f>
        <v>25</v>
      </c>
      <c r="X46" s="738">
        <v>43</v>
      </c>
      <c r="Y46" s="714" t="str">
        <f t="shared" si="0"/>
        <v/>
      </c>
      <c r="Z46" s="47"/>
      <c r="AA46" s="47"/>
    </row>
    <row r="47" spans="1:27">
      <c r="A47" s="10" t="s">
        <v>1702</v>
      </c>
      <c r="B47" s="114">
        <v>32497</v>
      </c>
      <c r="C47" s="114">
        <v>3</v>
      </c>
      <c r="D47" s="114"/>
      <c r="E47" s="114"/>
      <c r="F47" s="114">
        <v>66</v>
      </c>
      <c r="G47" s="116"/>
      <c r="H47" s="116">
        <v>30</v>
      </c>
      <c r="I47" s="114"/>
      <c r="J47" s="114">
        <v>126</v>
      </c>
      <c r="K47" s="114"/>
      <c r="L47" s="114">
        <v>33</v>
      </c>
      <c r="M47" s="116"/>
      <c r="N47" s="116"/>
      <c r="O47" s="114"/>
      <c r="P47" s="114"/>
      <c r="Q47" s="114"/>
      <c r="R47" s="114"/>
      <c r="S47" s="114" t="s">
        <v>683</v>
      </c>
      <c r="T47" s="114"/>
      <c r="U47" s="891">
        <f>($D47*dpsStr+$E47*dpsAgi+$G47*dpsCrit+$H47*dpsHit+$F47*dpsAP+$I47*dpsHaste+$J47*dpsArmor+$K47*dpsExp)-'Gear &amp; Buffs'!$AF$66</f>
        <v>74.833184659469225</v>
      </c>
      <c r="V47" s="891">
        <f>($D47*dpsStr+$E47*dpsAgi+$G47*dpsCrit+$H47*dpsHit+$F47*dpsAP+$I47*dpsHaste+$J47*dpsArmor+$K47*dpsExp)-'Gear &amp; Buffs'!$AF$68</f>
        <v>68.62477544890271</v>
      </c>
      <c r="W47" s="114" t="str">
        <f>IF(OR('Gear &amp; Buffs'!$B$66=A47,'Gear &amp; Buffs'!$B$68=A47),"",IF(AND(IF('Gear &amp; Buffs'!$AC$50,MAX(V47,U47)&gt;0+'Gear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Aman"),IF(includeprebc,S47="Pre-BC"),IF(includesunwell,S47="Sunwell"))),MAX($W$1:W46)+1,""))</f>
        <v/>
      </c>
      <c r="X47" s="738">
        <v>44</v>
      </c>
      <c r="Y47" s="714" t="str">
        <f t="shared" si="0"/>
        <v/>
      </c>
      <c r="Z47" s="47"/>
      <c r="AA47" s="47"/>
    </row>
    <row r="48" spans="1:27">
      <c r="A48" s="130" t="s">
        <v>2384</v>
      </c>
      <c r="B48" s="116">
        <v>31326</v>
      </c>
      <c r="C48" s="116">
        <v>3</v>
      </c>
      <c r="D48" s="114"/>
      <c r="E48" s="114">
        <v>21</v>
      </c>
      <c r="F48" s="114">
        <v>40</v>
      </c>
      <c r="G48" s="116"/>
      <c r="H48" s="116"/>
      <c r="I48" s="116"/>
      <c r="J48" s="114"/>
      <c r="K48" s="116"/>
      <c r="L48" s="114"/>
      <c r="M48" s="116"/>
      <c r="N48" s="116"/>
      <c r="O48" s="116"/>
      <c r="P48" s="114"/>
      <c r="Q48" s="114"/>
      <c r="R48" s="114"/>
      <c r="S48" s="114" t="s">
        <v>674</v>
      </c>
      <c r="T48" s="116"/>
      <c r="U48" s="891">
        <f>($D48*dpsStr+$E48*dpsAgi+$G48*dpsCrit+$H48*dpsHit+$F48*dpsAP+$I48*dpsHaste+$J48*dpsArmor+$K48*dpsExp)-'Gear &amp; Buffs'!$AF$66</f>
        <v>-99.073353538953825</v>
      </c>
      <c r="V48" s="891">
        <f>($D48*dpsStr+$E48*dpsAgi+$G48*dpsCrit+$H48*dpsHit+$F48*dpsAP+$I48*dpsHaste+$J48*dpsArmor+$K48*dpsExp)-'Gear &amp; Buffs'!$AF$68</f>
        <v>-105.28176274952034</v>
      </c>
      <c r="W48" s="114" t="str">
        <f>IF(OR('Gear &amp; Buffs'!$B$66=A48,'Gear &amp; Buffs'!$B$68=A48),"",IF(AND(IF('Gear &amp; Buffs'!$AC$50,MAX(V48,U48)&gt;0+'Gear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Aman"),IF(includeprebc,S48="Pre-BC"),IF(includesunwell,S48="Sunwell"))),MAX($W$1:W47)+1,""))</f>
        <v/>
      </c>
      <c r="X48" s="738">
        <v>45</v>
      </c>
      <c r="Y48" s="714" t="str">
        <f t="shared" si="0"/>
        <v/>
      </c>
      <c r="Z48" s="47"/>
      <c r="AA48" s="47"/>
    </row>
    <row r="49" spans="1:29">
      <c r="A49" s="10" t="s">
        <v>2385</v>
      </c>
      <c r="B49" s="116">
        <v>32335</v>
      </c>
      <c r="C49" s="116">
        <v>3</v>
      </c>
      <c r="D49" s="114">
        <v>36</v>
      </c>
      <c r="E49" s="114"/>
      <c r="F49" s="114"/>
      <c r="G49" s="116">
        <v>30</v>
      </c>
      <c r="H49" s="116"/>
      <c r="I49" s="116"/>
      <c r="J49" s="114"/>
      <c r="K49" s="116"/>
      <c r="L49" s="114">
        <v>28</v>
      </c>
      <c r="M49" s="116"/>
      <c r="N49" s="116"/>
      <c r="O49" s="116"/>
      <c r="P49" s="114"/>
      <c r="Q49" s="114"/>
      <c r="R49" s="114"/>
      <c r="S49" s="114" t="s">
        <v>683</v>
      </c>
      <c r="T49" s="116"/>
      <c r="U49" s="891">
        <f>($D49*dpsStr+$E49*dpsAgi+$G49*dpsCrit+$H49*dpsHit+$F49*dpsAP+$I49*dpsHaste+$J49*dpsArmor+$K49*dpsExp)-'Gear &amp; Buffs'!$AF$66</f>
        <v>-96.013866640025299</v>
      </c>
      <c r="V49" s="891">
        <f>($D49*dpsStr+$E49*dpsAgi+$G49*dpsCrit+$H49*dpsHit+$F49*dpsAP+$I49*dpsHaste+$J49*dpsArmor+$K49*dpsExp)-'Gear &amp; Buffs'!$AF$68</f>
        <v>-102.22227585059181</v>
      </c>
      <c r="W49" s="114" t="str">
        <f>IF(OR('Gear &amp; Buffs'!$B$66=A49,'Gear &amp; Buffs'!$B$68=A49),"",IF(AND(IF('Gear &amp; Buffs'!$AC$50,MAX(V49,U49)&gt;0+'Gear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Aman"),IF(includeprebc,S49="Pre-BC"),IF(includesunwell,S49="Sunwell"))),MAX($W$1:W48)+1,""))</f>
        <v/>
      </c>
      <c r="X49" s="738">
        <v>46</v>
      </c>
      <c r="Y49" s="714" t="str">
        <f t="shared" si="0"/>
        <v/>
      </c>
      <c r="Z49" s="47"/>
      <c r="AA49" s="47"/>
    </row>
    <row r="50" spans="1:29">
      <c r="A50" s="10" t="s">
        <v>2471</v>
      </c>
      <c r="B50" s="116">
        <v>33057</v>
      </c>
      <c r="C50" s="116">
        <v>2</v>
      </c>
      <c r="D50" s="114"/>
      <c r="E50" s="114"/>
      <c r="F50" s="114">
        <v>42</v>
      </c>
      <c r="G50" s="116">
        <v>22</v>
      </c>
      <c r="H50" s="116"/>
      <c r="I50" s="116"/>
      <c r="J50" s="114"/>
      <c r="K50" s="116"/>
      <c r="L50" s="114">
        <v>30</v>
      </c>
      <c r="M50" s="116"/>
      <c r="N50" s="116">
        <v>22</v>
      </c>
      <c r="O50" s="116"/>
      <c r="P50" s="114"/>
      <c r="Q50" s="114"/>
      <c r="R50" s="114"/>
      <c r="S50" s="114" t="s">
        <v>677</v>
      </c>
      <c r="T50" s="116"/>
      <c r="U50" s="891">
        <f>($D50*dpsStr+$E50*dpsAgi+$G50*dpsCrit+$H50*dpsHit+$F50*dpsAP+$I50*dpsHaste+$J50*dpsArmor+$K50*dpsExp)-'Gear &amp; Buffs'!$AF$66</f>
        <v>-100.64264502206925</v>
      </c>
      <c r="V50" s="891">
        <f>($D50*dpsStr+$E50*dpsAgi+$G50*dpsCrit+$H50*dpsHit+$F50*dpsAP+$I50*dpsHaste+$J50*dpsArmor+$K50*dpsExp)-'Gear &amp; Buffs'!$AF$68</f>
        <v>-106.85105423263576</v>
      </c>
      <c r="W50" s="114" t="str">
        <f>IF(OR('Gear &amp; Buffs'!$B$66=A50,'Gear &amp; Buffs'!$B$68=A50),"",IF(AND(IF('Gear &amp; Buffs'!$AC$50,MAX(V50,U50)&gt;0+'Gear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Aman"),IF(includeprebc,S50="Pre-BC"),IF(includesunwell,S50="Sunwell"))),MAX($W$1:W49)+1,""))</f>
        <v/>
      </c>
      <c r="X50" s="738">
        <v>47</v>
      </c>
      <c r="Y50" s="714" t="str">
        <f t="shared" si="0"/>
        <v/>
      </c>
      <c r="Z50" s="47"/>
      <c r="AA50" s="47"/>
    </row>
    <row r="51" spans="1:29">
      <c r="A51" s="130" t="s">
        <v>159</v>
      </c>
      <c r="B51" s="116">
        <v>33919</v>
      </c>
      <c r="C51" s="116">
        <v>3</v>
      </c>
      <c r="D51" s="114"/>
      <c r="E51" s="114"/>
      <c r="F51" s="114">
        <v>44</v>
      </c>
      <c r="G51" s="116">
        <v>26</v>
      </c>
      <c r="H51" s="116"/>
      <c r="I51" s="116"/>
      <c r="J51" s="114">
        <v>56</v>
      </c>
      <c r="K51" s="116"/>
      <c r="L51" s="114">
        <v>34</v>
      </c>
      <c r="M51" s="116"/>
      <c r="N51" s="116">
        <v>22</v>
      </c>
      <c r="O51" s="116"/>
      <c r="P51" s="114"/>
      <c r="Q51" s="114"/>
      <c r="R51" s="114"/>
      <c r="S51" s="114" t="s">
        <v>677</v>
      </c>
      <c r="T51" s="116"/>
      <c r="U51" s="891">
        <f>($D51*dpsStr+$E51*dpsAgi+$G51*dpsCrit+$H51*dpsHit+$F51*dpsAP+$I51*dpsHaste+$J51*dpsArmor+$K51*dpsExp)-'Gear &amp; Buffs'!$AF$66</f>
        <v>-90.301918073472734</v>
      </c>
      <c r="V51" s="891">
        <f>($D51*dpsStr+$E51*dpsAgi+$G51*dpsCrit+$H51*dpsHit+$F51*dpsAP+$I51*dpsHaste+$J51*dpsArmor+$K51*dpsExp)-'Gear &amp; Buffs'!$AF$68</f>
        <v>-96.510327284039249</v>
      </c>
      <c r="W51" s="114" t="str">
        <f>IF(OR('Gear &amp; Buffs'!$B$66=A51,'Gear &amp; Buffs'!$B$68=A51),"",IF(AND(IF('Gear &amp; Buffs'!$AC$50,MAX(V51,U51)&gt;0+'Gear &amp; Buffs'!$U$42,TRUE),OR(IF(includep1,$C51&lt;=1),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Aman"),IF(includeprebc,S51="Pre-BC"),IF(includesunwell,S51="Sunwell"))),MAX($W$1:W50)+1,""))</f>
        <v/>
      </c>
      <c r="X51" s="738">
        <v>48</v>
      </c>
      <c r="Y51" s="714" t="str">
        <f t="shared" si="0"/>
        <v/>
      </c>
      <c r="Z51" s="47"/>
      <c r="AA51" s="47"/>
    </row>
    <row r="52" spans="1:29">
      <c r="A52" s="10" t="s">
        <v>2394</v>
      </c>
      <c r="B52" s="116">
        <v>29280</v>
      </c>
      <c r="C52" s="116">
        <v>1</v>
      </c>
      <c r="D52" s="114"/>
      <c r="E52" s="114"/>
      <c r="F52" s="114">
        <v>42</v>
      </c>
      <c r="G52" s="116"/>
      <c r="H52" s="116">
        <v>18</v>
      </c>
      <c r="I52" s="116"/>
      <c r="J52" s="114"/>
      <c r="K52" s="116"/>
      <c r="L52" s="114">
        <v>19</v>
      </c>
      <c r="M52" s="116"/>
      <c r="N52" s="116"/>
      <c r="O52" s="116"/>
      <c r="P52" s="114"/>
      <c r="Q52" s="114"/>
      <c r="R52" s="114"/>
      <c r="S52" s="114" t="s">
        <v>676</v>
      </c>
      <c r="T52" s="116"/>
      <c r="U52" s="891">
        <f>($D52*dpsStr+$E52*dpsAgi+$G52*dpsCrit+$H52*dpsHit+$F52*dpsAP+$I52*dpsHaste+$J52*dpsArmor+$K52*dpsExp)-'Gear &amp; Buffs'!$AF$66</f>
        <v>-15.829597334989103</v>
      </c>
      <c r="V52" s="891">
        <f>($D52*dpsStr+$E52*dpsAgi+$G52*dpsCrit+$H52*dpsHit+$F52*dpsAP+$I52*dpsHaste+$J52*dpsArmor+$K52*dpsExp)-'Gear &amp; Buffs'!$AF$68</f>
        <v>-22.038006545555618</v>
      </c>
      <c r="W52" s="114">
        <f>IF(OR('Gear &amp; Buffs'!$B$66=A52,'Gear &amp; Buffs'!$B$68=A52),"",IF(AND(IF('Gear &amp; Buffs'!$AC$50,MAX(V52,U52)&gt;0+'Gear &amp; Buffs'!$U$42,TRUE),OR(IF(includep1,$C52&lt;=1),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Aman"),IF(includeprebc,S52="Pre-BC"),IF(includesunwell,S52="Sunwell"))),MAX($W$1:W51)+1,""))</f>
        <v>26</v>
      </c>
      <c r="X52" s="738">
        <v>49</v>
      </c>
      <c r="Y52" s="714" t="str">
        <f t="shared" si="0"/>
        <v/>
      </c>
      <c r="Z52" s="114"/>
      <c r="AA52" s="114"/>
      <c r="AB52" s="129"/>
      <c r="AC52" s="129"/>
    </row>
    <row r="53" spans="1:29">
      <c r="A53" s="10" t="s">
        <v>2395</v>
      </c>
      <c r="B53" s="116">
        <v>29281</v>
      </c>
      <c r="C53" s="116">
        <v>1</v>
      </c>
      <c r="D53" s="114"/>
      <c r="E53" s="114"/>
      <c r="F53" s="114">
        <v>50</v>
      </c>
      <c r="G53" s="116"/>
      <c r="H53" s="116">
        <v>22</v>
      </c>
      <c r="I53" s="116"/>
      <c r="J53" s="114"/>
      <c r="K53" s="116"/>
      <c r="L53" s="114">
        <v>24</v>
      </c>
      <c r="M53" s="116"/>
      <c r="N53" s="116"/>
      <c r="O53" s="116"/>
      <c r="P53" s="114"/>
      <c r="Q53" s="114"/>
      <c r="R53" s="114"/>
      <c r="S53" s="114" t="s">
        <v>676</v>
      </c>
      <c r="T53" s="116"/>
      <c r="U53" s="891">
        <f>($D53*dpsStr+$E53*dpsAgi+$G53*dpsCrit+$H53*dpsHit+$F53*dpsAP+$I53*dpsHaste+$J53*dpsArmor+$K53*dpsExp)-'Gear &amp; Buffs'!$AF$66</f>
        <v>9.2291687403608194</v>
      </c>
      <c r="V53" s="891">
        <f>($D53*dpsStr+$E53*dpsAgi+$G53*dpsCrit+$H53*dpsHit+$F53*dpsAP+$I53*dpsHaste+$J53*dpsArmor+$K53*dpsExp)-'Gear &amp; Buffs'!$AF$68</f>
        <v>3.0207595297943044</v>
      </c>
      <c r="W53" s="114">
        <f>IF(OR('Gear &amp; Buffs'!$B$66=A53,'Gear &amp; Buffs'!$B$68=A53),"",IF(AND(IF('Gear &amp; Buffs'!$AC$50,MAX(V53,U53)&gt;0+'Gear &amp; Buffs'!$U$42,TRUE),OR(IF(includep1,$C53&lt;=1),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Aman"),IF(includeprebc,S53="Pre-BC"),IF(includesunwell,S53="Sunwell"))),MAX($W$1:W52)+1,""))</f>
        <v>27</v>
      </c>
      <c r="X53" s="738">
        <v>50</v>
      </c>
      <c r="Y53" s="714" t="str">
        <f t="shared" si="0"/>
        <v/>
      </c>
      <c r="Z53" s="114"/>
      <c r="AA53" s="114"/>
      <c r="AB53" s="129"/>
      <c r="AC53" s="129"/>
    </row>
    <row r="54" spans="1:29">
      <c r="A54" s="10" t="s">
        <v>2396</v>
      </c>
      <c r="B54" s="116">
        <v>29282</v>
      </c>
      <c r="C54" s="116">
        <v>1</v>
      </c>
      <c r="D54" s="114"/>
      <c r="E54" s="114"/>
      <c r="F54" s="114">
        <v>52</v>
      </c>
      <c r="G54" s="116"/>
      <c r="H54" s="116">
        <v>24</v>
      </c>
      <c r="I54" s="116"/>
      <c r="J54" s="114"/>
      <c r="K54" s="116"/>
      <c r="L54" s="114">
        <v>27</v>
      </c>
      <c r="M54" s="116"/>
      <c r="N54" s="116"/>
      <c r="O54" s="116"/>
      <c r="P54" s="114"/>
      <c r="Q54" s="114"/>
      <c r="R54" s="114"/>
      <c r="S54" s="114" t="s">
        <v>676</v>
      </c>
      <c r="T54" s="116"/>
      <c r="U54" s="891">
        <f>($D54*dpsStr+$E54*dpsAgi+$G54*dpsCrit+$H54*dpsHit+$F54*dpsAP+$I54*dpsHaste+$J54*dpsArmor+$K54*dpsExp)-'Gear &amp; Buffs'!$AF$66</f>
        <v>21.043891726325455</v>
      </c>
      <c r="V54" s="891">
        <f>($D54*dpsStr+$E54*dpsAgi+$G54*dpsCrit+$H54*dpsHit+$F54*dpsAP+$I54*dpsHaste+$J54*dpsArmor+$K54*dpsExp)-'Gear &amp; Buffs'!$AF$68</f>
        <v>14.83548251575894</v>
      </c>
      <c r="W54" s="114">
        <f>IF(OR('Gear &amp; Buffs'!$B$66=A54,'Gear &amp; Buffs'!$B$68=A54),"",IF(AND(IF('Gear &amp; Buffs'!$AC$50,MAX(V54,U54)&gt;0+'Gear &amp; Buffs'!$U$42,TRUE),OR(IF(includep1,$C54&lt;=1), IF(includep2,$C54&lt;=2), IF(includep3,$C54&lt;=3), IF(includep4,$C54&lt;=4), IF(includep5,$C54&lt;=5)), OR(IF(includeblacksmith,S54="Blacksmithing"),IF(includeleatherwork,S54="Leatherworking"),IF(includeengineer,S54="Engineering"),IF(includeboecrafted,S54="BoE Crafted"),IF(includeboe,S54="BoE"),IF(includepvp,S54="PvP"),IF(includequest,S54="Quest"),IF(includereputation,S54="Reputation"),IF(include5man,S54="5 Man"),IF(includeheroic,S54="Heroic"),IF(includekarahzan,S54="Karazhan"),IF(includedoomwalker,S54="Doomwalker"),IF(includekazzak,S54="Kazzak"),IF(includegruul,S54="Gruul's Lair"),IF(includemagtheridon,S54="Magtheridon"),IF(includessc,S54="SSC"),IF(includetheeye,S54="TK"),IF(includeblacktemple,S54="Black Temple"),IF(includemounthyjal,S54="Mount Hyjal"),IF(includezulaman,S54="Zul Aman"),IF(includeprebc,S54="Pre-BC"),IF(includesunwell,S54="Sunwell"))),MAX($W$1:W53)+1,""))</f>
        <v>28</v>
      </c>
      <c r="X54" s="738">
        <v>51</v>
      </c>
      <c r="Y54" s="714" t="str">
        <f t="shared" si="0"/>
        <v/>
      </c>
      <c r="Z54" s="114"/>
      <c r="AA54" s="114"/>
      <c r="AB54" s="129"/>
      <c r="AC54" s="129"/>
    </row>
    <row r="55" spans="1:29">
      <c r="A55" s="10" t="s">
        <v>1703</v>
      </c>
      <c r="B55" s="116">
        <v>29283</v>
      </c>
      <c r="C55" s="116">
        <v>1</v>
      </c>
      <c r="D55" s="114"/>
      <c r="E55" s="114"/>
      <c r="F55" s="114">
        <v>56</v>
      </c>
      <c r="G55" s="116"/>
      <c r="H55" s="116">
        <v>25</v>
      </c>
      <c r="I55" s="116"/>
      <c r="J55" s="114"/>
      <c r="K55" s="116"/>
      <c r="L55" s="114">
        <v>28</v>
      </c>
      <c r="M55" s="116"/>
      <c r="N55" s="116"/>
      <c r="O55" s="116"/>
      <c r="P55" s="114"/>
      <c r="Q55" s="114"/>
      <c r="R55" s="114"/>
      <c r="S55" s="114" t="s">
        <v>676</v>
      </c>
      <c r="T55" s="116"/>
      <c r="U55" s="891">
        <f>($D55*dpsStr+$E55*dpsAgi+$G55*dpsCrit+$H55*dpsHit+$F55*dpsAP+$I55*dpsHaste+$J55*dpsArmor+$K55*dpsExp)-'Gear &amp; Buffs'!$AF$66</f>
        <v>28.023243296873261</v>
      </c>
      <c r="V55" s="891">
        <f>($D55*dpsStr+$E55*dpsAgi+$G55*dpsCrit+$H55*dpsHit+$F55*dpsAP+$I55*dpsHaste+$J55*dpsArmor+$K55*dpsExp)-'Gear &amp; Buffs'!$AF$68</f>
        <v>21.814834086306746</v>
      </c>
      <c r="W55" s="114">
        <f>IF(OR('Gear &amp; Buffs'!$B$66=A55,'Gear &amp; Buffs'!$B$68=A55),"",IF(AND(IF('Gear &amp; Buffs'!$AC$50,MAX(V55,U55)&gt;0+'Gear &amp; Buffs'!$U$42,TRUE),OR(IF(includep1,$C55&lt;=1), IF(includep2,$C55&lt;=2), IF(includep3,$C55&lt;=3), IF(includep4,$C55&lt;=4), IF(includep5,$C55&lt;=5)), 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Hyjal"),IF(includezulaman,S55="Zul Aman"),IF(includeprebc,S55="Pre-BC"),IF(includesunwell,S55="Sunwell"))),MAX($W$1:W54)+1,""))</f>
        <v>29</v>
      </c>
      <c r="X55" s="738">
        <v>52</v>
      </c>
      <c r="Y55" s="714" t="str">
        <f t="shared" si="0"/>
        <v/>
      </c>
      <c r="Z55" s="47"/>
      <c r="AA55" s="47"/>
    </row>
    <row r="56" spans="1:29">
      <c r="A56" s="10" t="str">
        <f>'Gear &amp; Buffs'!$B$166</f>
        <v>(Unmodeled)</v>
      </c>
      <c r="B56" s="114"/>
      <c r="C56" s="114"/>
      <c r="D56" s="114">
        <f>'Gear &amp; Buffs'!$D$166</f>
        <v>0</v>
      </c>
      <c r="E56" s="114">
        <f>'Gear &amp; Buffs'!$E$166</f>
        <v>0</v>
      </c>
      <c r="F56" s="114">
        <f>'Gear &amp; Buffs'!$I$166</f>
        <v>0</v>
      </c>
      <c r="G56" s="115">
        <f>'Gear &amp; Buffs'!$G$166</f>
        <v>0</v>
      </c>
      <c r="H56" s="115">
        <f>'Gear &amp; Buffs'!$H$166</f>
        <v>0</v>
      </c>
      <c r="I56" s="115">
        <f>'Gear &amp; Buffs'!$P$166</f>
        <v>0</v>
      </c>
      <c r="J56" s="114">
        <f>'Gear &amp; Buffs'!$Q$166</f>
        <v>0</v>
      </c>
      <c r="K56" s="116">
        <f>'Gear &amp; Buffs'!$L$166</f>
        <v>0</v>
      </c>
      <c r="L56" s="114">
        <f>'Gear &amp; Buffs'!$F$166</f>
        <v>0</v>
      </c>
      <c r="M56" s="116">
        <f>'Gear &amp; Buffs'!$K$166</f>
        <v>0</v>
      </c>
      <c r="N56" s="114">
        <f>'Gear &amp; Buffs'!$J$166</f>
        <v>0</v>
      </c>
      <c r="O56" s="115">
        <f>'Gear &amp; Buffs'!M166</f>
        <v>0</v>
      </c>
      <c r="P56" s="114"/>
      <c r="Q56" s="114" t="str">
        <f>'Gear &amp; Buffs'!$R$166</f>
        <v>0 0 0</v>
      </c>
      <c r="R56" s="720">
        <f>'Gear &amp; Buffs'!$S$166</f>
        <v>0</v>
      </c>
      <c r="S56" s="114"/>
      <c r="T56" s="116"/>
      <c r="U56" s="891">
        <f>($D56*dpsStr+$E56*dpsAgi+$G56*dpsCrit+$H56*dpsHit+$F56*dpsAP+$I56*dpsHaste+$J56*dpsArmor+$K56*dpsExp)-'Gear &amp; Buffs'!$AF$66</f>
        <v>-130.73802482919473</v>
      </c>
      <c r="V56" s="891">
        <f>($D56*dpsStr+$E56*dpsAgi+$G56*dpsCrit+$H56*dpsHit+$F56*dpsAP+$I56*dpsHaste+$J56*dpsArmor+$K56*dpsExp)-'Gear &amp; Buffs'!$AF$68</f>
        <v>-136.94643403976124</v>
      </c>
      <c r="W56" s="114">
        <f>MAX($W$1:W55)+1</f>
        <v>30</v>
      </c>
      <c r="X56" s="738">
        <v>53</v>
      </c>
      <c r="Y56" s="714" t="str">
        <f t="shared" si="0"/>
        <v/>
      </c>
      <c r="Z56" s="47"/>
      <c r="AA56" s="47"/>
    </row>
    <row r="57" spans="1:29">
      <c r="A57" s="10" t="str">
        <f>'Gear &amp; Buffs'!$B$167</f>
        <v>(Unmodeled 2)</v>
      </c>
      <c r="B57" s="114"/>
      <c r="C57" s="114"/>
      <c r="D57" s="114">
        <f>'Gear &amp; Buffs'!$D$167</f>
        <v>0</v>
      </c>
      <c r="E57" s="114">
        <f>'Gear &amp; Buffs'!$E$167</f>
        <v>0</v>
      </c>
      <c r="F57" s="114">
        <f>'Gear &amp; Buffs'!$I$167</f>
        <v>0</v>
      </c>
      <c r="G57" s="115">
        <f>'Gear &amp; Buffs'!$G$167</f>
        <v>0</v>
      </c>
      <c r="H57" s="115">
        <f>'Gear &amp; Buffs'!$H$167</f>
        <v>0</v>
      </c>
      <c r="I57" s="115">
        <f>'Gear &amp; Buffs'!$P$167</f>
        <v>0</v>
      </c>
      <c r="J57" s="114">
        <f>'Gear &amp; Buffs'!$Q$167</f>
        <v>0</v>
      </c>
      <c r="K57" s="116">
        <f>'Gear &amp; Buffs'!$L$167</f>
        <v>0</v>
      </c>
      <c r="L57" s="114">
        <f>'Gear &amp; Buffs'!$F$167</f>
        <v>0</v>
      </c>
      <c r="M57" s="116">
        <f>'Gear &amp; Buffs'!$K$167</f>
        <v>0</v>
      </c>
      <c r="N57" s="114">
        <f>'Gear &amp; Buffs'!$J$167</f>
        <v>0</v>
      </c>
      <c r="O57" s="115">
        <f>'Gear &amp; Buffs'!M167</f>
        <v>0</v>
      </c>
      <c r="P57" s="114"/>
      <c r="Q57" s="114" t="str">
        <f>'Gear &amp; Buffs'!$R$167</f>
        <v>0 0 0</v>
      </c>
      <c r="R57" s="720">
        <f>'Gear &amp; Buffs'!$S$167</f>
        <v>0</v>
      </c>
      <c r="S57" s="114"/>
      <c r="T57" s="116"/>
      <c r="U57" s="891">
        <f>($D57*dpsStr+$E57*dpsAgi+$G57*dpsCrit+$H57*dpsHit+$F57*dpsAP+$I57*dpsHaste+$J57*dpsArmor+$K57*dpsExp)-'Gear &amp; Buffs'!$AF$66</f>
        <v>-130.73802482919473</v>
      </c>
      <c r="V57" s="891">
        <f>($D57*dpsStr+$E57*dpsAgi+$G57*dpsCrit+$H57*dpsHit+$F57*dpsAP+$I57*dpsHaste+$J57*dpsArmor+$K57*dpsExp)-'Gear &amp; Buffs'!$AF$68</f>
        <v>-136.94643403976124</v>
      </c>
      <c r="W57" s="114">
        <f>MAX($W$1:W56)+1</f>
        <v>31</v>
      </c>
      <c r="X57" s="738">
        <v>54</v>
      </c>
      <c r="Y57" s="714" t="str">
        <f t="shared" si="0"/>
        <v/>
      </c>
      <c r="Z57" s="47"/>
      <c r="AA57" s="47"/>
    </row>
    <row r="58" spans="1:29">
      <c r="A58" s="10" t="s">
        <v>2207</v>
      </c>
      <c r="B58" s="116"/>
      <c r="C58" s="116"/>
      <c r="D58" s="47"/>
      <c r="E58" s="47"/>
      <c r="F58" s="47"/>
      <c r="G58" s="47"/>
      <c r="H58" s="47"/>
      <c r="I58" s="116"/>
      <c r="J58" s="114"/>
      <c r="K58" s="116"/>
      <c r="L58" s="47"/>
      <c r="M58" s="116"/>
      <c r="N58" s="116"/>
      <c r="O58" s="116"/>
      <c r="P58" s="114"/>
      <c r="Q58" s="114"/>
      <c r="R58" s="114"/>
      <c r="S58" s="114"/>
      <c r="T58" s="116"/>
      <c r="U58" s="891"/>
      <c r="V58" s="891"/>
      <c r="W58" s="114"/>
      <c r="X58" s="738">
        <v>55</v>
      </c>
      <c r="Y58" s="714" t="str">
        <f t="shared" si="0"/>
        <v/>
      </c>
      <c r="Z58" s="47"/>
      <c r="AA58" s="47"/>
    </row>
    <row r="59" spans="1:29">
      <c r="B59" s="116"/>
      <c r="C59" s="116"/>
      <c r="I59" s="116"/>
      <c r="J59" s="114"/>
      <c r="K59" s="116"/>
      <c r="M59" s="116"/>
      <c r="N59" s="116"/>
      <c r="O59" s="116"/>
      <c r="P59" s="114"/>
      <c r="Q59" s="114"/>
      <c r="R59" s="114"/>
      <c r="T59" s="116"/>
      <c r="X59" s="869"/>
    </row>
    <row r="60" spans="1:29" s="47" customFormat="1" ht="23.25" thickBot="1">
      <c r="A60" s="740" t="s">
        <v>1704</v>
      </c>
      <c r="B60" s="730" t="s">
        <v>1934</v>
      </c>
      <c r="C60" s="730" t="s">
        <v>2798</v>
      </c>
      <c r="D60" s="731" t="s">
        <v>1214</v>
      </c>
      <c r="E60" s="731" t="s">
        <v>1215</v>
      </c>
      <c r="F60" s="731" t="s">
        <v>768</v>
      </c>
      <c r="G60" s="730" t="s">
        <v>2140</v>
      </c>
      <c r="H60" s="730" t="s">
        <v>2139</v>
      </c>
      <c r="I60" s="730" t="s">
        <v>771</v>
      </c>
      <c r="J60" s="732" t="s">
        <v>770</v>
      </c>
      <c r="K60" s="730" t="s">
        <v>760</v>
      </c>
      <c r="L60" s="731" t="s">
        <v>1216</v>
      </c>
      <c r="M60" s="730" t="s">
        <v>264</v>
      </c>
      <c r="N60" s="730" t="s">
        <v>1217</v>
      </c>
      <c r="O60" s="730" t="s">
        <v>1287</v>
      </c>
      <c r="P60" s="730" t="s">
        <v>1046</v>
      </c>
      <c r="Q60" s="731" t="s">
        <v>1047</v>
      </c>
      <c r="R60" s="731" t="s">
        <v>1941</v>
      </c>
      <c r="S60" s="731" t="s">
        <v>666</v>
      </c>
      <c r="T60" s="730" t="s">
        <v>921</v>
      </c>
      <c r="U60" s="731" t="s">
        <v>1222</v>
      </c>
      <c r="V60" s="754" t="s">
        <v>1705</v>
      </c>
      <c r="W60" s="744">
        <v>0</v>
      </c>
      <c r="X60" s="741"/>
      <c r="Y60" s="742" t="s">
        <v>1689</v>
      </c>
    </row>
    <row r="61" spans="1:29">
      <c r="A61" s="736" t="s">
        <v>1706</v>
      </c>
      <c r="B61" s="697">
        <v>2931</v>
      </c>
      <c r="C61" s="697">
        <v>3</v>
      </c>
      <c r="D61" s="696">
        <v>4</v>
      </c>
      <c r="E61" s="696">
        <v>4</v>
      </c>
      <c r="F61" s="696"/>
      <c r="G61" s="697"/>
      <c r="H61" s="697"/>
      <c r="I61" s="697"/>
      <c r="J61" s="697"/>
      <c r="K61" s="697"/>
      <c r="L61" s="696">
        <v>4</v>
      </c>
      <c r="M61" s="697"/>
      <c r="N61" s="697"/>
      <c r="O61" s="697"/>
      <c r="P61" s="697"/>
      <c r="Q61" s="697"/>
      <c r="R61" s="697"/>
      <c r="S61" s="697" t="s">
        <v>806</v>
      </c>
      <c r="T61" s="697" t="b">
        <v>0</v>
      </c>
      <c r="U61" s="697"/>
      <c r="V61" s="756"/>
      <c r="W61" s="221" t="str">
        <f>IF(AND(OR(IF(includep1,$C61&lt;=1), IF(includep2,$C61&lt;=2), IF(includep3,$C61&lt;=3), IF(includep4,$C61&lt;=4), IF(includep5,$C61&lt;=5)), OR(IF(includeblacksmith,S61="Blacksmithing"),IF(includeleatherwork,S61="Leatherworking"),IF(includeengineer,S61="Engineering"),IF(includeenchanting,S61="Enchanting"),IF(includeboecrafted,S61="BoE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Hyjal"),IF(includeprebc,S61="Pre-BC"),S61="none"), IF(incDef, TRUE, NOT(T61))),MAX($W$60:W60)+1,"")</f>
        <v/>
      </c>
      <c r="X61" s="737"/>
      <c r="Y61" s="713"/>
    </row>
    <row r="62" spans="1:29">
      <c r="A62" s="677" t="s">
        <v>1564</v>
      </c>
      <c r="B62" s="679">
        <v>2929</v>
      </c>
      <c r="C62" s="679">
        <v>1</v>
      </c>
      <c r="D62" s="678"/>
      <c r="E62" s="678"/>
      <c r="F62" s="678"/>
      <c r="G62" s="679"/>
      <c r="H62" s="679"/>
      <c r="I62" s="679"/>
      <c r="J62" s="679"/>
      <c r="K62" s="679"/>
      <c r="L62" s="678"/>
      <c r="M62" s="679"/>
      <c r="N62" s="679"/>
      <c r="O62" s="679"/>
      <c r="P62" s="679"/>
      <c r="Q62" s="679"/>
      <c r="R62" s="679"/>
      <c r="S62" s="679" t="s">
        <v>806</v>
      </c>
      <c r="T62" s="679" t="b">
        <v>0</v>
      </c>
      <c r="U62" s="679"/>
      <c r="V62" s="718">
        <v>2</v>
      </c>
      <c r="W62" s="221" t="str">
        <f>IF(AND(OR(IF(includep1,$C62&lt;=1), IF(includep2,$C62&lt;=2), IF(includep3,$C62&lt;=3), IF(includep4,$C62&lt;=4), IF(includep5,$C62&lt;=5)), OR(IF(includeblacksmith,S62="Blacksmithing"),IF(includeleatherwork,S62="Leatherworking"),IF(includeengineer,S62="Engineering"),IF(includeenchanting,S62="Enchanting"),IF(includeboecrafted,S62="BoE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Hyjal"),IF(includeprebc,S62="Pre-BC"),S62="none"), IF(incDef, TRUE, NOT(T62))),MAX($W$60:W61)+1,"")</f>
        <v/>
      </c>
      <c r="X62" s="738">
        <v>1</v>
      </c>
      <c r="Y62" s="752" t="str">
        <f>IF(ISNA(INDEX($A$61:$A$62,MATCH(X62,W$61:W$62,0))), "", INDEX($A$61:$A$62,MATCH(X62,W$61:W$62,0)))</f>
        <v/>
      </c>
    </row>
    <row r="63" spans="1:29">
      <c r="A63" s="677" t="s">
        <v>2207</v>
      </c>
      <c r="B63" s="682"/>
      <c r="C63" s="682"/>
      <c r="D63" s="682"/>
      <c r="E63" s="682"/>
      <c r="F63" s="682"/>
      <c r="G63" s="682"/>
      <c r="H63" s="682"/>
      <c r="I63" s="682"/>
      <c r="J63" s="682"/>
      <c r="K63" s="682"/>
      <c r="L63" s="682"/>
      <c r="M63" s="682"/>
      <c r="N63" s="682"/>
      <c r="O63" s="682"/>
      <c r="P63" s="682"/>
      <c r="Q63" s="682"/>
      <c r="R63" s="682"/>
      <c r="S63" s="682"/>
      <c r="T63" s="682"/>
      <c r="U63" s="682"/>
      <c r="V63" s="768"/>
      <c r="W63" s="681" t="str">
        <f>IF(OR(IF(includeblacksmith,S63="Blacksmithing"),IF(includeleatherwork,S63="Leatherworking"),IF(includeengineer,S63="Engineering"),IF(includeenchanting,S63="Enchanting"),IF(includeboecrafted,S63="BoE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Hyjal"),IF(includeprebc,S63="Pre-BC"),S63="none"),MAX(W$60:$W62)+1,"")</f>
        <v/>
      </c>
      <c r="X63" s="738">
        <v>2</v>
      </c>
      <c r="Y63" s="752" t="str">
        <f>IF(ISNA(INDEX($A$61:$A$62,MATCH(X63,W$61:W$62,0))), "", INDEX($A$61:$A$62,MATCH(X63,W$61:W$62,0)))</f>
        <v/>
      </c>
    </row>
    <row r="64" spans="1:29">
      <c r="J64" s="10"/>
      <c r="K64" s="48"/>
      <c r="N64" s="48"/>
      <c r="O64" s="48"/>
      <c r="R64" s="114"/>
      <c r="T64" s="48"/>
    </row>
    <row r="65" spans="1:20">
      <c r="I65" s="116"/>
      <c r="J65" s="10"/>
      <c r="K65" s="48"/>
      <c r="N65" s="48"/>
      <c r="O65" s="48"/>
      <c r="R65" s="114"/>
      <c r="T65" s="48"/>
    </row>
    <row r="66" spans="1:20">
      <c r="B66" s="116"/>
      <c r="C66" s="116"/>
      <c r="I66" s="116"/>
      <c r="J66" s="114"/>
      <c r="K66" s="116"/>
      <c r="N66" s="116"/>
      <c r="O66" s="116"/>
      <c r="P66" s="114"/>
      <c r="Q66" s="114"/>
      <c r="R66" s="114"/>
      <c r="T66" s="116"/>
    </row>
    <row r="67" spans="1:20">
      <c r="B67" s="116"/>
      <c r="C67" s="116"/>
      <c r="I67" s="114"/>
      <c r="J67" s="114"/>
      <c r="K67" s="116"/>
      <c r="M67" s="116"/>
      <c r="N67" s="116"/>
      <c r="O67" s="116"/>
      <c r="P67" s="114"/>
      <c r="Q67" s="114"/>
      <c r="R67" s="114"/>
      <c r="T67" s="116"/>
    </row>
    <row r="68" spans="1:20">
      <c r="B68" s="114"/>
      <c r="C68" s="114"/>
      <c r="E68" s="114"/>
      <c r="F68" s="114"/>
      <c r="G68" s="127"/>
      <c r="H68" s="114"/>
      <c r="I68" s="113"/>
      <c r="J68" s="114"/>
      <c r="K68" s="116"/>
      <c r="L68" s="114"/>
      <c r="M68" s="114"/>
      <c r="N68" s="116"/>
      <c r="O68" s="116"/>
      <c r="P68" s="114"/>
      <c r="Q68" s="114"/>
      <c r="R68" s="114"/>
      <c r="T68" s="116"/>
    </row>
    <row r="69" spans="1:20">
      <c r="B69" s="113"/>
      <c r="C69" s="113"/>
      <c r="E69" s="112"/>
      <c r="F69" s="112"/>
      <c r="G69" s="113"/>
      <c r="H69" s="113"/>
      <c r="I69" s="47"/>
      <c r="J69" s="114"/>
      <c r="K69" s="113"/>
      <c r="L69" s="112"/>
      <c r="M69" s="113"/>
      <c r="N69" s="113"/>
      <c r="O69" s="113"/>
      <c r="P69" s="113"/>
      <c r="Q69" s="114"/>
      <c r="R69" s="114"/>
      <c r="T69" s="113"/>
    </row>
    <row r="70" spans="1:20">
      <c r="A70" s="6"/>
      <c r="B70" s="47"/>
      <c r="C70" s="47"/>
      <c r="E70" s="114"/>
      <c r="F70" s="114"/>
      <c r="G70" s="114"/>
      <c r="H70" s="114"/>
      <c r="K70" s="116"/>
      <c r="L70" s="114"/>
      <c r="M70" s="114"/>
      <c r="N70" s="116"/>
      <c r="O70" s="116"/>
      <c r="P70" s="47"/>
      <c r="T70" s="116"/>
    </row>
    <row r="71" spans="1:20">
      <c r="A71" s="6"/>
      <c r="K71" s="48"/>
      <c r="N71" s="48"/>
      <c r="O71" s="48"/>
      <c r="T71" s="48"/>
    </row>
    <row r="72" spans="1:20">
      <c r="A72" s="6"/>
      <c r="K72" s="48"/>
      <c r="N72" s="48"/>
      <c r="O72" s="48"/>
      <c r="T72" s="48"/>
    </row>
    <row r="73" spans="1:20">
      <c r="A73" s="6"/>
      <c r="K73" s="48"/>
      <c r="N73" s="48"/>
      <c r="O73" s="48"/>
      <c r="T73" s="48"/>
    </row>
    <row r="74" spans="1:20">
      <c r="A74" s="6"/>
      <c r="K74" s="48"/>
      <c r="N74" s="48"/>
      <c r="O74" s="48"/>
      <c r="T74" s="48"/>
    </row>
    <row r="75" spans="1:20">
      <c r="A75" s="6"/>
      <c r="E75" s="114"/>
      <c r="F75" s="114"/>
      <c r="G75" s="127"/>
      <c r="H75" s="114"/>
      <c r="K75" s="116"/>
      <c r="L75" s="114"/>
      <c r="M75" s="127"/>
      <c r="N75" s="116"/>
      <c r="O75" s="116"/>
      <c r="T75" s="116"/>
    </row>
    <row r="76" spans="1:20">
      <c r="A76" s="6"/>
      <c r="E76" s="114"/>
      <c r="F76" s="114"/>
      <c r="G76" s="127"/>
      <c r="H76" s="114"/>
      <c r="K76" s="116"/>
      <c r="L76" s="114"/>
      <c r="M76" s="114"/>
      <c r="N76" s="116"/>
      <c r="O76" s="116"/>
      <c r="T76" s="116"/>
    </row>
    <row r="77" spans="1:20">
      <c r="A77" s="6"/>
      <c r="J77" s="182"/>
      <c r="Q77" s="182"/>
      <c r="R77" s="182"/>
    </row>
    <row r="78" spans="1:20">
      <c r="A78" s="6"/>
      <c r="J78" s="182"/>
      <c r="Q78" s="182"/>
      <c r="R78" s="182"/>
    </row>
    <row r="79" spans="1:20">
      <c r="A79" s="6"/>
      <c r="J79" s="182"/>
      <c r="Q79" s="182"/>
      <c r="R79" s="182"/>
    </row>
    <row r="80" spans="1:20">
      <c r="A80" s="6"/>
      <c r="J80" s="182"/>
      <c r="Q80" s="182"/>
      <c r="R80" s="182"/>
    </row>
    <row r="81" spans="1:18">
      <c r="A81" s="6"/>
      <c r="J81" s="182"/>
      <c r="Q81" s="182"/>
      <c r="R81" s="182"/>
    </row>
    <row r="82" spans="1:18">
      <c r="A82" s="6"/>
      <c r="J82" s="182"/>
      <c r="Q82" s="182"/>
      <c r="R82" s="182"/>
    </row>
    <row r="83" spans="1:18">
      <c r="A83" s="6"/>
      <c r="J83" s="182"/>
      <c r="Q83" s="182"/>
      <c r="R83" s="182"/>
    </row>
    <row r="84" spans="1:18">
      <c r="A84" s="6"/>
      <c r="J84" s="182"/>
      <c r="Q84" s="182"/>
      <c r="R84" s="182"/>
    </row>
    <row r="85" spans="1:18">
      <c r="A85" s="6"/>
      <c r="J85" s="182"/>
      <c r="Q85" s="182"/>
      <c r="R85" s="182"/>
    </row>
    <row r="86" spans="1:18">
      <c r="A86" s="6"/>
      <c r="J86" s="182"/>
      <c r="Q86" s="182"/>
      <c r="R86" s="182"/>
    </row>
    <row r="87" spans="1:18">
      <c r="A87" s="6"/>
      <c r="J87" s="182"/>
      <c r="Q87" s="182"/>
      <c r="R87" s="182"/>
    </row>
    <row r="88" spans="1:18">
      <c r="A88" s="6"/>
      <c r="J88" s="182"/>
      <c r="Q88" s="182"/>
      <c r="R88" s="182"/>
    </row>
    <row r="89" spans="1:18">
      <c r="A89" s="6"/>
      <c r="J89" s="182"/>
      <c r="Q89" s="182"/>
      <c r="R89" s="182"/>
    </row>
    <row r="90" spans="1:18">
      <c r="J90" s="182"/>
      <c r="Q90" s="182"/>
      <c r="R90" s="182"/>
    </row>
    <row r="91" spans="1:18">
      <c r="J91" s="182"/>
      <c r="Q91" s="182"/>
      <c r="R91" s="182"/>
    </row>
    <row r="92" spans="1:18">
      <c r="J92" s="182"/>
      <c r="Q92" s="182"/>
      <c r="R92" s="182"/>
    </row>
    <row r="93" spans="1:18">
      <c r="J93" s="182"/>
      <c r="Q93" s="182"/>
      <c r="R93" s="182"/>
    </row>
    <row r="94" spans="1:18">
      <c r="J94" s="182"/>
      <c r="Q94" s="182"/>
      <c r="R94" s="182"/>
    </row>
    <row r="95" spans="1:18">
      <c r="J95" s="182"/>
      <c r="Q95" s="182"/>
      <c r="R95" s="182"/>
    </row>
    <row r="96" spans="1:18">
      <c r="J96" s="182"/>
      <c r="Q96" s="182"/>
      <c r="R96" s="182"/>
    </row>
    <row r="97" spans="10:18">
      <c r="J97" s="182"/>
      <c r="Q97" s="182"/>
      <c r="R97" s="182"/>
    </row>
    <row r="98" spans="10:18">
      <c r="J98" s="182"/>
      <c r="Q98" s="182"/>
    </row>
    <row r="99" spans="10:18">
      <c r="J99" s="182"/>
      <c r="Q99" s="182"/>
      <c r="R99" s="182"/>
    </row>
    <row r="100" spans="10:18">
      <c r="J100" s="182"/>
      <c r="Q100" s="182"/>
      <c r="R100" s="182"/>
    </row>
    <row r="101" spans="10:18">
      <c r="J101" s="182"/>
      <c r="Q101" s="182"/>
      <c r="R101" s="182"/>
    </row>
    <row r="102" spans="10:18">
      <c r="J102" s="182"/>
      <c r="Q102" s="182"/>
      <c r="R102" s="182"/>
    </row>
    <row r="103" spans="10:18">
      <c r="J103" s="182"/>
      <c r="Q103" s="182"/>
      <c r="R103" s="182"/>
    </row>
    <row r="104" spans="10:18">
      <c r="J104" s="182"/>
      <c r="Q104" s="182"/>
      <c r="R104" s="182"/>
    </row>
    <row r="105" spans="10:18">
      <c r="J105" s="182"/>
      <c r="Q105" s="182"/>
      <c r="R105" s="182"/>
    </row>
    <row r="106" spans="10:18">
      <c r="J106" s="182"/>
      <c r="Q106" s="182"/>
      <c r="R106" s="182"/>
    </row>
    <row r="107" spans="10:18">
      <c r="J107" s="182"/>
      <c r="Q107" s="182"/>
      <c r="R107" s="182"/>
    </row>
    <row r="108" spans="10:18">
      <c r="J108" s="182"/>
      <c r="Q108" s="182"/>
      <c r="R108" s="182"/>
    </row>
    <row r="109" spans="10:18">
      <c r="J109" s="182"/>
      <c r="Q109" s="182"/>
      <c r="R109" s="182"/>
    </row>
    <row r="110" spans="10:18">
      <c r="J110" s="182"/>
      <c r="Q110" s="182"/>
      <c r="R110" s="182"/>
    </row>
    <row r="111" spans="10:18">
      <c r="J111" s="182"/>
      <c r="Q111" s="182"/>
      <c r="R111" s="182"/>
    </row>
    <row r="112" spans="10:18">
      <c r="J112" s="182"/>
      <c r="Q112" s="182"/>
      <c r="R112" s="182"/>
    </row>
    <row r="113" spans="1:20">
      <c r="J113" s="182"/>
      <c r="Q113" s="182"/>
      <c r="R113" s="182"/>
    </row>
    <row r="114" spans="1:20">
      <c r="J114" s="182"/>
      <c r="Q114" s="182"/>
      <c r="R114" s="182"/>
    </row>
    <row r="115" spans="1:20">
      <c r="J115" s="182"/>
      <c r="Q115" s="182"/>
      <c r="R115" s="182"/>
    </row>
    <row r="116" spans="1:20">
      <c r="J116" s="182"/>
      <c r="Q116" s="182"/>
      <c r="R116" s="182"/>
    </row>
    <row r="117" spans="1:20">
      <c r="J117" s="182"/>
      <c r="Q117" s="170"/>
      <c r="R117" s="182"/>
    </row>
    <row r="118" spans="1:20">
      <c r="J118" s="182"/>
      <c r="Q118" s="170"/>
      <c r="R118" s="182"/>
    </row>
    <row r="119" spans="1:20">
      <c r="J119" s="182"/>
      <c r="Q119" s="182"/>
      <c r="R119" s="182"/>
    </row>
    <row r="120" spans="1:20">
      <c r="I120" s="182"/>
      <c r="J120" s="182"/>
      <c r="Q120" s="182"/>
      <c r="R120" s="182"/>
    </row>
    <row r="121" spans="1:20">
      <c r="A121" s="169"/>
      <c r="B121" s="182"/>
      <c r="C121" s="182"/>
      <c r="D121" s="170"/>
      <c r="E121" s="170"/>
      <c r="F121" s="170"/>
      <c r="G121" s="170"/>
      <c r="H121" s="177"/>
      <c r="J121" s="182"/>
      <c r="K121" s="171"/>
      <c r="L121" s="170"/>
      <c r="M121" s="177"/>
      <c r="N121" s="171"/>
      <c r="O121" s="171"/>
      <c r="P121" s="182"/>
      <c r="Q121" s="182"/>
      <c r="R121" s="182"/>
      <c r="T121" s="171"/>
    </row>
    <row r="122" spans="1:20">
      <c r="A122" s="10"/>
      <c r="D122" s="114"/>
      <c r="E122" s="114"/>
      <c r="F122" s="114"/>
      <c r="G122" s="114"/>
      <c r="H122" s="127"/>
      <c r="K122" s="116"/>
      <c r="L122" s="114"/>
      <c r="M122" s="127"/>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36"/>
      <c r="D125" s="114"/>
      <c r="E125" s="114"/>
      <c r="F125" s="114"/>
      <c r="G125" s="114"/>
      <c r="H125" s="114"/>
      <c r="K125" s="116"/>
      <c r="L125" s="114"/>
      <c r="M125" s="114"/>
      <c r="N125" s="116"/>
      <c r="O125" s="116"/>
      <c r="T125" s="116"/>
    </row>
    <row r="126" spans="1:20">
      <c r="A126" s="132"/>
      <c r="D126" s="118"/>
      <c r="E126" s="118"/>
      <c r="F126" s="118"/>
      <c r="G126" s="118"/>
      <c r="H126" s="118"/>
      <c r="K126" s="119"/>
      <c r="L126" s="118"/>
      <c r="M126" s="118"/>
      <c r="N126" s="119"/>
      <c r="O126" s="119"/>
      <c r="T126" s="119"/>
    </row>
    <row r="127" spans="1:20">
      <c r="A127" s="10"/>
      <c r="D127" s="114"/>
      <c r="E127" s="114"/>
      <c r="F127" s="114"/>
      <c r="G127" s="114"/>
      <c r="H127" s="114"/>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14"/>
      <c r="H129" s="114"/>
      <c r="K129" s="116"/>
      <c r="L129" s="114"/>
      <c r="M129" s="127"/>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27"/>
      <c r="H131" s="127"/>
      <c r="K131" s="116"/>
      <c r="L131" s="114"/>
      <c r="M131" s="114"/>
      <c r="N131" s="116"/>
      <c r="O131" s="116"/>
      <c r="T131" s="116"/>
    </row>
    <row r="132" spans="1:20">
      <c r="A132" s="10"/>
      <c r="D132" s="114"/>
      <c r="E132" s="114"/>
      <c r="F132" s="114"/>
      <c r="G132" s="127"/>
      <c r="H132" s="127"/>
      <c r="K132" s="116"/>
      <c r="L132" s="114"/>
      <c r="M132" s="114"/>
      <c r="N132" s="116"/>
      <c r="O132" s="116"/>
      <c r="T132" s="116"/>
    </row>
    <row r="133" spans="1:20">
      <c r="A133" s="10"/>
      <c r="D133" s="114"/>
      <c r="E133" s="114"/>
      <c r="F133" s="114"/>
      <c r="G133" s="114"/>
      <c r="H133" s="127"/>
      <c r="K133" s="116"/>
      <c r="L133" s="114"/>
      <c r="M133" s="114"/>
      <c r="N133" s="116"/>
      <c r="O133" s="116"/>
      <c r="T133" s="116"/>
    </row>
    <row r="134" spans="1:20">
      <c r="A134" s="10"/>
      <c r="D134" s="114"/>
      <c r="E134" s="114"/>
      <c r="F134" s="114"/>
      <c r="G134" s="114"/>
      <c r="H134" s="114"/>
      <c r="K134" s="116"/>
      <c r="L134" s="114"/>
      <c r="M134" s="127"/>
      <c r="N134" s="116"/>
      <c r="O134" s="116"/>
      <c r="T134" s="116"/>
    </row>
    <row r="135" spans="1:20">
      <c r="A135" s="10"/>
      <c r="D135" s="114"/>
      <c r="E135" s="114"/>
      <c r="F135" s="114"/>
      <c r="G135" s="127"/>
      <c r="H135" s="114"/>
      <c r="K135" s="116"/>
      <c r="L135" s="114"/>
      <c r="M135" s="114"/>
      <c r="N135" s="116"/>
      <c r="O135" s="116"/>
      <c r="T135" s="116"/>
    </row>
    <row r="136" spans="1:20">
      <c r="A136" s="10"/>
      <c r="D136" s="114"/>
      <c r="E136" s="114"/>
      <c r="F136" s="114"/>
      <c r="G136" s="127"/>
      <c r="H136" s="127"/>
      <c r="K136" s="116"/>
      <c r="L136" s="114"/>
      <c r="M136" s="114"/>
      <c r="N136" s="116"/>
      <c r="O136" s="116"/>
      <c r="T136" s="116"/>
    </row>
    <row r="137" spans="1:20">
      <c r="A137" s="10"/>
      <c r="D137" s="114"/>
      <c r="E137" s="114"/>
      <c r="F137" s="114"/>
      <c r="G137" s="114"/>
      <c r="H137" s="114"/>
      <c r="K137" s="116"/>
      <c r="L137" s="114"/>
      <c r="M137" s="114"/>
      <c r="N137" s="116"/>
      <c r="O137" s="116"/>
      <c r="T137" s="116"/>
    </row>
    <row r="138" spans="1:20">
      <c r="A138" s="132"/>
      <c r="D138" s="118"/>
      <c r="E138" s="118"/>
      <c r="F138" s="118"/>
      <c r="G138" s="118"/>
      <c r="H138" s="118"/>
      <c r="K138" s="119"/>
      <c r="L138" s="118"/>
      <c r="M138" s="118"/>
      <c r="N138" s="119"/>
      <c r="O138" s="119"/>
      <c r="T138" s="119"/>
    </row>
    <row r="139" spans="1:20">
      <c r="A139" s="10"/>
      <c r="D139" s="114"/>
      <c r="E139" s="114"/>
      <c r="F139" s="114"/>
      <c r="G139" s="127"/>
      <c r="H139" s="114"/>
      <c r="K139" s="116"/>
      <c r="L139" s="114"/>
      <c r="M139" s="114"/>
      <c r="N139" s="116"/>
      <c r="O139" s="116"/>
      <c r="T139" s="116"/>
    </row>
    <row r="140" spans="1:20">
      <c r="A140" s="10"/>
      <c r="D140" s="114"/>
      <c r="E140" s="114"/>
      <c r="F140" s="114"/>
      <c r="G140" s="114"/>
      <c r="H140" s="127"/>
      <c r="K140" s="116"/>
      <c r="L140" s="114"/>
      <c r="M140" s="114"/>
      <c r="N140" s="116"/>
      <c r="O140" s="116"/>
      <c r="T140" s="116"/>
    </row>
    <row r="141" spans="1:20">
      <c r="A141" s="10"/>
      <c r="D141" s="114"/>
      <c r="E141" s="114"/>
      <c r="F141" s="114"/>
      <c r="G141" s="114"/>
      <c r="H141" s="114"/>
      <c r="K141" s="116"/>
      <c r="L141" s="114"/>
      <c r="M141" s="127"/>
      <c r="N141" s="116"/>
      <c r="O141" s="116"/>
      <c r="T141" s="116"/>
    </row>
    <row r="142" spans="1:20">
      <c r="A142" s="10"/>
      <c r="D142" s="114"/>
      <c r="E142" s="114"/>
      <c r="F142" s="114"/>
      <c r="G142" s="127"/>
      <c r="H142" s="114"/>
      <c r="K142" s="116"/>
      <c r="L142" s="114"/>
      <c r="M142" s="114"/>
      <c r="N142" s="116"/>
      <c r="O142" s="116"/>
      <c r="T142" s="116"/>
    </row>
    <row r="143" spans="1:20">
      <c r="A143" s="10"/>
      <c r="D143" s="114"/>
      <c r="E143" s="114"/>
      <c r="F143" s="114"/>
      <c r="G143" s="114"/>
      <c r="H143" s="127"/>
      <c r="K143" s="116"/>
      <c r="L143" s="114"/>
      <c r="M143" s="114"/>
      <c r="N143" s="116"/>
      <c r="O143" s="116"/>
      <c r="T143" s="116"/>
    </row>
    <row r="144" spans="1:20">
      <c r="A144" s="10"/>
      <c r="D144" s="114"/>
      <c r="E144" s="114"/>
      <c r="F144" s="114"/>
      <c r="G144" s="114"/>
      <c r="H144" s="127"/>
      <c r="K144" s="116"/>
      <c r="L144" s="114"/>
      <c r="M144" s="114"/>
      <c r="N144" s="116"/>
      <c r="O144" s="116"/>
      <c r="T144" s="116"/>
    </row>
    <row r="145" spans="1:20">
      <c r="A145" s="10"/>
      <c r="D145" s="114"/>
      <c r="E145" s="114"/>
      <c r="F145" s="114"/>
      <c r="G145" s="127"/>
      <c r="H145" s="114"/>
      <c r="K145" s="116"/>
      <c r="L145" s="114"/>
      <c r="M145" s="114"/>
      <c r="N145" s="116"/>
      <c r="O145" s="116"/>
      <c r="T145" s="116"/>
    </row>
    <row r="146" spans="1:20">
      <c r="A146" s="10"/>
      <c r="D146" s="114"/>
      <c r="E146" s="114"/>
      <c r="F146" s="114"/>
      <c r="G146" s="114"/>
      <c r="H146" s="114"/>
      <c r="K146" s="116"/>
      <c r="L146" s="114"/>
      <c r="M146" s="114"/>
      <c r="N146" s="116"/>
      <c r="O146" s="116"/>
      <c r="T146" s="116"/>
    </row>
    <row r="147" spans="1:20">
      <c r="A147" s="10"/>
      <c r="D147" s="114"/>
      <c r="E147" s="114"/>
      <c r="F147" s="114"/>
      <c r="G147" s="114"/>
      <c r="H147" s="127"/>
      <c r="K147" s="116"/>
      <c r="L147" s="114"/>
      <c r="M147" s="114"/>
      <c r="N147" s="116"/>
      <c r="O147" s="116"/>
      <c r="T147" s="116"/>
    </row>
  </sheetData>
  <phoneticPr fontId="2" type="noConversion"/>
  <conditionalFormatting sqref="U58:V58">
    <cfRule type="cellIs" dxfId="13" priority="1" stopIfTrue="1" operator="lessThan">
      <formula>0</formula>
    </cfRule>
    <cfRule type="cellIs" dxfId="12" priority="2" stopIfTrue="1" operator="greaterThan">
      <formula>0</formula>
    </cfRule>
  </conditionalFormatting>
  <conditionalFormatting sqref="V2:V57">
    <cfRule type="cellIs" dxfId="11" priority="5" stopIfTrue="1" operator="lessThan">
      <formula>0</formula>
    </cfRule>
    <cfRule type="cellIs" dxfId="10" priority="6" stopIfTrue="1" operator="greaterThan">
      <formula>0</formula>
    </cfRule>
  </conditionalFormatting>
  <conditionalFormatting sqref="U2:U57">
    <cfRule type="cellIs" dxfId="9" priority="3" stopIfTrue="1" operator="lessThan">
      <formula>0</formula>
    </cfRule>
    <cfRule type="cellIs" dxfId="8"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Z120"/>
  <sheetViews>
    <sheetView workbookViewId="0">
      <selection activeCell="C12" sqref="C12"/>
    </sheetView>
  </sheetViews>
  <sheetFormatPr defaultRowHeight="12" customHeight="1"/>
  <cols>
    <col min="1" max="1" width="23.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5.71093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4" width="4" style="48" bestFit="1" customWidth="1"/>
    <col min="15" max="15" width="3.5703125" style="48" bestFit="1" customWidth="1"/>
    <col min="16" max="16" width="3.5703125" style="48" customWidth="1"/>
    <col min="17" max="17" width="8.7109375" style="48" bestFit="1" customWidth="1"/>
    <col min="18" max="18" width="6.42578125" style="48" customWidth="1"/>
    <col min="19" max="19" width="10.42578125" style="129" bestFit="1" customWidth="1"/>
    <col min="20" max="20" width="41.7109375" style="151" customWidth="1"/>
    <col min="21" max="21" width="9" style="129" bestFit="1" customWidth="1"/>
    <col min="22" max="22" width="1.140625" style="48" customWidth="1"/>
    <col min="23" max="23" width="6.140625" style="129" bestFit="1" customWidth="1"/>
    <col min="24" max="25" width="6.42578125" style="129" bestFit="1" customWidth="1"/>
    <col min="26" max="27" width="2.7109375" style="129" bestFit="1" customWidth="1"/>
    <col min="28" max="28" width="23.42578125" style="48" bestFit="1" customWidth="1"/>
    <col min="29" max="29" width="9.140625" style="48"/>
    <col min="30" max="30" width="11.85546875" style="48" bestFit="1" customWidth="1"/>
    <col min="31" max="31" width="7" style="48" bestFit="1" customWidth="1"/>
    <col min="32" max="32" width="7.28515625" style="48" bestFit="1" customWidth="1"/>
    <col min="33" max="33" width="7" style="48" bestFit="1" customWidth="1"/>
    <col min="34" max="34" width="8.28515625" style="48" bestFit="1" customWidth="1"/>
    <col min="35" max="35" width="7" style="48" bestFit="1" customWidth="1"/>
    <col min="36" max="52" width="9.28515625" style="48" bestFit="1" customWidth="1"/>
    <col min="53" max="16384" width="9.140625" style="48"/>
  </cols>
  <sheetData>
    <row r="1" spans="1:35" s="47" customFormat="1" ht="23.25" thickBot="1">
      <c r="A1" s="700" t="s">
        <v>164</v>
      </c>
      <c r="B1" s="700" t="s">
        <v>1934</v>
      </c>
      <c r="C1" s="700" t="s">
        <v>2798</v>
      </c>
      <c r="D1" s="700" t="s">
        <v>1214</v>
      </c>
      <c r="E1" s="700" t="s">
        <v>1215</v>
      </c>
      <c r="F1" s="700" t="s">
        <v>768</v>
      </c>
      <c r="G1" s="705" t="s">
        <v>2140</v>
      </c>
      <c r="H1" s="705" t="s">
        <v>2139</v>
      </c>
      <c r="I1" s="700" t="s">
        <v>771</v>
      </c>
      <c r="J1" s="700" t="s">
        <v>1219</v>
      </c>
      <c r="K1" s="705" t="s">
        <v>760</v>
      </c>
      <c r="L1" s="700" t="s">
        <v>1216</v>
      </c>
      <c r="M1" s="705" t="s">
        <v>264</v>
      </c>
      <c r="N1" s="705" t="s">
        <v>1217</v>
      </c>
      <c r="O1" s="705" t="s">
        <v>1287</v>
      </c>
      <c r="P1" s="706" t="s">
        <v>1221</v>
      </c>
      <c r="Q1" s="704" t="s">
        <v>1047</v>
      </c>
      <c r="R1" s="704" t="s">
        <v>1941</v>
      </c>
      <c r="S1" s="704" t="s">
        <v>666</v>
      </c>
      <c r="T1" s="849" t="s">
        <v>1707</v>
      </c>
      <c r="U1" s="700" t="s">
        <v>1708</v>
      </c>
      <c r="V1" s="705"/>
      <c r="W1" s="704" t="s">
        <v>710</v>
      </c>
      <c r="X1" s="704" t="s">
        <v>711</v>
      </c>
      <c r="Y1" s="704" t="s">
        <v>712</v>
      </c>
      <c r="Z1" s="743">
        <v>0</v>
      </c>
      <c r="AA1" s="743"/>
      <c r="AB1" s="700" t="s">
        <v>671</v>
      </c>
    </row>
    <row r="2" spans="1:35" ht="12" customHeight="1">
      <c r="A2" s="10" t="s">
        <v>2290</v>
      </c>
      <c r="B2" s="116">
        <v>28288</v>
      </c>
      <c r="C2" s="116">
        <v>1</v>
      </c>
      <c r="D2" s="114"/>
      <c r="E2" s="114"/>
      <c r="F2" s="115">
        <v>64</v>
      </c>
      <c r="G2" s="116"/>
      <c r="H2" s="116"/>
      <c r="I2" s="115">
        <f>IF(time=0, 260*10/120, 0)</f>
        <v>0</v>
      </c>
      <c r="J2" s="114"/>
      <c r="K2" s="116"/>
      <c r="L2" s="114"/>
      <c r="M2" s="116"/>
      <c r="N2" s="114"/>
      <c r="O2" s="116"/>
      <c r="P2" s="114"/>
      <c r="Q2" s="114"/>
      <c r="R2" s="114"/>
      <c r="S2" s="114" t="s">
        <v>673</v>
      </c>
      <c r="T2" s="10" t="s">
        <v>2291</v>
      </c>
      <c r="U2" s="114" t="s">
        <v>2292</v>
      </c>
      <c r="V2" s="116" t="s">
        <v>1109</v>
      </c>
      <c r="W2" s="777"/>
      <c r="X2" s="891">
        <f>($D2*dpsStr+$E2*dpsAgi+$G2*dpsCrit+$H2*dpsHit+$F2*dpsAP+$I2*dpsHaste+$J2*dpsArmor+$K2*dpsExp)+$W2-'Gear &amp; Buffs'!$AF$70</f>
        <v>-358.28304712042586</v>
      </c>
      <c r="Y2" s="891">
        <f>($D2*dpsStr+$E2*dpsAgi+$G2*dpsCrit+$H2*dpsHit+$F2*dpsAP+$I2*dpsHaste+$J2*dpsArmor+$K2*dpsExp)+$W2-'Gear &amp; Buffs'!$AF$71</f>
        <v>-2.8586402068413008</v>
      </c>
      <c r="Z2" s="114">
        <f>IF(OR(trinket1=$A2,trinket2=$A2),"",IF(AND(IF('Gear &amp; Buffs'!$AC$50,MAX($X2,$Y2)&gt;0+'Gear &amp; Buffs'!$U$42,TRUE),OR(IF(includep1,$C2&lt;=1), IF(includep2,$C2&lt;=2), IF(includep3,$C2&lt;=3), IF(includep4,$C2&lt;=4), IF(includep5,$C2&lt;=5)), OR(IF(includeblacksmith,$S2="Blacksmithing"),IF(includeleatherwork,$S2="Leatherworking"),IF(includeengineer,$S2="Engineering"),IF(includejewelcrafting,$S2="Jewelcrafting"),IF(incAlc,$S2="Alchemy"),IF(includeboecrafted,$S2="BoE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Aman"),IF(includeprebc,$S2="Pre-BC"),IF(includesunwell,$S2="Sunwell"))),MAX($Z$1:$Z1)+1,""))</f>
        <v>1</v>
      </c>
      <c r="AA2" s="738"/>
      <c r="AB2" s="714" t="s">
        <v>1689</v>
      </c>
    </row>
    <row r="3" spans="1:35" ht="12" customHeight="1">
      <c r="A3" s="10" t="s">
        <v>2397</v>
      </c>
      <c r="B3" s="116">
        <v>31617</v>
      </c>
      <c r="C3" s="116">
        <v>1</v>
      </c>
      <c r="D3" s="114"/>
      <c r="E3" s="114"/>
      <c r="F3" s="115">
        <f>IF(time=0, 200*15/90, 0)</f>
        <v>0</v>
      </c>
      <c r="G3" s="116">
        <v>21</v>
      </c>
      <c r="H3" s="116"/>
      <c r="I3" s="115"/>
      <c r="J3" s="114"/>
      <c r="K3" s="116"/>
      <c r="L3" s="114"/>
      <c r="M3" s="116"/>
      <c r="N3" s="114"/>
      <c r="O3" s="116"/>
      <c r="P3" s="114"/>
      <c r="Q3" s="114"/>
      <c r="R3" s="114"/>
      <c r="S3" s="114" t="s">
        <v>675</v>
      </c>
      <c r="T3" s="10" t="s">
        <v>2398</v>
      </c>
      <c r="U3" s="114" t="s">
        <v>2294</v>
      </c>
      <c r="V3" s="116" t="s">
        <v>1109</v>
      </c>
      <c r="W3" s="777"/>
      <c r="X3" s="891">
        <f>($D3*dpsStr+$E3*dpsAgi+$G3*dpsCrit+$H3*dpsHit+$F3*dpsAP+$I3*dpsHaste+$J3*dpsArmor+$K3*dpsExp)+$W3-'Gear &amp; Buffs'!$AF$70</f>
        <v>-366.7504463594571</v>
      </c>
      <c r="Y3" s="891">
        <f>($D3*dpsStr+$E3*dpsAgi+$G3*dpsCrit+$H3*dpsHit+$F3*dpsAP+$I3*dpsHaste+$J3*dpsArmor+$K3*dpsExp)+$W3-'Gear &amp; Buffs'!$AF$71</f>
        <v>-11.326039445872539</v>
      </c>
      <c r="Z3" s="114">
        <f>IF(OR(trinket1=$A3,trinket2=$A3),"",IF(AND(IF('Gear &amp; Buffs'!$AC$50,MAX($X3,$Y3)&gt;0+'Gear &amp; Buffs'!$U$42,TRUE),OR(IF(includep1,$C3&lt;=1), IF(includep2,$C3&lt;=2), IF(includep3,$C3&lt;=3), IF(includep4,$C3&lt;=4), IF(includep5,$C3&lt;=5)), OR(IF(includeblacksmith,$S3="Blacksmithing"),IF(includeleatherwork,$S3="Leatherworking"),IF(includeengineer,$S3="Engineering"),IF(includejewelcrafting,$S3="Jewelcrafting"),IF(incAlc,$S3="Alchemy"),IF(includeboecrafted,$S3="BoE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Aman"),IF(includeprebc,$S3="Pre-BC"),IF(includesunwell,$S3="Sunwell"))),MAX($Z$1:$Z2)+1,""))</f>
        <v>2</v>
      </c>
      <c r="AA3" s="738"/>
      <c r="AB3" s="714" t="str">
        <f>" "</f>
        <v xml:space="preserve"> </v>
      </c>
    </row>
    <row r="4" spans="1:35" ht="12" customHeight="1">
      <c r="A4" s="130" t="s">
        <v>2295</v>
      </c>
      <c r="B4" s="116">
        <v>32492</v>
      </c>
      <c r="C4" s="116">
        <v>3</v>
      </c>
      <c r="D4" s="114"/>
      <c r="E4" s="114"/>
      <c r="F4" s="115"/>
      <c r="G4" s="124">
        <f>145*itAToLup</f>
        <v>87.000000000000014</v>
      </c>
      <c r="H4" s="116"/>
      <c r="I4" s="115"/>
      <c r="J4" s="114"/>
      <c r="K4" s="116"/>
      <c r="L4" s="114"/>
      <c r="M4" s="116"/>
      <c r="N4" s="114"/>
      <c r="O4" s="116"/>
      <c r="P4" s="114"/>
      <c r="Q4" s="114"/>
      <c r="R4" s="114"/>
      <c r="S4" s="114" t="s">
        <v>676</v>
      </c>
      <c r="T4" s="10" t="s">
        <v>183</v>
      </c>
      <c r="U4" s="114"/>
      <c r="V4" s="116" t="s">
        <v>1109</v>
      </c>
      <c r="W4" s="777"/>
      <c r="X4" s="891">
        <f>($D4*dpsStr+$E4*dpsAgi+$G4*dpsCrit+$H4*dpsHit+$F4*dpsAP+$I4*dpsHaste+$J4*dpsArmor+$K4*dpsExp)+$W4-'Gear &amp; Buffs'!$AF$70</f>
        <v>-321.48789019583114</v>
      </c>
      <c r="Y4" s="891">
        <f>($D4*dpsStr+$E4*dpsAgi+$G4*dpsCrit+$H4*dpsHit+$F4*dpsAP+$I4*dpsHaste+$J4*dpsArmor+$K4*dpsExp)+$W4-'Gear &amp; Buffs'!$AF$71</f>
        <v>33.936516717753427</v>
      </c>
      <c r="Z4" s="114" t="str">
        <f>IF(OR(trinket1=$A4,trinket2=$A4),"",IF(AND(IF('Gear &amp; Buffs'!$AC$50,MAX($X4,$Y4)&gt;0+'Gear &amp; Buffs'!$U$42,TRUE),OR(IF(includep1,$C4&lt;=1), IF(includep2,$C4&lt;=2), IF(includep3,$C4&lt;=3), IF(includep4,$C4&lt;=4), IF(includep5,$C4&lt;=5)), OR(IF(includeblacksmith,$S4="Blacksmithing"),IF(includeleatherwork,$S4="Leatherworking"),IF(includeengineer,$S4="Engineering"),IF(includejewelcrafting,$S4="Jewelcrafting"),IF(incAlc,$S4="Alchemy"),IF(includeboecrafted,$S4="BoE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Aman"),IF(includeprebc,$S4="Pre-BC"),IF(includesunwell,$S4="Sunwell"))),MAX($Z$1:$Z3)+1,""))</f>
        <v/>
      </c>
      <c r="AA4" s="738">
        <v>1</v>
      </c>
      <c r="AB4" s="714" t="str">
        <f t="shared" ref="AB4:AB40" si="0">IF(ISNA(INDEX($A$2:$A$39,MATCH(AA4,Z$2:Z$39,0))), "", INDEX($A$2:$A$39,MATCH(AA4,Z$2:Z$39,0)))</f>
        <v>Abacus of Violent Odds</v>
      </c>
      <c r="AD4" s="852"/>
      <c r="AE4" s="852"/>
      <c r="AF4" s="852"/>
      <c r="AG4" s="852"/>
      <c r="AH4" s="852" t="s">
        <v>2850</v>
      </c>
      <c r="AI4" s="852"/>
    </row>
    <row r="5" spans="1:35" ht="12" customHeight="1">
      <c r="A5" s="10" t="s">
        <v>438</v>
      </c>
      <c r="B5" s="116">
        <v>35751</v>
      </c>
      <c r="C5" s="116">
        <v>5</v>
      </c>
      <c r="D5" s="114"/>
      <c r="E5" s="114"/>
      <c r="F5" s="115">
        <v>108</v>
      </c>
      <c r="G5" s="116"/>
      <c r="H5" s="116"/>
      <c r="I5" s="115"/>
      <c r="J5" s="114"/>
      <c r="K5" s="116"/>
      <c r="L5" s="114"/>
      <c r="M5" s="116"/>
      <c r="N5" s="114"/>
      <c r="O5" s="116"/>
      <c r="P5" s="114"/>
      <c r="Q5" s="114"/>
      <c r="R5" s="114"/>
      <c r="S5" s="114" t="s">
        <v>439</v>
      </c>
      <c r="T5" s="10" t="s">
        <v>440</v>
      </c>
      <c r="U5" s="114"/>
      <c r="V5" s="116" t="s">
        <v>1109</v>
      </c>
      <c r="W5" s="777"/>
      <c r="X5" s="891">
        <f>($D5*dpsStr+$E5*dpsAgi+$G5*dpsCrit+$H5*dpsHit+$F5*dpsAP+$I5*dpsHaste+$J5*dpsArmor+$K5*dpsExp)+$W5-'Gear &amp; Buffs'!$AF$70</f>
        <v>-342.56052598279871</v>
      </c>
      <c r="Y5" s="891">
        <f>($D5*dpsStr+$E5*dpsAgi+$G5*dpsCrit+$H5*dpsHit+$F5*dpsAP+$I5*dpsHaste+$J5*dpsArmor+$K5*dpsExp)+$W5-'Gear &amp; Buffs'!$AF$71</f>
        <v>12.863880930785854</v>
      </c>
      <c r="Z5" s="114" t="str">
        <f>IF(OR(trinket1=$A5,trinket2=$A5),"",IF(AND(IF('Gear &amp; Buffs'!$AC$50,MAX($X5,$Y5)&gt;0+'Gear &amp; Buffs'!$U$42,TRUE),OR(IF(includep1,$C5&lt;=1), IF(includep2,$C5&lt;=2), IF(includep3,$C5&lt;=3), IF(includep4,$C5&lt;=4), IF(includep5,$C5&lt;=5)), OR(IF(includeblacksmith,$S5="Blacksmithing"),IF(includeleatherwork,$S5="Leatherworking"),IF(includeengineer,$S5="Engineering"),IF(includejewelcrafting,$S5="Jewelcrafting"),IF(incAlc,$S5="Alchemy"),IF(includeboecrafted,$S5="BoE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Aman"),IF(includeprebc,$S5="Pre-BC"),IF(includesunwell,$S5="Sunwell"))),MAX($Z$1:$Z4)+1,""))</f>
        <v/>
      </c>
      <c r="AA5" s="738">
        <v>2</v>
      </c>
      <c r="AB5" s="714" t="str">
        <f t="shared" si="0"/>
        <v>Ancient Draenei War Talisman</v>
      </c>
      <c r="AD5" s="852"/>
      <c r="AE5" s="853" t="s">
        <v>2851</v>
      </c>
      <c r="AF5" s="854">
        <f>Optimize!C54</f>
        <v>0.33374978855287174</v>
      </c>
      <c r="AG5" s="854">
        <f>IF(AH5*AF5&gt;0, AH5*AF5, 1)</f>
        <v>22.60196166079864</v>
      </c>
      <c r="AH5" s="854">
        <f>Optimize!C55</f>
        <v>67.721276345372416</v>
      </c>
      <c r="AI5" s="852"/>
    </row>
    <row r="6" spans="1:35" ht="12" customHeight="1">
      <c r="A6" s="130" t="s">
        <v>2834</v>
      </c>
      <c r="B6" s="116">
        <v>32658</v>
      </c>
      <c r="C6" s="116">
        <v>3</v>
      </c>
      <c r="D6" s="114"/>
      <c r="E6" s="114">
        <f>IF(time=0, 150*20/120, 0)</f>
        <v>0</v>
      </c>
      <c r="F6" s="115"/>
      <c r="G6" s="116"/>
      <c r="H6" s="116"/>
      <c r="I6" s="115"/>
      <c r="J6" s="114"/>
      <c r="K6" s="116"/>
      <c r="L6" s="114"/>
      <c r="M6" s="116"/>
      <c r="N6" s="114"/>
      <c r="O6" s="116"/>
      <c r="P6" s="114"/>
      <c r="Q6" s="114"/>
      <c r="R6" s="114"/>
      <c r="S6" s="114" t="s">
        <v>674</v>
      </c>
      <c r="T6" s="10" t="s">
        <v>2835</v>
      </c>
      <c r="U6" s="114" t="s">
        <v>2292</v>
      </c>
      <c r="V6" s="116" t="s">
        <v>1109</v>
      </c>
      <c r="W6" s="777"/>
      <c r="X6" s="891">
        <f>($D6*dpsStr+$E6*dpsAgi+$G6*dpsCrit+$H6*dpsHit+$F6*dpsAP+$I6*dpsHaste+$J6*dpsArmor+$K6*dpsExp)+$W6-'Gear &amp; Buffs'!$AF$70</f>
        <v>-381.15216877515627</v>
      </c>
      <c r="Y6" s="891">
        <f>($D6*dpsStr+$E6*dpsAgi+$G6*dpsCrit+$H6*dpsHit+$F6*dpsAP+$I6*dpsHaste+$J6*dpsArmor+$K6*dpsExp)+$W6-'Gear &amp; Buffs'!$AF$71</f>
        <v>-25.727761861571707</v>
      </c>
      <c r="Z6" s="114" t="str">
        <f>IF(OR(trinket1=$A6,trinket2=$A6),"",IF(AND(IF('Gear &amp; Buffs'!$AC$50,MAX($X6,$Y6)&gt;0+'Gear &amp; Buffs'!$U$42,TRUE),OR(IF(includep1,$C6&lt;=1), IF(includep2,$C6&lt;=2), IF(includep3,$C6&lt;=3), IF(includep4,$C6&lt;=4), IF(includep5,$C6&lt;=5)), OR(IF(includeblacksmith,$S6="Blacksmithing"),IF(includeleatherwork,$S6="Leatherworking"),IF(includeengineer,$S6="Engineering"),IF(includejewelcrafting,$S6="Jewelcrafting"),IF(incAlc,$S6="Alchemy"),IF(includeboecrafted,$S6="BoE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Aman"),IF(includeprebc,$S6="Pre-BC"),IF(includesunwell,$S6="Sunwell"))),MAX($Z$1:$Z5)+1,""))</f>
        <v/>
      </c>
      <c r="AA6" s="738">
        <v>3</v>
      </c>
      <c r="AB6" s="714" t="str">
        <f t="shared" si="0"/>
        <v>Badge of the Swarmguard</v>
      </c>
      <c r="AD6" s="852"/>
      <c r="AE6" s="852" t="s">
        <v>2852</v>
      </c>
      <c r="AF6" s="852" t="s">
        <v>2853</v>
      </c>
      <c r="AG6" s="852" t="s">
        <v>2854</v>
      </c>
      <c r="AH6" s="852" t="s">
        <v>2855</v>
      </c>
      <c r="AI6" s="852" t="s">
        <v>2856</v>
      </c>
    </row>
    <row r="7" spans="1:35" ht="12" customHeight="1">
      <c r="A7" s="10" t="s">
        <v>2848</v>
      </c>
      <c r="B7" s="116">
        <v>21670</v>
      </c>
      <c r="C7" s="116">
        <v>1</v>
      </c>
      <c r="D7" s="114"/>
      <c r="E7" s="114"/>
      <c r="F7" s="115"/>
      <c r="G7" s="116"/>
      <c r="H7" s="116"/>
      <c r="I7" s="115"/>
      <c r="J7" s="114">
        <f>IF(time=0, MIN(AF16*200, AE17)/180*30, 0)</f>
        <v>0</v>
      </c>
      <c r="K7" s="116"/>
      <c r="L7" s="114"/>
      <c r="M7" s="116"/>
      <c r="N7" s="114"/>
      <c r="O7" s="116"/>
      <c r="P7" s="114"/>
      <c r="Q7" s="114"/>
      <c r="R7" s="114"/>
      <c r="S7" s="114" t="s">
        <v>668</v>
      </c>
      <c r="T7" s="10" t="s">
        <v>2849</v>
      </c>
      <c r="U7" s="114" t="s">
        <v>1719</v>
      </c>
      <c r="V7" s="116" t="s">
        <v>1109</v>
      </c>
      <c r="W7" s="777"/>
      <c r="X7" s="891">
        <f>($D7*dpsStr+$E7*dpsAgi+$G7*dpsCrit+$H7*dpsHit+$F7*dpsAP+$I7*dpsHaste+$J7*dpsArmor+$K7*dpsExp)+$W7-'Gear &amp; Buffs'!$AF$70</f>
        <v>-381.15216877515627</v>
      </c>
      <c r="Y7" s="891">
        <f>($D7*dpsStr+$E7*dpsAgi+$G7*dpsCrit+$H7*dpsHit+$F7*dpsAP+$I7*dpsHaste+$J7*dpsArmor+$K7*dpsExp)+$W7-'Gear &amp; Buffs'!$AF$71</f>
        <v>-25.727761861571707</v>
      </c>
      <c r="Z7" s="114">
        <f>IF(OR(trinket1=$A7,trinket2=$A7),"",IF(AND(IF('Gear &amp; Buffs'!$AC$50,MAX($X7,$Y7)&gt;0+'Gear &amp; Buffs'!$U$42,TRUE),OR(IF(includep1,$C7&lt;=1), IF(includep2,$C7&lt;=2), IF(includep3,$C7&lt;=3), IF(includep4,$C7&lt;=4), IF(includep5,$C7&lt;=5)), OR(IF(includeblacksmith,$S7="Blacksmithing"),IF(includeleatherwork,$S7="Leatherworking"),IF(includeengineer,$S7="Engineering"),IF(includejewelcrafting,$S7="Jewelcrafting"),IF(incAlc,$S7="Alchemy"),IF(includeboecrafted,$S7="BoE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Aman"),IF(includeprebc,$S7="Pre-BC"),IF(includesunwell,$S7="Sunwell"))),MAX($Z$1:$Z6)+1,""))</f>
        <v>3</v>
      </c>
      <c r="AA7" s="738">
        <v>4</v>
      </c>
      <c r="AB7" s="714" t="str">
        <f t="shared" si="0"/>
        <v>Bladefist's Breadth</v>
      </c>
      <c r="AD7" s="852" t="s">
        <v>2857</v>
      </c>
      <c r="AE7" s="855">
        <f>30/BotSprocs</f>
        <v>1.3273184182075968</v>
      </c>
      <c r="AF7" s="855">
        <v>1</v>
      </c>
      <c r="AG7" s="855">
        <v>0</v>
      </c>
      <c r="AH7" s="855">
        <v>0</v>
      </c>
      <c r="AI7" s="852">
        <v>0</v>
      </c>
    </row>
    <row r="8" spans="1:35" ht="12" customHeight="1">
      <c r="A8" s="10" t="s">
        <v>1760</v>
      </c>
      <c r="B8" s="116">
        <v>33831</v>
      </c>
      <c r="C8" s="116">
        <v>4</v>
      </c>
      <c r="D8" s="114"/>
      <c r="E8" s="114"/>
      <c r="F8" s="115">
        <f>90+IF(time=0, 360*20/120, 0)</f>
        <v>90</v>
      </c>
      <c r="G8" s="116"/>
      <c r="H8" s="116"/>
      <c r="I8" s="115"/>
      <c r="J8" s="114"/>
      <c r="K8" s="116"/>
      <c r="L8" s="114"/>
      <c r="M8" s="116"/>
      <c r="N8" s="114"/>
      <c r="O8" s="116"/>
      <c r="P8" s="114"/>
      <c r="Q8" s="114"/>
      <c r="R8" s="114"/>
      <c r="S8" s="114" t="s">
        <v>664</v>
      </c>
      <c r="T8" s="10" t="s">
        <v>1232</v>
      </c>
      <c r="U8" s="114" t="s">
        <v>2292</v>
      </c>
      <c r="V8" s="116" t="s">
        <v>1109</v>
      </c>
      <c r="W8" s="777"/>
      <c r="X8" s="891">
        <f>($D8*dpsStr+$E8*dpsAgi+$G8*dpsCrit+$H8*dpsHit+$F8*dpsAP+$I8*dpsHaste+$J8*dpsArmor+$K8*dpsExp)+$W8-'Gear &amp; Buffs'!$AF$70</f>
        <v>-348.99246644819164</v>
      </c>
      <c r="Y8" s="891">
        <f>($D8*dpsStr+$E8*dpsAgi+$G8*dpsCrit+$H8*dpsHit+$F8*dpsAP+$I8*dpsHaste+$J8*dpsArmor+$K8*dpsExp)+$W8-'Gear &amp; Buffs'!$AF$71</f>
        <v>6.4319404653929269</v>
      </c>
      <c r="Z8" s="114" t="str">
        <f>IF(OR(trinket1=$A8,trinket2=$A8),"",IF(AND(IF('Gear &amp; Buffs'!$AC$50,MAX($X8,$Y8)&gt;0+'Gear &amp; Buffs'!$U$42,TRUE),OR(IF(includep1,$C8&lt;=1), IF(includep2,$C8&lt;=2), IF(includep3,$C8&lt;=3), IF(includep4,$C8&lt;=4), IF(includep5,$C8&lt;=5)), OR(IF(includeblacksmith,$S8="Blacksmithing"),IF(includeleatherwork,$S8="Leatherworking"),IF(includeengineer,$S8="Engineering"),IF(includejewelcrafting,$S8="Jewelcrafting"),IF(incAlc,$S8="Alchemy"),IF(includeboecrafted,$S8="BoE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Aman"),IF(includeprebc,$S8="Pre-BC"),IF(includesunwell,$S8="Sunwell"))),MAX($Z$1:$Z7)+1,""))</f>
        <v/>
      </c>
      <c r="AA8" s="738">
        <v>5</v>
      </c>
      <c r="AB8" s="714" t="str">
        <f t="shared" si="0"/>
        <v>Core of Ar'kelos</v>
      </c>
      <c r="AD8" s="852" t="s">
        <v>1274</v>
      </c>
      <c r="AE8" s="855">
        <f>30/(1+BotSprocs/(1-EXP(-BotSprocs)))</f>
        <v>1.2710807867059044</v>
      </c>
      <c r="AF8" s="855">
        <f>(1-EXP(-$AH$5*BotSrate))</f>
        <v>0.99999999984721077</v>
      </c>
      <c r="AG8" s="855">
        <v>30</v>
      </c>
      <c r="AH8" s="855">
        <f>AF7-AF8</f>
        <v>1.5278922571582143E-10</v>
      </c>
      <c r="AI8" s="852">
        <v>1</v>
      </c>
    </row>
    <row r="9" spans="1:35" ht="12" customHeight="1">
      <c r="A9" s="10" t="s">
        <v>990</v>
      </c>
      <c r="B9" s="116">
        <v>34427</v>
      </c>
      <c r="C9" s="116">
        <v>5</v>
      </c>
      <c r="D9" s="114"/>
      <c r="E9" s="114"/>
      <c r="F9" s="115">
        <f>Optimize!C28*Optimize!C29</f>
        <v>161.37802140020659</v>
      </c>
      <c r="G9" s="116"/>
      <c r="H9" s="116"/>
      <c r="I9" s="115">
        <v>54</v>
      </c>
      <c r="J9" s="114"/>
      <c r="K9" s="116"/>
      <c r="L9" s="114"/>
      <c r="M9" s="116"/>
      <c r="N9" s="114"/>
      <c r="O9" s="116"/>
      <c r="P9" s="114"/>
      <c r="Q9" s="114"/>
      <c r="R9" s="114"/>
      <c r="S9" s="114" t="s">
        <v>871</v>
      </c>
      <c r="T9" s="10"/>
      <c r="U9" s="114"/>
      <c r="V9" s="116" t="s">
        <v>1109</v>
      </c>
      <c r="W9" s="777"/>
      <c r="X9" s="891">
        <f>($D9*dpsStr+$E9*dpsAgi+$G9*dpsCrit+$H9*dpsHit+$F9*dpsAP+$I9*dpsHaste+$J9*dpsArmor+$K9*dpsExp)+$W9-'Gear &amp; Buffs'!$AF$70</f>
        <v>-125.23218030867787</v>
      </c>
      <c r="Y9" s="891">
        <f>($D9*dpsStr+$E9*dpsAgi+$G9*dpsCrit+$H9*dpsHit+$F9*dpsAP+$I9*dpsHaste+$J9*dpsArmor+$K9*dpsExp)+$W9-'Gear &amp; Buffs'!$AF$71</f>
        <v>230.19222660490669</v>
      </c>
      <c r="Z9" s="114" t="str">
        <f>IF(OR(trinket1=$A9,trinket2=$A9),"",IF(AND(IF('Gear &amp; Buffs'!$AC$50,MAX($X9,$Y9)&gt;0+'Gear &amp; Buffs'!$U$42,TRUE),OR(IF(includep1,$C9&lt;=1), IF(includep2,$C9&lt;=2), IF(includep3,$C9&lt;=3), IF(includep4,$C9&lt;=4), IF(includep5,$C9&lt;=5)), OR(IF(includeblacksmith,$S9="Blacksmithing"),IF(includeleatherwork,$S9="Leatherworking"),IF(includeengineer,$S9="Engineering"),IF(includejewelcrafting,$S9="Jewelcrafting"),IF(incAlc,$S9="Alchemy"),IF(includeboecrafted,$S9="BoE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Aman"),IF(includeprebc,$S9="Pre-BC"),IF(includesunwell,$S9="Sunwell"))),MAX($Z$1:$Z8)+1,""))</f>
        <v/>
      </c>
      <c r="AA9" s="738">
        <v>6</v>
      </c>
      <c r="AB9" s="714" t="str">
        <f t="shared" si="0"/>
        <v>Drake Fang Talisman</v>
      </c>
      <c r="AD9" s="852" t="s">
        <v>1277</v>
      </c>
      <c r="AE9" s="855">
        <f>30/(1+BotSprocs/(1-EXP(-BotSprocs)))</f>
        <v>1.2710807867059044</v>
      </c>
      <c r="AF9" s="855">
        <f>(1-EXP(-$AH$5*BotSrate))^2</f>
        <v>0.99999999969442155</v>
      </c>
      <c r="AG9" s="855">
        <v>30</v>
      </c>
      <c r="AH9" s="855">
        <f>AF8-AF9</f>
        <v>1.5278922571582143E-10</v>
      </c>
      <c r="AI9" s="852">
        <v>2</v>
      </c>
    </row>
    <row r="10" spans="1:35" ht="12" customHeight="1">
      <c r="A10" s="10" t="s">
        <v>184</v>
      </c>
      <c r="B10" s="116">
        <v>28041</v>
      </c>
      <c r="C10" s="116">
        <v>1</v>
      </c>
      <c r="D10" s="114"/>
      <c r="E10" s="114"/>
      <c r="F10" s="115">
        <f>IF(time=0, 200*15/90, 0)</f>
        <v>0</v>
      </c>
      <c r="G10" s="116">
        <v>26</v>
      </c>
      <c r="H10" s="116"/>
      <c r="I10" s="115"/>
      <c r="J10" s="114"/>
      <c r="K10" s="116"/>
      <c r="L10" s="114"/>
      <c r="M10" s="116"/>
      <c r="N10" s="114"/>
      <c r="O10" s="116"/>
      <c r="P10" s="114"/>
      <c r="Q10" s="114"/>
      <c r="R10" s="114"/>
      <c r="S10" s="114" t="s">
        <v>675</v>
      </c>
      <c r="T10" s="10" t="s">
        <v>2293</v>
      </c>
      <c r="U10" s="114" t="s">
        <v>2294</v>
      </c>
      <c r="V10" s="116" t="s">
        <v>1109</v>
      </c>
      <c r="W10" s="777"/>
      <c r="X10" s="891">
        <f>($D10*dpsStr+$E10*dpsAgi+$G10*dpsCrit+$H10*dpsHit+$F10*dpsAP+$I10*dpsHaste+$J10*dpsArmor+$K10*dpsExp)+$W10-'Gear &amp; Buffs'!$AF$70</f>
        <v>-363.32146483190968</v>
      </c>
      <c r="Y10" s="891">
        <f>($D10*dpsStr+$E10*dpsAgi+$G10*dpsCrit+$H10*dpsHit+$F10*dpsAP+$I10*dpsHaste+$J10*dpsArmor+$K10*dpsExp)+$W10-'Gear &amp; Buffs'!$AF$71</f>
        <v>-7.8970579183251175</v>
      </c>
      <c r="Z10" s="114">
        <f>IF(OR(trinket1=$A10,trinket2=$A10),"",IF(AND(IF('Gear &amp; Buffs'!$AC$50,MAX($X10,$Y10)&gt;0+'Gear &amp; Buffs'!$U$42,TRUE),OR(IF(includep1,$C10&lt;=1), IF(includep2,$C10&lt;=2), IF(includep3,$C10&lt;=3), IF(includep4,$C10&lt;=4), IF(includep5,$C10&lt;=5)), OR(IF(includeblacksmith,$S10="Blacksmithing"),IF(includeleatherwork,$S10="Leatherworking"),IF(includeengineer,$S10="Engineering"),IF(includejewelcrafting,$S10="Jewelcrafting"),IF(incAlc,$S10="Alchemy"),IF(includeboecrafted,$S10="BoE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Aman"),IF(includeprebc,$S10="Pre-BC"),IF(includesunwell,$S10="Sunwell"))),MAX($Z$1:$Z9)+1,""))</f>
        <v>4</v>
      </c>
      <c r="AA10" s="738">
        <v>7</v>
      </c>
      <c r="AB10" s="714" t="str">
        <f t="shared" si="0"/>
        <v>Hand of Justice</v>
      </c>
      <c r="AD10" s="852" t="s">
        <v>1280</v>
      </c>
      <c r="AE10" s="855">
        <f>30/(1+BotSprocs/(1-EXP(-BotSprocs)))</f>
        <v>1.2710807867059044</v>
      </c>
      <c r="AF10" s="855">
        <f>(1-EXP(-$AH$5*BotSrate))^3</f>
        <v>0.99999999954163232</v>
      </c>
      <c r="AG10" s="855">
        <v>30</v>
      </c>
      <c r="AH10" s="855">
        <f>AF9-AF10</f>
        <v>1.5278922571582143E-10</v>
      </c>
      <c r="AI10" s="852">
        <v>3</v>
      </c>
    </row>
    <row r="11" spans="1:35" ht="12" customHeight="1">
      <c r="A11" s="10" t="s">
        <v>185</v>
      </c>
      <c r="B11" s="116">
        <v>29383</v>
      </c>
      <c r="C11" s="116">
        <v>1</v>
      </c>
      <c r="D11" s="114"/>
      <c r="E11" s="114"/>
      <c r="F11" s="115">
        <f>72+IF(time=0, 278*20/120, 0)</f>
        <v>72</v>
      </c>
      <c r="G11" s="116"/>
      <c r="H11" s="116"/>
      <c r="I11" s="115"/>
      <c r="J11" s="114"/>
      <c r="K11" s="116"/>
      <c r="L11" s="114"/>
      <c r="M11" s="116"/>
      <c r="N11" s="114"/>
      <c r="O11" s="116"/>
      <c r="P11" s="114"/>
      <c r="Q11" s="114"/>
      <c r="R11" s="114"/>
      <c r="S11" s="114" t="s">
        <v>691</v>
      </c>
      <c r="T11" s="10" t="s">
        <v>186</v>
      </c>
      <c r="U11" s="114" t="s">
        <v>2292</v>
      </c>
      <c r="V11" s="116" t="s">
        <v>1109</v>
      </c>
      <c r="W11" s="777"/>
      <c r="X11" s="891">
        <f>($D11*dpsStr+$E11*dpsAgi+$G11*dpsCrit+$H11*dpsHit+$F11*dpsAP+$I11*dpsHaste+$J11*dpsArmor+$K11*dpsExp)+$W11-'Gear &amp; Buffs'!$AF$70</f>
        <v>-355.42440691358456</v>
      </c>
      <c r="Y11" s="891">
        <f>($D11*dpsStr+$E11*dpsAgi+$G11*dpsCrit+$H11*dpsHit+$F11*dpsAP+$I11*dpsHaste+$J11*dpsArmor+$K11*dpsExp)+$W11-'Gear &amp; Buffs'!$AF$71</f>
        <v>0</v>
      </c>
      <c r="Z11" s="114" t="str">
        <f>IF(OR(trinket1=$A11,trinket2=$A11),"",IF(AND(IF('Gear &amp; Buffs'!$AC$50,MAX($X11,$Y11)&gt;0+'Gear &amp; Buffs'!$U$42,TRUE),OR(IF(includep1,$C11&lt;=1), IF(includep2,$C11&lt;=2), IF(includep3,$C11&lt;=3), IF(includep4,$C11&lt;=4), IF(includep5,$C11&lt;=5)), OR(IF(includeblacksmith,$S11="Blacksmithing"),IF(includeleatherwork,$S11="Leatherworking"),IF(includeengineer,$S11="Engineering"),IF(includejewelcrafting,$S11="Jewelcrafting"),IF(incAlc,$S11="Alchemy"),IF(includeboecrafted,$S11="BoE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Aman"),IF(includeprebc,$S11="Pre-BC"),IF(includesunwell,$S11="Sunwell"))),MAX($Z$1:$Z10)+1,""))</f>
        <v/>
      </c>
      <c r="AA11" s="738">
        <v>8</v>
      </c>
      <c r="AB11" s="714" t="str">
        <f t="shared" si="0"/>
        <v>Hourglass of the Unraveller</v>
      </c>
      <c r="AD11" s="852" t="s">
        <v>1282</v>
      </c>
      <c r="AE11" s="855">
        <f>30/(1+BotSprocs/(1-EXP(-BotSprocs)))</f>
        <v>1.2710807867059044</v>
      </c>
      <c r="AF11" s="855">
        <f>(1-EXP(-$AH$5*BotSrate))^4</f>
        <v>0.9999999993888431</v>
      </c>
      <c r="AG11" s="855">
        <v>30</v>
      </c>
      <c r="AH11" s="855">
        <f>AF10-AF11</f>
        <v>1.5278922571582143E-10</v>
      </c>
      <c r="AI11" s="852">
        <v>4</v>
      </c>
    </row>
    <row r="12" spans="1:35" ht="12" customHeight="1">
      <c r="A12" s="10" t="s">
        <v>187</v>
      </c>
      <c r="B12" s="116">
        <v>29776</v>
      </c>
      <c r="C12" s="116">
        <v>1</v>
      </c>
      <c r="D12" s="114"/>
      <c r="E12" s="114"/>
      <c r="F12" s="115">
        <f>52+IF(time=0, 200*20/120, 0)</f>
        <v>52</v>
      </c>
      <c r="G12" s="116"/>
      <c r="H12" s="116"/>
      <c r="I12" s="115"/>
      <c r="J12" s="114"/>
      <c r="K12" s="116"/>
      <c r="L12" s="114"/>
      <c r="M12" s="116"/>
      <c r="N12" s="114"/>
      <c r="O12" s="116"/>
      <c r="P12" s="114"/>
      <c r="Q12" s="114"/>
      <c r="R12" s="114"/>
      <c r="S12" s="114" t="s">
        <v>675</v>
      </c>
      <c r="T12" s="10" t="s">
        <v>1654</v>
      </c>
      <c r="U12" s="114" t="s">
        <v>2292</v>
      </c>
      <c r="V12" s="116" t="s">
        <v>1109</v>
      </c>
      <c r="W12" s="777"/>
      <c r="X12" s="891">
        <f>($D12*dpsStr+$E12*dpsAgi+$G12*dpsCrit+$H12*dpsHit+$F12*dpsAP+$I12*dpsHaste+$J12*dpsArmor+$K12*dpsExp)+$W12-'Gear &amp; Buffs'!$AF$70</f>
        <v>-362.57100743068781</v>
      </c>
      <c r="Y12" s="891">
        <f>($D12*dpsStr+$E12*dpsAgi+$G12*dpsCrit+$H12*dpsHit+$F12*dpsAP+$I12*dpsHaste+$J12*dpsArmor+$K12*dpsExp)+$W12-'Gear &amp; Buffs'!$AF$71</f>
        <v>-7.1466005171032521</v>
      </c>
      <c r="Z12" s="114">
        <f>IF(OR(trinket1=$A12,trinket2=$A12),"",IF(AND(IF('Gear &amp; Buffs'!$AC$50,MAX($X12,$Y12)&gt;0+'Gear &amp; Buffs'!$U$42,TRUE),OR(IF(includep1,$C12&lt;=1), IF(includep2,$C12&lt;=2), IF(includep3,$C12&lt;=3), IF(includep4,$C12&lt;=4), IF(includep5,$C12&lt;=5)), OR(IF(includeblacksmith,$S12="Blacksmithing"),IF(includeleatherwork,$S12="Leatherworking"),IF(includeengineer,$S12="Engineering"),IF(includejewelcrafting,$S12="Jewelcrafting"),IF(incAlc,$S12="Alchemy"),IF(includeboecrafted,$S12="BoE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Aman"),IF(includeprebc,$S12="Pre-BC"),IF(includesunwell,$S12="Sunwell"))),MAX($Z$1:$Z11)+1,""))</f>
        <v>5</v>
      </c>
      <c r="AA12" s="738">
        <v>9</v>
      </c>
      <c r="AB12" s="714" t="str">
        <f t="shared" si="0"/>
        <v>Icon of Unyielding Courage</v>
      </c>
      <c r="AD12" s="852" t="s">
        <v>1284</v>
      </c>
      <c r="AE12" s="855">
        <f>30/(1+BotSprocs/(1-EXP(-BotSprocs)))</f>
        <v>1.2710807867059044</v>
      </c>
      <c r="AF12" s="855">
        <f>(1-EXP(-$AH$5*BotSrate))^5</f>
        <v>0.99999999923605387</v>
      </c>
      <c r="AG12" s="855">
        <v>30</v>
      </c>
      <c r="AH12" s="855">
        <f>AF11-AF12</f>
        <v>1.5278922571582143E-10</v>
      </c>
      <c r="AI12" s="852">
        <v>5</v>
      </c>
    </row>
    <row r="13" spans="1:35" ht="12" customHeight="1">
      <c r="A13" s="10" t="s">
        <v>1655</v>
      </c>
      <c r="B13" s="116">
        <v>32654</v>
      </c>
      <c r="C13" s="116">
        <v>3</v>
      </c>
      <c r="D13" s="114"/>
      <c r="E13" s="114"/>
      <c r="F13" s="115">
        <f>IF(time=0, 216*10/60, 0)</f>
        <v>0</v>
      </c>
      <c r="G13" s="116"/>
      <c r="H13" s="116"/>
      <c r="I13" s="115"/>
      <c r="J13" s="114"/>
      <c r="K13" s="116"/>
      <c r="L13" s="114"/>
      <c r="M13" s="116"/>
      <c r="N13" s="114"/>
      <c r="O13" s="116"/>
      <c r="P13" s="114"/>
      <c r="Q13" s="114"/>
      <c r="R13" s="114"/>
      <c r="S13" s="114" t="s">
        <v>676</v>
      </c>
      <c r="T13" s="10" t="s">
        <v>2241</v>
      </c>
      <c r="U13" s="114" t="s">
        <v>1656</v>
      </c>
      <c r="V13" s="116" t="s">
        <v>1109</v>
      </c>
      <c r="W13" s="777"/>
      <c r="X13" s="891">
        <f>($D13*dpsStr+$E13*dpsAgi+$G13*dpsCrit+$H13*dpsHit+$F13*dpsAP+$I13*dpsHaste+$J13*dpsArmor+$K13*dpsExp)+$W13-'Gear &amp; Buffs'!$AF$70</f>
        <v>-381.15216877515627</v>
      </c>
      <c r="Y13" s="891">
        <f>($D13*dpsStr+$E13*dpsAgi+$G13*dpsCrit+$H13*dpsHit+$F13*dpsAP+$I13*dpsHaste+$J13*dpsArmor+$K13*dpsExp)+$W13-'Gear &amp; Buffs'!$AF$71</f>
        <v>-25.727761861571707</v>
      </c>
      <c r="Z13" s="114" t="str">
        <f>IF(OR(trinket1=$A13,trinket2=$A13),"",IF(AND(IF('Gear &amp; Buffs'!$AC$50,MAX($X13,$Y13)&gt;0+'Gear &amp; Buffs'!$U$42,TRUE),OR(IF(includep1,$C13&lt;=1), IF(includep2,$C13&lt;=2), IF(includep3,$C13&lt;=3), IF(includep4,$C13&lt;=4), IF(includep5,$C13&lt;=5)), OR(IF(includeblacksmith,$S13="Blacksmithing"),IF(includeleatherwork,$S13="Leatherworking"),IF(includeengineer,$S13="Engineering"),IF(includejewelcrafting,$S13="Jewelcrafting"),IF(incAlc,$S13="Alchemy"),IF(includeboecrafted,$S13="BoE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Aman"),IF(includeprebc,$S13="Pre-BC"),IF(includesunwell,$S13="Sunwell"))),MAX($Z$1:$Z12)+1,""))</f>
        <v/>
      </c>
      <c r="AA13" s="738">
        <v>10</v>
      </c>
      <c r="AB13" s="714" t="str">
        <f t="shared" si="0"/>
        <v>Jom Gabbar</v>
      </c>
      <c r="AD13" s="852" t="s">
        <v>2858</v>
      </c>
      <c r="AE13" s="855">
        <f>MIN(AE12/EXP(-AH5*BotSrate),IF(time=0,30,MIN(30,time))-SUMPRODUCT(AE7:AE12,AF7:AF12))</f>
        <v>22.317277651175992</v>
      </c>
      <c r="AF13" s="855">
        <f>(1-EXP(-$AH$5*BotSrate))^6</f>
        <v>0.99999999908326465</v>
      </c>
      <c r="AG13" s="855">
        <v>0</v>
      </c>
      <c r="AH13" s="855">
        <v>0</v>
      </c>
      <c r="AI13" s="852">
        <v>6</v>
      </c>
    </row>
    <row r="14" spans="1:35" ht="12" customHeight="1">
      <c r="A14" s="126" t="s">
        <v>1657</v>
      </c>
      <c r="B14" s="116">
        <v>31856</v>
      </c>
      <c r="C14" s="116">
        <v>3</v>
      </c>
      <c r="D14" s="114"/>
      <c r="E14" s="114"/>
      <c r="F14" s="115">
        <f>itDMCCap</f>
        <v>118.4203190369889</v>
      </c>
      <c r="G14" s="116"/>
      <c r="H14" s="116"/>
      <c r="I14" s="115"/>
      <c r="J14" s="114"/>
      <c r="K14" s="116"/>
      <c r="L14" s="114"/>
      <c r="M14" s="116"/>
      <c r="N14" s="114"/>
      <c r="O14" s="116"/>
      <c r="P14" s="114"/>
      <c r="Q14" s="114"/>
      <c r="R14" s="114"/>
      <c r="S14" s="114" t="s">
        <v>675</v>
      </c>
      <c r="T14" s="10" t="s">
        <v>1295</v>
      </c>
      <c r="U14" s="114"/>
      <c r="V14" s="116" t="s">
        <v>1109</v>
      </c>
      <c r="W14" s="777"/>
      <c r="X14" s="891">
        <f>($D14*dpsStr+$E14*dpsAgi+$G14*dpsCrit+$H14*dpsHit+$F14*dpsAP+$I14*dpsHaste+$J14*dpsArmor+$K14*dpsExp)+$W14-'Gear &amp; Buffs'!$AF$70</f>
        <v>-338.83703311189242</v>
      </c>
      <c r="Y14" s="891">
        <f>($D14*dpsStr+$E14*dpsAgi+$G14*dpsCrit+$H14*dpsHit+$F14*dpsAP+$I14*dpsHaste+$J14*dpsArmor+$K14*dpsExp)+$W14-'Gear &amp; Buffs'!$AF$71</f>
        <v>16.587373801692138</v>
      </c>
      <c r="Z14" s="114" t="str">
        <f>IF(OR(trinket1=$A14,trinket2=$A14),"",IF(AND(IF('Gear &amp; Buffs'!$AC$50,MAX($X14,$Y14)&gt;0+'Gear &amp; Buffs'!$U$42,TRUE),OR(IF(includep1,$C14&lt;=1), IF(includep2,$C14&lt;=2), IF(includep3,$C14&lt;=3), IF(includep4,$C14&lt;=4), IF(includep5,$C14&lt;=5)), OR(IF(includeblacksmith,$S14="Blacksmithing"),IF(includeleatherwork,$S14="Leatherworking"),IF(includeengineer,$S14="Engineering"),IF(includejewelcrafting,$S14="Jewelcrafting"),IF(incAlc,$S14="Alchemy"),IF(includeboecrafted,$S14="BoE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Aman"),IF(includeprebc,$S14="Pre-BC"),IF(includesunwell,$S14="Sunwell"))),MAX($Z$1:$Z13)+1,""))</f>
        <v/>
      </c>
      <c r="AA14" s="738">
        <v>11</v>
      </c>
      <c r="AB14" s="714" t="str">
        <f t="shared" si="0"/>
        <v>Kiss of the Spider</v>
      </c>
      <c r="AD14" s="852"/>
      <c r="AE14" s="855">
        <f>SUMPRODUCT(AE7:AE13,AF7:AF13)</f>
        <v>29.999999979540959</v>
      </c>
      <c r="AF14" s="855"/>
      <c r="AG14" s="855">
        <f>SUMPRODUCT(AG7:AG13,AH7:AH13)</f>
        <v>2.2918383857373215E-8</v>
      </c>
      <c r="AH14" s="855"/>
      <c r="AI14" s="852"/>
    </row>
    <row r="15" spans="1:35" ht="12" customHeight="1">
      <c r="A15" s="130" t="s">
        <v>1658</v>
      </c>
      <c r="B15" s="116">
        <v>31857</v>
      </c>
      <c r="C15" s="116">
        <v>3</v>
      </c>
      <c r="D15" s="114"/>
      <c r="E15" s="114"/>
      <c r="F15" s="115"/>
      <c r="G15" s="116"/>
      <c r="H15" s="116"/>
      <c r="I15" s="115"/>
      <c r="J15" s="114"/>
      <c r="K15" s="116"/>
      <c r="L15" s="114"/>
      <c r="M15" s="116"/>
      <c r="N15" s="114"/>
      <c r="O15" s="116"/>
      <c r="P15" s="114"/>
      <c r="Q15" s="114"/>
      <c r="R15" s="114"/>
      <c r="S15" s="114" t="s">
        <v>675</v>
      </c>
      <c r="T15" s="10" t="s">
        <v>709</v>
      </c>
      <c r="U15" s="114"/>
      <c r="V15" s="116" t="s">
        <v>1109</v>
      </c>
      <c r="W15" s="777"/>
      <c r="X15" s="891">
        <f>($D15*dpsStr+$E15*dpsAgi+$G15*dpsCrit+$H15*dpsHit+$F15*dpsAP+$I15*dpsHaste+$J15*dpsArmor+$K15*dpsExp)+$W15-'Gear &amp; Buffs'!$AF$70</f>
        <v>-381.15216877515627</v>
      </c>
      <c r="Y15" s="891">
        <f>($D15*dpsStr+$E15*dpsAgi+$G15*dpsCrit+$H15*dpsHit+$F15*dpsAP+$I15*dpsHaste+$J15*dpsArmor+$K15*dpsExp)+$W15-'Gear &amp; Buffs'!$AF$71</f>
        <v>-25.727761861571707</v>
      </c>
      <c r="Z15" s="114" t="str">
        <f>IF(OR(trinket1=$A15,trinket2=$A15),"",IF(AND(IF('Gear &amp; Buffs'!$AC$50,MAX($X15,$Y15)&gt;0+'Gear &amp; Buffs'!$U$42,TRUE),OR(IF(includep1,$C15&lt;=1), IF(includep2,$C15&lt;=2), IF(includep3,$C15&lt;=3), IF(includep4,$C15&lt;=4), IF(includep5,$C15&lt;=5)), OR(IF(includeblacksmith,$S15="Blacksmithing"),IF(includeleatherwork,$S15="Leatherworking"),IF(includeengineer,$S15="Engineering"),IF(includejewelcrafting,$S15="Jewelcrafting"),IF(incAlc,$S15="Alchemy"),IF(includeboecrafted,$S15="BoE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Aman"),IF(includeprebc,$S15="Pre-BC"),IF(includesunwell,$S15="Sunwell"))),MAX($Z$1:$Z14)+1,""))</f>
        <v/>
      </c>
      <c r="AA15" s="738">
        <v>12</v>
      </c>
      <c r="AB15" s="714" t="str">
        <f t="shared" si="0"/>
        <v>Mark of the Champion</v>
      </c>
      <c r="AD15" s="852"/>
      <c r="AE15" s="855">
        <f>SUMPRODUCT(AE7:AE13,AF7:AF13,AI7:AI13)</f>
        <v>152.96987757420888</v>
      </c>
      <c r="AF15" s="855"/>
      <c r="AG15" s="855">
        <f>SUMPRODUCT(AG7:AG13,AH7:AH13,AI7:AI13)</f>
        <v>6.8755151572119644E-8</v>
      </c>
      <c r="AH15" s="855"/>
      <c r="AI15" s="852"/>
    </row>
    <row r="16" spans="1:35" ht="12" customHeight="1">
      <c r="A16" s="10" t="s">
        <v>1938</v>
      </c>
      <c r="B16" s="116">
        <v>28830</v>
      </c>
      <c r="C16" s="116">
        <v>1</v>
      </c>
      <c r="D16" s="114"/>
      <c r="E16" s="114"/>
      <c r="F16" s="115">
        <v>40</v>
      </c>
      <c r="G16" s="116"/>
      <c r="H16" s="116"/>
      <c r="I16" s="115">
        <f>325*itDSTup</f>
        <v>99.923869008308046</v>
      </c>
      <c r="J16" s="114"/>
      <c r="K16" s="116"/>
      <c r="L16" s="114"/>
      <c r="M16" s="116"/>
      <c r="N16" s="114"/>
      <c r="O16" s="116"/>
      <c r="P16" s="114"/>
      <c r="Q16" s="114"/>
      <c r="R16" s="114"/>
      <c r="S16" s="114" t="s">
        <v>678</v>
      </c>
      <c r="T16" s="10" t="s">
        <v>272</v>
      </c>
      <c r="U16" s="114"/>
      <c r="V16" s="116" t="s">
        <v>1109</v>
      </c>
      <c r="W16" s="777"/>
      <c r="X16" s="891">
        <f>($D16*dpsStr+$E16*dpsAgi+$G16*dpsCrit+$H16*dpsHit+$F16*dpsAP+$I16*dpsHaste+$J16*dpsArmor+$K16*dpsExp)+$W16-'Gear &amp; Buffs'!$AF$70</f>
        <v>0</v>
      </c>
      <c r="Y16" s="891">
        <f>($D16*dpsStr+$E16*dpsAgi+$G16*dpsCrit+$H16*dpsHit+$F16*dpsAP+$I16*dpsHaste+$J16*dpsArmor+$K16*dpsExp)+$W16-'Gear &amp; Buffs'!$AF$71</f>
        <v>355.42440691358456</v>
      </c>
      <c r="Z16" s="114" t="str">
        <f>IF(OR(trinket1=$A16,trinket2=$A16),"",IF(AND(IF('Gear &amp; Buffs'!$AC$50,MAX($X16,$Y16)&gt;0+'Gear &amp; Buffs'!$U$42,TRUE),OR(IF(includep1,$C16&lt;=1), IF(includep2,$C16&lt;=2), IF(includep3,$C16&lt;=3), IF(includep4,$C16&lt;=4), IF(includep5,$C16&lt;=5)), OR(IF(includeblacksmith,$S16="Blacksmithing"),IF(includeleatherwork,$S16="Leatherworking"),IF(includeengineer,$S16="Engineering"),IF(includejewelcrafting,$S16="Jewelcrafting"),IF(incAlc,$S16="Alchemy"),IF(includeboecrafted,$S16="BoE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Aman"),IF(includeprebc,$S16="Pre-BC"),IF(includesunwell,$S16="Sunwell"))),MAX($Z$1:$Z15)+1,""))</f>
        <v/>
      </c>
      <c r="AA16" s="738">
        <v>13</v>
      </c>
      <c r="AB16" s="714" t="str">
        <f t="shared" si="0"/>
        <v>Ogre Mauler's Badge</v>
      </c>
      <c r="AD16" s="852"/>
      <c r="AE16" s="855"/>
      <c r="AF16" s="855">
        <f>(AE15+AG15)/(AE14+AG14)</f>
        <v>5.0989959210141285</v>
      </c>
      <c r="AG16" s="855"/>
      <c r="AH16" s="855"/>
      <c r="AI16" s="852"/>
    </row>
    <row r="17" spans="1:52" ht="12" customHeight="1">
      <c r="A17" s="10" t="s">
        <v>1955</v>
      </c>
      <c r="B17" s="116">
        <v>19406</v>
      </c>
      <c r="C17" s="116">
        <v>1</v>
      </c>
      <c r="D17" s="114"/>
      <c r="E17" s="114"/>
      <c r="F17" s="115">
        <v>56</v>
      </c>
      <c r="G17" s="116"/>
      <c r="H17" s="116">
        <v>20</v>
      </c>
      <c r="I17" s="115"/>
      <c r="J17" s="114"/>
      <c r="K17" s="124"/>
      <c r="L17" s="114"/>
      <c r="M17" s="116">
        <v>12</v>
      </c>
      <c r="N17" s="127"/>
      <c r="O17" s="124"/>
      <c r="P17" s="114"/>
      <c r="Q17" s="114"/>
      <c r="R17" s="114"/>
      <c r="S17" s="114" t="s">
        <v>668</v>
      </c>
      <c r="T17" s="10"/>
      <c r="U17" s="114"/>
      <c r="V17" s="116" t="s">
        <v>1109</v>
      </c>
      <c r="W17" s="777"/>
      <c r="X17" s="891">
        <f>($D17*dpsStr+$E17*dpsAgi+$G17*dpsCrit+$H17*dpsHit+$F17*dpsAP+$I17*dpsHaste+$J17*dpsArmor+$K17*dpsExp)+$W17-'Gear &amp; Buffs'!$AF$70</f>
        <v>-250.14105798472406</v>
      </c>
      <c r="Y17" s="891">
        <f>($D17*dpsStr+$E17*dpsAgi+$G17*dpsCrit+$H17*dpsHit+$F17*dpsAP+$I17*dpsHaste+$J17*dpsArmor+$K17*dpsExp)+$W17-'Gear &amp; Buffs'!$AF$71</f>
        <v>105.28334892886051</v>
      </c>
      <c r="Z17" s="114">
        <f>IF(OR(trinket1=$A17,trinket2=$A17),"",IF(AND(IF('Gear &amp; Buffs'!$AC$50,MAX($X17,$Y17)&gt;0+'Gear &amp; Buffs'!$U$42,TRUE),OR(IF(includep1,$C17&lt;=1), IF(includep2,$C17&lt;=2), IF(includep3,$C17&lt;=3), IF(includep4,$C17&lt;=4), IF(includep5,$C17&lt;=5)), OR(IF(includeblacksmith,$S17="Blacksmithing"),IF(includeleatherwork,$S17="Leatherworking"),IF(includeengineer,$S17="Engineering"),IF(includejewelcrafting,$S17="Jewelcrafting"),IF(incAlc,$S17="Alchemy"),IF(includeboecrafted,$S17="BoE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Aman"),IF(includeprebc,$S17="Pre-BC"),IF(includesunwell,$S17="Sunwell"))),MAX($Z$1:$Z16)+1,""))</f>
        <v>6</v>
      </c>
      <c r="AA17" s="738">
        <v>14</v>
      </c>
      <c r="AB17" s="714" t="str">
        <f t="shared" si="0"/>
        <v>Romulo's Poison Vial</v>
      </c>
      <c r="AD17" s="852" t="s">
        <v>2859</v>
      </c>
      <c r="AE17" s="855">
        <f>MAX(basearmor-(serrb*8*70/3+435*Weapons!$H$330+SUM('Gear &amp; Buffs'!Q10:Q69)+SUM('Gear &amp; Buffs'!Q80:Q142)+IF('Gear &amp; Buffs'!B70="Badge of the Swarmguard", 0, 'Gear &amp; Buffs'!Q70)+IF('Gear &amp; Buffs'!B71="Badge of the Swarmguard", 0, 'Gear &amp; Buffs'!Q71)),0)</f>
        <v>3675</v>
      </c>
      <c r="AF17" s="852"/>
      <c r="AG17" s="856"/>
      <c r="AH17" s="852"/>
      <c r="AI17" s="852"/>
    </row>
    <row r="18" spans="1:52" ht="12" customHeight="1">
      <c r="A18" s="10" t="s">
        <v>1893</v>
      </c>
      <c r="B18" s="116">
        <v>35694</v>
      </c>
      <c r="C18" s="116">
        <v>5</v>
      </c>
      <c r="D18" s="114"/>
      <c r="E18" s="114"/>
      <c r="F18" s="115">
        <v>84</v>
      </c>
      <c r="G18" s="116"/>
      <c r="H18" s="116"/>
      <c r="I18" s="115"/>
      <c r="J18" s="114"/>
      <c r="K18" s="124"/>
      <c r="L18" s="114"/>
      <c r="M18" s="116"/>
      <c r="N18" s="127"/>
      <c r="O18" s="124"/>
      <c r="P18" s="114"/>
      <c r="Q18" s="114"/>
      <c r="R18" s="114"/>
      <c r="S18" s="114" t="s">
        <v>688</v>
      </c>
      <c r="T18" s="1358" t="s">
        <v>1345</v>
      </c>
      <c r="U18" s="114" t="s">
        <v>1346</v>
      </c>
      <c r="V18" s="116" t="s">
        <v>1109</v>
      </c>
      <c r="W18" s="777"/>
      <c r="X18" s="891">
        <f>($D18*dpsStr+$E18*dpsAgi+$G18*dpsCrit+$H18*dpsHit+$F18*dpsAP+$I18*dpsHaste+$J18*dpsArmor+$K18*dpsExp)+$W18-'Gear &amp; Buffs'!$AF$70</f>
        <v>-351.13644660332261</v>
      </c>
      <c r="Y18" s="891">
        <f>($D18*dpsStr+$E18*dpsAgi+$G18*dpsCrit+$H18*dpsHit+$F18*dpsAP+$I18*dpsHaste+$J18*dpsArmor+$K18*dpsExp)+$W18-'Gear &amp; Buffs'!$AF$71</f>
        <v>4.2879603102619512</v>
      </c>
      <c r="Z18" s="114" t="str">
        <f>IF(OR(trinket1=$A18,trinket2=$A18),"",IF(AND(IF('Gear &amp; Buffs'!$AC$50,MAX($X18,$Y18)&gt;0+'Gear &amp; Buffs'!$U$42,TRUE),OR(IF(includep1,$C18&lt;=1), IF(includep2,$C18&lt;=2), IF(includep3,$C18&lt;=3), IF(includep4,$C18&lt;=4), IF(includep5,$C18&lt;=5)), OR(IF(includeblacksmith,$S18="Blacksmithing"),IF(includeleatherwork,$S18="Leatherworking"),IF(includeengineer,$S18="Engineering"),IF(includejewelcrafting,$S18="Jewelcrafting"),IF(incAlc,$S18="Alchemy"),IF(includeboecrafted,$S18="BoE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Aman"),IF(includeprebc,$S18="Pre-BC"),IF(includesunwell,$S18="Sunwell"))),MAX($Z$1:$Z17)+1,""))</f>
        <v/>
      </c>
      <c r="AA18" s="738">
        <v>15</v>
      </c>
      <c r="AB18" s="714" t="str">
        <f t="shared" si="0"/>
        <v>Seal of the Dawn</v>
      </c>
    </row>
    <row r="19" spans="1:52" ht="12" customHeight="1">
      <c r="A19" s="10" t="s">
        <v>1956</v>
      </c>
      <c r="B19" s="116">
        <v>24128</v>
      </c>
      <c r="C19" s="116">
        <v>1</v>
      </c>
      <c r="D19" s="114"/>
      <c r="E19" s="114"/>
      <c r="F19" s="115">
        <f>54+IF(time=0, 320*12/180, 0)</f>
        <v>54</v>
      </c>
      <c r="G19" s="116"/>
      <c r="H19" s="116"/>
      <c r="I19" s="115"/>
      <c r="J19" s="114"/>
      <c r="K19" s="124"/>
      <c r="L19" s="114"/>
      <c r="M19" s="116"/>
      <c r="N19" s="127"/>
      <c r="O19" s="124"/>
      <c r="P19" s="114"/>
      <c r="Q19" s="114"/>
      <c r="R19" s="114"/>
      <c r="S19" s="114" t="s">
        <v>688</v>
      </c>
      <c r="T19" s="10" t="s">
        <v>2242</v>
      </c>
      <c r="U19" s="114" t="s">
        <v>1719</v>
      </c>
      <c r="V19" s="116" t="s">
        <v>1109</v>
      </c>
      <c r="W19" s="777"/>
      <c r="X19" s="891">
        <f>($D19*dpsStr+$E19*dpsAgi+$G19*dpsCrit+$H19*dpsHit+$F19*dpsAP+$I19*dpsHaste+$J19*dpsArmor+$K19*dpsExp)+$W19-'Gear &amp; Buffs'!$AF$70</f>
        <v>-361.85634737897749</v>
      </c>
      <c r="Y19" s="891">
        <f>($D19*dpsStr+$E19*dpsAgi+$G19*dpsCrit+$H19*dpsHit+$F19*dpsAP+$I19*dpsHaste+$J19*dpsArmor+$K19*dpsExp)+$W19-'Gear &amp; Buffs'!$AF$71</f>
        <v>-6.4319404653929269</v>
      </c>
      <c r="Z19" s="114" t="str">
        <f>IF(OR(trinket1=$A19,trinket2=$A19),"",IF(AND(IF('Gear &amp; Buffs'!$AC$50,MAX($X19,$Y19)&gt;0+'Gear &amp; Buffs'!$U$42,TRUE),OR(IF(includep1,$C19&lt;=1), IF(includep2,$C19&lt;=2), IF(includep3,$C19&lt;=3), IF(includep4,$C19&lt;=4), IF(includep5,$C19&lt;=5)), OR(IF(includeblacksmith,$S19="Blacksmithing"),IF(includeleatherwork,$S19="Leatherworking"),IF(includeengineer,$S19="Engineering"),IF(includejewelcrafting,$S19="Jewelcrafting"),IF(incAlc,$S19="Alchemy"),IF(includeboecrafted,$S19="BoE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Aman"),IF(includeprebc,$S19="Pre-BC"),IF(includesunwell,$S19="Sunwell"))),MAX($Z$1:$Z18)+1,""))</f>
        <v/>
      </c>
      <c r="AA19" s="738">
        <v>16</v>
      </c>
      <c r="AB19" s="714" t="str">
        <f t="shared" si="0"/>
        <v>Slayer's Crest</v>
      </c>
    </row>
    <row r="20" spans="1:52" ht="12" customHeight="1">
      <c r="A20" s="10" t="s">
        <v>1347</v>
      </c>
      <c r="B20" s="116">
        <v>35702</v>
      </c>
      <c r="C20" s="116">
        <v>5</v>
      </c>
      <c r="D20" s="114"/>
      <c r="E20" s="114"/>
      <c r="F20" s="115">
        <f>80+IF(time=0, 320*15/90, 0)</f>
        <v>80</v>
      </c>
      <c r="G20" s="116"/>
      <c r="H20" s="116"/>
      <c r="I20" s="115"/>
      <c r="J20" s="114"/>
      <c r="K20" s="124"/>
      <c r="L20" s="114"/>
      <c r="M20" s="116"/>
      <c r="N20" s="127"/>
      <c r="O20" s="124"/>
      <c r="P20" s="114"/>
      <c r="Q20" s="114"/>
      <c r="R20" s="114"/>
      <c r="S20" s="114" t="s">
        <v>688</v>
      </c>
      <c r="T20" s="10" t="s">
        <v>2231</v>
      </c>
      <c r="U20" s="114" t="s">
        <v>2294</v>
      </c>
      <c r="V20" s="116" t="s">
        <v>1109</v>
      </c>
      <c r="W20" s="777"/>
      <c r="X20" s="891">
        <f>($D20*dpsStr+$E20*dpsAgi+$G20*dpsCrit+$H20*dpsHit+$F20*dpsAP+$I20*dpsHaste+$J20*dpsArmor+$K20*dpsExp)+$W20-'Gear &amp; Buffs'!$AF$70</f>
        <v>-352.56576670674326</v>
      </c>
      <c r="Y20" s="891">
        <f>($D20*dpsStr+$E20*dpsAgi+$G20*dpsCrit+$H20*dpsHit+$F20*dpsAP+$I20*dpsHaste+$J20*dpsArmor+$K20*dpsExp)+$W20-'Gear &amp; Buffs'!$AF$71</f>
        <v>2.8586402068413008</v>
      </c>
      <c r="Z20" s="114" t="str">
        <f>IF(OR(trinket1=$A20,trinket2=$A20),"",IF(AND(IF('Gear &amp; Buffs'!$AC$50,MAX($X20,$Y20)&gt;0+'Gear &amp; Buffs'!$U$42,TRUE),OR(IF(includep1,$C20&lt;=1), IF(includep2,$C20&lt;=2), IF(includep3,$C20&lt;=3), IF(includep4,$C20&lt;=4), IF(includep5,$C20&lt;=5)), OR(IF(includeblacksmith,$S20="Blacksmithing"),IF(includeleatherwork,$S20="Leatherworking"),IF(includeengineer,$S20="Engineering"),IF(includejewelcrafting,$S20="Jewelcrafting"),IF(incAlc,$S20="Alchemy"),IF(includeboecrafted,$S20="BoE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Aman"),IF(includeprebc,$S20="Pre-BC"),IF(includesunwell,$S20="Sunwell"))),MAX($Z$1:$Z19)+1,""))</f>
        <v/>
      </c>
      <c r="AA20" s="738">
        <v>17</v>
      </c>
      <c r="AB20" s="714" t="str">
        <f t="shared" si="0"/>
        <v>Terokkar Tablet of Precision</v>
      </c>
    </row>
    <row r="21" spans="1:52" ht="12" customHeight="1">
      <c r="A21" s="10" t="s">
        <v>2980</v>
      </c>
      <c r="B21" s="116">
        <v>11815</v>
      </c>
      <c r="C21" s="116">
        <v>1</v>
      </c>
      <c r="D21" s="114"/>
      <c r="E21" s="114"/>
      <c r="F21" s="115">
        <v>20</v>
      </c>
      <c r="G21" s="116"/>
      <c r="H21" s="116"/>
      <c r="I21" s="115"/>
      <c r="J21" s="114"/>
      <c r="K21" s="124"/>
      <c r="L21" s="114"/>
      <c r="M21" s="116"/>
      <c r="N21" s="127"/>
      <c r="O21" s="124"/>
      <c r="P21" s="114"/>
      <c r="Q21" s="114"/>
      <c r="R21" s="114"/>
      <c r="S21" s="114" t="s">
        <v>668</v>
      </c>
      <c r="T21" s="10" t="s">
        <v>3128</v>
      </c>
      <c r="U21" s="114"/>
      <c r="V21" s="116" t="s">
        <v>1109</v>
      </c>
      <c r="W21" s="777"/>
      <c r="X21" s="891">
        <f>($D21*dpsStr+$E21*dpsAgi+$G21*dpsCrit+$H21*dpsHit+$F21*dpsAP+$I21*dpsHaste+$J21*dpsArmor+$K21*dpsExp)+$W21-'Gear &amp; Buffs'!$AF$70</f>
        <v>-374.00556825805302</v>
      </c>
      <c r="Y21" s="891">
        <f>($D21*dpsStr+$E21*dpsAgi+$G21*dpsCrit+$H21*dpsHit+$F21*dpsAP+$I21*dpsHaste+$J21*dpsArmor+$K21*dpsExp)+$W21-'Gear &amp; Buffs'!$AF$71</f>
        <v>-18.581161344468455</v>
      </c>
      <c r="Z21" s="114">
        <f>IF(OR(trinket1=$A21,trinket2=$A21),"",IF(AND(IF('Gear &amp; Buffs'!$AC$50,MAX($X21,$Y21)&gt;0+'Gear &amp; Buffs'!$U$42,TRUE),OR(IF(includep1,$C21&lt;=1), IF(includep2,$C21&lt;=2), IF(includep3,$C21&lt;=3), IF(includep4,$C21&lt;=4), IF(includep5,$C21&lt;=5)), OR(IF(includeblacksmith,$S21="Blacksmithing"),IF(includeleatherwork,$S21="Leatherworking"),IF(includeengineer,$S21="Engineering"),IF(includejewelcrafting,$S21="Jewelcrafting"),IF(incAlc,$S21="Alchemy"),IF(includeboecrafted,$S21="BoE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Aman"),IF(includeprebc,$S21="Pre-BC"),IF(includesunwell,$S21="Sunwell"))),MAX($Z$1:$Z20)+1,""))</f>
        <v>7</v>
      </c>
      <c r="AA21" s="738">
        <v>18</v>
      </c>
      <c r="AB21" s="714" t="str">
        <f t="shared" si="0"/>
        <v>Uniting Charm</v>
      </c>
      <c r="AD21" s="797"/>
      <c r="AE21" s="1324" t="s">
        <v>1658</v>
      </c>
      <c r="AF21" s="797"/>
      <c r="AG21" s="797"/>
      <c r="AH21" s="797"/>
      <c r="AI21" s="797"/>
      <c r="AJ21" s="797"/>
      <c r="AK21" s="797"/>
      <c r="AL21" s="797"/>
      <c r="AM21" s="797"/>
      <c r="AN21" s="797"/>
      <c r="AO21" s="797"/>
      <c r="AP21" s="797"/>
      <c r="AQ21" s="797"/>
      <c r="AR21" s="797"/>
      <c r="AS21" s="797"/>
      <c r="AT21" s="797"/>
      <c r="AU21" s="797"/>
      <c r="AV21" s="797"/>
      <c r="AW21" s="797"/>
      <c r="AX21" s="797"/>
      <c r="AY21" s="797"/>
      <c r="AZ21" s="797"/>
    </row>
    <row r="22" spans="1:52" ht="12" customHeight="1">
      <c r="A22" s="10" t="s">
        <v>1720</v>
      </c>
      <c r="B22" s="116">
        <v>28034</v>
      </c>
      <c r="C22" s="116">
        <v>1</v>
      </c>
      <c r="D22" s="114"/>
      <c r="E22" s="114"/>
      <c r="F22" s="115">
        <f>300*itHGup</f>
        <v>43.811607007543664</v>
      </c>
      <c r="G22" s="116">
        <v>32</v>
      </c>
      <c r="H22" s="116"/>
      <c r="I22" s="115"/>
      <c r="J22" s="114"/>
      <c r="K22" s="124"/>
      <c r="L22" s="114"/>
      <c r="M22" s="116"/>
      <c r="N22" s="127"/>
      <c r="O22" s="124"/>
      <c r="P22" s="114"/>
      <c r="Q22" s="114"/>
      <c r="R22" s="114"/>
      <c r="S22" s="114" t="s">
        <v>673</v>
      </c>
      <c r="T22" s="10" t="s">
        <v>784</v>
      </c>
      <c r="U22" s="114"/>
      <c r="V22" s="116" t="s">
        <v>1109</v>
      </c>
      <c r="W22" s="777"/>
      <c r="X22" s="891">
        <f>($D22*dpsStr+$E22*dpsAgi+$G22*dpsCrit+$H22*dpsHit+$F22*dpsAP+$I22*dpsHaste+$J22*dpsArmor+$K22*dpsExp)+$W22-'Gear &amp; Buffs'!$AF$70</f>
        <v>-343.55148433409096</v>
      </c>
      <c r="Y22" s="891">
        <f>($D22*dpsStr+$E22*dpsAgi+$G22*dpsCrit+$H22*dpsHit+$F22*dpsAP+$I22*dpsHaste+$J22*dpsArmor+$K22*dpsExp)+$W22-'Gear &amp; Buffs'!$AF$71</f>
        <v>11.87292257949359</v>
      </c>
      <c r="Z22" s="114">
        <f>IF(OR(trinket1=$A22,trinket2=$A22),"",IF(AND(IF('Gear &amp; Buffs'!$AC$50,MAX($X22,$Y22)&gt;0+'Gear &amp; Buffs'!$U$42,TRUE),OR(IF(includep1,$C22&lt;=1), IF(includep2,$C22&lt;=2), IF(includep3,$C22&lt;=3), IF(includep4,$C22&lt;=4), IF(includep5,$C22&lt;=5)), OR(IF(includeblacksmith,$S22="Blacksmithing"),IF(includeleatherwork,$S22="Leatherworking"),IF(includeengineer,$S22="Engineering"),IF(includejewelcrafting,$S22="Jewelcrafting"),IF(incAlc,$S22="Alchemy"),IF(includeboecrafted,$S22="BoE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Aman"),IF(includeprebc,$S22="Pre-BC"),IF(includesunwell,$S22="Sunwell"))),MAX($Z$1:$Z21)+1,""))</f>
        <v>8</v>
      </c>
      <c r="AA22" s="738">
        <v>19</v>
      </c>
      <c r="AB22" s="714" t="str">
        <f t="shared" si="0"/>
        <v>(Unmodeled)</v>
      </c>
      <c r="AD22" s="797"/>
      <c r="AE22" s="47">
        <v>0</v>
      </c>
      <c r="AF22" s="47">
        <v>1</v>
      </c>
      <c r="AG22" s="47">
        <v>2</v>
      </c>
      <c r="AH22" s="47">
        <v>3</v>
      </c>
      <c r="AI22" s="47">
        <v>4</v>
      </c>
      <c r="AJ22" s="47">
        <v>5</v>
      </c>
      <c r="AK22" s="47">
        <v>6</v>
      </c>
      <c r="AL22" s="47">
        <v>7</v>
      </c>
      <c r="AM22" s="47">
        <v>8</v>
      </c>
      <c r="AN22" s="47">
        <v>9</v>
      </c>
      <c r="AO22" s="47">
        <v>10</v>
      </c>
      <c r="AP22" s="47">
        <v>11</v>
      </c>
      <c r="AQ22" s="47">
        <v>12</v>
      </c>
      <c r="AR22" s="47">
        <v>13</v>
      </c>
      <c r="AS22" s="47">
        <v>14</v>
      </c>
      <c r="AT22" s="47">
        <v>15</v>
      </c>
      <c r="AU22" s="47">
        <v>16</v>
      </c>
      <c r="AV22" s="47">
        <v>17</v>
      </c>
      <c r="AW22" s="47">
        <v>18</v>
      </c>
      <c r="AX22" s="47">
        <v>19</v>
      </c>
      <c r="AY22" s="47">
        <v>20</v>
      </c>
      <c r="AZ22" s="47"/>
    </row>
    <row r="23" spans="1:52" ht="12" customHeight="1">
      <c r="A23" s="10" t="s">
        <v>785</v>
      </c>
      <c r="B23" s="116">
        <v>28121</v>
      </c>
      <c r="C23" s="116">
        <v>1</v>
      </c>
      <c r="D23" s="114"/>
      <c r="E23" s="114"/>
      <c r="F23" s="115"/>
      <c r="G23" s="116"/>
      <c r="H23" s="116">
        <v>30</v>
      </c>
      <c r="I23" s="115"/>
      <c r="J23" s="114">
        <f>IF(time=0, 600*20/120, 0)</f>
        <v>0</v>
      </c>
      <c r="K23" s="124"/>
      <c r="L23" s="114"/>
      <c r="M23" s="116"/>
      <c r="N23" s="127"/>
      <c r="O23" s="124"/>
      <c r="P23" s="114"/>
      <c r="Q23" s="114"/>
      <c r="R23" s="114"/>
      <c r="S23" s="114" t="s">
        <v>691</v>
      </c>
      <c r="T23" s="10" t="s">
        <v>131</v>
      </c>
      <c r="U23" s="114" t="s">
        <v>2292</v>
      </c>
      <c r="V23" s="116" t="s">
        <v>1109</v>
      </c>
      <c r="W23" s="777"/>
      <c r="X23" s="891">
        <f>($D23*dpsStr+$E23*dpsAgi+$G23*dpsCrit+$H23*dpsHit+$F23*dpsAP+$I23*dpsHaste+$J23*dpsArmor+$K23*dpsExp)+$W23-'Gear &amp; Buffs'!$AF$70</f>
        <v>-214.65122476134161</v>
      </c>
      <c r="Y23" s="891">
        <f>($D23*dpsStr+$E23*dpsAgi+$G23*dpsCrit+$H23*dpsHit+$F23*dpsAP+$I23*dpsHaste+$J23*dpsArmor+$K23*dpsExp)+$W23-'Gear &amp; Buffs'!$AF$71</f>
        <v>140.77318215224295</v>
      </c>
      <c r="Z23" s="114">
        <f>IF(OR(trinket1=$A23,trinket2=$A23),"",IF(AND(IF('Gear &amp; Buffs'!$AC$50,MAX($X23,$Y23)&gt;0+'Gear &amp; Buffs'!$U$42,TRUE),OR(IF(includep1,$C23&lt;=1), IF(includep2,$C23&lt;=2), IF(includep3,$C23&lt;=3), IF(includep4,$C23&lt;=4), IF(includep5,$C23&lt;=5)), OR(IF(includeblacksmith,$S23="Blacksmithing"),IF(includeleatherwork,$S23="Leatherworking"),IF(includeengineer,$S23="Engineering"),IF(includejewelcrafting,$S23="Jewelcrafting"),IF(incAlc,$S23="Alchemy"),IF(includeboecrafted,$S23="BoE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Aman"),IF(includeprebc,$S23="Pre-BC"),IF(includesunwell,$S23="Sunwell"))),MAX($Z$1:$Z22)+1,""))</f>
        <v>9</v>
      </c>
      <c r="AA23" s="738">
        <v>20</v>
      </c>
      <c r="AB23" s="714" t="str">
        <f t="shared" si="0"/>
        <v>(Unmodeled 2)</v>
      </c>
      <c r="AD23" s="797"/>
      <c r="AE23" s="1319"/>
      <c r="AF23" s="1319">
        <f t="shared" ref="AF23:AY23" si="1">POWER((1-$AE$24),AF22)</f>
        <v>0.77888830774793893</v>
      </c>
      <c r="AG23" s="1319">
        <f t="shared" si="1"/>
        <v>0.60666699594644802</v>
      </c>
      <c r="AH23" s="1319">
        <f t="shared" si="1"/>
        <v>0.47252582983925462</v>
      </c>
      <c r="AI23" s="1319">
        <f t="shared" si="1"/>
        <v>0.3680448439706876</v>
      </c>
      <c r="AJ23" s="1319">
        <f t="shared" si="1"/>
        <v>0.28666582569568311</v>
      </c>
      <c r="AK23" s="1319">
        <f t="shared" si="1"/>
        <v>0.22328065986527623</v>
      </c>
      <c r="AL23" s="1319">
        <f t="shared" si="1"/>
        <v>0.17391069531530814</v>
      </c>
      <c r="AM23" s="1319">
        <f t="shared" si="1"/>
        <v>0.13545700717340778</v>
      </c>
      <c r="AN23" s="1319">
        <f t="shared" si="1"/>
        <v>0.105505879089896</v>
      </c>
      <c r="AO23" s="1319">
        <f t="shared" si="1"/>
        <v>8.2177295621787758E-2</v>
      </c>
      <c r="AP23" s="1319">
        <f t="shared" si="1"/>
        <v>6.4006934722156378E-2</v>
      </c>
      <c r="AQ23" s="1319">
        <f t="shared" si="1"/>
        <v>4.9854253069873178E-2</v>
      </c>
      <c r="AR23" s="1319">
        <f t="shared" si="1"/>
        <v>3.8830894807631008E-2</v>
      </c>
      <c r="AS23" s="1319">
        <f t="shared" si="1"/>
        <v>3.0244929945053945E-2</v>
      </c>
      <c r="AT23" s="1319">
        <f t="shared" si="1"/>
        <v>2.3557422302858028E-2</v>
      </c>
      <c r="AU23" s="1319">
        <f t="shared" si="1"/>
        <v>1.8348600792376647E-2</v>
      </c>
      <c r="AV23" s="1319">
        <f t="shared" si="1"/>
        <v>1.4291510620716737E-2</v>
      </c>
      <c r="AW23" s="1319">
        <f t="shared" si="1"/>
        <v>1.1131490522531757E-2</v>
      </c>
      <c r="AX23" s="1319">
        <f t="shared" si="1"/>
        <v>8.6701878158069803E-3</v>
      </c>
      <c r="AY23" s="1319">
        <f t="shared" si="1"/>
        <v>6.7531079157106978E-3</v>
      </c>
      <c r="AZ23" s="47"/>
    </row>
    <row r="24" spans="1:52" ht="12" customHeight="1">
      <c r="A24" s="10" t="s">
        <v>2975</v>
      </c>
      <c r="B24" s="116">
        <v>23570</v>
      </c>
      <c r="C24" s="116">
        <v>1</v>
      </c>
      <c r="D24" s="114"/>
      <c r="E24" s="114"/>
      <c r="F24" s="115">
        <f>IF(time=0, 65*2*SUM(1,2,3,4,5,6,7,8,9,10)/20/120*20, 0)</f>
        <v>0</v>
      </c>
      <c r="G24" s="116"/>
      <c r="H24" s="116"/>
      <c r="I24" s="115"/>
      <c r="J24" s="114"/>
      <c r="K24" s="124"/>
      <c r="L24" s="114"/>
      <c r="M24" s="116"/>
      <c r="N24" s="127"/>
      <c r="O24" s="124"/>
      <c r="P24" s="114"/>
      <c r="Q24" s="114"/>
      <c r="R24" s="114"/>
      <c r="S24" s="114" t="s">
        <v>668</v>
      </c>
      <c r="T24" s="10" t="s">
        <v>2976</v>
      </c>
      <c r="U24" s="114" t="s">
        <v>2292</v>
      </c>
      <c r="V24" s="116" t="s">
        <v>1109</v>
      </c>
      <c r="W24" s="777"/>
      <c r="X24" s="891">
        <f>($D24*dpsStr+$E24*dpsAgi+$G24*dpsCrit+$H24*dpsHit+$F24*dpsAP+$I24*dpsHaste+$J24*dpsArmor+$K24*dpsExp)+$W24-'Gear &amp; Buffs'!$AF$70</f>
        <v>-381.15216877515627</v>
      </c>
      <c r="Y24" s="891">
        <f>($D24*dpsStr+$E24*dpsAgi+$G24*dpsCrit+$H24*dpsHit+$F24*dpsAP+$I24*dpsHaste+$J24*dpsArmor+$K24*dpsExp)+$W24-'Gear &amp; Buffs'!$AF$71</f>
        <v>-25.727761861571707</v>
      </c>
      <c r="Z24" s="114">
        <f>IF(OR(trinket1=$A24,trinket2=$A24),"",IF(AND(IF('Gear &amp; Buffs'!$AC$50,MAX($X24,$Y24)&gt;0+'Gear &amp; Buffs'!$U$42,TRUE),OR(IF(includep1,$C24&lt;=1), IF(includep2,$C24&lt;=2), IF(includep3,$C24&lt;=3), IF(includep4,$C24&lt;=4), IF(includep5,$C24&lt;=5)), OR(IF(includeblacksmith,$S24="Blacksmithing"),IF(includeleatherwork,$S24="Leatherworking"),IF(includeengineer,$S24="Engineering"),IF(includejewelcrafting,$S24="Jewelcrafting"),IF(incAlc,$S24="Alchemy"),IF(includeboecrafted,$S24="BoE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Aman"),IF(includeprebc,$S24="Pre-BC"),IF(includesunwell,$S24="Sunwell"))),MAX($Z$1:$Z23)+1,""))</f>
        <v>10</v>
      </c>
      <c r="AA24" s="738">
        <v>21</v>
      </c>
      <c r="AB24" s="714" t="str">
        <f t="shared" si="0"/>
        <v/>
      </c>
      <c r="AD24" s="797" t="s">
        <v>916</v>
      </c>
      <c r="AE24" s="1319">
        <f>(('Gear &amp; Buffs'!E143/agicrit+'Gear &amp; Buffs'!G143/crrate)/100)+(CharLevel-BossLevel)*bosscrit*5-IF(BossLevel*5-CharLevel*5&gt;10, 1.8%, 0)</f>
        <v>0.22111169225206101</v>
      </c>
      <c r="AF24" s="1319">
        <f t="shared" ref="AF24:AY24" si="2">AE24+17/crrate/100</f>
        <v>0.22881204068411676</v>
      </c>
      <c r="AG24" s="1319">
        <f t="shared" si="2"/>
        <v>0.23651238911617251</v>
      </c>
      <c r="AH24" s="1319">
        <f t="shared" si="2"/>
        <v>0.24421273754822825</v>
      </c>
      <c r="AI24" s="1319">
        <f t="shared" si="2"/>
        <v>0.251913085980284</v>
      </c>
      <c r="AJ24" s="1319">
        <f t="shared" si="2"/>
        <v>0.25961343441233975</v>
      </c>
      <c r="AK24" s="1319">
        <f t="shared" si="2"/>
        <v>0.2673137828443955</v>
      </c>
      <c r="AL24" s="1319">
        <f t="shared" si="2"/>
        <v>0.27501413127645125</v>
      </c>
      <c r="AM24" s="1319">
        <f t="shared" si="2"/>
        <v>0.28271447970850699</v>
      </c>
      <c r="AN24" s="1319">
        <f t="shared" si="2"/>
        <v>0.29041482814056274</v>
      </c>
      <c r="AO24" s="1319">
        <f t="shared" si="2"/>
        <v>0.29811517657261849</v>
      </c>
      <c r="AP24" s="1319">
        <f t="shared" si="2"/>
        <v>0.30581552500467424</v>
      </c>
      <c r="AQ24" s="1319">
        <f t="shared" si="2"/>
        <v>0.31351587343672999</v>
      </c>
      <c r="AR24" s="1319">
        <f t="shared" si="2"/>
        <v>0.32121622186878573</v>
      </c>
      <c r="AS24" s="1319">
        <f t="shared" si="2"/>
        <v>0.32891657030084148</v>
      </c>
      <c r="AT24" s="1319">
        <f t="shared" si="2"/>
        <v>0.33661691873289723</v>
      </c>
      <c r="AU24" s="1319">
        <f t="shared" si="2"/>
        <v>0.34431726716495298</v>
      </c>
      <c r="AV24" s="1319">
        <f t="shared" si="2"/>
        <v>0.35201761559700873</v>
      </c>
      <c r="AW24" s="1319">
        <f t="shared" si="2"/>
        <v>0.35971796402906447</v>
      </c>
      <c r="AX24" s="1319">
        <f t="shared" si="2"/>
        <v>0.36741831246112022</v>
      </c>
      <c r="AY24" s="1319">
        <f t="shared" si="2"/>
        <v>0.37511866089317597</v>
      </c>
      <c r="AZ24" s="47"/>
    </row>
    <row r="25" spans="1:52" ht="12" customHeight="1">
      <c r="A25" s="10" t="s">
        <v>132</v>
      </c>
      <c r="B25" s="116">
        <v>22954</v>
      </c>
      <c r="C25" s="116">
        <v>1</v>
      </c>
      <c r="D25" s="114"/>
      <c r="E25" s="114"/>
      <c r="F25" s="778"/>
      <c r="G25" s="116">
        <v>14</v>
      </c>
      <c r="H25" s="116">
        <v>10</v>
      </c>
      <c r="I25" s="115">
        <f>IF(time=0, 200*15/120, 0)</f>
        <v>0</v>
      </c>
      <c r="J25" s="114"/>
      <c r="K25" s="124"/>
      <c r="L25" s="114"/>
      <c r="M25" s="116"/>
      <c r="N25" s="127"/>
      <c r="O25" s="124"/>
      <c r="P25" s="114"/>
      <c r="Q25" s="114"/>
      <c r="R25" s="114"/>
      <c r="S25" s="114" t="s">
        <v>668</v>
      </c>
      <c r="T25" s="10" t="s">
        <v>72</v>
      </c>
      <c r="U25" s="114" t="s">
        <v>2292</v>
      </c>
      <c r="V25" s="116" t="s">
        <v>1109</v>
      </c>
      <c r="W25" s="777"/>
      <c r="X25" s="891">
        <f>($D25*dpsStr+$E25*dpsAgi+$G25*dpsCrit+$H25*dpsHit+$F25*dpsAP+$I25*dpsHaste+$J25*dpsArmor+$K25*dpsExp)+$W25-'Gear &amp; Buffs'!$AF$70</f>
        <v>-316.05070582675194</v>
      </c>
      <c r="Y25" s="891">
        <f>($D25*dpsStr+$E25*dpsAgi+$G25*dpsCrit+$H25*dpsHit+$F25*dpsAP+$I25*dpsHaste+$J25*dpsArmor+$K25*dpsExp)+$W25-'Gear &amp; Buffs'!$AF$71</f>
        <v>39.373701086832625</v>
      </c>
      <c r="Z25" s="114">
        <f>IF(OR(trinket1=$A25,trinket2=$A25),"",IF(AND(IF('Gear &amp; Buffs'!$AC$50,MAX($X25,$Y25)&gt;0+'Gear &amp; Buffs'!$U$42,TRUE),OR(IF(includep1,$C25&lt;=1), IF(includep2,$C25&lt;=2), IF(includep3,$C25&lt;=3), IF(includep4,$C25&lt;=4), IF(includep5,$C25&lt;=5)), OR(IF(includeblacksmith,$S25="Blacksmithing"),IF(includeleatherwork,$S25="Leatherworking"),IF(includeengineer,$S25="Engineering"),IF(includejewelcrafting,$S25="Jewelcrafting"),IF(incAlc,$S25="Alchemy"),IF(includeboecrafted,$S25="BoE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Aman"),IF(includeprebc,$S25="Pre-BC"),IF(includesunwell,$S25="Sunwell"))),MAX($Z$1:$Z24)+1,""))</f>
        <v>11</v>
      </c>
      <c r="AA25" s="738">
        <v>22</v>
      </c>
      <c r="AB25" s="714" t="str">
        <f t="shared" si="0"/>
        <v/>
      </c>
      <c r="AD25" s="797"/>
      <c r="AE25" s="1320">
        <f>1-AE24</f>
        <v>0.77888830774793893</v>
      </c>
      <c r="AF25" s="1320">
        <f t="shared" ref="AF25:AY25" si="3">AE25*(1-AF24)</f>
        <v>0.60066928458713464</v>
      </c>
      <c r="AG25" s="1320">
        <f t="shared" si="3"/>
        <v>0.4586035570207293</v>
      </c>
      <c r="AH25" s="1320">
        <f t="shared" si="3"/>
        <v>0.34660672691134203</v>
      </c>
      <c r="AI25" s="1320">
        <f t="shared" si="3"/>
        <v>0.2592919567135803</v>
      </c>
      <c r="AJ25" s="1320">
        <f t="shared" si="3"/>
        <v>0.19197628131567199</v>
      </c>
      <c r="AK25" s="1320">
        <f t="shared" si="3"/>
        <v>0.14065837534077988</v>
      </c>
      <c r="AL25" s="1320">
        <f t="shared" si="3"/>
        <v>0.10197533443967829</v>
      </c>
      <c r="AM25" s="1320">
        <f t="shared" si="3"/>
        <v>7.3145430820463639E-2</v>
      </c>
      <c r="AN25" s="1320">
        <f t="shared" si="3"/>
        <v>5.1902913099471273E-2</v>
      </c>
      <c r="AO25" s="1320">
        <f t="shared" si="3"/>
        <v>3.6429866996189122E-2</v>
      </c>
      <c r="AP25" s="1320">
        <f t="shared" si="3"/>
        <v>2.528904809489909E-2</v>
      </c>
      <c r="AQ25" s="1320">
        <f t="shared" si="3"/>
        <v>1.7360530093043329E-2</v>
      </c>
      <c r="AR25" s="1320">
        <f t="shared" si="3"/>
        <v>1.1784046206916591E-2</v>
      </c>
      <c r="AS25" s="1320">
        <f t="shared" si="3"/>
        <v>7.9080781442709466E-3</v>
      </c>
      <c r="AT25" s="1320">
        <f t="shared" si="3"/>
        <v>5.2460852462474922E-3</v>
      </c>
      <c r="AU25" s="1320">
        <f t="shared" si="3"/>
        <v>3.4397675109451762E-3</v>
      </c>
      <c r="AV25" s="1320">
        <f t="shared" si="3"/>
        <v>2.2289087535341976E-3</v>
      </c>
      <c r="AW25" s="1320">
        <f t="shared" si="3"/>
        <v>1.4271302347063164E-3</v>
      </c>
      <c r="AX25" s="1320">
        <f t="shared" si="3"/>
        <v>9.0277645220827917E-4</v>
      </c>
      <c r="AY25" s="1320">
        <f t="shared" si="3"/>
        <v>5.6412815837001719E-4</v>
      </c>
      <c r="AZ25" s="1320"/>
    </row>
    <row r="26" spans="1:52" ht="12" customHeight="1">
      <c r="A26" s="10" t="s">
        <v>133</v>
      </c>
      <c r="B26" s="116">
        <v>32505</v>
      </c>
      <c r="C26" s="116">
        <v>3</v>
      </c>
      <c r="D26" s="114"/>
      <c r="E26" s="114"/>
      <c r="F26" s="115">
        <v>84</v>
      </c>
      <c r="G26" s="116"/>
      <c r="H26" s="116">
        <v>20</v>
      </c>
      <c r="I26" s="124"/>
      <c r="J26" s="124">
        <f>300*itMotBup</f>
        <v>167.41523881213857</v>
      </c>
      <c r="K26" s="124"/>
      <c r="L26" s="114"/>
      <c r="M26" s="116"/>
      <c r="N26" s="127"/>
      <c r="O26" s="124"/>
      <c r="P26" s="114"/>
      <c r="Q26" s="114"/>
      <c r="R26" s="114"/>
      <c r="S26" s="114" t="s">
        <v>683</v>
      </c>
      <c r="T26" s="10" t="s">
        <v>137</v>
      </c>
      <c r="U26" s="114"/>
      <c r="V26" s="116" t="s">
        <v>1109</v>
      </c>
      <c r="W26" s="777"/>
      <c r="X26" s="891">
        <f>($D26*dpsStr+$E26*dpsAgi+$G26*dpsCrit+$H26*dpsHit+$F26*dpsAP+$I26*dpsHaste+$J26*dpsArmor+$K26*dpsExp)+$W26-'Gear &amp; Buffs'!$AF$70</f>
        <v>-219.55904441595072</v>
      </c>
      <c r="Y26" s="891">
        <f>($D26*dpsStr+$E26*dpsAgi+$G26*dpsCrit+$H26*dpsHit+$F26*dpsAP+$I26*dpsHaste+$J26*dpsArmor+$K26*dpsExp)+$W26-'Gear &amp; Buffs'!$AF$71</f>
        <v>135.86536249763384</v>
      </c>
      <c r="Z26" s="114" t="str">
        <f>IF(OR(trinket1=$A26,trinket2=$A26),"",IF(AND(IF('Gear &amp; Buffs'!$AC$50,MAX($X26,$Y26)&gt;0+'Gear &amp; Buffs'!$U$42,TRUE),OR(IF(includep1,$C26&lt;=1), IF(includep2,$C26&lt;=2), IF(includep3,$C26&lt;=3), IF(includep4,$C26&lt;=4), IF(includep5,$C26&lt;=5)), OR(IF(includeblacksmith,$S26="Blacksmithing"),IF(includeleatherwork,$S26="Leatherworking"),IF(includeengineer,$S26="Engineering"),IF(includejewelcrafting,$S26="Jewelcrafting"),IF(incAlc,$S26="Alchemy"),IF(includeboecrafted,$S26="BoE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Aman"),IF(includeprebc,$S26="Pre-BC"),IF(includesunwell,$S26="Sunwell"))),MAX($Z$1:$Z25)+1,""))</f>
        <v/>
      </c>
      <c r="AA26" s="738">
        <v>23</v>
      </c>
      <c r="AB26" s="714" t="str">
        <f t="shared" si="0"/>
        <v/>
      </c>
      <c r="AD26" s="797"/>
      <c r="AE26" s="47"/>
      <c r="AF26" s="1320">
        <f t="shared" ref="AF26:AY26" si="4">AE25*AF24</f>
        <v>0.17821902316080426</v>
      </c>
      <c r="AG26" s="1320">
        <f t="shared" si="4"/>
        <v>0.14206572756640534</v>
      </c>
      <c r="AH26" s="1320">
        <f t="shared" si="4"/>
        <v>0.1119968301093873</v>
      </c>
      <c r="AI26" s="1320">
        <f t="shared" si="4"/>
        <v>8.7314770197761724E-2</v>
      </c>
      <c r="AJ26" s="1320">
        <f t="shared" si="4"/>
        <v>6.7315675397908309E-2</v>
      </c>
      <c r="AK26" s="1320">
        <f t="shared" si="4"/>
        <v>5.1317905974892122E-2</v>
      </c>
      <c r="AL26" s="1320">
        <f t="shared" si="4"/>
        <v>3.8683040901101591E-2</v>
      </c>
      <c r="AM26" s="1320">
        <f t="shared" si="4"/>
        <v>2.8829903619214645E-2</v>
      </c>
      <c r="AN26" s="1320">
        <f t="shared" si="4"/>
        <v>2.1242517720992369E-2</v>
      </c>
      <c r="AO26" s="1320">
        <f t="shared" si="4"/>
        <v>1.5473046103282153E-2</v>
      </c>
      <c r="AP26" s="1320">
        <f t="shared" si="4"/>
        <v>1.1140818901290031E-2</v>
      </c>
      <c r="AQ26" s="1320">
        <f t="shared" si="4"/>
        <v>7.9285180018557611E-3</v>
      </c>
      <c r="AR26" s="1320">
        <f t="shared" si="4"/>
        <v>5.5764838861267372E-3</v>
      </c>
      <c r="AS26" s="1320">
        <f t="shared" si="4"/>
        <v>3.8759680626456452E-3</v>
      </c>
      <c r="AT26" s="1320">
        <f t="shared" si="4"/>
        <v>2.661992898023454E-3</v>
      </c>
      <c r="AU26" s="1320">
        <f t="shared" si="4"/>
        <v>1.806317735302316E-3</v>
      </c>
      <c r="AV26" s="1320">
        <f t="shared" si="4"/>
        <v>1.2108587574109785E-3</v>
      </c>
      <c r="AW26" s="1320">
        <f t="shared" si="4"/>
        <v>8.0177851882788143E-4</v>
      </c>
      <c r="AX26" s="1320">
        <f t="shared" si="4"/>
        <v>5.2435378249803726E-4</v>
      </c>
      <c r="AY26" s="1320">
        <f t="shared" si="4"/>
        <v>3.3864829383826198E-4</v>
      </c>
      <c r="AZ26" s="1320">
        <f>SUM(AF26:AY26)+AE24</f>
        <v>0.99943587184163007</v>
      </c>
    </row>
    <row r="27" spans="1:52" ht="12" customHeight="1">
      <c r="A27" s="10" t="s">
        <v>2243</v>
      </c>
      <c r="B27" s="116">
        <v>23206</v>
      </c>
      <c r="C27" s="116">
        <v>1</v>
      </c>
      <c r="D27" s="114"/>
      <c r="E27" s="114"/>
      <c r="F27" s="115">
        <f>IF(OR(mobtype="Any",mobtype="Demon",mobtype="Undead"),150,0)</f>
        <v>150</v>
      </c>
      <c r="G27" s="116"/>
      <c r="H27" s="116"/>
      <c r="I27" s="124"/>
      <c r="J27" s="114"/>
      <c r="K27" s="124"/>
      <c r="L27" s="114"/>
      <c r="M27" s="116"/>
      <c r="N27" s="127"/>
      <c r="O27" s="124"/>
      <c r="P27" s="114"/>
      <c r="Q27" s="114"/>
      <c r="R27" s="114"/>
      <c r="S27" s="114" t="s">
        <v>668</v>
      </c>
      <c r="T27" s="10"/>
      <c r="U27" s="114"/>
      <c r="V27" s="116" t="s">
        <v>1109</v>
      </c>
      <c r="W27" s="777"/>
      <c r="X27" s="891">
        <f>($D27*dpsStr+$E27*dpsAgi+$G27*dpsCrit+$H27*dpsHit+$F27*dpsAP+$I27*dpsHaste+$J27*dpsArmor+$K27*dpsExp)+$W27-'Gear &amp; Buffs'!$AF$70</f>
        <v>-327.55266489688188</v>
      </c>
      <c r="Y27" s="891">
        <f>($D27*dpsStr+$E27*dpsAgi+$G27*dpsCrit+$H27*dpsHit+$F27*dpsAP+$I27*dpsHaste+$J27*dpsArmor+$K27*dpsExp)+$W27-'Gear &amp; Buffs'!$AF$71</f>
        <v>27.871742016702683</v>
      </c>
      <c r="Z27" s="114">
        <f>IF(OR(trinket1=$A27,trinket2=$A27),"",IF(AND(IF('Gear &amp; Buffs'!$AC$50,MAX($X27,$Y27)&gt;0+'Gear &amp; Buffs'!$U$42,TRUE),OR(IF(includep1,$C27&lt;=1), IF(includep2,$C27&lt;=2), IF(includep3,$C27&lt;=3), IF(includep4,$C27&lt;=4), IF(includep5,$C27&lt;=5)), OR(IF(includeblacksmith,$S27="Blacksmithing"),IF(includeleatherwork,$S27="Leatherworking"),IF(includeengineer,$S27="Engineering"),IF(includejewelcrafting,$S27="Jewelcrafting"),IF(incAlc,$S27="Alchemy"),IF(includeboecrafted,$S27="BoE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Aman"),IF(includeprebc,$S27="Pre-BC"),IF(includesunwell,$S27="Sunwell"))),MAX($Z$1:$Z26)+1,""))</f>
        <v>12</v>
      </c>
      <c r="AA27" s="738">
        <v>24</v>
      </c>
      <c r="AB27" s="714" t="str">
        <f t="shared" si="0"/>
        <v/>
      </c>
      <c r="AD27" s="797"/>
      <c r="AE27" s="778"/>
      <c r="AF27" s="778">
        <f t="shared" ref="AF27:AY27" si="5">17*AF22</f>
        <v>17</v>
      </c>
      <c r="AG27" s="778">
        <f t="shared" si="5"/>
        <v>34</v>
      </c>
      <c r="AH27" s="778">
        <f t="shared" si="5"/>
        <v>51</v>
      </c>
      <c r="AI27" s="778">
        <f t="shared" si="5"/>
        <v>68</v>
      </c>
      <c r="AJ27" s="778">
        <f t="shared" si="5"/>
        <v>85</v>
      </c>
      <c r="AK27" s="778">
        <f t="shared" si="5"/>
        <v>102</v>
      </c>
      <c r="AL27" s="778">
        <f t="shared" si="5"/>
        <v>119</v>
      </c>
      <c r="AM27" s="778">
        <f t="shared" si="5"/>
        <v>136</v>
      </c>
      <c r="AN27" s="778">
        <f t="shared" si="5"/>
        <v>153</v>
      </c>
      <c r="AO27" s="778">
        <f t="shared" si="5"/>
        <v>170</v>
      </c>
      <c r="AP27" s="778">
        <f t="shared" si="5"/>
        <v>187</v>
      </c>
      <c r="AQ27" s="778">
        <f t="shared" si="5"/>
        <v>204</v>
      </c>
      <c r="AR27" s="778">
        <f t="shared" si="5"/>
        <v>221</v>
      </c>
      <c r="AS27" s="778">
        <f t="shared" si="5"/>
        <v>238</v>
      </c>
      <c r="AT27" s="778">
        <f t="shared" si="5"/>
        <v>255</v>
      </c>
      <c r="AU27" s="778">
        <f t="shared" si="5"/>
        <v>272</v>
      </c>
      <c r="AV27" s="778">
        <f t="shared" si="5"/>
        <v>289</v>
      </c>
      <c r="AW27" s="778">
        <f t="shared" si="5"/>
        <v>306</v>
      </c>
      <c r="AX27" s="778">
        <f t="shared" si="5"/>
        <v>323</v>
      </c>
      <c r="AY27" s="778">
        <f t="shared" si="5"/>
        <v>340</v>
      </c>
      <c r="AZ27" s="1321"/>
    </row>
    <row r="28" spans="1:52" ht="12" customHeight="1">
      <c r="A28" s="126" t="s">
        <v>2399</v>
      </c>
      <c r="B28" s="116">
        <v>25628</v>
      </c>
      <c r="C28" s="116">
        <v>1</v>
      </c>
      <c r="D28" s="114"/>
      <c r="E28" s="114"/>
      <c r="F28" s="115">
        <f>48+IF(time=0, 185*15/120, 0)</f>
        <v>48</v>
      </c>
      <c r="G28" s="116"/>
      <c r="H28" s="116"/>
      <c r="I28" s="124"/>
      <c r="J28" s="114"/>
      <c r="K28" s="124"/>
      <c r="L28" s="114"/>
      <c r="M28" s="116"/>
      <c r="N28" s="127"/>
      <c r="O28" s="124"/>
      <c r="P28" s="114"/>
      <c r="Q28" s="114"/>
      <c r="R28" s="114"/>
      <c r="S28" s="114" t="s">
        <v>675</v>
      </c>
      <c r="T28" s="10" t="s">
        <v>2401</v>
      </c>
      <c r="U28" s="114" t="s">
        <v>2292</v>
      </c>
      <c r="V28" s="116" t="s">
        <v>1109</v>
      </c>
      <c r="W28" s="777"/>
      <c r="X28" s="891">
        <f>($D28*dpsStr+$E28*dpsAgi+$G28*dpsCrit+$H28*dpsHit+$F28*dpsAP+$I28*dpsHaste+$J28*dpsArmor+$K28*dpsExp)+$W28-'Gear &amp; Buffs'!$AF$70</f>
        <v>-364.00032753410846</v>
      </c>
      <c r="Y28" s="891">
        <f>($D28*dpsStr+$E28*dpsAgi+$G28*dpsCrit+$H28*dpsHit+$F28*dpsAP+$I28*dpsHaste+$J28*dpsArmor+$K28*dpsExp)+$W28-'Gear &amp; Buffs'!$AF$71</f>
        <v>-8.5759206205239025</v>
      </c>
      <c r="Z28" s="114">
        <f>IF(OR(trinket1=$A28,trinket2=$A28),"",IF(AND(IF('Gear &amp; Buffs'!$AC$50,MAX($X28,$Y28)&gt;0+'Gear &amp; Buffs'!$U$42,TRUE),OR(IF(includep1,$C28&lt;=1), IF(includep2,$C28&lt;=2), IF(includep3,$C28&lt;=3), IF(includep4,$C28&lt;=4), IF(includep5,$C28&lt;=5)), OR(IF(includeblacksmith,$S28="Blacksmithing"),IF(includeleatherwork,$S28="Leatherworking"),IF(includeengineer,$S28="Engineering"),IF(includejewelcrafting,$S28="Jewelcrafting"),IF(incAlc,$S28="Alchemy"),IF(includeboecrafted,$S28="BoE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Aman"),IF(includeprebc,$S28="Pre-BC"),IF(includesunwell,$S28="Sunwell"))),MAX($Z$1:$Z27)+1,""))</f>
        <v>13</v>
      </c>
      <c r="AA28" s="738">
        <v>25</v>
      </c>
      <c r="AB28" s="714" t="str">
        <f t="shared" si="0"/>
        <v/>
      </c>
      <c r="AD28" s="797" t="s">
        <v>917</v>
      </c>
      <c r="AE28" s="1322">
        <f>SUM(AF28:AY28)</f>
        <v>52.775681323559951</v>
      </c>
      <c r="AF28" s="1323">
        <f t="shared" ref="AF28:AY28" si="6">AF27*AF26</f>
        <v>3.0297233937336725</v>
      </c>
      <c r="AG28" s="1323">
        <f t="shared" si="6"/>
        <v>4.8302347372577819</v>
      </c>
      <c r="AH28" s="1323">
        <f t="shared" si="6"/>
        <v>5.7118383355787525</v>
      </c>
      <c r="AI28" s="1323">
        <f t="shared" si="6"/>
        <v>5.937404373447797</v>
      </c>
      <c r="AJ28" s="1323">
        <f t="shared" si="6"/>
        <v>5.7218324088222063</v>
      </c>
      <c r="AK28" s="1323">
        <f t="shared" si="6"/>
        <v>5.2344264094389965</v>
      </c>
      <c r="AL28" s="1323">
        <f t="shared" si="6"/>
        <v>4.6032818672310896</v>
      </c>
      <c r="AM28" s="1323">
        <f t="shared" si="6"/>
        <v>3.920866892213192</v>
      </c>
      <c r="AN28" s="1323">
        <f t="shared" si="6"/>
        <v>3.2501052113118325</v>
      </c>
      <c r="AO28" s="1323">
        <f t="shared" si="6"/>
        <v>2.6304178375579661</v>
      </c>
      <c r="AP28" s="1323">
        <f t="shared" si="6"/>
        <v>2.0833331345412356</v>
      </c>
      <c r="AQ28" s="1323">
        <f t="shared" si="6"/>
        <v>1.6174176723785751</v>
      </c>
      <c r="AR28" s="1323">
        <f t="shared" si="6"/>
        <v>1.232402938834009</v>
      </c>
      <c r="AS28" s="1323">
        <f t="shared" si="6"/>
        <v>0.9224803989096636</v>
      </c>
      <c r="AT28" s="1323">
        <f t="shared" si="6"/>
        <v>0.67880818899598072</v>
      </c>
      <c r="AU28" s="1323">
        <f t="shared" si="6"/>
        <v>0.49131842400222997</v>
      </c>
      <c r="AV28" s="1323">
        <f t="shared" si="6"/>
        <v>0.34993818089177281</v>
      </c>
      <c r="AW28" s="1323">
        <f t="shared" si="6"/>
        <v>0.24534422676133172</v>
      </c>
      <c r="AX28" s="1323">
        <f t="shared" si="6"/>
        <v>0.16936627174686603</v>
      </c>
      <c r="AY28" s="1323">
        <f t="shared" si="6"/>
        <v>0.11514041990500908</v>
      </c>
      <c r="AZ28" s="47"/>
    </row>
    <row r="29" spans="1:52" ht="12" customHeight="1">
      <c r="A29" s="47" t="s">
        <v>138</v>
      </c>
      <c r="B29" s="116">
        <v>28579</v>
      </c>
      <c r="C29" s="116">
        <v>1</v>
      </c>
      <c r="D29" s="47"/>
      <c r="E29" s="47"/>
      <c r="F29" s="778"/>
      <c r="G29" s="47"/>
      <c r="H29" s="114">
        <v>35</v>
      </c>
      <c r="I29" s="47"/>
      <c r="J29" s="47"/>
      <c r="K29" s="47"/>
      <c r="L29" s="47"/>
      <c r="M29" s="47"/>
      <c r="N29" s="47"/>
      <c r="O29" s="47"/>
      <c r="P29" s="47"/>
      <c r="Q29" s="47"/>
      <c r="R29" s="47"/>
      <c r="S29" s="114" t="s">
        <v>672</v>
      </c>
      <c r="T29" s="10" t="s">
        <v>713</v>
      </c>
      <c r="U29" s="114"/>
      <c r="V29" s="116" t="s">
        <v>1109</v>
      </c>
      <c r="W29" s="124">
        <f>0.025*'Damage Calc'!Q20*277*fullresist*(1+(0.01*miseryimp)*misery)</f>
        <v>13.623573813994003</v>
      </c>
      <c r="X29" s="891">
        <f>($D29*dpsStr+$E29*dpsAgi+$G29*dpsCrit+$H29*dpsHit+$F29*dpsAP+$I29*dpsHaste+$J29*dpsArmor+$K29*dpsExp)+$W29-'Gear &amp; Buffs'!$AF$70</f>
        <v>-173.27749361171183</v>
      </c>
      <c r="Y29" s="891">
        <f>($D29*dpsStr+$E29*dpsAgi+$G29*dpsCrit+$H29*dpsHit+$F29*dpsAP+$I29*dpsHaste+$J29*dpsArmor+$K29*dpsExp)+$W29-'Gear &amp; Buffs'!$AF$71</f>
        <v>182.14691330187273</v>
      </c>
      <c r="Z29" s="114">
        <f>IF(OR(trinket1=$A29,trinket2=$A29),"",IF(AND(IF('Gear &amp; Buffs'!$AC$50,MAX($X29,$Y29)&gt;0+'Gear &amp; Buffs'!$U$42,TRUE),OR(IF(includep1,$C29&lt;=1), IF(includep2,$C29&lt;=2), IF(includep3,$C29&lt;=3), IF(includep4,$C29&lt;=4), IF(includep5,$C29&lt;=5)), OR(IF(includeblacksmith,$S29="Blacksmithing"),IF(includeleatherwork,$S29="Leatherworking"),IF(includeengineer,$S29="Engineering"),IF(includejewelcrafting,$S29="Jewelcrafting"),IF(incAlc,$S29="Alchemy"),IF(includeboecrafted,$S29="BoE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Aman"),IF(includeprebc,$S29="Pre-BC"),IF(includesunwell,$S29="Sunwell"))),MAX($Z$1:$Z28)+1,""))</f>
        <v>14</v>
      </c>
      <c r="AA29" s="738">
        <v>26</v>
      </c>
      <c r="AB29" s="714" t="str">
        <f t="shared" si="0"/>
        <v/>
      </c>
      <c r="AD29" s="797" t="s">
        <v>918</v>
      </c>
      <c r="AE29" s="797">
        <f>IF(OR(trinket1="Darkmoon Card: Wrath",trinket2="Darkmoon Card: Wrath"),AE28/crrate/100,0)</f>
        <v>0</v>
      </c>
      <c r="AF29" s="797"/>
      <c r="AG29" s="797"/>
      <c r="AH29" s="797"/>
      <c r="AI29" s="797"/>
      <c r="AJ29" s="797"/>
      <c r="AK29" s="797"/>
      <c r="AL29" s="797"/>
      <c r="AM29" s="797"/>
      <c r="AN29" s="797"/>
      <c r="AO29" s="797"/>
      <c r="AP29" s="797"/>
      <c r="AQ29" s="797"/>
      <c r="AR29" s="797"/>
      <c r="AS29" s="797"/>
      <c r="AT29" s="797"/>
      <c r="AU29" s="797"/>
      <c r="AV29" s="797"/>
      <c r="AW29" s="797"/>
      <c r="AX29" s="797"/>
      <c r="AY29" s="797"/>
      <c r="AZ29" s="797"/>
    </row>
    <row r="30" spans="1:52" ht="12" customHeight="1">
      <c r="A30" s="10" t="s">
        <v>519</v>
      </c>
      <c r="B30" s="116">
        <v>13209</v>
      </c>
      <c r="C30" s="116">
        <v>1</v>
      </c>
      <c r="D30" s="114"/>
      <c r="E30" s="114"/>
      <c r="F30" s="115">
        <f>IF(OR(mobtype="Any",mobtype="Undead"),81,0)</f>
        <v>81</v>
      </c>
      <c r="G30" s="116"/>
      <c r="H30" s="116"/>
      <c r="I30" s="114"/>
      <c r="J30" s="114"/>
      <c r="K30" s="114"/>
      <c r="L30" s="114"/>
      <c r="M30" s="116"/>
      <c r="N30" s="114"/>
      <c r="O30" s="114"/>
      <c r="P30" s="114"/>
      <c r="Q30" s="114"/>
      <c r="R30" s="114"/>
      <c r="S30" s="114" t="s">
        <v>668</v>
      </c>
      <c r="T30" s="10"/>
      <c r="U30" s="114"/>
      <c r="V30" s="116" t="s">
        <v>1109</v>
      </c>
      <c r="W30" s="777"/>
      <c r="X30" s="891">
        <f>($D30*dpsStr+$E30*dpsAgi+$G30*dpsCrit+$H30*dpsHit+$F30*dpsAP+$I30*dpsHaste+$J30*dpsArmor+$K30*dpsExp)+$W30-'Gear &amp; Buffs'!$AF$70</f>
        <v>-352.2084366808881</v>
      </c>
      <c r="Y30" s="891">
        <f>($D30*dpsStr+$E30*dpsAgi+$G30*dpsCrit+$H30*dpsHit+$F30*dpsAP+$I30*dpsHaste+$J30*dpsArmor+$K30*dpsExp)+$W30-'Gear &amp; Buffs'!$AF$71</f>
        <v>3.2159702326964634</v>
      </c>
      <c r="Z30" s="114">
        <f>IF(OR(trinket1=$A30,trinket2=$A30),"",IF(AND(IF('Gear &amp; Buffs'!$AC$50,MAX($X30,$Y30)&gt;0+'Gear &amp; Buffs'!$U$42,TRUE),OR(IF(includep1,$C30&lt;=1), IF(includep2,$C30&lt;=2), IF(includep3,$C30&lt;=3), IF(includep4,$C30&lt;=4), IF(includep5,$C30&lt;=5)), OR(IF(includeblacksmith,$S30="Blacksmithing"),IF(includeleatherwork,$S30="Leatherworking"),IF(includeengineer,$S30="Engineering"),IF(includejewelcrafting,$S30="Jewelcrafting"),IF(incAlc,$S30="Alchemy"),IF(includeboecrafted,$S30="BoE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Aman"),IF(includeprebc,$S30="Pre-BC"),IF(includesunwell,$S30="Sunwell"))),MAX($Z$1:$Z29)+1,""))</f>
        <v>15</v>
      </c>
      <c r="AA30" s="738">
        <v>27</v>
      </c>
      <c r="AB30" s="714" t="str">
        <f t="shared" si="0"/>
        <v/>
      </c>
    </row>
    <row r="31" spans="1:52" ht="12" customHeight="1">
      <c r="A31" s="10" t="s">
        <v>991</v>
      </c>
      <c r="B31" s="116">
        <v>34472</v>
      </c>
      <c r="C31" s="116">
        <v>5</v>
      </c>
      <c r="D31" s="114"/>
      <c r="E31" s="114"/>
      <c r="F31" s="115">
        <f>230*itSoCup</f>
        <v>93.061040263323463</v>
      </c>
      <c r="G31" s="116"/>
      <c r="H31" s="116"/>
      <c r="I31" s="115"/>
      <c r="J31" s="114"/>
      <c r="K31" s="116">
        <v>44</v>
      </c>
      <c r="L31" s="114"/>
      <c r="M31" s="116"/>
      <c r="N31" s="114"/>
      <c r="O31" s="116"/>
      <c r="P31" s="114"/>
      <c r="Q31" s="114"/>
      <c r="R31" s="114"/>
      <c r="S31" s="114" t="s">
        <v>691</v>
      </c>
      <c r="T31" s="10"/>
      <c r="U31" s="114"/>
      <c r="V31" s="116" t="s">
        <v>1109</v>
      </c>
      <c r="W31" s="777"/>
      <c r="X31" s="891">
        <f>($D31*dpsStr+$E31*dpsAgi+$G31*dpsCrit+$H31*dpsHit+$F31*dpsAP+$I31*dpsHaste+$J31*dpsArmor+$K31*dpsExp)+$W31-'Gear &amp; Buffs'!$AF$70</f>
        <v>-296.0398184132589</v>
      </c>
      <c r="Y31" s="891">
        <f>($D31*dpsStr+$E31*dpsAgi+$G31*dpsCrit+$H31*dpsHit+$F31*dpsAP+$I31*dpsHaste+$J31*dpsArmor+$K31*dpsExp)+$W31-'Gear &amp; Buffs'!$AF$71</f>
        <v>59.384588500325663</v>
      </c>
      <c r="Z31" s="114" t="str">
        <f>IF(OR(trinket1=$A31,trinket2=$A31),"",IF(AND(IF('Gear &amp; Buffs'!$AC$50,MAX($X31,$Y31)&gt;0+'Gear &amp; Buffs'!$U$42,TRUE),OR(IF(includep1,$C31&lt;=1), IF(includep2,$C31&lt;=2), IF(includep3,$C31&lt;=3), IF(includep4,$C31&lt;=4), IF(includep5,$C31&lt;=5)), OR(IF(includeblacksmith,$S31="Blacksmithing"),IF(includeleatherwork,$S31="Leatherworking"),IF(includeengineer,$S31="Engineering"),IF(includejewelcrafting,$S31="Jewelcrafting"),IF(incAlc,$S31="Alchemy"),IF(includeboecrafted,$S31="BoE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Aman"),IF(includeprebc,$S31="Pre-BC"),IF(includesunwell,$S31="Sunwell"))),MAX($Z$1:$Z30)+1,""))</f>
        <v/>
      </c>
      <c r="AA31" s="738">
        <v>28</v>
      </c>
      <c r="AB31" s="714" t="str">
        <f t="shared" si="0"/>
        <v/>
      </c>
    </row>
    <row r="32" spans="1:52" ht="12" customHeight="1">
      <c r="A32" s="126" t="s">
        <v>139</v>
      </c>
      <c r="B32" s="116">
        <v>23041</v>
      </c>
      <c r="C32" s="116">
        <v>1</v>
      </c>
      <c r="D32" s="114"/>
      <c r="E32" s="114"/>
      <c r="F32" s="115">
        <f>64+IF(time=0, 260*20/120, 0)</f>
        <v>64</v>
      </c>
      <c r="G32" s="116"/>
      <c r="H32" s="116"/>
      <c r="I32" s="114"/>
      <c r="J32" s="114"/>
      <c r="K32" s="114"/>
      <c r="L32" s="114"/>
      <c r="M32" s="116"/>
      <c r="N32" s="114"/>
      <c r="O32" s="114"/>
      <c r="P32" s="114"/>
      <c r="Q32" s="114"/>
      <c r="R32" s="114"/>
      <c r="S32" s="114" t="s">
        <v>668</v>
      </c>
      <c r="T32" s="10" t="s">
        <v>518</v>
      </c>
      <c r="U32" s="114" t="s">
        <v>2292</v>
      </c>
      <c r="V32" s="116" t="s">
        <v>1109</v>
      </c>
      <c r="W32" s="777"/>
      <c r="X32" s="891">
        <f>($D32*dpsStr+$E32*dpsAgi+$G32*dpsCrit+$H32*dpsHit+$F32*dpsAP+$I32*dpsHaste+$J32*dpsArmor+$K32*dpsExp)+$W32-'Gear &amp; Buffs'!$AF$70</f>
        <v>-358.28304712042586</v>
      </c>
      <c r="Y32" s="891">
        <f>($D32*dpsStr+$E32*dpsAgi+$G32*dpsCrit+$H32*dpsHit+$F32*dpsAP+$I32*dpsHaste+$J32*dpsArmor+$K32*dpsExp)+$W32-'Gear &amp; Buffs'!$AF$71</f>
        <v>-2.8586402068413008</v>
      </c>
      <c r="Z32" s="114">
        <f>IF(OR(trinket1=$A32,trinket2=$A32),"",IF(AND(IF('Gear &amp; Buffs'!$AC$50,MAX($X32,$Y32)&gt;0+'Gear &amp; Buffs'!$U$42,TRUE),OR(IF(includep1,$C32&lt;=1), IF(includep2,$C32&lt;=2), IF(includep3,$C32&lt;=3), IF(includep4,$C32&lt;=4), IF(includep5,$C32&lt;=5)), OR(IF(includeblacksmith,$S32="Blacksmithing"),IF(includeleatherwork,$S32="Leatherworking"),IF(includeengineer,$S32="Engineering"),IF(includejewelcrafting,$S32="Jewelcrafting"),IF(incAlc,$S32="Alchemy"),IF(includeboecrafted,$S32="BoE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Aman"),IF(includeprebc,$S32="Pre-BC"),IF(includesunwell,$S32="Sunwell"))),MAX($Z$1:$Z31)+1,""))</f>
        <v>16</v>
      </c>
      <c r="AA32" s="738">
        <v>29</v>
      </c>
      <c r="AB32" s="714" t="str">
        <f t="shared" si="0"/>
        <v/>
      </c>
      <c r="AE32" s="337" t="s">
        <v>990</v>
      </c>
      <c r="AF32" s="6"/>
    </row>
    <row r="33" spans="1:52" ht="12" customHeight="1">
      <c r="A33" s="10" t="s">
        <v>992</v>
      </c>
      <c r="B33" s="116">
        <v>34428</v>
      </c>
      <c r="C33" s="116">
        <v>5</v>
      </c>
      <c r="D33" s="114"/>
      <c r="E33" s="114"/>
      <c r="F33" s="115"/>
      <c r="G33" s="116"/>
      <c r="H33" s="116"/>
      <c r="I33" s="115"/>
      <c r="J33" s="114"/>
      <c r="K33" s="116">
        <v>54</v>
      </c>
      <c r="L33" s="114"/>
      <c r="M33" s="116"/>
      <c r="N33" s="114"/>
      <c r="O33" s="116"/>
      <c r="P33" s="114"/>
      <c r="Q33" s="114"/>
      <c r="R33" s="114"/>
      <c r="S33" s="114" t="s">
        <v>871</v>
      </c>
      <c r="T33" s="10"/>
      <c r="U33" s="114"/>
      <c r="V33" s="116" t="s">
        <v>1109</v>
      </c>
      <c r="W33" s="777"/>
      <c r="X33" s="891">
        <f>($D33*dpsStr+$E33*dpsAgi+$G33*dpsCrit+$H33*dpsHit+$F33*dpsAP+$I33*dpsHaste+$J33*dpsArmor+$K33*dpsExp)+$W33-'Gear &amp; Buffs'!$AF$70</f>
        <v>-317.50722087336612</v>
      </c>
      <c r="Y33" s="891">
        <f>($D33*dpsStr+$E33*dpsAgi+$G33*dpsCrit+$H33*dpsHit+$F33*dpsAP+$I33*dpsHaste+$J33*dpsArmor+$K33*dpsExp)+$W33-'Gear &amp; Buffs'!$AF$71</f>
        <v>37.917186040218439</v>
      </c>
      <c r="Z33" s="114" t="str">
        <f>IF(OR(trinket1=$A33,trinket2=$A33),"",IF(AND(IF('Gear &amp; Buffs'!$AC$50,MAX($X33,$Y33)&gt;0+'Gear &amp; Buffs'!$U$42,TRUE),OR(IF(includep1,$C33&lt;=1), IF(includep2,$C33&lt;=2), IF(includep3,$C33&lt;=3), IF(includep4,$C33&lt;=4), IF(includep5,$C33&lt;=5)), OR(IF(includeblacksmith,$S33="Blacksmithing"),IF(includeleatherwork,$S33="Leatherworking"),IF(includeengineer,$S33="Engineering"),IF(includejewelcrafting,$S33="Jewelcrafting"),IF(incAlc,$S33="Alchemy"),IF(includeboecrafted,$S33="BoE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Aman"),IF(includeprebc,$S33="Pre-BC"),IF(includesunwell,$S33="Sunwell"))),MAX($Z$1:$Z32)+1,""))</f>
        <v/>
      </c>
      <c r="AA33" s="738">
        <v>30</v>
      </c>
      <c r="AB33" s="714" t="str">
        <f t="shared" si="0"/>
        <v/>
      </c>
      <c r="AE33" s="6">
        <v>1</v>
      </c>
      <c r="AF33" s="6">
        <f>'Damage Calc'!J47/'Damage Calc'!H47</f>
        <v>0.41570551658187188</v>
      </c>
    </row>
    <row r="34" spans="1:52" ht="12" customHeight="1">
      <c r="A34" s="126" t="s">
        <v>140</v>
      </c>
      <c r="B34" s="116">
        <v>25937</v>
      </c>
      <c r="C34" s="116">
        <v>1</v>
      </c>
      <c r="D34" s="114"/>
      <c r="E34" s="114"/>
      <c r="F34" s="115">
        <f>IF(time=0, 140*15/90, 0)</f>
        <v>0</v>
      </c>
      <c r="G34" s="116"/>
      <c r="H34" s="116">
        <v>22</v>
      </c>
      <c r="I34" s="124"/>
      <c r="J34" s="114"/>
      <c r="K34" s="124"/>
      <c r="L34" s="114"/>
      <c r="M34" s="116"/>
      <c r="N34" s="127"/>
      <c r="O34" s="124"/>
      <c r="P34" s="114"/>
      <c r="Q34" s="114"/>
      <c r="R34" s="114"/>
      <c r="S34" s="114" t="s">
        <v>675</v>
      </c>
      <c r="T34" s="10" t="s">
        <v>141</v>
      </c>
      <c r="U34" s="114" t="s">
        <v>2294</v>
      </c>
      <c r="V34" s="116" t="s">
        <v>1109</v>
      </c>
      <c r="W34" s="777"/>
      <c r="X34" s="891">
        <f>($D34*dpsStr+$E34*dpsAgi+$G34*dpsCrit+$H34*dpsHit+$F34*dpsAP+$I34*dpsHaste+$J34*dpsArmor+$K34*dpsExp)+$W34-'Gear &amp; Buffs'!$AF$70</f>
        <v>-259.05147649835885</v>
      </c>
      <c r="Y34" s="891">
        <f>($D34*dpsStr+$E34*dpsAgi+$G34*dpsCrit+$H34*dpsHit+$F34*dpsAP+$I34*dpsHaste+$J34*dpsArmor+$K34*dpsExp)+$W34-'Gear &amp; Buffs'!$AF$71</f>
        <v>96.37293041522571</v>
      </c>
      <c r="Z34" s="114">
        <f>IF(OR(trinket1=$A34,trinket2=$A34),"",IF(AND(IF('Gear &amp; Buffs'!$AC$50,MAX($X34,$Y34)&gt;0+'Gear &amp; Buffs'!$U$42,TRUE),OR(IF(includep1,$C34&lt;=1), IF(includep2,$C34&lt;=2), IF(includep3,$C34&lt;=3), IF(includep4,$C34&lt;=4), IF(includep5,$C34&lt;=5)), OR(IF(includeblacksmith,$S34="Blacksmithing"),IF(includeleatherwork,$S34="Leatherworking"),IF(includeengineer,$S34="Engineering"),IF(includejewelcrafting,$S34="Jewelcrafting"),IF(incAlc,$S34="Alchemy"),IF(includeboecrafted,$S34="BoE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Aman"),IF(includeprebc,$S34="Pre-BC"),IF(includesunwell,$S34="Sunwell"))),MAX($Z$1:$Z33)+1,""))</f>
        <v>17</v>
      </c>
      <c r="AA34" s="738">
        <v>31</v>
      </c>
      <c r="AB34" s="714" t="str">
        <f t="shared" si="0"/>
        <v/>
      </c>
      <c r="AE34" s="6">
        <v>2</v>
      </c>
      <c r="AF34" s="6">
        <f t="shared" ref="AF34:AF41" si="7">AF33</f>
        <v>0.41570551658187188</v>
      </c>
    </row>
    <row r="35" spans="1:52" ht="12" customHeight="1">
      <c r="A35" s="126" t="s">
        <v>142</v>
      </c>
      <c r="B35" s="116">
        <v>30627</v>
      </c>
      <c r="C35" s="116">
        <v>2</v>
      </c>
      <c r="D35" s="114"/>
      <c r="E35" s="114"/>
      <c r="F35" s="115">
        <f>340*itTTup</f>
        <v>53.564391383359499</v>
      </c>
      <c r="G35" s="116">
        <v>38</v>
      </c>
      <c r="H35" s="116">
        <v>10</v>
      </c>
      <c r="I35" s="124"/>
      <c r="J35" s="114"/>
      <c r="K35" s="124"/>
      <c r="L35" s="114"/>
      <c r="M35" s="116"/>
      <c r="N35" s="127"/>
      <c r="O35" s="124"/>
      <c r="P35" s="114"/>
      <c r="Q35" s="114"/>
      <c r="R35" s="114"/>
      <c r="S35" s="114" t="s">
        <v>667</v>
      </c>
      <c r="T35" s="10" t="s">
        <v>143</v>
      </c>
      <c r="U35" s="114"/>
      <c r="V35" s="116" t="s">
        <v>1109</v>
      </c>
      <c r="W35" s="777"/>
      <c r="X35" s="891">
        <f>($D35*dpsStr+$E35*dpsAgi+$G35*dpsCrit+$H35*dpsHit+$F35*dpsAP+$I35*dpsHaste+$J35*dpsArmor+$K35*dpsExp)+$W35-'Gear &amp; Buffs'!$AF$70</f>
        <v>-280.45142913659242</v>
      </c>
      <c r="Y35" s="891">
        <f>($D35*dpsStr+$E35*dpsAgi+$G35*dpsCrit+$H35*dpsHit+$F35*dpsAP+$I35*dpsHaste+$J35*dpsArmor+$K35*dpsExp)+$W35-'Gear &amp; Buffs'!$AF$71</f>
        <v>74.972977776992138</v>
      </c>
      <c r="Z35" s="114" t="str">
        <f>IF(OR(trinket1=$A35,trinket2=$A35),"",IF(AND(IF('Gear &amp; Buffs'!$AC$50,MAX($X35,$Y35)&gt;0+'Gear &amp; Buffs'!$U$42,TRUE),OR(IF(includep1,$C35&lt;=1), IF(includep2,$C35&lt;=2), IF(includep3,$C35&lt;=3), IF(includep4,$C35&lt;=4), IF(includep5,$C35&lt;=5)), OR(IF(includeblacksmith,$S35="Blacksmithing"),IF(includeleatherwork,$S35="Leatherworking"),IF(includeengineer,$S35="Engineering"),IF(includejewelcrafting,$S35="Jewelcrafting"),IF(incAlc,$S35="Alchemy"),IF(includeboecrafted,$S35="BoE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Aman"),IF(includeprebc,$S35="Pre-BC"),IF(includesunwell,$S35="Sunwell"))),MAX($Z$1:$Z34)+1,""))</f>
        <v/>
      </c>
      <c r="AA35" s="738">
        <v>32</v>
      </c>
      <c r="AB35" s="714" t="str">
        <f t="shared" si="0"/>
        <v/>
      </c>
      <c r="AE35" s="6">
        <v>3</v>
      </c>
      <c r="AF35" s="6">
        <f t="shared" si="7"/>
        <v>0.41570551658187188</v>
      </c>
    </row>
    <row r="36" spans="1:52" ht="12" customHeight="1">
      <c r="A36" s="126" t="s">
        <v>2400</v>
      </c>
      <c r="B36" s="116">
        <v>25633</v>
      </c>
      <c r="C36" s="116">
        <v>1</v>
      </c>
      <c r="D36" s="114"/>
      <c r="E36" s="114"/>
      <c r="F36" s="115">
        <f>48+IF(time=0, 185*15/120, 0)</f>
        <v>48</v>
      </c>
      <c r="G36" s="116"/>
      <c r="H36" s="116"/>
      <c r="I36" s="124"/>
      <c r="J36" s="114"/>
      <c r="K36" s="124"/>
      <c r="L36" s="114"/>
      <c r="M36" s="116"/>
      <c r="N36" s="127"/>
      <c r="O36" s="124"/>
      <c r="P36" s="114"/>
      <c r="Q36" s="114"/>
      <c r="R36" s="114"/>
      <c r="S36" s="114" t="s">
        <v>675</v>
      </c>
      <c r="T36" s="10" t="s">
        <v>2401</v>
      </c>
      <c r="U36" s="114" t="s">
        <v>2292</v>
      </c>
      <c r="V36" s="116" t="s">
        <v>1109</v>
      </c>
      <c r="W36" s="777"/>
      <c r="X36" s="891">
        <f>($D36*dpsStr+$E36*dpsAgi+$G36*dpsCrit+$H36*dpsHit+$F36*dpsAP+$I36*dpsHaste+$J36*dpsArmor+$K36*dpsExp)+$W36-'Gear &amp; Buffs'!$AF$70</f>
        <v>-364.00032753410846</v>
      </c>
      <c r="Y36" s="891">
        <f>($D36*dpsStr+$E36*dpsAgi+$G36*dpsCrit+$H36*dpsHit+$F36*dpsAP+$I36*dpsHaste+$J36*dpsArmor+$K36*dpsExp)+$W36-'Gear &amp; Buffs'!$AF$71</f>
        <v>-8.5759206205239025</v>
      </c>
      <c r="Z36" s="114">
        <f>IF(OR(trinket1=$A36,trinket2=$A36),"",IF(AND(IF('Gear &amp; Buffs'!$AC$50,MAX($X36,$Y36)&gt;0+'Gear &amp; Buffs'!$U$42,TRUE),OR(IF(includep1,$C36&lt;=1), IF(includep2,$C36&lt;=2), IF(includep3,$C36&lt;=3), IF(includep4,$C36&lt;=4), IF(includep5,$C36&lt;=5)), OR(IF(includeblacksmith,$S36="Blacksmithing"),IF(includeleatherwork,$S36="Leatherworking"),IF(includeengineer,$S36="Engineering"),IF(includejewelcrafting,$S36="Jewelcrafting"),IF(incAlc,$S36="Alchemy"),IF(includeboecrafted,$S36="BoE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Aman"),IF(includeprebc,$S36="Pre-BC"),IF(includesunwell,$S36="Sunwell"))),MAX($Z$1:$Z35)+1,""))</f>
        <v>18</v>
      </c>
      <c r="AA36" s="738">
        <v>33</v>
      </c>
      <c r="AB36" s="714" t="str">
        <f t="shared" si="0"/>
        <v/>
      </c>
      <c r="AE36" s="6">
        <v>4</v>
      </c>
      <c r="AF36" s="6">
        <f t="shared" si="7"/>
        <v>0.41570551658187188</v>
      </c>
    </row>
    <row r="37" spans="1:52" ht="12" customHeight="1">
      <c r="A37" s="126" t="s">
        <v>1940</v>
      </c>
      <c r="B37" s="116">
        <v>30450</v>
      </c>
      <c r="C37" s="116">
        <v>2</v>
      </c>
      <c r="D37" s="114"/>
      <c r="E37" s="114"/>
      <c r="F37" s="115"/>
      <c r="G37" s="127"/>
      <c r="H37" s="115">
        <v>21</v>
      </c>
      <c r="I37" s="124"/>
      <c r="J37" s="124">
        <f>1000*itWSCup</f>
        <v>368.36514501652164</v>
      </c>
      <c r="K37" s="124"/>
      <c r="L37" s="114"/>
      <c r="M37" s="127"/>
      <c r="N37" s="124"/>
      <c r="O37" s="124"/>
      <c r="P37" s="114"/>
      <c r="Q37" s="114"/>
      <c r="R37" s="114"/>
      <c r="S37" s="114" t="s">
        <v>680</v>
      </c>
      <c r="T37" s="10" t="s">
        <v>743</v>
      </c>
      <c r="U37" s="114"/>
      <c r="V37" s="116" t="s">
        <v>1109</v>
      </c>
      <c r="W37" s="777"/>
      <c r="X37" s="891">
        <f>($D37*dpsStr+$E37*dpsAgi+$G37*dpsCrit+$H37*dpsHit+$F37*dpsAP+$I37*dpsHaste+$J37*dpsArmor+$K37*dpsExp)+$W37-'Gear &amp; Buffs'!$AF$70</f>
        <v>-219.32626321036039</v>
      </c>
      <c r="Y37" s="891">
        <f>($D37*dpsStr+$E37*dpsAgi+$G37*dpsCrit+$H37*dpsHit+$F37*dpsAP+$I37*dpsHaste+$J37*dpsArmor+$K37*dpsExp)+$W37-'Gear &amp; Buffs'!$AF$71</f>
        <v>136.09814370322417</v>
      </c>
      <c r="Z37" s="114" t="str">
        <f>IF(OR(trinket1=$A37,trinket2=$A37),"",IF(AND(IF('Gear &amp; Buffs'!$AC$50,MAX($X37,$Y37)&gt;0+'Gear &amp; Buffs'!$U$42,TRUE),OR(IF(includep1,$C37&lt;=1), IF(includep2,$C37&lt;=2), IF(includep3,$C37&lt;=3), IF(includep4,$C37&lt;=4), IF(includep5,$C37&lt;=5)), OR(IF(includeblacksmith,$S37="Blacksmithing"),IF(includeleatherwork,$S37="Leatherworking"),IF(includeengineer,$S37="Engineering"),IF(includejewelcrafting,$S37="Jewelcrafting"),IF(incAlc,$S37="Alchemy"),IF(includeboecrafted,$S37="BoE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Aman"),IF(includeprebc,$S37="Pre-BC"),IF(includesunwell,$S37="Sunwell"))),MAX($Z$1:$Z36)+1,""))</f>
        <v/>
      </c>
      <c r="AA37" s="738">
        <v>34</v>
      </c>
      <c r="AB37" s="714" t="str">
        <f t="shared" si="0"/>
        <v/>
      </c>
      <c r="AE37" s="6">
        <v>5</v>
      </c>
      <c r="AF37" s="6">
        <f t="shared" si="7"/>
        <v>0.41570551658187188</v>
      </c>
    </row>
    <row r="38" spans="1:52" ht="12" customHeight="1">
      <c r="A38" s="10" t="str">
        <f>'Gear &amp; Buffs'!$B$168</f>
        <v>(Unmodeled)</v>
      </c>
      <c r="B38" s="114"/>
      <c r="C38" s="114"/>
      <c r="D38" s="114">
        <f>'Gear &amp; Buffs'!$D$168</f>
        <v>0</v>
      </c>
      <c r="E38" s="115">
        <f>'Gear &amp; Buffs'!$E$168</f>
        <v>0</v>
      </c>
      <c r="F38" s="115">
        <f>'Gear &amp; Buffs'!$I$168</f>
        <v>0</v>
      </c>
      <c r="G38" s="115">
        <f>'Gear &amp; Buffs'!$G$168</f>
        <v>0</v>
      </c>
      <c r="H38" s="115">
        <f>'Gear &amp; Buffs'!$H$168</f>
        <v>0</v>
      </c>
      <c r="I38" s="115">
        <f>'Gear &amp; Buffs'!$P$168</f>
        <v>0</v>
      </c>
      <c r="J38" s="115">
        <f>'Gear &amp; Buffs'!$Q$168</f>
        <v>0</v>
      </c>
      <c r="K38" s="115">
        <f>'Gear &amp; Buffs'!$L$168</f>
        <v>0</v>
      </c>
      <c r="L38" s="115">
        <f>'Gear &amp; Buffs'!$F$168</f>
        <v>0</v>
      </c>
      <c r="M38" s="115">
        <f>'Gear &amp; Buffs'!$K$168</f>
        <v>0</v>
      </c>
      <c r="N38" s="115">
        <f>'Gear &amp; Buffs'!$J$168</f>
        <v>0</v>
      </c>
      <c r="O38" s="115">
        <f>'Gear &amp; Buffs'!M168</f>
        <v>0</v>
      </c>
      <c r="P38" s="114"/>
      <c r="Q38" s="114" t="str">
        <f>'Gear &amp; Buffs'!$R$168</f>
        <v>0 0 0</v>
      </c>
      <c r="R38" s="720">
        <f>'Gear &amp; Buffs'!$S$168</f>
        <v>0</v>
      </c>
      <c r="S38" s="114"/>
      <c r="T38" s="10"/>
      <c r="U38" s="114"/>
      <c r="V38" s="116" t="s">
        <v>1109</v>
      </c>
      <c r="W38" s="114"/>
      <c r="X38" s="891">
        <f>($D38*dpsStr+$E38*dpsAgi+$G38*dpsCrit+$H38*dpsHit+$F38*dpsAP+$I38*dpsHaste+$J38*dpsArmor+$K38*dpsExp)+$W38-'Gear &amp; Buffs'!$AF$70</f>
        <v>-381.15216877515627</v>
      </c>
      <c r="Y38" s="891">
        <f>($D38*dpsStr+$E38*dpsAgi+$G38*dpsCrit+$H38*dpsHit+$F38*dpsAP+$I38*dpsHaste+$J38*dpsArmor+$K38*dpsExp)+$W38-'Gear &amp; Buffs'!$AF$71</f>
        <v>-25.727761861571707</v>
      </c>
      <c r="Z38" s="114">
        <f>MAX($Z$1:$Z37)+1</f>
        <v>19</v>
      </c>
      <c r="AA38" s="738">
        <v>35</v>
      </c>
      <c r="AB38" s="714" t="str">
        <f t="shared" si="0"/>
        <v/>
      </c>
      <c r="AE38" s="6">
        <v>6</v>
      </c>
      <c r="AF38" s="6">
        <f t="shared" si="7"/>
        <v>0.41570551658187188</v>
      </c>
    </row>
    <row r="39" spans="1:52" ht="12" customHeight="1">
      <c r="A39" s="10" t="str">
        <f>'Gear &amp; Buffs'!$B$169</f>
        <v>(Unmodeled 2)</v>
      </c>
      <c r="B39" s="114"/>
      <c r="C39" s="114"/>
      <c r="D39" s="114">
        <f>'Gear &amp; Buffs'!$D$169</f>
        <v>0</v>
      </c>
      <c r="E39" s="115">
        <f>'Gear &amp; Buffs'!$E$169</f>
        <v>0</v>
      </c>
      <c r="F39" s="115">
        <f>'Gear &amp; Buffs'!$I$169</f>
        <v>0</v>
      </c>
      <c r="G39" s="115">
        <f>'Gear &amp; Buffs'!$G$169</f>
        <v>0</v>
      </c>
      <c r="H39" s="115">
        <f>'Gear &amp; Buffs'!$H$169</f>
        <v>0</v>
      </c>
      <c r="I39" s="115">
        <f>'Gear &amp; Buffs'!$P$169</f>
        <v>0</v>
      </c>
      <c r="J39" s="115">
        <f>'Gear &amp; Buffs'!$Q$169</f>
        <v>0</v>
      </c>
      <c r="K39" s="115">
        <f>'Gear &amp; Buffs'!$L$169</f>
        <v>0</v>
      </c>
      <c r="L39" s="115">
        <f>'Gear &amp; Buffs'!$F$169</f>
        <v>0</v>
      </c>
      <c r="M39" s="115">
        <f>'Gear &amp; Buffs'!$K$169</f>
        <v>0</v>
      </c>
      <c r="N39" s="115">
        <f>'Gear &amp; Buffs'!$J$169</f>
        <v>0</v>
      </c>
      <c r="O39" s="115">
        <f>'Gear &amp; Buffs'!M169</f>
        <v>0</v>
      </c>
      <c r="P39" s="114"/>
      <c r="Q39" s="114" t="str">
        <f>'Gear &amp; Buffs'!$R$169</f>
        <v>0 0 0</v>
      </c>
      <c r="R39" s="720">
        <f>'Gear &amp; Buffs'!$S$169</f>
        <v>0</v>
      </c>
      <c r="S39" s="114"/>
      <c r="T39" s="10"/>
      <c r="U39" s="114"/>
      <c r="V39" s="116" t="s">
        <v>1109</v>
      </c>
      <c r="W39" s="114"/>
      <c r="X39" s="891">
        <f>($D39*dpsStr+$E39*dpsAgi+$G39*dpsCrit+$H39*dpsHit+$F39*dpsAP+$I39*dpsHaste+$J39*dpsArmor+$K39*dpsExp)+$W39-'Gear &amp; Buffs'!$AF$70</f>
        <v>-381.15216877515627</v>
      </c>
      <c r="Y39" s="891">
        <f>($D39*dpsStr+$E39*dpsAgi+$G39*dpsCrit+$H39*dpsHit+$F39*dpsAP+$I39*dpsHaste+$J39*dpsArmor+$K39*dpsExp)+$W39-'Gear &amp; Buffs'!$AF$71</f>
        <v>-25.727761861571707</v>
      </c>
      <c r="Z39" s="114">
        <f>MAX($Z$1:$Z38)+1</f>
        <v>20</v>
      </c>
      <c r="AA39" s="738">
        <v>36</v>
      </c>
      <c r="AB39" s="714" t="str">
        <f t="shared" si="0"/>
        <v/>
      </c>
      <c r="AE39" s="6">
        <v>7</v>
      </c>
      <c r="AF39" s="6">
        <f t="shared" si="7"/>
        <v>0.41570551658187188</v>
      </c>
    </row>
    <row r="40" spans="1:52" ht="12" customHeight="1">
      <c r="A40" s="126" t="s">
        <v>2207</v>
      </c>
      <c r="B40" s="116"/>
      <c r="C40" s="116"/>
      <c r="D40" s="114"/>
      <c r="E40" s="114"/>
      <c r="F40" s="114"/>
      <c r="G40" s="127"/>
      <c r="H40" s="127"/>
      <c r="I40" s="124"/>
      <c r="J40" s="114"/>
      <c r="K40" s="124"/>
      <c r="L40" s="114"/>
      <c r="M40" s="127"/>
      <c r="N40" s="124"/>
      <c r="O40" s="124"/>
      <c r="P40" s="114"/>
      <c r="Q40" s="114"/>
      <c r="R40" s="114"/>
      <c r="S40" s="114"/>
      <c r="T40" s="10"/>
      <c r="U40" s="114"/>
      <c r="V40" s="116" t="s">
        <v>1109</v>
      </c>
      <c r="W40" s="114"/>
      <c r="X40" s="891"/>
      <c r="Y40" s="891"/>
      <c r="Z40" s="114"/>
      <c r="AA40" s="738">
        <v>37</v>
      </c>
      <c r="AB40" s="714" t="str">
        <f t="shared" si="0"/>
        <v/>
      </c>
      <c r="AE40" s="6">
        <v>8</v>
      </c>
      <c r="AF40" s="6">
        <f t="shared" si="7"/>
        <v>0.41570551658187188</v>
      </c>
    </row>
    <row r="41" spans="1:52" ht="12" customHeight="1">
      <c r="A41" s="126"/>
      <c r="B41" s="116"/>
      <c r="C41" s="116"/>
      <c r="D41" s="114"/>
      <c r="E41" s="114"/>
      <c r="F41" s="114"/>
      <c r="G41" s="127"/>
      <c r="H41" s="127"/>
      <c r="I41" s="124"/>
      <c r="J41" s="114"/>
      <c r="K41" s="124"/>
      <c r="L41" s="114"/>
      <c r="M41" s="127"/>
      <c r="N41" s="124"/>
      <c r="O41" s="124"/>
      <c r="P41" s="114"/>
      <c r="Q41" s="114"/>
      <c r="R41" s="114"/>
      <c r="S41" s="114"/>
      <c r="T41" s="10"/>
      <c r="U41" s="114"/>
      <c r="V41" s="124"/>
      <c r="W41" s="114"/>
      <c r="X41" s="114"/>
      <c r="Y41" s="114"/>
      <c r="Z41" s="114"/>
      <c r="AA41" s="114"/>
      <c r="AB41" s="10"/>
      <c r="AE41" s="6">
        <v>9</v>
      </c>
      <c r="AF41" s="6">
        <f t="shared" si="7"/>
        <v>0.41570551658187188</v>
      </c>
    </row>
    <row r="42" spans="1:52" ht="12" customHeight="1">
      <c r="A42" s="126"/>
      <c r="B42" s="116"/>
      <c r="C42" s="116"/>
      <c r="D42" s="114"/>
      <c r="E42" s="114"/>
      <c r="F42" s="114"/>
      <c r="G42" s="127"/>
      <c r="H42" s="127"/>
      <c r="I42" s="124"/>
      <c r="J42" s="114"/>
      <c r="K42" s="124"/>
      <c r="L42" s="114"/>
      <c r="M42" s="127"/>
      <c r="N42" s="124"/>
      <c r="O42" s="124"/>
      <c r="P42" s="114"/>
      <c r="Q42" s="114"/>
      <c r="R42" s="114"/>
      <c r="S42" s="114"/>
      <c r="T42" s="10"/>
      <c r="U42" s="114"/>
      <c r="V42" s="124"/>
      <c r="W42" s="114"/>
      <c r="X42" s="114"/>
      <c r="Y42" s="114"/>
      <c r="Z42" s="114"/>
      <c r="AA42" s="114"/>
      <c r="AB42" s="10"/>
      <c r="AE42" s="6">
        <v>10</v>
      </c>
      <c r="AF42" s="6">
        <f>20-SUM(AF33:AF41)</f>
        <v>16.258650350763155</v>
      </c>
    </row>
    <row r="43" spans="1:52" ht="12" customHeight="1">
      <c r="A43" s="126"/>
      <c r="B43" s="116"/>
      <c r="C43" s="116"/>
      <c r="D43" s="114"/>
      <c r="E43" s="114"/>
      <c r="F43" s="114"/>
      <c r="G43" s="127"/>
      <c r="H43" s="127"/>
      <c r="I43" s="124"/>
      <c r="J43" s="114"/>
      <c r="K43" s="124"/>
      <c r="L43" s="114"/>
      <c r="M43" s="127"/>
      <c r="N43" s="124"/>
      <c r="O43" s="124"/>
      <c r="P43" s="114"/>
      <c r="Q43" s="114"/>
      <c r="R43" s="114"/>
      <c r="S43" s="114"/>
      <c r="T43" s="10"/>
      <c r="U43" s="114"/>
      <c r="V43" s="124"/>
      <c r="W43" s="114"/>
      <c r="X43" s="114"/>
      <c r="Y43" s="114"/>
      <c r="Z43" s="114"/>
      <c r="AA43" s="114"/>
      <c r="AB43" s="47"/>
      <c r="AE43" s="6"/>
      <c r="AF43" s="6">
        <f>SUMPRODUCT(AE33:AE42,AF33:AF42)/20*44</f>
        <v>398.84515385839478</v>
      </c>
    </row>
    <row r="44" spans="1:52" ht="12" customHeight="1">
      <c r="A44" s="248" t="s">
        <v>3125</v>
      </c>
      <c r="B44" s="235"/>
      <c r="C44" s="235"/>
      <c r="D44" s="246"/>
      <c r="E44" s="246"/>
      <c r="F44" s="246"/>
      <c r="G44" s="246"/>
      <c r="H44" s="246"/>
      <c r="I44" s="235"/>
      <c r="J44" s="219"/>
      <c r="K44" s="235"/>
      <c r="L44" s="246"/>
      <c r="M44" s="246"/>
      <c r="N44" s="235"/>
      <c r="O44" s="235"/>
      <c r="P44" s="219"/>
      <c r="Q44" s="219"/>
      <c r="R44" s="219"/>
      <c r="S44" s="237"/>
      <c r="T44" s="850"/>
      <c r="V44" s="124"/>
    </row>
    <row r="45" spans="1:52" ht="12" customHeight="1">
      <c r="A45" s="238" t="s">
        <v>3126</v>
      </c>
      <c r="B45" s="235"/>
      <c r="C45" s="235"/>
      <c r="D45" s="247"/>
      <c r="E45" s="247"/>
      <c r="F45" s="247"/>
      <c r="G45" s="247"/>
      <c r="H45" s="247"/>
      <c r="I45" s="235"/>
      <c r="J45" s="219"/>
      <c r="K45" s="235"/>
      <c r="L45" s="247"/>
      <c r="M45" s="247"/>
      <c r="N45" s="235"/>
      <c r="O45" s="235"/>
      <c r="P45" s="219"/>
      <c r="Q45" s="219"/>
      <c r="R45" s="219"/>
      <c r="S45" s="237"/>
      <c r="T45" s="850"/>
      <c r="V45" s="124"/>
    </row>
    <row r="46" spans="1:52" ht="12" customHeight="1">
      <c r="A46" s="129"/>
      <c r="B46" s="124"/>
      <c r="C46" s="129"/>
      <c r="D46" s="129"/>
      <c r="E46" s="129"/>
      <c r="S46" s="48"/>
      <c r="T46" s="851"/>
      <c r="V46" s="124"/>
      <c r="AB46" s="208"/>
      <c r="AE46" s="1324" t="s">
        <v>1657</v>
      </c>
      <c r="AI46" s="128"/>
    </row>
    <row r="47" spans="1:52" ht="12" customHeight="1">
      <c r="A47" s="129"/>
      <c r="B47" s="124"/>
      <c r="C47" s="129"/>
      <c r="D47" s="129"/>
      <c r="E47" s="129"/>
      <c r="S47" s="48"/>
      <c r="T47" s="851"/>
      <c r="U47" s="137"/>
      <c r="V47" s="249"/>
      <c r="W47" s="137"/>
      <c r="X47" s="137"/>
      <c r="Y47" s="137"/>
      <c r="Z47" s="137"/>
      <c r="AE47" s="47">
        <v>0</v>
      </c>
      <c r="AF47" s="47">
        <v>1</v>
      </c>
      <c r="AG47" s="47">
        <v>2</v>
      </c>
      <c r="AH47" s="47">
        <v>3</v>
      </c>
      <c r="AI47" s="47">
        <v>4</v>
      </c>
      <c r="AJ47" s="47">
        <v>5</v>
      </c>
      <c r="AK47" s="47">
        <v>6</v>
      </c>
      <c r="AL47" s="47">
        <v>7</v>
      </c>
      <c r="AM47" s="47">
        <v>8</v>
      </c>
      <c r="AN47" s="47">
        <v>9</v>
      </c>
      <c r="AO47" s="47">
        <v>10</v>
      </c>
      <c r="AP47" s="47">
        <v>11</v>
      </c>
      <c r="AQ47" s="47">
        <v>12</v>
      </c>
      <c r="AR47" s="47">
        <v>13</v>
      </c>
      <c r="AS47" s="47">
        <v>14</v>
      </c>
      <c r="AT47" s="47">
        <v>15</v>
      </c>
      <c r="AU47" s="47">
        <v>16</v>
      </c>
      <c r="AV47" s="47">
        <v>17</v>
      </c>
      <c r="AW47" s="47">
        <v>18</v>
      </c>
      <c r="AX47" s="47">
        <v>19</v>
      </c>
      <c r="AY47" s="47">
        <v>20</v>
      </c>
      <c r="AZ47" s="48" t="s">
        <v>1895</v>
      </c>
    </row>
    <row r="48" spans="1:52" ht="12" customHeight="1">
      <c r="A48" s="129"/>
      <c r="B48" s="124"/>
      <c r="C48" s="129"/>
      <c r="D48" s="129"/>
      <c r="E48" s="129"/>
      <c r="S48" s="48"/>
      <c r="T48" s="851"/>
      <c r="U48" s="48"/>
      <c r="W48" s="48"/>
      <c r="X48" s="48"/>
      <c r="Y48" s="48"/>
      <c r="AE48" s="48">
        <v>0</v>
      </c>
      <c r="AF48" s="48">
        <f>IF(time=0, 0, 'Damage Calc'!J47/'Damage Calc'!H47/time)</f>
        <v>1.3856850552729063E-3</v>
      </c>
      <c r="AG48" s="48">
        <f t="shared" ref="AG48:AX48" si="8">IF(time=0, 0, AF48)</f>
        <v>1.3856850552729063E-3</v>
      </c>
      <c r="AH48" s="48">
        <f t="shared" si="8"/>
        <v>1.3856850552729063E-3</v>
      </c>
      <c r="AI48" s="48">
        <f t="shared" si="8"/>
        <v>1.3856850552729063E-3</v>
      </c>
      <c r="AJ48" s="48">
        <f t="shared" si="8"/>
        <v>1.3856850552729063E-3</v>
      </c>
      <c r="AK48" s="48">
        <f t="shared" si="8"/>
        <v>1.3856850552729063E-3</v>
      </c>
      <c r="AL48" s="48">
        <f t="shared" si="8"/>
        <v>1.3856850552729063E-3</v>
      </c>
      <c r="AM48" s="48">
        <f t="shared" si="8"/>
        <v>1.3856850552729063E-3</v>
      </c>
      <c r="AN48" s="48">
        <f t="shared" si="8"/>
        <v>1.3856850552729063E-3</v>
      </c>
      <c r="AO48" s="48">
        <f t="shared" si="8"/>
        <v>1.3856850552729063E-3</v>
      </c>
      <c r="AP48" s="48">
        <f t="shared" si="8"/>
        <v>1.3856850552729063E-3</v>
      </c>
      <c r="AQ48" s="48">
        <f t="shared" si="8"/>
        <v>1.3856850552729063E-3</v>
      </c>
      <c r="AR48" s="48">
        <f t="shared" si="8"/>
        <v>1.3856850552729063E-3</v>
      </c>
      <c r="AS48" s="48">
        <f t="shared" si="8"/>
        <v>1.3856850552729063E-3</v>
      </c>
      <c r="AT48" s="48">
        <f t="shared" si="8"/>
        <v>1.3856850552729063E-3</v>
      </c>
      <c r="AU48" s="48">
        <f t="shared" si="8"/>
        <v>1.3856850552729063E-3</v>
      </c>
      <c r="AV48" s="48">
        <f t="shared" si="8"/>
        <v>1.3856850552729063E-3</v>
      </c>
      <c r="AW48" s="48">
        <f t="shared" si="8"/>
        <v>1.3856850552729063E-3</v>
      </c>
      <c r="AX48" s="48">
        <f t="shared" si="8"/>
        <v>1.3856850552729063E-3</v>
      </c>
      <c r="AY48" s="48">
        <f>1-SUM(AE48:AX48)</f>
        <v>0.9736719839498148</v>
      </c>
      <c r="AZ48" s="48">
        <f>SUMPRODUCT(AE47:AY47,AE48:AY48)*6</f>
        <v>118.4203190369889</v>
      </c>
    </row>
    <row r="49" spans="1:25" ht="12" customHeight="1">
      <c r="A49" s="129"/>
      <c r="B49" s="124"/>
      <c r="C49" s="129"/>
      <c r="D49" s="129"/>
      <c r="E49" s="129"/>
      <c r="S49" s="48"/>
      <c r="T49" s="851"/>
      <c r="U49" s="48"/>
      <c r="W49" s="48"/>
      <c r="X49" s="48"/>
      <c r="Y49" s="48"/>
    </row>
    <row r="50" spans="1:25" ht="12" customHeight="1">
      <c r="A50" s="129"/>
      <c r="B50" s="124"/>
      <c r="C50" s="129"/>
      <c r="D50" s="129"/>
      <c r="E50" s="129"/>
      <c r="S50" s="48"/>
      <c r="T50" s="851"/>
      <c r="U50" s="48"/>
      <c r="W50" s="48"/>
      <c r="X50" s="48"/>
      <c r="Y50" s="48"/>
    </row>
    <row r="51" spans="1:25" ht="12" customHeight="1">
      <c r="A51" s="129"/>
      <c r="B51" s="124"/>
      <c r="C51" s="129"/>
      <c r="D51" s="129"/>
      <c r="E51" s="129"/>
      <c r="S51" s="48"/>
      <c r="T51" s="851"/>
      <c r="U51" s="48"/>
      <c r="W51" s="48"/>
      <c r="X51" s="48"/>
      <c r="Y51" s="48"/>
    </row>
    <row r="52" spans="1:25" ht="12" customHeight="1">
      <c r="A52" s="129"/>
      <c r="B52" s="124"/>
      <c r="C52" s="129"/>
      <c r="D52" s="129"/>
      <c r="E52" s="129"/>
      <c r="S52" s="48"/>
      <c r="T52" s="851"/>
      <c r="U52" s="48"/>
      <c r="W52" s="48"/>
      <c r="X52" s="48"/>
      <c r="Y52" s="48"/>
    </row>
    <row r="53" spans="1:25" ht="12" customHeight="1">
      <c r="A53" s="129"/>
      <c r="B53" s="124"/>
      <c r="C53" s="129"/>
      <c r="D53" s="129"/>
      <c r="E53" s="129"/>
      <c r="S53" s="48"/>
      <c r="T53" s="851"/>
      <c r="U53" s="48"/>
      <c r="W53" s="48"/>
      <c r="X53" s="48"/>
      <c r="Y53" s="48"/>
    </row>
    <row r="54" spans="1:25" ht="12" customHeight="1">
      <c r="A54" s="136"/>
      <c r="B54" s="124"/>
      <c r="C54" s="124"/>
      <c r="D54" s="114"/>
      <c r="E54" s="114"/>
      <c r="F54" s="114"/>
      <c r="G54" s="114"/>
      <c r="H54" s="114"/>
      <c r="I54" s="124"/>
      <c r="K54" s="124"/>
      <c r="L54" s="114"/>
      <c r="M54" s="114"/>
      <c r="N54" s="124"/>
      <c r="O54" s="124"/>
      <c r="U54" s="48"/>
      <c r="W54" s="48"/>
      <c r="X54" s="48"/>
      <c r="Y54" s="48"/>
    </row>
    <row r="55" spans="1:25" ht="12" customHeight="1">
      <c r="A55" s="132"/>
      <c r="B55" s="124"/>
      <c r="C55" s="124"/>
      <c r="D55" s="118"/>
      <c r="E55" s="118"/>
      <c r="F55" s="118"/>
      <c r="G55" s="118"/>
      <c r="H55" s="118"/>
      <c r="I55" s="124"/>
      <c r="K55" s="124"/>
      <c r="L55" s="118"/>
      <c r="M55" s="118"/>
      <c r="N55" s="124"/>
      <c r="O55" s="124"/>
      <c r="U55" s="48"/>
      <c r="W55" s="48"/>
      <c r="X55" s="48"/>
      <c r="Y55" s="48"/>
    </row>
    <row r="56" spans="1:25" ht="12" customHeight="1">
      <c r="A56" s="10"/>
      <c r="B56" s="124"/>
      <c r="C56" s="124"/>
      <c r="D56" s="114"/>
      <c r="E56" s="114"/>
      <c r="F56" s="114"/>
      <c r="G56" s="127"/>
      <c r="H56" s="114"/>
      <c r="I56" s="124"/>
      <c r="K56" s="124"/>
      <c r="L56" s="114"/>
      <c r="M56" s="114"/>
      <c r="N56" s="124"/>
      <c r="O56" s="124"/>
      <c r="V56" s="124"/>
    </row>
    <row r="57" spans="1:25" ht="12" customHeight="1">
      <c r="A57" s="10"/>
      <c r="B57" s="124"/>
      <c r="C57" s="124"/>
      <c r="D57" s="114"/>
      <c r="E57" s="114"/>
      <c r="F57" s="114"/>
      <c r="G57" s="114"/>
      <c r="H57" s="127"/>
      <c r="I57" s="124"/>
      <c r="K57" s="124"/>
      <c r="L57" s="114"/>
      <c r="M57" s="127"/>
      <c r="N57" s="124"/>
      <c r="O57" s="124"/>
      <c r="V57" s="124"/>
    </row>
    <row r="58" spans="1:25" ht="12" customHeight="1">
      <c r="A58" s="10"/>
      <c r="B58" s="124"/>
      <c r="C58" s="124"/>
      <c r="D58" s="114"/>
      <c r="E58" s="114"/>
      <c r="F58" s="114"/>
      <c r="G58" s="114"/>
      <c r="H58" s="127"/>
      <c r="I58" s="124"/>
      <c r="K58" s="124"/>
      <c r="L58" s="114"/>
      <c r="M58" s="127"/>
      <c r="N58" s="124"/>
      <c r="O58" s="124"/>
      <c r="V58" s="124"/>
    </row>
    <row r="59" spans="1:25" ht="12" customHeight="1">
      <c r="A59" s="10"/>
      <c r="B59" s="124"/>
      <c r="C59" s="124"/>
      <c r="D59" s="114"/>
      <c r="E59" s="114"/>
      <c r="F59" s="114"/>
      <c r="G59" s="114"/>
      <c r="H59" s="127"/>
      <c r="I59" s="124"/>
      <c r="K59" s="124"/>
      <c r="L59" s="114"/>
      <c r="M59" s="114"/>
      <c r="N59" s="124"/>
      <c r="O59" s="124"/>
      <c r="V59" s="124"/>
    </row>
    <row r="60" spans="1:25" ht="12" customHeight="1">
      <c r="A60" s="10"/>
      <c r="B60" s="124"/>
      <c r="C60" s="124"/>
      <c r="D60" s="114"/>
      <c r="E60" s="114"/>
      <c r="F60" s="114"/>
      <c r="G60" s="114"/>
      <c r="H60" s="127"/>
      <c r="I60" s="124"/>
      <c r="K60" s="124"/>
      <c r="L60" s="114"/>
      <c r="M60" s="114"/>
      <c r="N60" s="124"/>
      <c r="O60" s="124"/>
      <c r="V60" s="124"/>
      <c r="W60" s="48"/>
      <c r="X60" s="48"/>
      <c r="Y60" s="48"/>
    </row>
    <row r="61" spans="1:25" ht="12" customHeight="1">
      <c r="A61" s="136"/>
      <c r="B61" s="124"/>
      <c r="C61" s="124"/>
      <c r="D61" s="114"/>
      <c r="E61" s="114"/>
      <c r="F61" s="114"/>
      <c r="G61" s="114"/>
      <c r="H61" s="114"/>
      <c r="I61" s="124"/>
      <c r="K61" s="124"/>
      <c r="L61" s="114"/>
      <c r="M61" s="114"/>
      <c r="N61" s="124"/>
      <c r="O61" s="124"/>
      <c r="V61" s="124"/>
      <c r="W61" s="48"/>
      <c r="X61" s="48"/>
      <c r="Y61" s="48"/>
    </row>
    <row r="62" spans="1:25" ht="12" customHeight="1">
      <c r="A62" s="132"/>
      <c r="B62" s="124"/>
      <c r="C62" s="124"/>
      <c r="D62" s="118"/>
      <c r="E62" s="118"/>
      <c r="F62" s="118"/>
      <c r="G62" s="118"/>
      <c r="H62" s="118"/>
      <c r="I62" s="124"/>
      <c r="K62" s="124"/>
      <c r="L62" s="118"/>
      <c r="M62" s="118"/>
      <c r="N62" s="124"/>
      <c r="O62" s="124"/>
      <c r="V62" s="124"/>
      <c r="W62" s="48"/>
      <c r="X62" s="48"/>
      <c r="Y62" s="48"/>
    </row>
    <row r="63" spans="1:25" ht="12" customHeight="1">
      <c r="A63" s="10"/>
      <c r="B63" s="124"/>
      <c r="C63" s="124"/>
      <c r="D63" s="114"/>
      <c r="E63" s="114"/>
      <c r="F63" s="114"/>
      <c r="G63" s="114"/>
      <c r="H63" s="114"/>
      <c r="I63" s="124"/>
      <c r="K63" s="124"/>
      <c r="L63" s="114"/>
      <c r="M63" s="114"/>
      <c r="N63" s="124"/>
      <c r="O63" s="124"/>
      <c r="V63" s="124"/>
      <c r="W63" s="48"/>
      <c r="X63" s="48"/>
      <c r="Y63" s="48"/>
    </row>
    <row r="64" spans="1:25" ht="12" customHeight="1">
      <c r="A64" s="10"/>
      <c r="B64" s="124"/>
      <c r="C64" s="124"/>
      <c r="D64" s="114"/>
      <c r="E64" s="114"/>
      <c r="F64" s="114"/>
      <c r="G64" s="114"/>
      <c r="H64" s="127"/>
      <c r="I64" s="124"/>
      <c r="K64" s="124"/>
      <c r="L64" s="114"/>
      <c r="M64" s="114"/>
      <c r="N64" s="124"/>
      <c r="O64" s="124"/>
      <c r="V64" s="124"/>
      <c r="W64" s="48"/>
      <c r="X64" s="48"/>
      <c r="Y64" s="48"/>
    </row>
    <row r="65" spans="1:25" ht="12" customHeight="1">
      <c r="A65" s="10"/>
      <c r="B65" s="124"/>
      <c r="C65" s="124"/>
      <c r="D65" s="114"/>
      <c r="E65" s="114"/>
      <c r="F65" s="114"/>
      <c r="G65" s="114"/>
      <c r="H65" s="114"/>
      <c r="I65" s="124"/>
      <c r="K65" s="124"/>
      <c r="L65" s="114"/>
      <c r="M65" s="127"/>
      <c r="N65" s="124"/>
      <c r="O65" s="124"/>
      <c r="V65" s="124"/>
      <c r="W65" s="48"/>
      <c r="X65" s="48"/>
      <c r="Y65" s="48"/>
    </row>
    <row r="66" spans="1:25" ht="12" customHeight="1">
      <c r="A66" s="10"/>
      <c r="B66" s="124"/>
      <c r="C66" s="124"/>
      <c r="D66" s="114"/>
      <c r="E66" s="114"/>
      <c r="F66" s="114"/>
      <c r="G66" s="114"/>
      <c r="H66" s="114"/>
      <c r="I66" s="124"/>
      <c r="K66" s="124"/>
      <c r="L66" s="114"/>
      <c r="M66" s="114"/>
      <c r="N66" s="124"/>
      <c r="O66" s="124"/>
      <c r="V66" s="124"/>
      <c r="W66" s="48"/>
      <c r="X66" s="48"/>
      <c r="Y66" s="48"/>
    </row>
    <row r="67" spans="1:25" ht="12" customHeight="1">
      <c r="A67" s="10"/>
      <c r="B67" s="124"/>
      <c r="C67" s="124"/>
      <c r="D67" s="114"/>
      <c r="E67" s="114"/>
      <c r="F67" s="114"/>
      <c r="G67" s="127"/>
      <c r="H67" s="127"/>
      <c r="I67" s="124"/>
      <c r="K67" s="124"/>
      <c r="L67" s="114"/>
      <c r="M67" s="114"/>
      <c r="N67" s="124"/>
      <c r="O67" s="124"/>
      <c r="V67" s="124"/>
      <c r="W67" s="48"/>
      <c r="X67" s="48"/>
      <c r="Y67" s="48"/>
    </row>
    <row r="68" spans="1:25" ht="12" customHeight="1">
      <c r="A68" s="10"/>
      <c r="B68" s="124"/>
      <c r="C68" s="124"/>
      <c r="D68" s="114"/>
      <c r="E68" s="114"/>
      <c r="F68" s="114"/>
      <c r="G68" s="127"/>
      <c r="H68" s="127"/>
      <c r="I68" s="124"/>
      <c r="K68" s="124"/>
      <c r="L68" s="114"/>
      <c r="M68" s="114"/>
      <c r="N68" s="124"/>
      <c r="O68" s="124"/>
      <c r="V68" s="124"/>
      <c r="W68" s="48"/>
      <c r="X68" s="48"/>
      <c r="Y68" s="48"/>
    </row>
    <row r="69" spans="1:25" ht="12" customHeight="1">
      <c r="A69" s="10"/>
      <c r="B69" s="124"/>
      <c r="C69" s="124"/>
      <c r="D69" s="114"/>
      <c r="E69" s="114"/>
      <c r="F69" s="114"/>
      <c r="G69" s="114"/>
      <c r="H69" s="127"/>
      <c r="I69" s="124"/>
      <c r="K69" s="124"/>
      <c r="L69" s="114"/>
      <c r="M69" s="114"/>
      <c r="N69" s="124"/>
      <c r="O69" s="124"/>
      <c r="V69" s="124"/>
      <c r="W69" s="48"/>
      <c r="X69" s="48"/>
      <c r="Y69" s="48"/>
    </row>
    <row r="70" spans="1:25" ht="12" customHeight="1">
      <c r="A70" s="10"/>
      <c r="B70" s="47"/>
      <c r="C70" s="47"/>
      <c r="D70" s="114"/>
      <c r="E70" s="114"/>
      <c r="F70" s="114"/>
      <c r="G70" s="114"/>
      <c r="H70" s="114"/>
      <c r="I70" s="47"/>
      <c r="K70" s="47"/>
      <c r="L70" s="114"/>
      <c r="M70" s="127"/>
      <c r="N70" s="47"/>
      <c r="O70" s="47"/>
      <c r="V70" s="124"/>
      <c r="W70" s="48"/>
      <c r="X70" s="48"/>
      <c r="Y70" s="48"/>
    </row>
    <row r="71" spans="1:25" ht="12" customHeight="1">
      <c r="A71" s="10"/>
      <c r="B71" s="47"/>
      <c r="C71" s="47"/>
      <c r="D71" s="114"/>
      <c r="E71" s="114"/>
      <c r="F71" s="114"/>
      <c r="G71" s="127"/>
      <c r="H71" s="114"/>
      <c r="I71" s="47"/>
      <c r="K71" s="47"/>
      <c r="L71" s="114"/>
      <c r="M71" s="114"/>
      <c r="N71" s="47"/>
      <c r="O71" s="47"/>
      <c r="V71" s="124"/>
      <c r="W71" s="48"/>
      <c r="X71" s="48"/>
      <c r="Y71" s="48"/>
    </row>
    <row r="72" spans="1:25" ht="12" customHeight="1">
      <c r="A72" s="10"/>
      <c r="B72" s="47"/>
      <c r="C72" s="47"/>
      <c r="D72" s="114"/>
      <c r="E72" s="114"/>
      <c r="F72" s="114"/>
      <c r="G72" s="127"/>
      <c r="H72" s="127"/>
      <c r="I72" s="47"/>
      <c r="K72" s="47"/>
      <c r="L72" s="114"/>
      <c r="M72" s="114"/>
      <c r="N72" s="47"/>
      <c r="O72" s="47"/>
      <c r="V72" s="47"/>
      <c r="W72" s="48"/>
      <c r="X72" s="48"/>
      <c r="Y72" s="48"/>
    </row>
    <row r="73" spans="1:25" ht="12" customHeight="1">
      <c r="A73" s="10"/>
      <c r="B73" s="47"/>
      <c r="C73" s="47"/>
      <c r="D73" s="114"/>
      <c r="E73" s="114"/>
      <c r="F73" s="114"/>
      <c r="G73" s="114"/>
      <c r="H73" s="114"/>
      <c r="I73" s="47"/>
      <c r="K73" s="47"/>
      <c r="L73" s="114"/>
      <c r="M73" s="114"/>
      <c r="N73" s="47"/>
      <c r="O73" s="47"/>
      <c r="V73" s="47"/>
      <c r="W73" s="48"/>
      <c r="X73" s="48"/>
      <c r="Y73" s="48"/>
    </row>
    <row r="74" spans="1:25" ht="12" customHeight="1">
      <c r="A74" s="132"/>
      <c r="B74" s="118"/>
      <c r="C74" s="118"/>
      <c r="D74" s="118"/>
      <c r="E74" s="118"/>
      <c r="F74" s="118"/>
      <c r="G74" s="118"/>
      <c r="H74" s="118"/>
      <c r="I74" s="118"/>
      <c r="K74" s="118"/>
      <c r="L74" s="118"/>
      <c r="M74" s="118"/>
      <c r="N74" s="118"/>
      <c r="O74" s="118"/>
      <c r="V74" s="47"/>
      <c r="W74" s="48"/>
      <c r="X74" s="48"/>
      <c r="Y74" s="48"/>
    </row>
    <row r="75" spans="1:25" ht="12" customHeight="1">
      <c r="A75" s="10"/>
      <c r="B75" s="124"/>
      <c r="C75" s="124"/>
      <c r="D75" s="114"/>
      <c r="E75" s="114"/>
      <c r="F75" s="114"/>
      <c r="G75" s="127"/>
      <c r="H75" s="114"/>
      <c r="I75" s="124"/>
      <c r="K75" s="124"/>
      <c r="L75" s="114"/>
      <c r="M75" s="114"/>
      <c r="N75" s="124"/>
      <c r="O75" s="124"/>
      <c r="V75" s="47"/>
      <c r="W75" s="48"/>
      <c r="X75" s="48"/>
      <c r="Y75" s="48"/>
    </row>
    <row r="76" spans="1:25" ht="12" customHeight="1">
      <c r="A76" s="10"/>
      <c r="B76" s="124"/>
      <c r="C76" s="124"/>
      <c r="D76" s="114"/>
      <c r="E76" s="114"/>
      <c r="F76" s="114"/>
      <c r="G76" s="114"/>
      <c r="H76" s="127"/>
      <c r="I76" s="124"/>
      <c r="K76" s="124"/>
      <c r="L76" s="114"/>
      <c r="M76" s="114"/>
      <c r="N76" s="124"/>
      <c r="O76" s="124"/>
      <c r="V76" s="118"/>
      <c r="W76" s="48"/>
      <c r="X76" s="48"/>
      <c r="Y76" s="48"/>
    </row>
    <row r="77" spans="1:25" ht="12" customHeight="1">
      <c r="A77" s="10"/>
      <c r="B77" s="124"/>
      <c r="C77" s="124"/>
      <c r="D77" s="114"/>
      <c r="E77" s="114"/>
      <c r="F77" s="114"/>
      <c r="G77" s="114"/>
      <c r="H77" s="114"/>
      <c r="I77" s="124"/>
      <c r="K77" s="124"/>
      <c r="L77" s="114"/>
      <c r="M77" s="127"/>
      <c r="N77" s="124"/>
      <c r="O77" s="124"/>
      <c r="V77" s="124"/>
      <c r="W77" s="48"/>
      <c r="X77" s="48"/>
      <c r="Y77" s="48"/>
    </row>
    <row r="78" spans="1:25" ht="12" customHeight="1">
      <c r="A78" s="10"/>
      <c r="B78" s="124"/>
      <c r="C78" s="124"/>
      <c r="D78" s="114"/>
      <c r="E78" s="114"/>
      <c r="F78" s="114"/>
      <c r="G78" s="127"/>
      <c r="H78" s="114"/>
      <c r="I78" s="124"/>
      <c r="K78" s="124"/>
      <c r="L78" s="114"/>
      <c r="M78" s="114"/>
      <c r="N78" s="124"/>
      <c r="O78" s="124"/>
      <c r="V78" s="124"/>
      <c r="W78" s="48"/>
      <c r="X78" s="48"/>
      <c r="Y78" s="48"/>
    </row>
    <row r="79" spans="1:25" ht="12" customHeight="1">
      <c r="A79" s="10"/>
      <c r="B79" s="124"/>
      <c r="C79" s="124"/>
      <c r="D79" s="114"/>
      <c r="E79" s="114"/>
      <c r="F79" s="114"/>
      <c r="G79" s="114"/>
      <c r="H79" s="127"/>
      <c r="I79" s="124"/>
      <c r="K79" s="124"/>
      <c r="L79" s="114"/>
      <c r="M79" s="114"/>
      <c r="N79" s="124"/>
      <c r="O79" s="124"/>
      <c r="V79" s="124"/>
      <c r="W79" s="48"/>
      <c r="X79" s="48"/>
      <c r="Y79" s="48"/>
    </row>
    <row r="80" spans="1:25" ht="12" customHeight="1">
      <c r="A80" s="10"/>
      <c r="B80" s="124"/>
      <c r="C80" s="124"/>
      <c r="D80" s="114"/>
      <c r="E80" s="114"/>
      <c r="F80" s="114"/>
      <c r="G80" s="114"/>
      <c r="H80" s="127"/>
      <c r="I80" s="124"/>
      <c r="K80" s="124"/>
      <c r="L80" s="114"/>
      <c r="M80" s="114"/>
      <c r="N80" s="124"/>
      <c r="O80" s="124"/>
      <c r="V80" s="124"/>
      <c r="W80" s="48"/>
      <c r="X80" s="48"/>
      <c r="Y80" s="48"/>
    </row>
    <row r="81" spans="1:25" ht="12" customHeight="1">
      <c r="A81" s="10"/>
      <c r="B81" s="124"/>
      <c r="C81" s="124"/>
      <c r="D81" s="114"/>
      <c r="E81" s="114"/>
      <c r="F81" s="114"/>
      <c r="G81" s="127"/>
      <c r="H81" s="114"/>
      <c r="I81" s="124"/>
      <c r="K81" s="124"/>
      <c r="L81" s="114"/>
      <c r="M81" s="114"/>
      <c r="N81" s="124"/>
      <c r="O81" s="124"/>
      <c r="V81" s="124"/>
      <c r="W81" s="48"/>
      <c r="X81" s="48"/>
      <c r="Y81" s="48"/>
    </row>
    <row r="82" spans="1:25" ht="12" customHeight="1">
      <c r="A82" s="10"/>
      <c r="B82" s="124"/>
      <c r="C82" s="124"/>
      <c r="D82" s="114"/>
      <c r="E82" s="114"/>
      <c r="F82" s="114"/>
      <c r="G82" s="114"/>
      <c r="H82" s="114"/>
      <c r="I82" s="124"/>
      <c r="K82" s="124"/>
      <c r="L82" s="114"/>
      <c r="M82" s="114"/>
      <c r="N82" s="124"/>
      <c r="O82" s="124"/>
      <c r="V82" s="124"/>
      <c r="W82" s="48"/>
      <c r="X82" s="48"/>
      <c r="Y82" s="48"/>
    </row>
    <row r="83" spans="1:25" ht="12" customHeight="1">
      <c r="A83" s="10"/>
      <c r="B83" s="47"/>
      <c r="C83" s="47"/>
      <c r="D83" s="114"/>
      <c r="E83" s="114"/>
      <c r="F83" s="114"/>
      <c r="G83" s="114"/>
      <c r="H83" s="127"/>
      <c r="I83" s="47"/>
      <c r="K83" s="47"/>
      <c r="L83" s="114"/>
      <c r="M83" s="114"/>
      <c r="N83" s="47"/>
      <c r="O83" s="47"/>
      <c r="V83" s="124"/>
      <c r="W83" s="48"/>
      <c r="X83" s="48"/>
      <c r="Y83" s="48"/>
    </row>
    <row r="84" spans="1:25" ht="12" customHeight="1">
      <c r="B84" s="47"/>
      <c r="C84" s="47"/>
      <c r="I84" s="47"/>
      <c r="K84" s="47"/>
      <c r="N84" s="47"/>
      <c r="O84" s="47"/>
      <c r="V84" s="124"/>
      <c r="W84" s="48"/>
      <c r="X84" s="48"/>
      <c r="Y84" s="48"/>
    </row>
    <row r="85" spans="1:25" ht="12" customHeight="1">
      <c r="B85" s="47"/>
      <c r="C85" s="47"/>
      <c r="I85" s="47"/>
      <c r="K85" s="47"/>
      <c r="N85" s="47"/>
      <c r="O85" s="47"/>
      <c r="V85" s="47"/>
      <c r="W85" s="48"/>
      <c r="X85" s="48"/>
      <c r="Y85" s="48"/>
    </row>
    <row r="86" spans="1:25" ht="12" customHeight="1">
      <c r="B86" s="118"/>
      <c r="C86" s="118"/>
      <c r="I86" s="118"/>
      <c r="K86" s="118"/>
      <c r="N86" s="118"/>
      <c r="O86" s="118"/>
      <c r="V86" s="47"/>
      <c r="W86" s="48"/>
      <c r="X86" s="48"/>
      <c r="Y86" s="48"/>
    </row>
    <row r="87" spans="1:25" ht="12" customHeight="1">
      <c r="B87" s="124"/>
      <c r="C87" s="124"/>
      <c r="I87" s="124"/>
      <c r="K87" s="124"/>
      <c r="N87" s="124"/>
      <c r="O87" s="124"/>
      <c r="V87" s="47"/>
      <c r="W87" s="48"/>
      <c r="X87" s="48"/>
      <c r="Y87" s="48"/>
    </row>
    <row r="88" spans="1:25" ht="12" customHeight="1">
      <c r="B88" s="124"/>
      <c r="C88" s="124"/>
      <c r="I88" s="124"/>
      <c r="K88" s="124"/>
      <c r="N88" s="124"/>
      <c r="O88" s="124"/>
      <c r="V88" s="118"/>
      <c r="W88" s="48"/>
      <c r="X88" s="48"/>
      <c r="Y88" s="48"/>
    </row>
    <row r="89" spans="1:25" ht="12" customHeight="1">
      <c r="B89" s="124"/>
      <c r="C89" s="124"/>
      <c r="I89" s="124"/>
      <c r="K89" s="124"/>
      <c r="N89" s="124"/>
      <c r="O89" s="124"/>
      <c r="V89" s="124"/>
      <c r="W89" s="48"/>
      <c r="X89" s="48"/>
      <c r="Y89" s="48"/>
    </row>
    <row r="90" spans="1:25" ht="12" customHeight="1">
      <c r="B90" s="124"/>
      <c r="C90" s="124"/>
      <c r="I90" s="124"/>
      <c r="K90" s="124"/>
      <c r="N90" s="124"/>
      <c r="O90" s="124"/>
      <c r="V90" s="124"/>
      <c r="W90" s="48"/>
      <c r="X90" s="48"/>
      <c r="Y90" s="48"/>
    </row>
    <row r="91" spans="1:25" ht="12" customHeight="1">
      <c r="B91" s="124"/>
      <c r="C91" s="124"/>
      <c r="I91" s="124"/>
      <c r="K91" s="124"/>
      <c r="N91" s="124"/>
      <c r="O91" s="124"/>
      <c r="V91" s="124"/>
      <c r="W91" s="48"/>
      <c r="X91" s="48"/>
      <c r="Y91" s="48"/>
    </row>
    <row r="92" spans="1:25" ht="12" customHeight="1">
      <c r="B92" s="124"/>
      <c r="C92" s="124"/>
      <c r="I92" s="124"/>
      <c r="K92" s="124"/>
      <c r="N92" s="124"/>
      <c r="O92" s="124"/>
      <c r="V92" s="124"/>
      <c r="W92" s="48"/>
      <c r="X92" s="48"/>
      <c r="Y92" s="48"/>
    </row>
    <row r="93" spans="1:25" ht="12" customHeight="1">
      <c r="B93" s="124"/>
      <c r="C93" s="124"/>
      <c r="I93" s="124"/>
      <c r="K93" s="124"/>
      <c r="N93" s="124"/>
      <c r="O93" s="124"/>
      <c r="V93" s="124"/>
      <c r="W93" s="48"/>
      <c r="X93" s="48"/>
      <c r="Y93" s="48"/>
    </row>
    <row r="94" spans="1:25" ht="12" customHeight="1">
      <c r="B94" s="124"/>
      <c r="C94" s="124"/>
      <c r="I94" s="124"/>
      <c r="K94" s="124"/>
      <c r="N94" s="124"/>
      <c r="O94" s="124"/>
      <c r="V94" s="124"/>
      <c r="W94" s="48"/>
      <c r="X94" s="48"/>
      <c r="Y94" s="48"/>
    </row>
    <row r="95" spans="1:25" ht="12" customHeight="1">
      <c r="B95" s="47"/>
      <c r="C95" s="47"/>
      <c r="I95" s="47"/>
      <c r="K95" s="47"/>
      <c r="N95" s="47"/>
      <c r="O95" s="47"/>
      <c r="V95" s="124"/>
      <c r="W95" s="48"/>
      <c r="X95" s="48"/>
      <c r="Y95" s="48"/>
    </row>
    <row r="96" spans="1:25" ht="12" customHeight="1">
      <c r="B96" s="47"/>
      <c r="C96" s="47"/>
      <c r="I96" s="47"/>
      <c r="K96" s="47"/>
      <c r="N96" s="47"/>
      <c r="O96" s="47"/>
      <c r="V96" s="124"/>
      <c r="W96" s="48"/>
      <c r="X96" s="48"/>
      <c r="Y96" s="48"/>
    </row>
    <row r="97" spans="2:25" ht="12" customHeight="1">
      <c r="B97" s="47"/>
      <c r="C97" s="47"/>
      <c r="I97" s="47"/>
      <c r="K97" s="47"/>
      <c r="N97" s="47"/>
      <c r="O97" s="47"/>
      <c r="V97" s="47"/>
      <c r="W97" s="48"/>
      <c r="X97" s="48"/>
      <c r="Y97" s="48"/>
    </row>
    <row r="98" spans="2:25" ht="12" customHeight="1">
      <c r="B98" s="118"/>
      <c r="C98" s="118"/>
      <c r="I98" s="118"/>
      <c r="K98" s="118"/>
      <c r="N98" s="118"/>
      <c r="O98" s="118"/>
      <c r="V98" s="47"/>
      <c r="W98" s="48"/>
      <c r="X98" s="48"/>
      <c r="Y98" s="48"/>
    </row>
    <row r="99" spans="2:25" ht="12" customHeight="1">
      <c r="B99" s="124"/>
      <c r="C99" s="124"/>
      <c r="I99" s="124"/>
      <c r="K99" s="124"/>
      <c r="N99" s="124"/>
      <c r="O99" s="124"/>
      <c r="V99" s="47"/>
      <c r="W99" s="48"/>
      <c r="X99" s="48"/>
      <c r="Y99" s="48"/>
    </row>
    <row r="100" spans="2:25" ht="12" customHeight="1">
      <c r="B100" s="124"/>
      <c r="C100" s="124"/>
      <c r="I100" s="124"/>
      <c r="K100" s="124"/>
      <c r="N100" s="124"/>
      <c r="O100" s="124"/>
      <c r="V100" s="118"/>
      <c r="W100" s="48"/>
      <c r="X100" s="48"/>
      <c r="Y100" s="48"/>
    </row>
    <row r="101" spans="2:25" ht="12" customHeight="1">
      <c r="B101" s="124"/>
      <c r="C101" s="124"/>
      <c r="I101" s="124"/>
      <c r="K101" s="124"/>
      <c r="N101" s="124"/>
      <c r="O101" s="124"/>
      <c r="V101" s="124"/>
      <c r="W101" s="48"/>
      <c r="X101" s="48"/>
      <c r="Y101" s="48"/>
    </row>
    <row r="102" spans="2:25" ht="12" customHeight="1">
      <c r="B102" s="124"/>
      <c r="C102" s="124"/>
      <c r="I102" s="124"/>
      <c r="K102" s="124"/>
      <c r="N102" s="124"/>
      <c r="O102" s="124"/>
      <c r="V102" s="124"/>
      <c r="W102" s="48"/>
      <c r="X102" s="48"/>
      <c r="Y102" s="48"/>
    </row>
    <row r="103" spans="2:25" ht="12" customHeight="1">
      <c r="B103" s="124"/>
      <c r="C103" s="124"/>
      <c r="I103" s="124"/>
      <c r="K103" s="124"/>
      <c r="N103" s="124"/>
      <c r="O103" s="124"/>
      <c r="V103" s="124"/>
      <c r="W103" s="48"/>
      <c r="X103" s="48"/>
      <c r="Y103" s="48"/>
    </row>
    <row r="104" spans="2:25" ht="12" customHeight="1">
      <c r="B104" s="124"/>
      <c r="C104" s="124"/>
      <c r="I104" s="124"/>
      <c r="K104" s="124"/>
      <c r="N104" s="124"/>
      <c r="O104" s="124"/>
      <c r="V104" s="124"/>
      <c r="W104" s="48"/>
      <c r="X104" s="48"/>
      <c r="Y104" s="48"/>
    </row>
    <row r="105" spans="2:25" ht="12" customHeight="1">
      <c r="B105" s="124"/>
      <c r="C105" s="124"/>
      <c r="I105" s="124"/>
      <c r="K105" s="124"/>
      <c r="N105" s="124"/>
      <c r="O105" s="124"/>
      <c r="V105" s="124"/>
      <c r="W105" s="48"/>
      <c r="X105" s="48"/>
      <c r="Y105" s="48"/>
    </row>
    <row r="106" spans="2:25" ht="12" customHeight="1">
      <c r="B106" s="124"/>
      <c r="C106" s="124"/>
      <c r="I106" s="124"/>
      <c r="K106" s="124"/>
      <c r="N106" s="124"/>
      <c r="O106" s="124"/>
      <c r="V106" s="124"/>
      <c r="W106" s="48"/>
      <c r="X106" s="48"/>
      <c r="Y106" s="48"/>
    </row>
    <row r="107" spans="2:25" ht="12" customHeight="1">
      <c r="B107" s="47"/>
      <c r="C107" s="47"/>
      <c r="I107" s="47"/>
      <c r="K107" s="47"/>
      <c r="N107" s="47"/>
      <c r="O107" s="47"/>
      <c r="V107" s="124"/>
      <c r="W107" s="48"/>
      <c r="X107" s="48"/>
      <c r="Y107" s="48"/>
    </row>
    <row r="108" spans="2:25" ht="12" customHeight="1">
      <c r="B108" s="47"/>
      <c r="C108" s="47"/>
      <c r="I108" s="47"/>
      <c r="K108" s="47"/>
      <c r="N108" s="47"/>
      <c r="O108" s="47"/>
      <c r="V108" s="124"/>
      <c r="W108" s="48"/>
      <c r="X108" s="48"/>
      <c r="Y108" s="48"/>
    </row>
    <row r="109" spans="2:25" ht="12" customHeight="1">
      <c r="B109" s="47"/>
      <c r="C109" s="47"/>
      <c r="I109" s="47"/>
      <c r="K109" s="47"/>
      <c r="N109" s="47"/>
      <c r="O109" s="47"/>
      <c r="V109" s="47"/>
      <c r="W109" s="48"/>
      <c r="X109" s="48"/>
      <c r="Y109" s="48"/>
    </row>
    <row r="110" spans="2:25" ht="12" customHeight="1">
      <c r="B110" s="118"/>
      <c r="C110" s="118"/>
      <c r="I110" s="118"/>
      <c r="K110" s="118"/>
      <c r="N110" s="118"/>
      <c r="O110" s="118"/>
      <c r="V110" s="47"/>
      <c r="W110" s="48"/>
      <c r="X110" s="48"/>
      <c r="Y110" s="48"/>
    </row>
    <row r="111" spans="2:25" ht="12" customHeight="1">
      <c r="B111" s="124"/>
      <c r="C111" s="124"/>
      <c r="I111" s="124"/>
      <c r="K111" s="124"/>
      <c r="N111" s="124"/>
      <c r="O111" s="124"/>
      <c r="V111" s="47"/>
      <c r="W111" s="48"/>
      <c r="X111" s="48"/>
      <c r="Y111" s="48"/>
    </row>
    <row r="112" spans="2:25" ht="12" customHeight="1">
      <c r="B112" s="124"/>
      <c r="C112" s="124"/>
      <c r="I112" s="124"/>
      <c r="K112" s="124"/>
      <c r="N112" s="124"/>
      <c r="O112" s="124"/>
      <c r="V112" s="118"/>
      <c r="W112" s="48"/>
      <c r="X112" s="48"/>
      <c r="Y112" s="48"/>
    </row>
    <row r="113" spans="2:25" ht="12" customHeight="1">
      <c r="B113" s="124"/>
      <c r="C113" s="124"/>
      <c r="I113" s="124"/>
      <c r="K113" s="124"/>
      <c r="N113" s="124"/>
      <c r="O113" s="124"/>
      <c r="V113" s="124"/>
      <c r="W113" s="48"/>
      <c r="X113" s="48"/>
      <c r="Y113" s="48"/>
    </row>
    <row r="114" spans="2:25" ht="12" customHeight="1">
      <c r="B114" s="124"/>
      <c r="C114" s="124"/>
      <c r="I114" s="124"/>
      <c r="K114" s="124"/>
      <c r="N114" s="124"/>
      <c r="O114" s="124"/>
      <c r="V114" s="124"/>
      <c r="W114" s="48"/>
      <c r="X114" s="48"/>
      <c r="Y114" s="48"/>
    </row>
    <row r="115" spans="2:25" ht="12" customHeight="1">
      <c r="B115" s="124"/>
      <c r="C115" s="124"/>
      <c r="I115" s="124"/>
      <c r="K115" s="124"/>
      <c r="N115" s="124"/>
      <c r="O115" s="124"/>
      <c r="V115" s="124"/>
      <c r="W115" s="48"/>
      <c r="X115" s="48"/>
      <c r="Y115" s="48"/>
    </row>
    <row r="116" spans="2:25" ht="12" customHeight="1">
      <c r="B116" s="124"/>
      <c r="C116" s="124"/>
      <c r="I116" s="124"/>
      <c r="K116" s="124"/>
      <c r="N116" s="124"/>
      <c r="O116" s="124"/>
      <c r="V116" s="124"/>
      <c r="W116" s="48"/>
      <c r="X116" s="48"/>
      <c r="Y116" s="48"/>
    </row>
    <row r="117" spans="2:25" ht="12" customHeight="1">
      <c r="B117" s="124"/>
      <c r="C117" s="124"/>
      <c r="I117" s="124"/>
      <c r="K117" s="124"/>
      <c r="N117" s="124"/>
      <c r="O117" s="124"/>
      <c r="V117" s="124"/>
      <c r="W117" s="48"/>
      <c r="X117" s="48"/>
      <c r="Y117" s="48"/>
    </row>
    <row r="118" spans="2:25" ht="12" customHeight="1">
      <c r="B118" s="124"/>
      <c r="C118" s="124"/>
      <c r="I118" s="124"/>
      <c r="K118" s="124"/>
      <c r="N118" s="124"/>
      <c r="O118" s="124"/>
      <c r="V118" s="124"/>
      <c r="W118" s="48"/>
      <c r="X118" s="48"/>
      <c r="Y118" s="48"/>
    </row>
    <row r="119" spans="2:25" ht="12" customHeight="1">
      <c r="V119" s="124"/>
      <c r="W119" s="48"/>
      <c r="X119" s="48"/>
      <c r="Y119" s="48"/>
    </row>
    <row r="120" spans="2:25" ht="12" customHeight="1">
      <c r="V120" s="124"/>
      <c r="W120" s="48"/>
      <c r="X120" s="48"/>
      <c r="Y120" s="48"/>
    </row>
  </sheetData>
  <phoneticPr fontId="2" type="noConversion"/>
  <conditionalFormatting sqref="X25:Y40 X2:Y20 X22:Y23">
    <cfRule type="cellIs" dxfId="7" priority="5" stopIfTrue="1" operator="lessThan">
      <formula>0</formula>
    </cfRule>
    <cfRule type="cellIs" dxfId="6" priority="6" stopIfTrue="1" operator="greaterThan">
      <formula>0</formula>
    </cfRule>
  </conditionalFormatting>
  <conditionalFormatting sqref="X24:Y24">
    <cfRule type="cellIs" dxfId="5" priority="3" stopIfTrue="1" operator="lessThan">
      <formula>0</formula>
    </cfRule>
    <cfRule type="cellIs" dxfId="4" priority="4" stopIfTrue="1" operator="greaterThan">
      <formula>0</formula>
    </cfRule>
  </conditionalFormatting>
  <conditionalFormatting sqref="X21:Y21">
    <cfRule type="cellIs" dxfId="3" priority="1" stopIfTrue="1" operator="lessThan">
      <formula>0</formula>
    </cfRule>
    <cfRule type="cellIs" dxfId="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7"/>
  <dimension ref="A1:X139"/>
  <sheetViews>
    <sheetView topLeftCell="A4" zoomScaleNormal="100" workbookViewId="0">
      <selection activeCell="H28" sqref="H28"/>
    </sheetView>
  </sheetViews>
  <sheetFormatPr defaultRowHeight="11.25"/>
  <cols>
    <col min="1" max="1" width="28.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3" width="4" style="48" bestFit="1" customWidth="1"/>
    <col min="14" max="14" width="4" style="122" bestFit="1" customWidth="1"/>
    <col min="15" max="15" width="3.5703125" style="48" bestFit="1" customWidth="1"/>
    <col min="16" max="16" width="1.85546875" style="48" bestFit="1" customWidth="1"/>
    <col min="17" max="17" width="8.7109375" style="48" bestFit="1" customWidth="1"/>
    <col min="18" max="18" width="6.42578125" style="48" bestFit="1" customWidth="1"/>
    <col min="19" max="19" width="10" style="129" bestFit="1" customWidth="1"/>
    <col min="20" max="20" width="9.85546875" style="129" bestFit="1" customWidth="1"/>
    <col min="21" max="21" width="8.28515625" style="129" bestFit="1" customWidth="1"/>
    <col min="22" max="23" width="2.7109375" style="129" bestFit="1" customWidth="1"/>
    <col min="24" max="24" width="25.5703125" style="48" bestFit="1" customWidth="1"/>
    <col min="25" max="16384" width="9.140625" style="48"/>
  </cols>
  <sheetData>
    <row r="1" spans="1:24" s="129" customFormat="1" ht="23.25" thickBot="1">
      <c r="A1" s="779" t="s">
        <v>164</v>
      </c>
      <c r="B1" s="779" t="s">
        <v>1934</v>
      </c>
      <c r="C1" s="704" t="s">
        <v>2798</v>
      </c>
      <c r="D1" s="779" t="s">
        <v>1214</v>
      </c>
      <c r="E1" s="779" t="s">
        <v>1215</v>
      </c>
      <c r="F1" s="779" t="s">
        <v>768</v>
      </c>
      <c r="G1" s="779" t="s">
        <v>2140</v>
      </c>
      <c r="H1" s="779" t="s">
        <v>2139</v>
      </c>
      <c r="I1" s="779" t="s">
        <v>771</v>
      </c>
      <c r="J1" s="779" t="s">
        <v>1219</v>
      </c>
      <c r="K1" s="779" t="s">
        <v>760</v>
      </c>
      <c r="L1" s="779" t="s">
        <v>1216</v>
      </c>
      <c r="M1" s="779" t="s">
        <v>264</v>
      </c>
      <c r="N1" s="779" t="s">
        <v>1217</v>
      </c>
      <c r="O1" s="779" t="s">
        <v>1287</v>
      </c>
      <c r="P1" s="779"/>
      <c r="Q1" s="779" t="s">
        <v>1032</v>
      </c>
      <c r="R1" s="779" t="s">
        <v>1941</v>
      </c>
      <c r="S1" s="779" t="s">
        <v>666</v>
      </c>
      <c r="T1" s="779" t="s">
        <v>265</v>
      </c>
      <c r="U1" s="779"/>
      <c r="V1" s="704">
        <v>0</v>
      </c>
      <c r="W1" s="704"/>
      <c r="X1" s="779" t="s">
        <v>2208</v>
      </c>
    </row>
    <row r="2" spans="1:24">
      <c r="A2" s="10" t="s">
        <v>49</v>
      </c>
      <c r="B2" s="129">
        <v>27507</v>
      </c>
      <c r="C2" s="129">
        <v>1</v>
      </c>
      <c r="D2" s="114"/>
      <c r="E2" s="114">
        <v>15</v>
      </c>
      <c r="F2" s="114"/>
      <c r="G2" s="116"/>
      <c r="H2" s="116">
        <v>10</v>
      </c>
      <c r="I2" s="114"/>
      <c r="J2" s="114"/>
      <c r="K2" s="116"/>
      <c r="L2" s="114"/>
      <c r="M2" s="116"/>
      <c r="N2" s="116"/>
      <c r="O2" s="116"/>
      <c r="P2" s="116"/>
      <c r="Q2" s="114" t="s">
        <v>1033</v>
      </c>
      <c r="R2" s="114"/>
      <c r="S2" s="114" t="s">
        <v>691</v>
      </c>
      <c r="T2" s="1318">
        <f>($D2*dpsStr+$E2*dpsAgi+$F2*dpsAP+$G2*dpsCrit+$H2*dpsHit+$I2*dpsHaste+$J2*dpsArmor+$K2*dpsExp+IF(MID($Q2,1,1)+MID($Q2,3,1)+MID($Q2,5,1)&gt;0,VLOOKUP('Gear &amp; Buffs'!$B$23,GenSocketStats,18,FALSE)+IF(MID($Q2,1,1)+MID($Q2,3,1)+MID($Q2,5,1)&gt;1,VLOOKUP('Gear &amp; Buffs'!$B$24,GenSocketStats,18,FALSE)+IF(MID($Q2,1,1)+MID($Q2,3,1)+MID($Q2,5,1)&gt;2,VLOOKUP('Gear &amp; Buffs'!$B$25,GenSocketStats,18,FALSE),0)),0))-'Gear &amp; Buffs'!$AF$22</f>
        <v>-10.929653427935818</v>
      </c>
      <c r="U2" s="250" t="s">
        <v>48</v>
      </c>
      <c r="V2" s="870">
        <f>IF(AND(IF('Gear &amp; Buffs'!$AC$50,$T2&gt;0+'Gear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8"/>
      <c r="X2" s="714" t="s">
        <v>1689</v>
      </c>
    </row>
    <row r="3" spans="1:24">
      <c r="A3" s="10" t="s">
        <v>2415</v>
      </c>
      <c r="B3" s="129">
        <v>23746</v>
      </c>
      <c r="C3" s="129">
        <v>1</v>
      </c>
      <c r="D3" s="114"/>
      <c r="E3" s="114">
        <v>12</v>
      </c>
      <c r="F3" s="114">
        <v>22</v>
      </c>
      <c r="G3" s="116"/>
      <c r="H3" s="116"/>
      <c r="I3" s="114"/>
      <c r="J3" s="114"/>
      <c r="K3" s="114"/>
      <c r="L3" s="114"/>
      <c r="M3" s="116"/>
      <c r="N3" s="116"/>
      <c r="O3" s="114"/>
      <c r="P3" s="114"/>
      <c r="Q3" s="114" t="s">
        <v>1033</v>
      </c>
      <c r="R3" s="114"/>
      <c r="S3" s="114" t="s">
        <v>685</v>
      </c>
      <c r="T3" s="124">
        <f>($D3*dpsStr+$E3*dpsAgi+$F3*dpsAP+$G3*dpsCrit+$H3*dpsHit+$I3*dpsHaste+$J3*dpsArmor+$K3*dpsExp+IF(MID($Q3,1,1)+MID($Q3,3,1)+MID($Q3,5,1)&gt;0,VLOOKUP('Gear &amp; Buffs'!$B$23,GenSocketStats,18,FALSE)+IF(MID($Q3,1,1)+MID($Q3,3,1)+MID($Q3,5,1)&gt;1,VLOOKUP('Gear &amp; Buffs'!$B$24,GenSocketStats,18,FALSE)+IF(MID($Q3,1,1)+MID($Q3,3,1)+MID($Q3,5,1)&gt;2,VLOOKUP('Gear &amp; Buffs'!$B$25,GenSocketStats,18,FALSE),0)),0))-'Gear &amp; Buffs'!$AF$22</f>
        <v>-61.050346138398709</v>
      </c>
      <c r="U3" s="250" t="s">
        <v>46</v>
      </c>
      <c r="V3" s="870">
        <f>IF(AND(IF('Gear &amp; Buffs'!$AC$50,$T3&gt;0+'Gear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8"/>
      <c r="X3" s="714" t="str">
        <f>" "</f>
        <v xml:space="preserve"> </v>
      </c>
    </row>
    <row r="4" spans="1:24">
      <c r="A4" s="10" t="s">
        <v>1563</v>
      </c>
      <c r="B4" s="129">
        <v>33474</v>
      </c>
      <c r="C4" s="129">
        <v>4</v>
      </c>
      <c r="D4" s="114"/>
      <c r="E4" s="114"/>
      <c r="F4" s="114">
        <v>38</v>
      </c>
      <c r="G4" s="116"/>
      <c r="H4" s="116"/>
      <c r="I4" s="114"/>
      <c r="J4" s="114">
        <v>126</v>
      </c>
      <c r="K4" s="116"/>
      <c r="L4" s="114"/>
      <c r="M4" s="116"/>
      <c r="N4" s="116"/>
      <c r="O4" s="116"/>
      <c r="P4" s="116"/>
      <c r="Q4" s="114" t="s">
        <v>1033</v>
      </c>
      <c r="R4" s="114"/>
      <c r="S4" s="114" t="s">
        <v>664</v>
      </c>
      <c r="T4" s="124">
        <f>($D4*dpsStr+$E4*dpsAgi+$F4*dpsAP+$G4*dpsCrit+$H4*dpsHit+$I4*dpsHaste+$J4*dpsArmor+$K4*dpsExp+IF(MID($Q4,1,1)+MID($Q4,3,1)+MID($Q4,5,1)&gt;0,VLOOKUP('Gear &amp; Buffs'!$B$23,GenSocketStats,18,FALSE)+IF(MID($Q4,1,1)+MID($Q4,3,1)+MID($Q4,5,1)&gt;1,VLOOKUP('Gear &amp; Buffs'!$B$24,GenSocketStats,18,FALSE)+IF(MID($Q4,1,1)+MID($Q4,3,1)+MID($Q4,5,1)&gt;2,VLOOKUP('Gear &amp; Buffs'!$B$25,GenSocketStats,18,FALSE),0)),0))-'Gear &amp; Buffs'!$AF$22</f>
        <v>-49.773136388327202</v>
      </c>
      <c r="U4" s="250" t="s">
        <v>44</v>
      </c>
      <c r="V4" s="870" t="str">
        <f>IF(AND(IF('Gear &amp; Buffs'!$AC$50,$T4&gt;0+'Gear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8">
        <v>1</v>
      </c>
      <c r="X4" s="714" t="str">
        <f>IF(ISNA(INDEX($A$2:$A$51,MATCH(W4,V$2:V$51,0))), "", INDEX($A$2:$A$51,MATCH(W4,V$2:V$51,0)))</f>
        <v>Adamantine Repeater</v>
      </c>
    </row>
    <row r="5" spans="1:24">
      <c r="A5" s="10" t="s">
        <v>1628</v>
      </c>
      <c r="B5" s="129">
        <v>29949</v>
      </c>
      <c r="C5" s="129">
        <v>2</v>
      </c>
      <c r="D5" s="114"/>
      <c r="E5" s="114">
        <v>20</v>
      </c>
      <c r="F5" s="114"/>
      <c r="G5" s="116"/>
      <c r="H5" s="116">
        <v>19</v>
      </c>
      <c r="I5" s="114"/>
      <c r="J5" s="114"/>
      <c r="K5" s="116"/>
      <c r="L5" s="114"/>
      <c r="M5" s="116"/>
      <c r="N5" s="116"/>
      <c r="O5" s="116"/>
      <c r="P5" s="116"/>
      <c r="Q5" s="114" t="s">
        <v>1033</v>
      </c>
      <c r="R5" s="114"/>
      <c r="S5" s="114" t="s">
        <v>680</v>
      </c>
      <c r="T5" s="124">
        <f>($D5*dpsStr+$E5*dpsAgi+$F5*dpsAP+$G5*dpsCrit+$H5*dpsHit+$I5*dpsHaste+$J5*dpsArmor+$K5*dpsExp+IF(MID($Q5,1,1)+MID($Q5,3,1)+MID($Q5,5,1)&gt;0,VLOOKUP('Gear &amp; Buffs'!$B$23,GenSocketStats,18,FALSE)+IF(MID($Q5,1,1)+MID($Q5,3,1)+MID($Q5,5,1)&gt;1,VLOOKUP('Gear &amp; Buffs'!$B$24,GenSocketStats,18,FALSE)+IF(MID($Q5,1,1)+MID($Q5,3,1)+MID($Q5,5,1)&gt;2,VLOOKUP('Gear &amp; Buffs'!$B$25,GenSocketStats,18,FALSE),0)),0))-'Gear &amp; Buffs'!$AF$22</f>
        <v>43.156694122883437</v>
      </c>
      <c r="U5" s="250" t="s">
        <v>46</v>
      </c>
      <c r="V5" s="870" t="str">
        <f>IF(AND(IF('Gear &amp; Buffs'!$AC$50,$T5&gt;0+'Gear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8">
        <v>2</v>
      </c>
      <c r="X5" s="714" t="str">
        <f t="shared" ref="X5:X53" si="0">IF(ISNA(INDEX($A$2:$A$51,MATCH(W5,V$2:V$51,0))), "", INDEX($A$2:$A$51,MATCH(W5,V$2:V$51,0)))</f>
        <v>Adamantite Rifle</v>
      </c>
    </row>
    <row r="6" spans="1:24">
      <c r="A6" s="10" t="s">
        <v>2209</v>
      </c>
      <c r="B6" s="129">
        <v>30724</v>
      </c>
      <c r="C6" s="129">
        <v>1</v>
      </c>
      <c r="D6" s="114"/>
      <c r="E6" s="114">
        <v>16</v>
      </c>
      <c r="F6" s="114"/>
      <c r="G6" s="116"/>
      <c r="H6" s="116"/>
      <c r="I6" s="114"/>
      <c r="J6" s="114"/>
      <c r="K6" s="116"/>
      <c r="L6" s="114"/>
      <c r="M6" s="116"/>
      <c r="N6" s="116"/>
      <c r="O6" s="116"/>
      <c r="P6" s="116"/>
      <c r="Q6" s="114" t="s">
        <v>1454</v>
      </c>
      <c r="R6" s="114" t="s">
        <v>1449</v>
      </c>
      <c r="S6" s="114" t="s">
        <v>681</v>
      </c>
      <c r="T6" s="124">
        <f>($D6*dpsStr+$E6*dpsAgi+$F6*dpsAP+$G6*dpsCrit+$H6*dpsHit+$I6*dpsHaste+$J6*dpsArmor+$K6*dpsExp+IF(MID($Q6,1,1)+MID($Q6,3,1)+MID($Q6,5,1)&gt;0,VLOOKUP('Gear &amp; Buffs'!$B$23,GenSocketStats,18,FALSE)+IF(MID($Q6,1,1)+MID($Q6,3,1)+MID($Q6,5,1)&gt;1,VLOOKUP('Gear &amp; Buffs'!$B$24,GenSocketStats,18,FALSE)+IF(MID($Q6,1,1)+MID($Q6,3,1)+MID($Q6,5,1)&gt;2,VLOOKUP('Gear &amp; Buffs'!$B$25,GenSocketStats,18,FALSE),0)),0))-'Gear &amp; Buffs'!$AF$22</f>
        <v>-14.584800538175386</v>
      </c>
      <c r="U6" s="250" t="s">
        <v>46</v>
      </c>
      <c r="V6" s="870">
        <f>IF(AND(IF('Gear &amp; Buffs'!$AC$50,$T6&gt;0+'Gear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8">
        <v>3</v>
      </c>
      <c r="X6" s="714" t="str">
        <f t="shared" si="0"/>
        <v>Barrel-Blade Longrifle</v>
      </c>
    </row>
    <row r="7" spans="1:24">
      <c r="A7" s="10" t="s">
        <v>1635</v>
      </c>
      <c r="B7" s="129">
        <v>34349</v>
      </c>
      <c r="C7" s="129">
        <v>5</v>
      </c>
      <c r="D7" s="114"/>
      <c r="E7" s="114"/>
      <c r="F7" s="114">
        <v>36</v>
      </c>
      <c r="G7" s="116"/>
      <c r="H7" s="116"/>
      <c r="I7" s="114">
        <v>16</v>
      </c>
      <c r="J7" s="114"/>
      <c r="K7" s="116"/>
      <c r="L7" s="114">
        <v>19</v>
      </c>
      <c r="M7" s="116"/>
      <c r="N7" s="116"/>
      <c r="O7" s="116"/>
      <c r="P7" s="116"/>
      <c r="Q7" s="114" t="s">
        <v>1043</v>
      </c>
      <c r="R7" s="114" t="s">
        <v>1066</v>
      </c>
      <c r="S7" s="114" t="s">
        <v>871</v>
      </c>
      <c r="T7" s="124">
        <f>($D7*dpsStr+$E7*dpsAgi+$F7*dpsAP+$G7*dpsCrit+$H7*dpsHit+$I7*dpsHaste+$J7*dpsArmor+$K7*dpsExp+IF(MID($Q7,1,1)+MID($Q7,3,1)+MID($Q7,5,1)&gt;0,VLOOKUP('Gear &amp; Buffs'!$B$23,GenSocketStats,18,FALSE)+IF(MID($Q7,1,1)+MID($Q7,3,1)+MID($Q7,5,1)&gt;1,VLOOKUP('Gear &amp; Buffs'!$B$24,GenSocketStats,18,FALSE)+IF(MID($Q7,1,1)+MID($Q7,3,1)+MID($Q7,5,1)&gt;2,VLOOKUP('Gear &amp; Buffs'!$B$25,GenSocketStats,18,FALSE),0)),0))-'Gear &amp; Buffs'!$AF$22</f>
        <v>18.276852961724671</v>
      </c>
      <c r="U7" s="250" t="s">
        <v>48</v>
      </c>
      <c r="V7" s="870" t="str">
        <f>IF(AND(IF('Gear &amp; Buffs'!$AC$50,$T7&gt;0+'Gear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8">
        <v>4</v>
      </c>
      <c r="X7" s="714" t="str">
        <f t="shared" si="0"/>
        <v>Bloodwarder's Rifle</v>
      </c>
    </row>
    <row r="8" spans="1:24">
      <c r="A8" s="10" t="s">
        <v>2416</v>
      </c>
      <c r="B8" s="129">
        <v>31000</v>
      </c>
      <c r="C8" s="129">
        <v>1</v>
      </c>
      <c r="D8" s="114"/>
      <c r="E8" s="114">
        <v>8</v>
      </c>
      <c r="F8" s="114">
        <v>30</v>
      </c>
      <c r="G8" s="116"/>
      <c r="H8" s="116"/>
      <c r="I8" s="114"/>
      <c r="J8" s="114"/>
      <c r="K8" s="116"/>
      <c r="L8" s="114">
        <v>7</v>
      </c>
      <c r="M8" s="116"/>
      <c r="N8" s="116"/>
      <c r="O8" s="116"/>
      <c r="P8" s="116"/>
      <c r="Q8" s="114" t="s">
        <v>1033</v>
      </c>
      <c r="R8" s="114"/>
      <c r="S8" s="114" t="s">
        <v>675</v>
      </c>
      <c r="T8" s="124">
        <f>($D8*dpsStr+$E8*dpsAgi+$F8*dpsAP+$G8*dpsCrit+$H8*dpsHit+$I8*dpsHaste+$J8*dpsArmor+$K8*dpsExp+IF(MID($Q8,1,1)+MID($Q8,3,1)+MID($Q8,5,1)&gt;0,VLOOKUP('Gear &amp; Buffs'!$B$23,GenSocketStats,18,FALSE)+IF(MID($Q8,1,1)+MID($Q8,3,1)+MID($Q8,5,1)&gt;1,VLOOKUP('Gear &amp; Buffs'!$B$24,GenSocketStats,18,FALSE)+IF(MID($Q8,1,1)+MID($Q8,3,1)+MID($Q8,5,1)&gt;2,VLOOKUP('Gear &amp; Buffs'!$B$25,GenSocketStats,18,FALSE),0)),0))-'Gear &amp; Buffs'!$AF$22</f>
        <v>-61.500557408897293</v>
      </c>
      <c r="U8" s="250" t="s">
        <v>46</v>
      </c>
      <c r="V8" s="870">
        <f>IF(AND(IF('Gear &amp; Buffs'!$AC$50,$T8&gt;0+'Gear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8">
        <v>5</v>
      </c>
      <c r="X8" s="714" t="str">
        <f t="shared" si="0"/>
        <v>Coilfang Needler</v>
      </c>
    </row>
    <row r="9" spans="1:24">
      <c r="A9" s="10" t="s">
        <v>2417</v>
      </c>
      <c r="B9" s="129">
        <v>30906</v>
      </c>
      <c r="C9" s="129">
        <v>3</v>
      </c>
      <c r="D9" s="114"/>
      <c r="E9" s="114"/>
      <c r="F9" s="114"/>
      <c r="G9" s="116">
        <v>25</v>
      </c>
      <c r="H9" s="116"/>
      <c r="I9" s="114"/>
      <c r="J9" s="114"/>
      <c r="K9" s="116"/>
      <c r="L9" s="114">
        <v>28</v>
      </c>
      <c r="M9" s="116"/>
      <c r="N9" s="116"/>
      <c r="O9" s="116"/>
      <c r="P9" s="116"/>
      <c r="Q9" s="114" t="s">
        <v>1033</v>
      </c>
      <c r="R9" s="114"/>
      <c r="S9" s="114" t="s">
        <v>684</v>
      </c>
      <c r="T9" s="124">
        <f>($D9*dpsStr+$E9*dpsAgi+$F9*dpsAP+$G9*dpsCrit+$H9*dpsHit+$I9*dpsHaste+$J9*dpsArmor+$K9*dpsExp+IF(MID($Q9,1,1)+MID($Q9,3,1)+MID($Q9,5,1)&gt;0,VLOOKUP('Gear &amp; Buffs'!$B$23,GenSocketStats,18,FALSE)+IF(MID($Q9,1,1)+MID($Q9,3,1)+MID($Q9,5,1)&gt;1,VLOOKUP('Gear &amp; Buffs'!$B$24,GenSocketStats,18,FALSE)+IF(MID($Q9,1,1)+MID($Q9,3,1)+MID($Q9,5,1)&gt;2,VLOOKUP('Gear &amp; Buffs'!$B$25,GenSocketStats,18,FALSE),0)),0))-'Gear &amp; Buffs'!$AF$22</f>
        <v>-61.693253501494837</v>
      </c>
      <c r="U9" s="250" t="s">
        <v>44</v>
      </c>
      <c r="V9" s="870" t="str">
        <f>IF(AND(IF('Gear &amp; Buffs'!$AC$50,$T9&gt;0+'Gear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8">
        <v>6</v>
      </c>
      <c r="X9" s="714" t="str">
        <f t="shared" si="0"/>
        <v>Consortium Blaster</v>
      </c>
    </row>
    <row r="10" spans="1:24">
      <c r="A10" s="10" t="s">
        <v>2004</v>
      </c>
      <c r="B10" s="129">
        <v>35108</v>
      </c>
      <c r="C10" s="129">
        <v>5</v>
      </c>
      <c r="D10" s="114"/>
      <c r="E10" s="114"/>
      <c r="F10" s="114">
        <v>34</v>
      </c>
      <c r="G10" s="116">
        <v>18</v>
      </c>
      <c r="H10" s="116"/>
      <c r="I10" s="114"/>
      <c r="J10" s="114"/>
      <c r="K10" s="114"/>
      <c r="L10" s="114">
        <v>27</v>
      </c>
      <c r="M10" s="116"/>
      <c r="N10" s="116">
        <v>12</v>
      </c>
      <c r="O10" s="114"/>
      <c r="P10" s="114"/>
      <c r="Q10" s="114" t="s">
        <v>1033</v>
      </c>
      <c r="R10" s="114"/>
      <c r="S10" s="114" t="s">
        <v>677</v>
      </c>
      <c r="T10" s="124">
        <f>($D10*dpsStr+$E10*dpsAgi+$F10*dpsAP+$G10*dpsCrit+$H10*dpsHit+$I10*dpsHaste+$J10*dpsArmor+$K10*dpsExp+IF(MID($Q10,1,1)+MID($Q10,3,1)+MID($Q10,5,1)&gt;0,VLOOKUP('Gear &amp; Buffs'!$B$23,GenSocketStats,18,FALSE)+IF(MID($Q10,1,1)+MID($Q10,3,1)+MID($Q10,5,1)&gt;1,VLOOKUP('Gear &amp; Buffs'!$B$24,GenSocketStats,18,FALSE)+IF(MID($Q10,1,1)+MID($Q10,3,1)+MID($Q10,5,1)&gt;2,VLOOKUP('Gear &amp; Buffs'!$B$25,GenSocketStats,18,FALSE),0)),0))-'Gear &amp; Buffs'!$AF$22</f>
        <v>-54.344606760985698</v>
      </c>
      <c r="U10" s="250" t="s">
        <v>47</v>
      </c>
      <c r="V10" s="870" t="str">
        <f>IF(AND(IF('Gear &amp; Buffs'!$AC$50,$T10&gt;0+'Gear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8">
        <v>7</v>
      </c>
      <c r="X10" s="714" t="str">
        <f t="shared" si="0"/>
        <v>Emberhawk Crossbow</v>
      </c>
    </row>
    <row r="11" spans="1:24">
      <c r="A11" s="10" t="s">
        <v>2418</v>
      </c>
      <c r="B11" s="129">
        <v>24381</v>
      </c>
      <c r="C11" s="129">
        <v>1</v>
      </c>
      <c r="D11" s="114"/>
      <c r="E11" s="114">
        <v>12</v>
      </c>
      <c r="F11" s="114">
        <v>22</v>
      </c>
      <c r="G11" s="116"/>
      <c r="H11" s="116"/>
      <c r="I11" s="114"/>
      <c r="J11" s="114"/>
      <c r="K11" s="116"/>
      <c r="L11" s="114"/>
      <c r="M11" s="116"/>
      <c r="N11" s="116"/>
      <c r="O11" s="116"/>
      <c r="P11" s="116"/>
      <c r="Q11" s="114" t="s">
        <v>1033</v>
      </c>
      <c r="R11" s="114"/>
      <c r="S11" s="114" t="s">
        <v>673</v>
      </c>
      <c r="T11" s="124">
        <f>($D11*dpsStr+$E11*dpsAgi+$F11*dpsAP+$G11*dpsCrit+$H11*dpsHit+$I11*dpsHaste+$J11*dpsArmor+$K11*dpsExp+IF(MID($Q11,1,1)+MID($Q11,3,1)+MID($Q11,5,1)&gt;0,VLOOKUP('Gear &amp; Buffs'!$B$23,GenSocketStats,18,FALSE)+IF(MID($Q11,1,1)+MID($Q11,3,1)+MID($Q11,5,1)&gt;1,VLOOKUP('Gear &amp; Buffs'!$B$24,GenSocketStats,18,FALSE)+IF(MID($Q11,1,1)+MID($Q11,3,1)+MID($Q11,5,1)&gt;2,VLOOKUP('Gear &amp; Buffs'!$B$25,GenSocketStats,18,FALSE),0)),0))-'Gear &amp; Buffs'!$AF$22</f>
        <v>-61.050346138398709</v>
      </c>
      <c r="U11" s="250" t="s">
        <v>48</v>
      </c>
      <c r="V11" s="870">
        <f>IF(AND(IF('Gear &amp; Buffs'!$AC$50,$T11&gt;0+'Gear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8">
        <v>8</v>
      </c>
      <c r="X11" s="714" t="str">
        <f t="shared" si="0"/>
        <v>Felsteel Whisper Knives</v>
      </c>
    </row>
    <row r="12" spans="1:24">
      <c r="A12" s="10" t="s">
        <v>2836</v>
      </c>
      <c r="B12" s="129">
        <v>29115</v>
      </c>
      <c r="C12" s="129">
        <v>1</v>
      </c>
      <c r="D12" s="114"/>
      <c r="E12" s="114"/>
      <c r="F12" s="114">
        <v>28</v>
      </c>
      <c r="G12" s="116">
        <v>7</v>
      </c>
      <c r="H12" s="116"/>
      <c r="I12" s="114"/>
      <c r="J12" s="114"/>
      <c r="K12" s="116"/>
      <c r="L12" s="114">
        <v>15</v>
      </c>
      <c r="M12" s="116"/>
      <c r="N12" s="116"/>
      <c r="O12" s="116"/>
      <c r="P12" s="116"/>
      <c r="Q12" s="114" t="s">
        <v>1033</v>
      </c>
      <c r="R12" s="114"/>
      <c r="S12" s="114" t="s">
        <v>676</v>
      </c>
      <c r="T12" s="124">
        <f>($D12*dpsStr+$E12*dpsAgi+$F12*dpsAP+$G12*dpsCrit+$H12*dpsHit+$I12*dpsHaste+$J12*dpsArmor+$K12*dpsExp+IF(MID($Q12,1,1)+MID($Q12,3,1)+MID($Q12,5,1)&gt;0,VLOOKUP('Gear &amp; Buffs'!$B$23,GenSocketStats,18,FALSE)+IF(MID($Q12,1,1)+MID($Q12,3,1)+MID($Q12,5,1)&gt;1,VLOOKUP('Gear &amp; Buffs'!$B$24,GenSocketStats,18,FALSE)+IF(MID($Q12,1,1)+MID($Q12,3,1)+MID($Q12,5,1)&gt;2,VLOOKUP('Gear &amp; Buffs'!$B$25,GenSocketStats,18,FALSE),0)),0))-'Gear &amp; Buffs'!$AF$22</f>
        <v>-64.032346276721</v>
      </c>
      <c r="U12" s="250" t="s">
        <v>46</v>
      </c>
      <c r="V12" s="870">
        <f>IF(AND(IF('Gear &amp; Buffs'!$AC$50,$T12&gt;0+'Gear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8">
        <v>9</v>
      </c>
      <c r="X12" s="714" t="str">
        <f t="shared" si="0"/>
        <v>Fitz's Throwing Axe</v>
      </c>
    </row>
    <row r="13" spans="1:24">
      <c r="A13" s="10" t="s">
        <v>426</v>
      </c>
      <c r="B13" s="129">
        <v>34892</v>
      </c>
      <c r="C13" s="129">
        <v>5</v>
      </c>
      <c r="D13" s="114"/>
      <c r="E13" s="114"/>
      <c r="F13" s="114">
        <v>32</v>
      </c>
      <c r="G13" s="116">
        <v>18</v>
      </c>
      <c r="H13" s="116">
        <v>14</v>
      </c>
      <c r="I13" s="114"/>
      <c r="J13" s="114"/>
      <c r="K13" s="116"/>
      <c r="L13" s="114"/>
      <c r="M13" s="116"/>
      <c r="N13" s="116"/>
      <c r="O13" s="116"/>
      <c r="P13" s="116"/>
      <c r="Q13" s="114" t="s">
        <v>1033</v>
      </c>
      <c r="R13" s="114"/>
      <c r="S13" s="114" t="s">
        <v>691</v>
      </c>
      <c r="T13" s="124">
        <f>($D13*dpsStr+$E13*dpsAgi+$F13*dpsAP+$G13*dpsCrit+$H13*dpsHit+$I13*dpsHaste+$J13*dpsArmor+$K13*dpsExp+IF(MID($Q13,1,1)+MID($Q13,3,1)+MID($Q13,5,1)&gt;0,VLOOKUP('Gear &amp; Buffs'!$B$23,GenSocketStats,18,FALSE)+IF(MID($Q13,1,1)+MID($Q13,3,1)+MID($Q13,5,1)&gt;1,VLOOKUP('Gear &amp; Buffs'!$B$24,GenSocketStats,18,FALSE)+IF(MID($Q13,1,1)+MID($Q13,3,1)+MID($Q13,5,1)&gt;2,VLOOKUP('Gear &amp; Buffs'!$B$25,GenSocketStats,18,FALSE),0)),0))-'Gear &amp; Buffs'!$AF$22</f>
        <v>22.641173727084151</v>
      </c>
      <c r="U13" s="250" t="s">
        <v>48</v>
      </c>
      <c r="V13" s="870" t="str">
        <f>IF(AND(IF('Gear &amp; Buffs'!$AC$50,$T13&gt;0+'Gear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8">
        <v>10</v>
      </c>
      <c r="X13" s="714" t="str">
        <f t="shared" si="0"/>
        <v>Gladiator's War Edge</v>
      </c>
    </row>
    <row r="14" spans="1:24">
      <c r="A14" s="130" t="s">
        <v>50</v>
      </c>
      <c r="B14" s="129">
        <v>32645</v>
      </c>
      <c r="C14" s="129">
        <v>3</v>
      </c>
      <c r="D14" s="114"/>
      <c r="E14" s="114">
        <v>12</v>
      </c>
      <c r="F14" s="114"/>
      <c r="G14" s="116"/>
      <c r="H14" s="116">
        <v>11</v>
      </c>
      <c r="I14" s="114"/>
      <c r="J14" s="114"/>
      <c r="K14" s="116"/>
      <c r="L14" s="114">
        <v>16</v>
      </c>
      <c r="M14" s="116"/>
      <c r="N14" s="116"/>
      <c r="O14" s="116"/>
      <c r="P14" s="116"/>
      <c r="Q14" s="114" t="s">
        <v>1033</v>
      </c>
      <c r="R14" s="114"/>
      <c r="S14" s="114" t="s">
        <v>676</v>
      </c>
      <c r="T14" s="124">
        <f>($D14*dpsStr+$E14*dpsAgi+$F14*dpsAP+$G14*dpsCrit+$H14*dpsHit+$I14*dpsHaste+$J14*dpsArmor+$K14*dpsExp+IF(MID($Q14,1,1)+MID($Q14,3,1)+MID($Q14,5,1)&gt;0,VLOOKUP('Gear &amp; Buffs'!$B$23,GenSocketStats,18,FALSE)+IF(MID($Q14,1,1)+MID($Q14,3,1)+MID($Q14,5,1)&gt;1,VLOOKUP('Gear &amp; Buffs'!$B$24,GenSocketStats,18,FALSE)+IF(MID($Q14,1,1)+MID($Q14,3,1)+MID($Q14,5,1)&gt;2,VLOOKUP('Gear &amp; Buffs'!$B$25,GenSocketStats,18,FALSE),0)),0))-'Gear &amp; Buffs'!$AF$22</f>
        <v>-7.8612605688135773</v>
      </c>
      <c r="U14" s="250" t="s">
        <v>48</v>
      </c>
      <c r="V14" s="870" t="str">
        <f>IF(AND(IF('Gear &amp; Buffs'!$AC$50,$T14&gt;0+'Gear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8">
        <v>11</v>
      </c>
      <c r="X14" s="714" t="str">
        <f t="shared" si="0"/>
        <v>Hemet's Elekk Gun</v>
      </c>
    </row>
    <row r="15" spans="1:24">
      <c r="A15" s="10" t="s">
        <v>1141</v>
      </c>
      <c r="B15" s="129">
        <v>34603</v>
      </c>
      <c r="C15" s="129">
        <v>5</v>
      </c>
      <c r="D15" s="114"/>
      <c r="E15" s="114">
        <v>14</v>
      </c>
      <c r="F15" s="114">
        <v>26</v>
      </c>
      <c r="G15" s="116"/>
      <c r="H15" s="116"/>
      <c r="I15" s="114">
        <v>10</v>
      </c>
      <c r="J15" s="114"/>
      <c r="K15" s="116"/>
      <c r="L15" s="114"/>
      <c r="M15" s="116"/>
      <c r="N15" s="116"/>
      <c r="O15" s="116"/>
      <c r="P15" s="116"/>
      <c r="Q15" s="114" t="s">
        <v>1033</v>
      </c>
      <c r="R15" s="114"/>
      <c r="S15" s="114" t="s">
        <v>691</v>
      </c>
      <c r="T15" s="124">
        <f>($D15*dpsStr+$E15*dpsAgi+$F15*dpsAP+$G15*dpsCrit+$H15*dpsHit+$I15*dpsHaste+$J15*dpsArmor+$K15*dpsExp+IF(MID($Q15,1,1)+MID($Q15,3,1)+MID($Q15,5,1)&gt;0,VLOOKUP('Gear &amp; Buffs'!$B$23,GenSocketStats,18,FALSE)+IF(MID($Q15,1,1)+MID($Q15,3,1)+MID($Q15,5,1)&gt;1,VLOOKUP('Gear &amp; Buffs'!$B$24,GenSocketStats,18,FALSE)+IF(MID($Q15,1,1)+MID($Q15,3,1)+MID($Q15,5,1)&gt;2,VLOOKUP('Gear &amp; Buffs'!$B$25,GenSocketStats,18,FALSE),0)),0))-'Gear &amp; Buffs'!$AF$22</f>
        <v>-21.252752906106707</v>
      </c>
      <c r="U15" s="250" t="s">
        <v>47</v>
      </c>
      <c r="V15" s="870" t="str">
        <f>IF(AND(IF('Gear &amp; Buffs'!$AC$50,$T15&gt;0+'Gear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8">
        <v>12</v>
      </c>
      <c r="X15" s="714" t="str">
        <f t="shared" si="0"/>
        <v>Lohn'goron, Bow of the Torn-heart</v>
      </c>
    </row>
    <row r="16" spans="1:24">
      <c r="A16" s="10" t="s">
        <v>2419</v>
      </c>
      <c r="B16" s="129">
        <v>28397</v>
      </c>
      <c r="C16" s="129">
        <v>1</v>
      </c>
      <c r="D16" s="114"/>
      <c r="E16" s="114"/>
      <c r="F16" s="114">
        <v>14</v>
      </c>
      <c r="G16" s="116">
        <v>18</v>
      </c>
      <c r="H16" s="116"/>
      <c r="I16" s="114"/>
      <c r="J16" s="114"/>
      <c r="K16" s="116"/>
      <c r="L16" s="114"/>
      <c r="M16" s="116"/>
      <c r="N16" s="116"/>
      <c r="O16" s="116"/>
      <c r="P16" s="116"/>
      <c r="Q16" s="114" t="s">
        <v>1033</v>
      </c>
      <c r="R16" s="114"/>
      <c r="S16" s="114" t="s">
        <v>673</v>
      </c>
      <c r="T16" s="124">
        <f>($D16*dpsStr+$E16*dpsAgi+$F16*dpsAP+$G16*dpsCrit+$H16*dpsHit+$I16*dpsHaste+$J16*dpsArmor+$K16*dpsExp+IF(MID($Q16,1,1)+MID($Q16,3,1)+MID($Q16,5,1)&gt;0,VLOOKUP('Gear &amp; Buffs'!$B$23,GenSocketStats,18,FALSE)+IF(MID($Q16,1,1)+MID($Q16,3,1)+MID($Q16,5,1)&gt;1,VLOOKUP('Gear &amp; Buffs'!$B$24,GenSocketStats,18,FALSE)+IF(MID($Q16,1,1)+MID($Q16,3,1)+MID($Q16,5,1)&gt;2,VLOOKUP('Gear &amp; Buffs'!$B$25,GenSocketStats,18,FALSE),0)),0))-'Gear &amp; Buffs'!$AF$22</f>
        <v>-61.49120727808895</v>
      </c>
      <c r="U16" s="250" t="s">
        <v>48</v>
      </c>
      <c r="V16" s="870">
        <f>IF(AND(IF('Gear &amp; Buffs'!$AC$50,$T16&gt;0+'Gear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7</v>
      </c>
      <c r="W16" s="738">
        <v>13</v>
      </c>
      <c r="X16" s="714" t="str">
        <f t="shared" si="0"/>
        <v>Mama's Insurance</v>
      </c>
    </row>
    <row r="17" spans="1:24">
      <c r="A17" s="130" t="s">
        <v>1629</v>
      </c>
      <c r="B17" s="129">
        <v>29204</v>
      </c>
      <c r="C17" s="129">
        <v>1</v>
      </c>
      <c r="D17" s="114"/>
      <c r="E17" s="114"/>
      <c r="F17" s="114">
        <v>20</v>
      </c>
      <c r="G17" s="116">
        <v>10</v>
      </c>
      <c r="H17" s="116">
        <v>10</v>
      </c>
      <c r="I17" s="114"/>
      <c r="J17" s="114"/>
      <c r="K17" s="116"/>
      <c r="L17" s="114"/>
      <c r="M17" s="116"/>
      <c r="N17" s="116"/>
      <c r="O17" s="116"/>
      <c r="P17" s="116"/>
      <c r="Q17" s="114" t="s">
        <v>1033</v>
      </c>
      <c r="R17" s="114"/>
      <c r="S17" s="114" t="s">
        <v>685</v>
      </c>
      <c r="T17" s="124">
        <f>($D17*dpsStr+$E17*dpsAgi+$F17*dpsAP+$G17*dpsCrit+$H17*dpsHit+$I17*dpsHaste+$J17*dpsArmor+$K17*dpsExp+IF(MID($Q17,1,1)+MID($Q17,3,1)+MID($Q17,5,1)&gt;0,VLOOKUP('Gear &amp; Buffs'!$B$23,GenSocketStats,18,FALSE)+IF(MID($Q17,1,1)+MID($Q17,3,1)+MID($Q17,5,1)&gt;1,VLOOKUP('Gear &amp; Buffs'!$B$24,GenSocketStats,18,FALSE)+IF(MID($Q17,1,1)+MID($Q17,3,1)+MID($Q17,5,1)&gt;2,VLOOKUP('Gear &amp; Buffs'!$B$25,GenSocketStats,18,FALSE),0)),0))-'Gear &amp; Buffs'!$AF$22</f>
        <v>-9.3332828957622951</v>
      </c>
      <c r="U17" s="250" t="s">
        <v>47</v>
      </c>
      <c r="V17" s="870">
        <f>IF(AND(IF('Gear &amp; Buffs'!$AC$50,$T17&gt;0+'Gear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8">
        <v>14</v>
      </c>
      <c r="X17" s="714" t="str">
        <f t="shared" si="0"/>
        <v>Mark V's Throwing Star</v>
      </c>
    </row>
    <row r="18" spans="1:24">
      <c r="A18" s="130" t="s">
        <v>1630</v>
      </c>
      <c r="B18" s="129">
        <v>29211</v>
      </c>
      <c r="C18" s="129">
        <v>1</v>
      </c>
      <c r="D18" s="114"/>
      <c r="E18" s="114">
        <v>12</v>
      </c>
      <c r="F18" s="114"/>
      <c r="G18" s="116"/>
      <c r="H18" s="116">
        <v>12</v>
      </c>
      <c r="I18" s="114"/>
      <c r="J18" s="114"/>
      <c r="K18" s="116"/>
      <c r="L18" s="114"/>
      <c r="M18" s="116"/>
      <c r="N18" s="116"/>
      <c r="O18" s="116"/>
      <c r="P18" s="116"/>
      <c r="Q18" s="114" t="s">
        <v>1033</v>
      </c>
      <c r="R18" s="114"/>
      <c r="S18" s="114" t="s">
        <v>675</v>
      </c>
      <c r="T18" s="124">
        <f>($D18*dpsStr+$E18*dpsAgi+$F18*dpsAP+$G18*dpsCrit+$H18*dpsHit+$I18*dpsHaste+$J18*dpsArmor+$K18*dpsExp+IF(MID($Q18,1,1)+MID($Q18,3,1)+MID($Q18,5,1)&gt;0,VLOOKUP('Gear &amp; Buffs'!$B$23,GenSocketStats,18,FALSE)+IF(MID($Q18,1,1)+MID($Q18,3,1)+MID($Q18,5,1)&gt;1,VLOOKUP('Gear &amp; Buffs'!$B$24,GenSocketStats,18,FALSE)+IF(MID($Q18,1,1)+MID($Q18,3,1)+MID($Q18,5,1)&gt;2,VLOOKUP('Gear &amp; Buffs'!$B$25,GenSocketStats,18,FALSE),0)),0))-'Gear &amp; Buffs'!$AF$22</f>
        <v>-2.3112291016864219</v>
      </c>
      <c r="U18" s="250" t="s">
        <v>47</v>
      </c>
      <c r="V18" s="870">
        <f>IF(AND(IF('Gear &amp; Buffs'!$AC$50,$T18&gt;0+'Gear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8">
        <v>15</v>
      </c>
      <c r="X18" s="714" t="str">
        <f t="shared" si="0"/>
        <v>Marksman's Bow</v>
      </c>
    </row>
    <row r="19" spans="1:24">
      <c r="A19" s="10" t="s">
        <v>1931</v>
      </c>
      <c r="B19" s="129">
        <v>28319</v>
      </c>
      <c r="C19" s="129">
        <v>1</v>
      </c>
      <c r="D19" s="114"/>
      <c r="E19" s="114"/>
      <c r="F19" s="114">
        <v>24</v>
      </c>
      <c r="G19" s="116">
        <v>11</v>
      </c>
      <c r="H19" s="116"/>
      <c r="I19" s="114"/>
      <c r="J19" s="114"/>
      <c r="K19" s="116"/>
      <c r="L19" s="114">
        <v>15</v>
      </c>
      <c r="M19" s="116"/>
      <c r="N19" s="116">
        <v>12</v>
      </c>
      <c r="O19" s="116"/>
      <c r="P19" s="116"/>
      <c r="Q19" s="114" t="s">
        <v>1033</v>
      </c>
      <c r="R19" s="114"/>
      <c r="S19" s="114" t="s">
        <v>677</v>
      </c>
      <c r="T19" s="124">
        <f>($D19*dpsStr+$E19*dpsAgi+$F19*dpsAP+$G19*dpsCrit+$H19*dpsHit+$I19*dpsHaste+$J19*dpsArmor+$K19*dpsExp+IF(MID($Q19,1,1)+MID($Q19,3,1)+MID($Q19,5,1)&gt;0,VLOOKUP('Gear &amp; Buffs'!$B$23,GenSocketStats,18,FALSE)+IF(MID($Q19,1,1)+MID($Q19,3,1)+MID($Q19,5,1)&gt;1,VLOOKUP('Gear &amp; Buffs'!$B$24,GenSocketStats,18,FALSE)+IF(MID($Q19,1,1)+MID($Q19,3,1)+MID($Q19,5,1)&gt;2,VLOOKUP('Gear &amp; Buffs'!$B$25,GenSocketStats,18,FALSE),0)),0))-'Gear &amp; Buffs'!$AF$22</f>
        <v>-62.718481158103714</v>
      </c>
      <c r="U19" s="250" t="s">
        <v>47</v>
      </c>
      <c r="V19" s="870">
        <f>IF(AND(IF('Gear &amp; Buffs'!$AC$50,$T19&gt;0+'Gear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8">
        <v>16</v>
      </c>
      <c r="X19" s="714" t="str">
        <f t="shared" si="0"/>
        <v>Needle Shrike</v>
      </c>
    </row>
    <row r="20" spans="1:24">
      <c r="A20" s="10" t="s">
        <v>630</v>
      </c>
      <c r="B20" s="129">
        <v>34196</v>
      </c>
      <c r="C20" s="129">
        <v>5</v>
      </c>
      <c r="D20" s="114"/>
      <c r="E20" s="114">
        <v>18</v>
      </c>
      <c r="F20" s="114">
        <v>34</v>
      </c>
      <c r="G20" s="116"/>
      <c r="H20" s="116"/>
      <c r="I20" s="114"/>
      <c r="J20" s="114">
        <v>175</v>
      </c>
      <c r="K20" s="116"/>
      <c r="L20" s="114"/>
      <c r="M20" s="116"/>
      <c r="N20" s="116"/>
      <c r="O20" s="116"/>
      <c r="P20" s="116"/>
      <c r="Q20" s="114" t="s">
        <v>1033</v>
      </c>
      <c r="R20" s="114"/>
      <c r="S20" s="114" t="s">
        <v>871</v>
      </c>
      <c r="T20" s="124">
        <f>($D20*dpsStr+$E20*dpsAgi+$F20*dpsAP+$G20*dpsCrit+$H20*dpsHit+$I20*dpsHaste+$J20*dpsArmor+$K20*dpsExp+IF(MID($Q20,1,1)+MID($Q20,3,1)+MID($Q20,5,1)&gt;0,VLOOKUP('Gear &amp; Buffs'!$B$23,GenSocketStats,18,FALSE)+IF(MID($Q20,1,1)+MID($Q20,3,1)+MID($Q20,5,1)&gt;1,VLOOKUP('Gear &amp; Buffs'!$B$24,GenSocketStats,18,FALSE)+IF(MID($Q20,1,1)+MID($Q20,3,1)+MID($Q20,5,1)&gt;2,VLOOKUP('Gear &amp; Buffs'!$B$25,GenSocketStats,18,FALSE),0)),0))-'Gear &amp; Buffs'!$AF$22</f>
        <v>-30.290103378226149</v>
      </c>
      <c r="U20" s="250" t="s">
        <v>44</v>
      </c>
      <c r="V20" s="870" t="str">
        <f>IF(AND(IF('Gear &amp; Buffs'!$AC$50,$T20&gt;0+'Gear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8">
        <v>17</v>
      </c>
      <c r="X20" s="714" t="str">
        <f t="shared" si="0"/>
        <v>Nerubian Slavemaker</v>
      </c>
    </row>
    <row r="21" spans="1:24">
      <c r="A21" s="10" t="s">
        <v>2423</v>
      </c>
      <c r="B21" s="129">
        <v>25639</v>
      </c>
      <c r="C21" s="129">
        <v>1</v>
      </c>
      <c r="D21" s="114"/>
      <c r="E21" s="114"/>
      <c r="F21" s="114">
        <v>24</v>
      </c>
      <c r="G21" s="116">
        <v>12</v>
      </c>
      <c r="H21" s="116"/>
      <c r="I21" s="114"/>
      <c r="J21" s="114"/>
      <c r="K21" s="116"/>
      <c r="L21" s="114"/>
      <c r="M21" s="116"/>
      <c r="N21" s="116"/>
      <c r="O21" s="116"/>
      <c r="P21" s="116"/>
      <c r="Q21" s="114" t="s">
        <v>1033</v>
      </c>
      <c r="R21" s="114"/>
      <c r="S21" s="114" t="s">
        <v>675</v>
      </c>
      <c r="T21" s="124">
        <f>($D21*dpsStr+$E21*dpsAgi+$F21*dpsAP+$G21*dpsCrit+$H21*dpsHit+$I21*dpsHaste+$J21*dpsArmor+$K21*dpsExp+IF(MID($Q21,1,1)+MID($Q21,3,1)+MID($Q21,5,1)&gt;0,VLOOKUP('Gear &amp; Buffs'!$B$23,GenSocketStats,18,FALSE)+IF(MID($Q21,1,1)+MID($Q21,3,1)+MID($Q21,5,1)&gt;1,VLOOKUP('Gear &amp; Buffs'!$B$24,GenSocketStats,18,FALSE)+IF(MID($Q21,1,1)+MID($Q21,3,1)+MID($Q21,5,1)&gt;2,VLOOKUP('Gear &amp; Buffs'!$B$25,GenSocketStats,18,FALSE),0)),0))-'Gear &amp; Buffs'!$AF$22</f>
        <v>-62.03268485259423</v>
      </c>
      <c r="U21" s="250" t="s">
        <v>46</v>
      </c>
      <c r="V21" s="870">
        <f>IF(AND(IF('Gear &amp; Buffs'!$AC$50,$T21&gt;0+'Gear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11</v>
      </c>
      <c r="W21" s="738">
        <v>18</v>
      </c>
      <c r="X21" s="714" t="str">
        <f t="shared" si="0"/>
        <v>Ornate Khorium Rifle</v>
      </c>
    </row>
    <row r="22" spans="1:24">
      <c r="A22" s="10" t="s">
        <v>859</v>
      </c>
      <c r="B22" s="129">
        <v>32253</v>
      </c>
      <c r="C22" s="129">
        <v>3</v>
      </c>
      <c r="D22" s="114"/>
      <c r="E22" s="114">
        <v>21</v>
      </c>
      <c r="F22" s="114"/>
      <c r="G22" s="116"/>
      <c r="H22" s="116"/>
      <c r="I22" s="114"/>
      <c r="J22" s="114"/>
      <c r="K22" s="116"/>
      <c r="L22" s="114">
        <v>30</v>
      </c>
      <c r="M22" s="116"/>
      <c r="N22" s="116"/>
      <c r="O22" s="116"/>
      <c r="P22" s="116"/>
      <c r="Q22" s="114" t="s">
        <v>1033</v>
      </c>
      <c r="R22" s="114"/>
      <c r="S22" s="114" t="s">
        <v>683</v>
      </c>
      <c r="T22" s="124">
        <f>($D22*dpsStr+$E22*dpsAgi+$F22*dpsAP+$G22*dpsCrit+$H22*dpsHit+$I22*dpsHaste+$J22*dpsArmor+$K22*dpsExp+IF(MID($Q22,1,1)+MID($Q22,3,1)+MID($Q22,5,1)&gt;0,VLOOKUP('Gear &amp; Buffs'!$B$23,GenSocketStats,18,FALSE)+IF(MID($Q22,1,1)+MID($Q22,3,1)+MID($Q22,5,1)&gt;1,VLOOKUP('Gear &amp; Buffs'!$B$24,GenSocketStats,18,FALSE)+IF(MID($Q22,1,1)+MID($Q22,3,1)+MID($Q22,5,1)&gt;2,VLOOKUP('Gear &amp; Buffs'!$B$25,GenSocketStats,18,FALSE),0)),0))-'Gear &amp; Buffs'!$AF$22</f>
        <v>-61.466690883197543</v>
      </c>
      <c r="U22" s="250" t="s">
        <v>48</v>
      </c>
      <c r="V22" s="870" t="str">
        <f>IF(AND(IF('Gear &amp; Buffs'!$AC$50,$T22&gt;0+'Gear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8">
        <v>19</v>
      </c>
      <c r="X22" s="714" t="str">
        <f t="shared" si="0"/>
        <v>Sethekk Feather-Darts</v>
      </c>
    </row>
    <row r="23" spans="1:24">
      <c r="A23" s="130" t="s">
        <v>2420</v>
      </c>
      <c r="B23" s="129">
        <v>31072</v>
      </c>
      <c r="C23" s="129">
        <v>1</v>
      </c>
      <c r="D23" s="114"/>
      <c r="E23" s="114">
        <v>12</v>
      </c>
      <c r="F23" s="114">
        <v>26</v>
      </c>
      <c r="G23" s="116"/>
      <c r="H23" s="116"/>
      <c r="I23" s="114"/>
      <c r="J23" s="114"/>
      <c r="K23" s="116"/>
      <c r="L23" s="114"/>
      <c r="M23" s="116"/>
      <c r="N23" s="116"/>
      <c r="O23" s="116"/>
      <c r="P23" s="116"/>
      <c r="Q23" s="114" t="s">
        <v>1033</v>
      </c>
      <c r="R23" s="114"/>
      <c r="S23" s="114" t="s">
        <v>675</v>
      </c>
      <c r="T23" s="124">
        <f>($D23*dpsStr+$E23*dpsAgi+$F23*dpsAP+$G23*dpsCrit+$H23*dpsHit+$I23*dpsHaste+$J23*dpsArmor+$K23*dpsExp+IF(MID($Q23,1,1)+MID($Q23,3,1)+MID($Q23,5,1)&gt;0,VLOOKUP('Gear &amp; Buffs'!$B$23,GenSocketStats,18,FALSE)+IF(MID($Q23,1,1)+MID($Q23,3,1)+MID($Q23,5,1)&gt;1,VLOOKUP('Gear &amp; Buffs'!$B$24,GenSocketStats,18,FALSE)+IF(MID($Q23,1,1)+MID($Q23,3,1)+MID($Q23,5,1)&gt;2,VLOOKUP('Gear &amp; Buffs'!$B$25,GenSocketStats,18,FALSE),0)),0))-'Gear &amp; Buffs'!$AF$22</f>
        <v>-59.621026034978058</v>
      </c>
      <c r="U23" s="250" t="s">
        <v>44</v>
      </c>
      <c r="V23" s="870">
        <f>IF(AND(IF('Gear &amp; Buffs'!$AC$50,$T23&gt;0+'Gear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8">
        <v>20</v>
      </c>
      <c r="X23" s="714" t="str">
        <f t="shared" si="0"/>
        <v>Shuriken of Negation</v>
      </c>
    </row>
    <row r="24" spans="1:24">
      <c r="A24" s="10" t="s">
        <v>1932</v>
      </c>
      <c r="B24" s="129">
        <v>30279</v>
      </c>
      <c r="C24" s="129">
        <v>1</v>
      </c>
      <c r="D24" s="114"/>
      <c r="E24" s="114">
        <v>10</v>
      </c>
      <c r="F24" s="114">
        <v>32</v>
      </c>
      <c r="G24" s="116">
        <v>6</v>
      </c>
      <c r="H24" s="116"/>
      <c r="I24" s="114"/>
      <c r="J24" s="114"/>
      <c r="K24" s="114"/>
      <c r="L24" s="114"/>
      <c r="M24" s="116"/>
      <c r="N24" s="116"/>
      <c r="O24" s="114"/>
      <c r="P24" s="114"/>
      <c r="Q24" s="114" t="s">
        <v>1033</v>
      </c>
      <c r="R24" s="114"/>
      <c r="S24" s="114" t="s">
        <v>675</v>
      </c>
      <c r="T24" s="124">
        <f>($D24*dpsStr+$E24*dpsAgi+$F24*dpsAP+$G24*dpsCrit+$H24*dpsHit+$I24*dpsHaste+$J24*dpsArmor+$K24*dpsExp+IF(MID($Q24,1,1)+MID($Q24,3,1)+MID($Q24,5,1)&gt;0,VLOOKUP('Gear &amp; Buffs'!$B$23,GenSocketStats,18,FALSE)+IF(MID($Q24,1,1)+MID($Q24,3,1)+MID($Q24,5,1)&gt;1,VLOOKUP('Gear &amp; Buffs'!$B$24,GenSocketStats,18,FALSE)+IF(MID($Q24,1,1)+MID($Q24,3,1)+MID($Q24,5,1)&gt;2,VLOOKUP('Gear &amp; Buffs'!$B$25,GenSocketStats,18,FALSE),0)),0))-'Gear &amp; Buffs'!$AF$22</f>
        <v>-55.01669378546012</v>
      </c>
      <c r="U24" s="250" t="s">
        <v>46</v>
      </c>
      <c r="V24" s="870">
        <f>IF(AND(IF('Gear &amp; Buffs'!$AC$50,$T24&gt;0+'Gear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8">
        <v>21</v>
      </c>
      <c r="X24" s="714" t="str">
        <f t="shared" si="0"/>
        <v>Skyfire Hawk-Bow</v>
      </c>
    </row>
    <row r="25" spans="1:24">
      <c r="A25" s="130" t="s">
        <v>2837</v>
      </c>
      <c r="B25" s="129">
        <v>30227</v>
      </c>
      <c r="C25" s="129">
        <v>1</v>
      </c>
      <c r="D25" s="114"/>
      <c r="E25" s="114">
        <v>7</v>
      </c>
      <c r="F25" s="114">
        <v>14</v>
      </c>
      <c r="G25" s="116"/>
      <c r="H25" s="116">
        <v>7</v>
      </c>
      <c r="I25" s="114"/>
      <c r="J25" s="114"/>
      <c r="K25" s="114"/>
      <c r="L25" s="114">
        <v>10</v>
      </c>
      <c r="M25" s="116"/>
      <c r="N25" s="116"/>
      <c r="O25" s="114"/>
      <c r="P25" s="114"/>
      <c r="Q25" s="114" t="s">
        <v>1033</v>
      </c>
      <c r="R25" s="114"/>
      <c r="S25" s="114" t="s">
        <v>675</v>
      </c>
      <c r="T25" s="124">
        <f>($D25*dpsStr+$E25*dpsAgi+$F25*dpsAP+$G25*dpsCrit+$H25*dpsHit+$I25*dpsHaste+$J25*dpsArmor+$K25*dpsExp+IF(MID($Q25,1,1)+MID($Q25,3,1)+MID($Q25,5,1)&gt;0,VLOOKUP('Gear &amp; Buffs'!$B$23,GenSocketStats,18,FALSE)+IF(MID($Q25,1,1)+MID($Q25,3,1)+MID($Q25,5,1)&gt;1,VLOOKUP('Gear &amp; Buffs'!$B$24,GenSocketStats,18,FALSE)+IF(MID($Q25,1,1)+MID($Q25,3,1)+MID($Q25,5,1)&gt;2,VLOOKUP('Gear &amp; Buffs'!$B$25,GenSocketStats,18,FALSE),0)),0))-'Gear &amp; Buffs'!$AF$22</f>
        <v>-29.194830422024779</v>
      </c>
      <c r="U25" s="250" t="s">
        <v>47</v>
      </c>
      <c r="V25" s="870">
        <f>IF(AND(IF('Gear &amp; Buffs'!$AC$50,$T25&gt;0+'Gear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14</v>
      </c>
      <c r="W25" s="738">
        <v>22</v>
      </c>
      <c r="X25" s="714" t="str">
        <f t="shared" si="0"/>
        <v>Spinesever</v>
      </c>
    </row>
    <row r="26" spans="1:24">
      <c r="A26" s="10" t="s">
        <v>1933</v>
      </c>
      <c r="B26" s="129">
        <v>29152</v>
      </c>
      <c r="C26" s="129">
        <v>1</v>
      </c>
      <c r="D26" s="114"/>
      <c r="E26" s="114">
        <v>12</v>
      </c>
      <c r="F26" s="114">
        <v>22</v>
      </c>
      <c r="G26" s="116"/>
      <c r="H26" s="116">
        <v>11</v>
      </c>
      <c r="I26" s="114"/>
      <c r="J26" s="114"/>
      <c r="K26" s="114"/>
      <c r="L26" s="114"/>
      <c r="M26" s="116"/>
      <c r="N26" s="116"/>
      <c r="O26" s="114"/>
      <c r="P26" s="114"/>
      <c r="Q26" s="114" t="s">
        <v>1033</v>
      </c>
      <c r="R26" s="114"/>
      <c r="S26" s="114" t="s">
        <v>676</v>
      </c>
      <c r="T26" s="124">
        <f>($D26*dpsStr+$E26*dpsAgi+$F26*dpsAP+$G26*dpsCrit+$H26*dpsHit+$I26*dpsHaste+$J26*dpsArmor+$K26*dpsExp+IF(MID($Q26,1,1)+MID($Q26,3,1)+MID($Q26,5,1)&gt;0,VLOOKUP('Gear &amp; Buffs'!$B$23,GenSocketStats,18,FALSE)+IF(MID($Q26,1,1)+MID($Q26,3,1)+MID($Q26,5,1)&gt;1,VLOOKUP('Gear &amp; Buffs'!$B$24,GenSocketStats,18,FALSE)+IF(MID($Q26,1,1)+MID($Q26,3,1)+MID($Q26,5,1)&gt;2,VLOOKUP('Gear &amp; Buffs'!$B$25,GenSocketStats,18,FALSE),0)),0))-'Gear &amp; Buffs'!$AF$22</f>
        <v>0</v>
      </c>
      <c r="U26" s="250" t="s">
        <v>44</v>
      </c>
      <c r="V26" s="870">
        <f>IF(AND(IF('Gear &amp; Buffs'!$AC$50,$T26&gt;0+'Gear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15</v>
      </c>
      <c r="W26" s="738">
        <v>23</v>
      </c>
      <c r="X26" s="714" t="str">
        <f t="shared" si="0"/>
        <v>Steelhawk Crossbow</v>
      </c>
    </row>
    <row r="27" spans="1:24">
      <c r="A27" s="10" t="s">
        <v>1147</v>
      </c>
      <c r="B27" s="129">
        <v>32054</v>
      </c>
      <c r="C27" s="129">
        <v>2</v>
      </c>
      <c r="D27" s="114"/>
      <c r="E27" s="114"/>
      <c r="F27" s="114">
        <v>28</v>
      </c>
      <c r="G27" s="116">
        <v>16</v>
      </c>
      <c r="H27" s="116"/>
      <c r="I27" s="114"/>
      <c r="J27" s="114"/>
      <c r="K27" s="114"/>
      <c r="L27" s="114">
        <v>21</v>
      </c>
      <c r="M27" s="116"/>
      <c r="N27" s="116">
        <v>12</v>
      </c>
      <c r="O27" s="114"/>
      <c r="P27" s="114"/>
      <c r="Q27" s="114" t="s">
        <v>1033</v>
      </c>
      <c r="R27" s="114"/>
      <c r="S27" s="114" t="s">
        <v>677</v>
      </c>
      <c r="T27" s="124">
        <f>($D27*dpsStr+$E27*dpsAgi+$F27*dpsAP+$G27*dpsCrit+$H27*dpsHit+$I27*dpsHaste+$J27*dpsArmor+$K27*dpsExp+IF(MID($Q27,1,1)+MID($Q27,3,1)+MID($Q27,5,1)&gt;0,VLOOKUP('Gear &amp; Buffs'!$B$23,GenSocketStats,18,FALSE)+IF(MID($Q27,1,1)+MID($Q27,3,1)+MID($Q27,5,1)&gt;1,VLOOKUP('Gear &amp; Buffs'!$B$24,GenSocketStats,18,FALSE)+IF(MID($Q27,1,1)+MID($Q27,3,1)+MID($Q27,5,1)&gt;2,VLOOKUP('Gear &amp; Buffs'!$B$25,GenSocketStats,18,FALSE),0)),0))-'Gear &amp; Buffs'!$AF$22</f>
        <v>-57.860179527135642</v>
      </c>
      <c r="U27" s="250" t="s">
        <v>47</v>
      </c>
      <c r="V27" s="870" t="str">
        <f>IF(AND(IF('Gear &amp; Buffs'!$AC$50,$T27&gt;0+'Gear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8">
        <v>24</v>
      </c>
      <c r="X27" s="714" t="str">
        <f t="shared" si="0"/>
        <v>Striker's Mark</v>
      </c>
    </row>
    <row r="28" spans="1:24">
      <c r="A28" s="10" t="s">
        <v>2421</v>
      </c>
      <c r="B28" s="129">
        <v>27631</v>
      </c>
      <c r="C28" s="129">
        <v>1</v>
      </c>
      <c r="D28" s="114"/>
      <c r="E28" s="114"/>
      <c r="F28" s="114">
        <v>24</v>
      </c>
      <c r="G28" s="116"/>
      <c r="H28" s="116">
        <v>11</v>
      </c>
      <c r="I28" s="114"/>
      <c r="J28" s="114"/>
      <c r="K28" s="116"/>
      <c r="L28" s="114"/>
      <c r="M28" s="116"/>
      <c r="N28" s="116"/>
      <c r="O28" s="116"/>
      <c r="P28" s="116"/>
      <c r="Q28" s="114" t="s">
        <v>1033</v>
      </c>
      <c r="R28" s="114"/>
      <c r="S28" s="114" t="s">
        <v>673</v>
      </c>
      <c r="T28" s="124">
        <f>($D28*dpsStr+$E28*dpsAgi+$F28*dpsAP+$G28*dpsCrit+$H28*dpsHit+$I28*dpsHaste+$J28*dpsArmor+$K28*dpsExp+IF(MID($Q28,1,1)+MID($Q28,3,1)+MID($Q28,5,1)&gt;0,VLOOKUP('Gear &amp; Buffs'!$B$23,GenSocketStats,18,FALSE)+IF(MID($Q28,1,1)+MID($Q28,3,1)+MID($Q28,5,1)&gt;1,VLOOKUP('Gear &amp; Buffs'!$B$24,GenSocketStats,18,FALSE)+IF(MID($Q28,1,1)+MID($Q28,3,1)+MID($Q28,5,1)&gt;2,VLOOKUP('Gear &amp; Buffs'!$B$25,GenSocketStats,18,FALSE),0)),0))-'Gear &amp; Buffs'!$AF$22</f>
        <v>-9.2118943803093316</v>
      </c>
      <c r="U28" s="250" t="s">
        <v>47</v>
      </c>
      <c r="V28" s="870">
        <f>IF(AND(IF('Gear &amp; Buffs'!$AC$50,$T28&gt;0+'Gear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16</v>
      </c>
      <c r="W28" s="738">
        <v>25</v>
      </c>
      <c r="X28" s="714" t="str">
        <f t="shared" si="0"/>
        <v>Sunfury Bow of the Phoenix</v>
      </c>
    </row>
    <row r="29" spans="1:24">
      <c r="A29" s="10" t="s">
        <v>2404</v>
      </c>
      <c r="B29" s="129">
        <v>22812</v>
      </c>
      <c r="C29" s="129">
        <v>1</v>
      </c>
      <c r="D29" s="114"/>
      <c r="E29" s="114"/>
      <c r="F29" s="114">
        <v>24</v>
      </c>
      <c r="G29" s="116">
        <v>14</v>
      </c>
      <c r="H29" s="116"/>
      <c r="I29" s="114"/>
      <c r="J29" s="114"/>
      <c r="K29" s="114"/>
      <c r="L29" s="114"/>
      <c r="M29" s="116"/>
      <c r="N29" s="116"/>
      <c r="O29" s="114"/>
      <c r="P29" s="114"/>
      <c r="Q29" s="114" t="s">
        <v>1033</v>
      </c>
      <c r="R29" s="114"/>
      <c r="S29" s="114" t="s">
        <v>668</v>
      </c>
      <c r="T29" s="124">
        <f>($D29*dpsStr+$E29*dpsAgi+$F29*dpsAP+$G29*dpsCrit+$H29*dpsHit+$I29*dpsHaste+$J29*dpsArmor+$K29*dpsExp+IF(MID($Q29,1,1)+MID($Q29,3,1)+MID($Q29,5,1)&gt;0,VLOOKUP('Gear &amp; Buffs'!$B$23,GenSocketStats,18,FALSE)+IF(MID($Q29,1,1)+MID($Q29,3,1)+MID($Q29,5,1)&gt;1,VLOOKUP('Gear &amp; Buffs'!$B$24,GenSocketStats,18,FALSE)+IF(MID($Q29,1,1)+MID($Q29,3,1)+MID($Q29,5,1)&gt;2,VLOOKUP('Gear &amp; Buffs'!$B$25,GenSocketStats,18,FALSE),0)),0))-'Gear &amp; Buffs'!$AF$22</f>
        <v>-60.661092241575261</v>
      </c>
      <c r="U29" s="250" t="s">
        <v>48</v>
      </c>
      <c r="V29" s="870">
        <f>IF(AND(IF('Gear &amp; Buffs'!$AC$50,$T29&gt;0+'Gear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17</v>
      </c>
      <c r="W29" s="738">
        <v>26</v>
      </c>
      <c r="X29" s="714" t="str">
        <f t="shared" si="0"/>
        <v>Telescopic Sharprifle</v>
      </c>
    </row>
    <row r="30" spans="1:24">
      <c r="A30" s="10" t="s">
        <v>1028</v>
      </c>
      <c r="B30" s="129">
        <v>34783</v>
      </c>
      <c r="C30" s="129">
        <v>5</v>
      </c>
      <c r="D30" s="114"/>
      <c r="E30" s="114"/>
      <c r="F30" s="114"/>
      <c r="G30" s="116"/>
      <c r="H30" s="116">
        <v>10</v>
      </c>
      <c r="I30" s="114"/>
      <c r="J30" s="114"/>
      <c r="K30" s="114">
        <v>10</v>
      </c>
      <c r="L30" s="114">
        <v>16</v>
      </c>
      <c r="M30" s="116"/>
      <c r="N30" s="116"/>
      <c r="O30" s="114"/>
      <c r="P30" s="114"/>
      <c r="Q30" s="114" t="s">
        <v>1033</v>
      </c>
      <c r="R30" s="114"/>
      <c r="S30" s="114" t="s">
        <v>673</v>
      </c>
      <c r="T30" s="124">
        <f>($D30*dpsStr+$E30*dpsAgi+$F30*dpsAP+$G30*dpsCrit+$H30*dpsHit+$I30*dpsHaste+$J30*dpsArmor+$K30*dpsExp+IF(MID($Q30,1,1)+MID($Q30,3,1)+MID($Q30,5,1)&gt;0,VLOOKUP('Gear &amp; Buffs'!$B$23,GenSocketStats,18,FALSE)+IF(MID($Q30,1,1)+MID($Q30,3,1)+MID($Q30,5,1)&gt;1,VLOOKUP('Gear &amp; Buffs'!$B$24,GenSocketStats,18,FALSE)+IF(MID($Q30,1,1)+MID($Q30,3,1)+MID($Q30,5,1)&gt;2,VLOOKUP('Gear &amp; Buffs'!$B$25,GenSocketStats,18,FALSE),0)),0))-'Gear &amp; Buffs'!$AF$22</f>
        <v>-11.551745004665918</v>
      </c>
      <c r="U30" s="250" t="s">
        <v>47</v>
      </c>
      <c r="V30" s="870" t="str">
        <f>IF(AND(IF('Gear &amp; Buffs'!$AC$50,$T30&gt;0+'Gear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8">
        <v>27</v>
      </c>
      <c r="X30" s="714" t="str">
        <f t="shared" si="0"/>
        <v>Veteran's Musket</v>
      </c>
    </row>
    <row r="31" spans="1:24">
      <c r="A31" s="10" t="s">
        <v>1148</v>
      </c>
      <c r="B31" s="129">
        <v>23748</v>
      </c>
      <c r="C31" s="129">
        <v>1</v>
      </c>
      <c r="D31" s="114"/>
      <c r="E31" s="114">
        <v>14</v>
      </c>
      <c r="F31" s="114"/>
      <c r="G31" s="116"/>
      <c r="H31" s="116">
        <v>13</v>
      </c>
      <c r="I31" s="114"/>
      <c r="J31" s="114"/>
      <c r="K31" s="114"/>
      <c r="L31" s="114"/>
      <c r="M31" s="116"/>
      <c r="N31" s="116"/>
      <c r="O31" s="114"/>
      <c r="P31" s="114"/>
      <c r="Q31" s="114" t="s">
        <v>1033</v>
      </c>
      <c r="R31" s="114"/>
      <c r="S31" s="114" t="s">
        <v>685</v>
      </c>
      <c r="T31" s="124">
        <f>($D31*dpsStr+$E31*dpsAgi+$F31*dpsAP+$G31*dpsCrit+$H31*dpsHit+$I31*dpsHaste+$J31*dpsArmor+$K31*dpsExp+IF(MID($Q31,1,1)+MID($Q31,3,1)+MID($Q31,5,1)&gt;0,VLOOKUP('Gear &amp; Buffs'!$B$23,GenSocketStats,18,FALSE)+IF(MID($Q31,1,1)+MID($Q31,3,1)+MID($Q31,5,1)&gt;1,VLOOKUP('Gear &amp; Buffs'!$B$24,GenSocketStats,18,FALSE)+IF(MID($Q31,1,1)+MID($Q31,3,1)+MID($Q31,5,1)&gt;2,VLOOKUP('Gear &amp; Buffs'!$B$25,GenSocketStats,18,FALSE),0)),0))-'Gear &amp; Buffs'!$AF$22</f>
        <v>4.8932281041106762</v>
      </c>
      <c r="U31" s="250" t="s">
        <v>46</v>
      </c>
      <c r="V31" s="870">
        <f>IF(AND(IF('Gear &amp; Buffs'!$AC$50,$T31&gt;0+'Gear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18</v>
      </c>
      <c r="W31" s="738">
        <v>28</v>
      </c>
      <c r="X31" s="714" t="str">
        <f t="shared" si="0"/>
        <v>Wolfslayer Sniper Rifle</v>
      </c>
    </row>
    <row r="32" spans="1:24">
      <c r="A32" s="10" t="s">
        <v>692</v>
      </c>
      <c r="B32" s="129">
        <v>30105</v>
      </c>
      <c r="C32" s="129">
        <v>2</v>
      </c>
      <c r="D32" s="114"/>
      <c r="E32" s="114"/>
      <c r="F32" s="114">
        <v>38</v>
      </c>
      <c r="G32" s="116">
        <v>16</v>
      </c>
      <c r="H32" s="116"/>
      <c r="I32" s="114"/>
      <c r="J32" s="114"/>
      <c r="K32" s="114"/>
      <c r="L32" s="114">
        <v>17</v>
      </c>
      <c r="M32" s="116"/>
      <c r="N32" s="116"/>
      <c r="O32" s="114"/>
      <c r="P32" s="114"/>
      <c r="Q32" s="114" t="s">
        <v>1033</v>
      </c>
      <c r="R32" s="114"/>
      <c r="S32" s="114" t="s">
        <v>667</v>
      </c>
      <c r="T32" s="124">
        <f>($D32*dpsStr+$E32*dpsAgi+$F32*dpsAP+$G32*dpsCrit+$H32*dpsHit+$I32*dpsHaste+$J32*dpsArmor+$K32*dpsExp+IF(MID($Q32,1,1)+MID($Q32,3,1)+MID($Q32,5,1)&gt;0,VLOOKUP('Gear &amp; Buffs'!$B$23,GenSocketStats,18,FALSE)+IF(MID($Q32,1,1)+MID($Q32,3,1)+MID($Q32,5,1)&gt;1,VLOOKUP('Gear &amp; Buffs'!$B$24,GenSocketStats,18,FALSE)+IF(MID($Q32,1,1)+MID($Q32,3,1)+MID($Q32,5,1)&gt;2,VLOOKUP('Gear &amp; Buffs'!$B$25,GenSocketStats,18,FALSE),0)),0))-'Gear &amp; Buffs'!$AF$22</f>
        <v>-54.286879268584016</v>
      </c>
      <c r="U32" s="250" t="s">
        <v>44</v>
      </c>
      <c r="V32" s="870" t="str">
        <f>IF(AND(IF('Gear &amp; Buffs'!$AC$50,$T32&gt;0+'Gear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8">
        <v>29</v>
      </c>
      <c r="X32" s="714" t="str">
        <f t="shared" si="0"/>
        <v>Wrathfire Hand-Cannon</v>
      </c>
    </row>
    <row r="33" spans="1:24">
      <c r="A33" s="10" t="s">
        <v>1149</v>
      </c>
      <c r="B33" s="129">
        <v>30025</v>
      </c>
      <c r="C33" s="129">
        <v>2</v>
      </c>
      <c r="D33" s="114"/>
      <c r="E33" s="114"/>
      <c r="F33" s="114"/>
      <c r="G33" s="116">
        <v>20</v>
      </c>
      <c r="H33" s="116">
        <v>12</v>
      </c>
      <c r="I33" s="114"/>
      <c r="J33" s="114"/>
      <c r="K33" s="114"/>
      <c r="L33" s="114">
        <v>14</v>
      </c>
      <c r="M33" s="116"/>
      <c r="N33" s="116"/>
      <c r="O33" s="114"/>
      <c r="P33" s="114"/>
      <c r="Q33" s="114" t="s">
        <v>1033</v>
      </c>
      <c r="R33" s="114"/>
      <c r="S33" s="114" t="s">
        <v>667</v>
      </c>
      <c r="T33" s="124">
        <f>($D33*dpsStr+$E33*dpsAgi+$F33*dpsAP+$G33*dpsCrit+$H33*dpsHit+$I33*dpsHaste+$J33*dpsArmor+$K33*dpsExp+IF(MID($Q33,1,1)+MID($Q33,3,1)+MID($Q33,5,1)&gt;0,VLOOKUP('Gear &amp; Buffs'!$B$23,GenSocketStats,18,FALSE)+IF(MID($Q33,1,1)+MID($Q33,3,1)+MID($Q33,5,1)&gt;1,VLOOKUP('Gear &amp; Buffs'!$B$24,GenSocketStats,18,FALSE)+IF(MID($Q33,1,1)+MID($Q33,3,1)+MID($Q33,5,1)&gt;2,VLOOKUP('Gear &amp; Buffs'!$B$25,GenSocketStats,18,FALSE),0)),0))-'Gear &amp; Buffs'!$AF$22</f>
        <v>1.4781425764836058</v>
      </c>
      <c r="U33" s="250" t="s">
        <v>47</v>
      </c>
      <c r="V33" s="870" t="str">
        <f>IF(AND(IF('Gear &amp; Buffs'!$AC$50,$T33&gt;0+'Gear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8">
        <v>30</v>
      </c>
      <c r="X33" s="714" t="str">
        <f t="shared" si="0"/>
        <v>Wrathtide Longbow</v>
      </c>
    </row>
    <row r="34" spans="1:24">
      <c r="A34" s="10" t="s">
        <v>1150</v>
      </c>
      <c r="B34" s="129">
        <v>27916</v>
      </c>
      <c r="C34" s="129">
        <v>1</v>
      </c>
      <c r="D34" s="114"/>
      <c r="E34" s="114">
        <v>15</v>
      </c>
      <c r="F34" s="114">
        <v>22</v>
      </c>
      <c r="G34" s="116"/>
      <c r="H34" s="116"/>
      <c r="I34" s="114"/>
      <c r="J34" s="114"/>
      <c r="K34" s="114"/>
      <c r="L34" s="114"/>
      <c r="M34" s="116"/>
      <c r="N34" s="116"/>
      <c r="O34" s="114"/>
      <c r="P34" s="114"/>
      <c r="Q34" s="114" t="s">
        <v>1033</v>
      </c>
      <c r="R34" s="114"/>
      <c r="S34" s="114" t="s">
        <v>673</v>
      </c>
      <c r="T34" s="124">
        <f>($D34*dpsStr+$E34*dpsAgi+$F34*dpsAP+$G34*dpsCrit+$H34*dpsHit+$I34*dpsHaste+$J34*dpsArmor+$K34*dpsExp+IF(MID($Q34,1,1)+MID($Q34,3,1)+MID($Q34,5,1)&gt;0,VLOOKUP('Gear &amp; Buffs'!$B$23,GenSocketStats,18,FALSE)+IF(MID($Q34,1,1)+MID($Q34,3,1)+MID($Q34,5,1)&gt;1,VLOOKUP('Gear &amp; Buffs'!$B$24,GenSocketStats,18,FALSE)+IF(MID($Q34,1,1)+MID($Q34,3,1)+MID($Q34,5,1)&gt;2,VLOOKUP('Gear &amp; Buffs'!$B$25,GenSocketStats,18,FALSE),0)),0))-'Gear &amp; Buffs'!$AF$22</f>
        <v>-58.568707530393795</v>
      </c>
      <c r="U34" s="250" t="s">
        <v>47</v>
      </c>
      <c r="V34" s="870">
        <f>IF(AND(IF('Gear &amp; Buffs'!$AC$50,$T34&gt;0+'Gear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19</v>
      </c>
      <c r="W34" s="738">
        <v>31</v>
      </c>
      <c r="X34" s="714" t="str">
        <f t="shared" si="0"/>
        <v>Xavian Stiletto</v>
      </c>
    </row>
    <row r="35" spans="1:24">
      <c r="A35" s="10" t="s">
        <v>1151</v>
      </c>
      <c r="B35" s="129">
        <v>28826</v>
      </c>
      <c r="C35" s="129">
        <v>1</v>
      </c>
      <c r="D35" s="114"/>
      <c r="E35" s="114"/>
      <c r="F35" s="114">
        <v>42</v>
      </c>
      <c r="G35" s="116"/>
      <c r="H35" s="116"/>
      <c r="I35" s="114"/>
      <c r="J35" s="114"/>
      <c r="K35" s="114"/>
      <c r="L35" s="114">
        <v>19</v>
      </c>
      <c r="M35" s="116"/>
      <c r="N35" s="116"/>
      <c r="O35" s="114"/>
      <c r="P35" s="114"/>
      <c r="Q35" s="114" t="s">
        <v>1033</v>
      </c>
      <c r="R35" s="114"/>
      <c r="S35" s="114" t="s">
        <v>678</v>
      </c>
      <c r="T35" s="124">
        <f>($D35*dpsStr+$E35*dpsAgi+$F35*dpsAP+$G35*dpsCrit+$H35*dpsHit+$I35*dpsHaste+$J35*dpsArmor+$K35*dpsExp+IF(MID($Q35,1,1)+MID($Q35,3,1)+MID($Q35,5,1)&gt;0,VLOOKUP('Gear &amp; Buffs'!$B$23,GenSocketStats,18,FALSE)+IF(MID($Q35,1,1)+MID($Q35,3,1)+MID($Q35,5,1)&gt;1,VLOOKUP('Gear &amp; Buffs'!$B$24,GenSocketStats,18,FALSE)+IF(MID($Q35,1,1)+MID($Q35,3,1)+MID($Q35,5,1)&gt;2,VLOOKUP('Gear &amp; Buffs'!$B$25,GenSocketStats,18,FALSE),0)),0))-'Gear &amp; Buffs'!$AF$22</f>
        <v>-63.830300053315113</v>
      </c>
      <c r="U35" s="250" t="s">
        <v>47</v>
      </c>
      <c r="V35" s="870">
        <f>IF(AND(IF('Gear &amp; Buffs'!$AC$50,$T35&gt;0+'Gear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20</v>
      </c>
      <c r="W35" s="738">
        <v>32</v>
      </c>
      <c r="X35" s="714" t="str">
        <f t="shared" si="0"/>
        <v>(Unmodeled)</v>
      </c>
    </row>
    <row r="36" spans="1:24">
      <c r="A36" s="10" t="s">
        <v>551</v>
      </c>
      <c r="B36" s="129">
        <v>27526</v>
      </c>
      <c r="C36" s="129">
        <v>1</v>
      </c>
      <c r="D36" s="114"/>
      <c r="E36" s="114"/>
      <c r="F36" s="114">
        <v>26</v>
      </c>
      <c r="G36" s="116"/>
      <c r="H36" s="116">
        <v>14</v>
      </c>
      <c r="I36" s="114"/>
      <c r="J36" s="114"/>
      <c r="K36" s="114"/>
      <c r="L36" s="114"/>
      <c r="M36" s="116"/>
      <c r="N36" s="116"/>
      <c r="O36" s="114"/>
      <c r="P36" s="114"/>
      <c r="Q36" s="114" t="s">
        <v>1033</v>
      </c>
      <c r="R36" s="114"/>
      <c r="S36" s="114" t="s">
        <v>673</v>
      </c>
      <c r="T36" s="124">
        <f>($D36*dpsStr+$E36*dpsAgi+$F36*dpsAP+$G36*dpsCrit+$H36*dpsHit+$I36*dpsHaste+$J36*dpsArmor+$K36*dpsExp+IF(MID($Q36,1,1)+MID($Q36,3,1)+MID($Q36,5,1)&gt;0,VLOOKUP('Gear &amp; Buffs'!$B$23,GenSocketStats,18,FALSE)+IF(MID($Q36,1,1)+MID($Q36,3,1)+MID($Q36,5,1)&gt;1,VLOOKUP('Gear &amp; Buffs'!$B$24,GenSocketStats,18,FALSE)+IF(MID($Q36,1,1)+MID($Q36,3,1)+MID($Q36,5,1)&gt;2,VLOOKUP('Gear &amp; Buffs'!$B$25,GenSocketStats,18,FALSE),0)),0))-'Gear &amp; Buffs'!$AF$22</f>
        <v>8.1528600727824596</v>
      </c>
      <c r="U36" s="250" t="s">
        <v>44</v>
      </c>
      <c r="V36" s="870">
        <f>IF(AND(IF('Gear &amp; Buffs'!$AC$50,$T36&gt;0+'Gear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21</v>
      </c>
      <c r="W36" s="738">
        <v>33</v>
      </c>
      <c r="X36" s="714" t="str">
        <f t="shared" si="0"/>
        <v/>
      </c>
    </row>
    <row r="37" spans="1:24">
      <c r="A37" s="10" t="s">
        <v>290</v>
      </c>
      <c r="B37" s="129">
        <v>34622</v>
      </c>
      <c r="C37" s="129">
        <v>1</v>
      </c>
      <c r="D37" s="114"/>
      <c r="E37" s="114">
        <v>11</v>
      </c>
      <c r="F37" s="114">
        <v>20</v>
      </c>
      <c r="G37" s="116"/>
      <c r="H37" s="116">
        <v>10</v>
      </c>
      <c r="I37" s="114"/>
      <c r="J37" s="114"/>
      <c r="K37" s="114"/>
      <c r="L37" s="114">
        <v>12</v>
      </c>
      <c r="M37" s="116"/>
      <c r="N37" s="116"/>
      <c r="O37" s="114"/>
      <c r="P37" s="114"/>
      <c r="Q37" s="114" t="s">
        <v>1033</v>
      </c>
      <c r="R37" s="114"/>
      <c r="S37" s="129" t="s">
        <v>674</v>
      </c>
      <c r="T37" s="124">
        <f>($D37*dpsStr+$E37*dpsAgi+$F37*dpsAP+$G37*dpsCrit+$H37*dpsHit+$I37*dpsHaste+$J37*dpsArmor+$K37*dpsExp+IF(MID($Q37,1,1)+MID($Q37,3,1)+MID($Q37,5,1)&gt;0,VLOOKUP('Gear &amp; Buffs'!$B$23,GenSocketStats,18,FALSE)+IF(MID($Q37,1,1)+MID($Q37,3,1)+MID($Q37,5,1)&gt;1,VLOOKUP('Gear &amp; Buffs'!$B$24,GenSocketStats,18,FALSE)+IF(MID($Q37,1,1)+MID($Q37,3,1)+MID($Q37,5,1)&gt;2,VLOOKUP('Gear &amp; Buffs'!$B$25,GenSocketStats,18,FALSE),0)),0))-'Gear &amp; Buffs'!$AF$22</f>
        <v>-7.0919043881724519</v>
      </c>
      <c r="U37" s="250" t="s">
        <v>47</v>
      </c>
      <c r="V37" s="870">
        <f>IF(AND(IF('Gear &amp; Buffs'!$AC$50,$T37&gt;0+'Gear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Aman"),IF(includeprebc,$S37="Pre-BC"),IF(includesunwell,$S37="Sunwell"))),MAX($V$1:V36)+1,"")</f>
        <v>22</v>
      </c>
      <c r="W37" s="738">
        <v>34</v>
      </c>
      <c r="X37" s="714" t="str">
        <f t="shared" si="0"/>
        <v/>
      </c>
    </row>
    <row r="38" spans="1:24">
      <c r="A38" s="10" t="s">
        <v>552</v>
      </c>
      <c r="B38" s="129">
        <v>28504</v>
      </c>
      <c r="C38" s="129">
        <v>1</v>
      </c>
      <c r="D38" s="114"/>
      <c r="E38" s="114"/>
      <c r="F38" s="114">
        <v>30</v>
      </c>
      <c r="G38" s="116"/>
      <c r="H38" s="116">
        <v>16</v>
      </c>
      <c r="I38" s="114"/>
      <c r="J38" s="114"/>
      <c r="K38" s="114"/>
      <c r="L38" s="114"/>
      <c r="M38" s="116"/>
      <c r="N38" s="116"/>
      <c r="O38" s="114"/>
      <c r="P38" s="114"/>
      <c r="Q38" s="114" t="s">
        <v>1033</v>
      </c>
      <c r="R38" s="114"/>
      <c r="S38" s="114" t="s">
        <v>672</v>
      </c>
      <c r="T38" s="124">
        <f>($D38*dpsStr+$E38*dpsAgi+$F38*dpsAP+$G38*dpsCrit+$H38*dpsHit+$I38*dpsHaste+$J38*dpsArmor+$K38*dpsExp+IF(MID($Q38,1,1)+MID($Q38,3,1)+MID($Q38,5,1)&gt;0,VLOOKUP('Gear &amp; Buffs'!$B$23,GenSocketStats,18,FALSE)+IF(MID($Q38,1,1)+MID($Q38,3,1)+MID($Q38,5,1)&gt;1,VLOOKUP('Gear &amp; Buffs'!$B$24,GenSocketStats,18,FALSE)+IF(MID($Q38,1,1)+MID($Q38,3,1)+MID($Q38,5,1)&gt;2,VLOOKUP('Gear &amp; Buffs'!$B$25,GenSocketStats,18,FALSE),0)),0))-'Gear &amp; Buffs'!$AF$22</f>
        <v>20.682243110457421</v>
      </c>
      <c r="U38" s="250" t="s">
        <v>48</v>
      </c>
      <c r="V38" s="870">
        <f>IF(AND(IF('Gear &amp; Buffs'!$AC$50,$T38&gt;0+'Gear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Aman"),IF(includeprebc,$S38="Pre-BC"),IF(includesunwell,$S38="Sunwell"))),MAX($V$1:V37)+1,"")</f>
        <v>23</v>
      </c>
      <c r="W38" s="738">
        <v>35</v>
      </c>
      <c r="X38" s="714" t="str">
        <f t="shared" si="0"/>
        <v/>
      </c>
    </row>
    <row r="39" spans="1:24">
      <c r="A39" s="10" t="s">
        <v>2403</v>
      </c>
      <c r="B39" s="129">
        <v>17069</v>
      </c>
      <c r="C39" s="129">
        <v>1</v>
      </c>
      <c r="D39" s="114"/>
      <c r="E39" s="114"/>
      <c r="F39" s="114">
        <v>22</v>
      </c>
      <c r="G39" s="116"/>
      <c r="H39" s="116">
        <v>10</v>
      </c>
      <c r="I39" s="114"/>
      <c r="J39" s="114"/>
      <c r="K39" s="114"/>
      <c r="L39" s="114"/>
      <c r="M39" s="116"/>
      <c r="N39" s="116"/>
      <c r="O39" s="114"/>
      <c r="P39" s="114"/>
      <c r="Q39" s="114" t="s">
        <v>1033</v>
      </c>
      <c r="R39" s="114"/>
      <c r="S39" s="114" t="s">
        <v>668</v>
      </c>
      <c r="T39" s="124">
        <f>($D39*dpsStr+$E39*dpsAgi+$F39*dpsAP+$G39*dpsCrit+$H39*dpsHit+$I39*dpsHaste+$J39*dpsArmor+$K39*dpsExp+IF(MID($Q39,1,1)+MID($Q39,3,1)+MID($Q39,5,1)&gt;0,VLOOKUP('Gear &amp; Buffs'!$B$23,GenSocketStats,18,FALSE)+IF(MID($Q39,1,1)+MID($Q39,3,1)+MID($Q39,5,1)&gt;1,VLOOKUP('Gear &amp; Buffs'!$B$24,GenSocketStats,18,FALSE)+IF(MID($Q39,1,1)+MID($Q39,3,1)+MID($Q39,5,1)&gt;2,VLOOKUP('Gear &amp; Buffs'!$B$25,GenSocketStats,18,FALSE),0)),0))-'Gear &amp; Buffs'!$AF$22</f>
        <v>-15.476585899146812</v>
      </c>
      <c r="U39" s="250" t="s">
        <v>44</v>
      </c>
      <c r="V39" s="870">
        <f>IF(AND(IF('Gear &amp; Buffs'!$AC$50,$T39&gt;0+'Gear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Aman"),IF(includeprebc,$S39="Pre-BC"),IF(includesunwell,$S39="Sunwell"))),MAX($V$1:V38)+1,"")</f>
        <v>24</v>
      </c>
      <c r="W39" s="738">
        <v>36</v>
      </c>
      <c r="X39" s="714" t="str">
        <f t="shared" si="0"/>
        <v/>
      </c>
    </row>
    <row r="40" spans="1:24">
      <c r="A40" s="10" t="s">
        <v>553</v>
      </c>
      <c r="B40" s="129">
        <v>28772</v>
      </c>
      <c r="C40" s="129">
        <v>1</v>
      </c>
      <c r="D40" s="114"/>
      <c r="E40" s="114">
        <v>19</v>
      </c>
      <c r="F40" s="114">
        <v>34</v>
      </c>
      <c r="G40" s="116"/>
      <c r="H40" s="116"/>
      <c r="I40" s="114"/>
      <c r="J40" s="114"/>
      <c r="K40" s="116"/>
      <c r="L40" s="114"/>
      <c r="M40" s="116"/>
      <c r="N40" s="116"/>
      <c r="O40" s="114"/>
      <c r="P40" s="114"/>
      <c r="Q40" s="114" t="s">
        <v>1033</v>
      </c>
      <c r="R40" s="114"/>
      <c r="S40" s="114" t="s">
        <v>672</v>
      </c>
      <c r="T40" s="124">
        <f>($D40*dpsStr+$E40*dpsAgi+$F40*dpsAP+$G40*dpsCrit+$H40*dpsHit+$I40*dpsHaste+$J40*dpsArmor+$K40*dpsExp+IF(MID($Q40,1,1)+MID($Q40,3,1)+MID($Q40,5,1)&gt;0,VLOOKUP('Gear &amp; Buffs'!$B$23,GenSocketStats,18,FALSE)+IF(MID($Q40,1,1)+MID($Q40,3,1)+MID($Q40,5,1)&gt;1,VLOOKUP('Gear &amp; Buffs'!$B$24,GenSocketStats,18,FALSE)+IF(MID($Q40,1,1)+MID($Q40,3,1)+MID($Q40,5,1)&gt;2,VLOOKUP('Gear &amp; Buffs'!$B$25,GenSocketStats,18,FALSE),0)),0))-'Gear &amp; Buffs'!$AF$22</f>
        <v>-50.971895742791958</v>
      </c>
      <c r="U40" s="250" t="s">
        <v>44</v>
      </c>
      <c r="V40" s="870">
        <f>IF(AND(IF('Gear &amp; Buffs'!$AC$50,$T40&gt;0+'Gear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Aman"),IF(includeprebc,$S40="Pre-BC"),IF(includesunwell,$S40="Sunwell"))),MAX($V$1:V39)+1,"")</f>
        <v>25</v>
      </c>
      <c r="W40" s="738">
        <v>37</v>
      </c>
      <c r="X40" s="714" t="str">
        <f t="shared" si="0"/>
        <v/>
      </c>
    </row>
    <row r="41" spans="1:24">
      <c r="A41" s="10" t="s">
        <v>2066</v>
      </c>
      <c r="B41" s="114">
        <v>28286</v>
      </c>
      <c r="C41" s="114">
        <v>1</v>
      </c>
      <c r="D41" s="114"/>
      <c r="E41" s="114">
        <v>13</v>
      </c>
      <c r="F41" s="114">
        <v>28</v>
      </c>
      <c r="G41" s="116"/>
      <c r="H41" s="116"/>
      <c r="I41" s="114"/>
      <c r="J41" s="114"/>
      <c r="K41" s="116"/>
      <c r="L41" s="114"/>
      <c r="M41" s="116"/>
      <c r="N41" s="116"/>
      <c r="O41" s="114"/>
      <c r="P41" s="114"/>
      <c r="Q41" s="114" t="s">
        <v>1033</v>
      </c>
      <c r="R41" s="114"/>
      <c r="S41" s="114" t="s">
        <v>673</v>
      </c>
      <c r="T41" s="124">
        <f>($D41*dpsStr+$E41*dpsAgi+$F41*dpsAP+$G41*dpsCrit+$H41*dpsHit+$I41*dpsHaste+$J41*dpsArmor+$K41*dpsExp+IF(MID($Q41,1,1)+MID($Q41,3,1)+MID($Q41,5,1)&gt;0,VLOOKUP('Gear &amp; Buffs'!$B$23,GenSocketStats,18,FALSE)+IF(MID($Q41,1,1)+MID($Q41,3,1)+MID($Q41,5,1)&gt;1,VLOOKUP('Gear &amp; Buffs'!$B$24,GenSocketStats,18,FALSE)+IF(MID($Q41,1,1)+MID($Q41,3,1)+MID($Q41,5,1)&gt;2,VLOOKUP('Gear &amp; Buffs'!$B$25,GenSocketStats,18,FALSE),0)),0))-'Gear &amp; Buffs'!$AF$22</f>
        <v>-58.079153113932762</v>
      </c>
      <c r="U41" s="250" t="s">
        <v>46</v>
      </c>
      <c r="V41" s="870">
        <f>IF(AND(IF('Gear &amp; Buffs'!$AC$50,$T41&gt;0+'Gear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Aman"),IF(includeprebc,$S41="Pre-BC"),IF(includesunwell,$S41="Sunwell"))),MAX($V$1:V40)+1,"")</f>
        <v>26</v>
      </c>
      <c r="W41" s="738">
        <v>38</v>
      </c>
      <c r="X41" s="714" t="str">
        <f t="shared" si="0"/>
        <v/>
      </c>
    </row>
    <row r="42" spans="1:24">
      <c r="A42" s="10" t="s">
        <v>984</v>
      </c>
      <c r="B42" s="114">
        <v>34334</v>
      </c>
      <c r="C42" s="114">
        <v>5</v>
      </c>
      <c r="D42" s="114"/>
      <c r="E42" s="114">
        <v>17</v>
      </c>
      <c r="F42" s="114">
        <v>34</v>
      </c>
      <c r="G42" s="116">
        <v>16</v>
      </c>
      <c r="H42" s="116"/>
      <c r="I42" s="114"/>
      <c r="J42" s="114">
        <v>112</v>
      </c>
      <c r="K42" s="116"/>
      <c r="L42" s="114"/>
      <c r="M42" s="116"/>
      <c r="N42" s="116"/>
      <c r="O42" s="114"/>
      <c r="P42" s="114"/>
      <c r="Q42" s="114" t="s">
        <v>1033</v>
      </c>
      <c r="R42" s="114"/>
      <c r="S42" s="114" t="s">
        <v>871</v>
      </c>
      <c r="T42" s="124">
        <f>($D42*dpsStr+$E42*dpsAgi+$F42*dpsAP+$G42*dpsCrit+$H42*dpsHit+$I42*dpsHaste+$J42*dpsArmor+$K42*dpsExp+IF(MID($Q42,1,1)+MID($Q42,3,1)+MID($Q42,5,1)&gt;0,VLOOKUP('Gear &amp; Buffs'!$B$23,GenSocketStats,18,FALSE)+IF(MID($Q42,1,1)+MID($Q42,3,1)+MID($Q42,5,1)&gt;1,VLOOKUP('Gear &amp; Buffs'!$B$24,GenSocketStats,18,FALSE)+IF(MID($Q42,1,1)+MID($Q42,3,1)+MID($Q42,5,1)&gt;2,VLOOKUP('Gear &amp; Buffs'!$B$25,GenSocketStats,18,FALSE),0)),0))-'Gear &amp; Buffs'!$AF$22</f>
        <v>-27.887817243613654</v>
      </c>
      <c r="U42" s="250" t="s">
        <v>44</v>
      </c>
      <c r="V42" s="870" t="str">
        <f>IF(AND(IF('Gear &amp; Buffs'!$AC$50,$T42&gt;0+'Gear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Aman"),IF(includeprebc,$S42="Pre-BC"),IF(includesunwell,$S42="Sunwell"))),MAX($V$1:V41)+1,"")</f>
        <v/>
      </c>
      <c r="W42" s="738">
        <v>39</v>
      </c>
      <c r="X42" s="714" t="str">
        <f t="shared" si="0"/>
        <v/>
      </c>
    </row>
    <row r="43" spans="1:24">
      <c r="A43" s="10" t="s">
        <v>1435</v>
      </c>
      <c r="B43" s="114">
        <v>33491</v>
      </c>
      <c r="C43" s="114">
        <v>4</v>
      </c>
      <c r="D43" s="114"/>
      <c r="E43" s="114"/>
      <c r="F43" s="114">
        <v>38</v>
      </c>
      <c r="G43" s="116"/>
      <c r="H43" s="116"/>
      <c r="I43" s="114">
        <v>18</v>
      </c>
      <c r="J43" s="114"/>
      <c r="K43" s="114"/>
      <c r="L43" s="114"/>
      <c r="M43" s="116"/>
      <c r="N43" s="116"/>
      <c r="O43" s="114"/>
      <c r="P43" s="114"/>
      <c r="Q43" s="114" t="s">
        <v>1033</v>
      </c>
      <c r="R43" s="114"/>
      <c r="S43" s="114" t="s">
        <v>664</v>
      </c>
      <c r="T43" s="124">
        <f>($D43*dpsStr+$E43*dpsAgi+$F43*dpsAP+$G43*dpsCrit+$H43*dpsHit+$I43*dpsHaste+$J43*dpsArmor+$K43*dpsExp+IF(MID($Q43,1,1)+MID($Q43,3,1)+MID($Q43,5,1)&gt;0,VLOOKUP('Gear &amp; Buffs'!$B$23,GenSocketStats,18,FALSE)+IF(MID($Q43,1,1)+MID($Q43,3,1)+MID($Q43,5,1)&gt;1,VLOOKUP('Gear &amp; Buffs'!$B$24,GenSocketStats,18,FALSE)+IF(MID($Q43,1,1)+MID($Q43,3,1)+MID($Q43,5,1)&gt;2,VLOOKUP('Gear &amp; Buffs'!$B$25,GenSocketStats,18,FALSE),0)),0))-'Gear &amp; Buffs'!$AF$22</f>
        <v>0.82530514562677126</v>
      </c>
      <c r="U43" s="250" t="s">
        <v>46</v>
      </c>
      <c r="V43" s="870" t="str">
        <f>IF(AND(IF('Gear &amp; Buffs'!$AC$50,$T43&gt;0+'Gear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Aman"),IF(includeprebc,$S43="Pre-BC"),IF(includesunwell,$S43="Sunwell"))),MAX($V$1:V42)+1,"")</f>
        <v/>
      </c>
      <c r="W43" s="738">
        <v>40</v>
      </c>
      <c r="X43" s="714" t="str">
        <f t="shared" si="0"/>
        <v/>
      </c>
    </row>
    <row r="44" spans="1:24">
      <c r="A44" s="10" t="s">
        <v>2067</v>
      </c>
      <c r="B44" s="114">
        <v>32326</v>
      </c>
      <c r="C44" s="114">
        <v>3</v>
      </c>
      <c r="D44" s="114"/>
      <c r="E44" s="114">
        <v>23</v>
      </c>
      <c r="F44" s="114"/>
      <c r="G44" s="116">
        <v>16</v>
      </c>
      <c r="H44" s="116"/>
      <c r="I44" s="114"/>
      <c r="J44" s="114"/>
      <c r="K44" s="116"/>
      <c r="L44" s="114"/>
      <c r="M44" s="116"/>
      <c r="N44" s="116"/>
      <c r="O44" s="114"/>
      <c r="P44" s="114"/>
      <c r="Q44" s="114" t="s">
        <v>1033</v>
      </c>
      <c r="R44" s="114"/>
      <c r="S44" s="114" t="s">
        <v>683</v>
      </c>
      <c r="T44" s="124">
        <f>($D44*dpsStr+$E44*dpsAgi+$F44*dpsAP+$G44*dpsCrit+$H44*dpsHit+$I44*dpsHaste+$J44*dpsArmor+$K44*dpsExp+IF(MID($Q44,1,1)+MID($Q44,3,1)+MID($Q44,5,1)&gt;0,VLOOKUP('Gear &amp; Buffs'!$B$23,GenSocketStats,18,FALSE)+IF(MID($Q44,1,1)+MID($Q44,3,1)+MID($Q44,5,1)&gt;1,VLOOKUP('Gear &amp; Buffs'!$B$24,GenSocketStats,18,FALSE)+IF(MID($Q44,1,1)+MID($Q44,3,1)+MID($Q44,5,1)&gt;2,VLOOKUP('Gear &amp; Buffs'!$B$25,GenSocketStats,18,FALSE),0)),0))-'Gear &amp; Buffs'!$AF$22</f>
        <v>-48.839524256375853</v>
      </c>
      <c r="U44" s="250" t="s">
        <v>47</v>
      </c>
      <c r="V44" s="870" t="str">
        <f>IF(AND(IF('Gear &amp; Buffs'!$AC$50,$T44&gt;0+'Gear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Aman"),IF(includeprebc,$S44="Pre-BC"),IF(includesunwell,$S44="Sunwell"))),MAX($V$1:V43)+1,"")</f>
        <v/>
      </c>
      <c r="W44" s="738">
        <v>41</v>
      </c>
      <c r="X44" s="714" t="str">
        <f t="shared" si="0"/>
        <v/>
      </c>
    </row>
    <row r="45" spans="1:24">
      <c r="A45" s="10" t="s">
        <v>547</v>
      </c>
      <c r="B45" s="114">
        <v>33765</v>
      </c>
      <c r="C45" s="114">
        <v>3</v>
      </c>
      <c r="D45" s="114"/>
      <c r="E45" s="114"/>
      <c r="F45" s="114">
        <v>30</v>
      </c>
      <c r="G45" s="116">
        <v>17</v>
      </c>
      <c r="H45" s="116"/>
      <c r="I45" s="114"/>
      <c r="J45" s="114"/>
      <c r="K45" s="114"/>
      <c r="L45" s="114">
        <v>24</v>
      </c>
      <c r="M45" s="116"/>
      <c r="N45" s="116">
        <v>12</v>
      </c>
      <c r="O45" s="114"/>
      <c r="P45" s="114"/>
      <c r="Q45" s="114" t="s">
        <v>1033</v>
      </c>
      <c r="R45" s="114"/>
      <c r="S45" s="114" t="s">
        <v>677</v>
      </c>
      <c r="T45" s="124">
        <f>($D45*dpsStr+$E45*dpsAgi+$F45*dpsAP+$G45*dpsCrit+$H45*dpsHit+$I45*dpsHaste+$J45*dpsArmor+$K45*dpsExp+IF(MID($Q45,1,1)+MID($Q45,3,1)+MID($Q45,5,1)&gt;0,VLOOKUP('Gear &amp; Buffs'!$B$23,GenSocketStats,18,FALSE)+IF(MID($Q45,1,1)+MID($Q45,3,1)+MID($Q45,5,1)&gt;1,VLOOKUP('Gear &amp; Buffs'!$B$24,GenSocketStats,18,FALSE)+IF(MID($Q45,1,1)+MID($Q45,3,1)+MID($Q45,5,1)&gt;2,VLOOKUP('Gear &amp; Buffs'!$B$25,GenSocketStats,18,FALSE),0)),0))-'Gear &amp; Buffs'!$AF$22</f>
        <v>-56.459723169915833</v>
      </c>
      <c r="U45" s="250" t="s">
        <v>47</v>
      </c>
      <c r="V45" s="870" t="str">
        <f>IF(AND(IF('Gear &amp; Buffs'!$AC$50,$T45&gt;0+'Gear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Aman"),IF(includeprebc,$S45="Pre-BC"),IF(includesunwell,$S45="Sunwell"))),MAX($V$1:V44)+1,"")</f>
        <v/>
      </c>
      <c r="W45" s="738">
        <v>42</v>
      </c>
      <c r="X45" s="714" t="str">
        <f t="shared" si="0"/>
        <v/>
      </c>
    </row>
    <row r="46" spans="1:24">
      <c r="A46" s="10" t="s">
        <v>2068</v>
      </c>
      <c r="B46" s="114">
        <v>29151</v>
      </c>
      <c r="C46" s="114">
        <v>1</v>
      </c>
      <c r="D46" s="114"/>
      <c r="E46" s="114">
        <v>12</v>
      </c>
      <c r="F46" s="114">
        <v>22</v>
      </c>
      <c r="G46" s="116"/>
      <c r="H46" s="116">
        <v>11</v>
      </c>
      <c r="I46" s="114"/>
      <c r="J46" s="114"/>
      <c r="K46" s="116"/>
      <c r="L46" s="114"/>
      <c r="M46" s="116"/>
      <c r="N46" s="116"/>
      <c r="O46" s="114"/>
      <c r="P46" s="114"/>
      <c r="Q46" s="114" t="s">
        <v>1033</v>
      </c>
      <c r="R46" s="114"/>
      <c r="S46" s="114" t="s">
        <v>676</v>
      </c>
      <c r="T46" s="124">
        <f>($D46*dpsStr+$E46*dpsAgi+$F46*dpsAP+$G46*dpsCrit+$H46*dpsHit+$I46*dpsHaste+$J46*dpsArmor+$K46*dpsExp+IF(MID($Q46,1,1)+MID($Q46,3,1)+MID($Q46,5,1)&gt;0,VLOOKUP('Gear &amp; Buffs'!$B$23,GenSocketStats,18,FALSE)+IF(MID($Q46,1,1)+MID($Q46,3,1)+MID($Q46,5,1)&gt;1,VLOOKUP('Gear &amp; Buffs'!$B$24,GenSocketStats,18,FALSE)+IF(MID($Q46,1,1)+MID($Q46,3,1)+MID($Q46,5,1)&gt;2,VLOOKUP('Gear &amp; Buffs'!$B$25,GenSocketStats,18,FALSE),0)),0))-'Gear &amp; Buffs'!$AF$22</f>
        <v>0</v>
      </c>
      <c r="U46" s="250" t="s">
        <v>46</v>
      </c>
      <c r="V46" s="870">
        <f>IF(AND(IF('Gear &amp; Buffs'!$AC$50,$T46&gt;0+'Gear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Aman"),IF(includeprebc,$S46="Pre-BC"),IF(includesunwell,$S46="Sunwell"))),MAX($V$1:V45)+1,"")</f>
        <v>27</v>
      </c>
      <c r="W46" s="738">
        <v>43</v>
      </c>
      <c r="X46" s="714" t="str">
        <f t="shared" si="0"/>
        <v/>
      </c>
    </row>
    <row r="47" spans="1:24">
      <c r="A47" s="10" t="s">
        <v>2224</v>
      </c>
      <c r="B47" s="114">
        <v>28581</v>
      </c>
      <c r="C47" s="114">
        <v>1</v>
      </c>
      <c r="D47" s="114"/>
      <c r="E47" s="114">
        <v>15</v>
      </c>
      <c r="F47" s="114">
        <v>32</v>
      </c>
      <c r="G47" s="116"/>
      <c r="H47" s="116"/>
      <c r="I47" s="114"/>
      <c r="J47" s="114"/>
      <c r="K47" s="116"/>
      <c r="L47" s="114"/>
      <c r="M47" s="116"/>
      <c r="N47" s="116"/>
      <c r="O47" s="114"/>
      <c r="P47" s="114"/>
      <c r="Q47" s="114" t="s">
        <v>1033</v>
      </c>
      <c r="R47" s="114"/>
      <c r="S47" s="114" t="s">
        <v>672</v>
      </c>
      <c r="T47" s="124">
        <f>($D47*dpsStr+$E47*dpsAgi+$F47*dpsAP+$G47*dpsCrit+$H47*dpsHit+$I47*dpsHaste+$J47*dpsArmor+$K47*dpsExp+IF(MID($Q47,1,1)+MID($Q47,3,1)+MID($Q47,5,1)&gt;0,VLOOKUP('Gear &amp; Buffs'!$B$23,GenSocketStats,18,FALSE)+IF(MID($Q47,1,1)+MID($Q47,3,1)+MID($Q47,5,1)&gt;1,VLOOKUP('Gear &amp; Buffs'!$B$24,GenSocketStats,18,FALSE)+IF(MID($Q47,1,1)+MID($Q47,3,1)+MID($Q47,5,1)&gt;2,VLOOKUP('Gear &amp; Buffs'!$B$25,GenSocketStats,18,FALSE),0)),0))-'Gear &amp; Buffs'!$AF$22</f>
        <v>-54.995407271842168</v>
      </c>
      <c r="U47" s="250" t="s">
        <v>46</v>
      </c>
      <c r="V47" s="870">
        <f>IF(AND(IF('Gear &amp; Buffs'!$AC$50,$T47&gt;0+'Gear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Aman"),IF(includeprebc,$S47="Pre-BC"),IF(includesunwell,$S47="Sunwell"))),MAX($V$1:V46)+1,"")</f>
        <v>28</v>
      </c>
      <c r="W47" s="738">
        <v>44</v>
      </c>
      <c r="X47" s="714" t="str">
        <f t="shared" si="0"/>
        <v/>
      </c>
    </row>
    <row r="48" spans="1:24">
      <c r="A48" s="10" t="s">
        <v>2422</v>
      </c>
      <c r="B48" s="114">
        <v>27898</v>
      </c>
      <c r="C48" s="114">
        <v>1</v>
      </c>
      <c r="D48" s="114"/>
      <c r="E48" s="114"/>
      <c r="F48" s="114">
        <v>30</v>
      </c>
      <c r="G48" s="116">
        <v>10</v>
      </c>
      <c r="H48" s="116"/>
      <c r="I48" s="114"/>
      <c r="J48" s="114"/>
      <c r="K48" s="116"/>
      <c r="L48" s="114"/>
      <c r="M48" s="116"/>
      <c r="N48" s="116"/>
      <c r="O48" s="114"/>
      <c r="P48" s="114"/>
      <c r="Q48" s="114" t="s">
        <v>1033</v>
      </c>
      <c r="R48" s="114"/>
      <c r="S48" s="114" t="s">
        <v>673</v>
      </c>
      <c r="T48" s="124">
        <f>($D48*dpsStr+$E48*dpsAgi+$F48*dpsAP+$G48*dpsCrit+$H48*dpsHit+$I48*dpsHaste+$J48*dpsArmor+$K48*dpsExp+IF(MID($Q48,1,1)+MID($Q48,3,1)+MID($Q48,5,1)&gt;0,VLOOKUP('Gear &amp; Buffs'!$B$23,GenSocketStats,18,FALSE)+IF(MID($Q48,1,1)+MID($Q48,3,1)+MID($Q48,5,1)&gt;1,VLOOKUP('Gear &amp; Buffs'!$B$24,GenSocketStats,18,FALSE)+IF(MID($Q48,1,1)+MID($Q48,3,1)+MID($Q48,5,1)&gt;2,VLOOKUP('Gear &amp; Buffs'!$B$25,GenSocketStats,18,FALSE),0)),0))-'Gear &amp; Buffs'!$AF$22</f>
        <v>-61.260297308482222</v>
      </c>
      <c r="U48" s="250" t="s">
        <v>46</v>
      </c>
      <c r="V48" s="870">
        <f>IF(AND(IF('Gear &amp; Buffs'!$AC$50,$T48&gt;0+'Gear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Aman"),IF(includeprebc,$S48="Pre-BC"),IF(includesunwell,$S48="Sunwell"))),MAX($V$1:V47)+1,"")</f>
        <v>29</v>
      </c>
      <c r="W48" s="738">
        <v>45</v>
      </c>
      <c r="X48" s="714" t="str">
        <f t="shared" si="0"/>
        <v/>
      </c>
    </row>
    <row r="49" spans="1:24">
      <c r="A49" s="10" t="s">
        <v>2225</v>
      </c>
      <c r="B49" s="114">
        <v>29351</v>
      </c>
      <c r="C49" s="114">
        <v>1</v>
      </c>
      <c r="D49" s="114"/>
      <c r="E49" s="114">
        <v>14</v>
      </c>
      <c r="F49" s="114">
        <v>28</v>
      </c>
      <c r="G49" s="116"/>
      <c r="H49" s="116"/>
      <c r="I49" s="114"/>
      <c r="J49" s="114"/>
      <c r="K49" s="114"/>
      <c r="L49" s="114"/>
      <c r="M49" s="116"/>
      <c r="N49" s="116"/>
      <c r="O49" s="114"/>
      <c r="P49" s="114"/>
      <c r="Q49" s="114" t="s">
        <v>1033</v>
      </c>
      <c r="R49" s="114"/>
      <c r="S49" s="114" t="s">
        <v>691</v>
      </c>
      <c r="T49" s="124">
        <f>($D49*dpsStr+$E49*dpsAgi+$F49*dpsAP+$G49*dpsCrit+$H49*dpsHit+$I49*dpsHaste+$J49*dpsArmor+$K49*dpsExp+IF(MID($Q49,1,1)+MID($Q49,3,1)+MID($Q49,5,1)&gt;0,VLOOKUP('Gear &amp; Buffs'!$B$23,GenSocketStats,18,FALSE)+IF(MID($Q49,1,1)+MID($Q49,3,1)+MID($Q49,5,1)&gt;1,VLOOKUP('Gear &amp; Buffs'!$B$24,GenSocketStats,18,FALSE)+IF(MID($Q49,1,1)+MID($Q49,3,1)+MID($Q49,5,1)&gt;2,VLOOKUP('Gear &amp; Buffs'!$B$25,GenSocketStats,18,FALSE),0)),0))-'Gear &amp; Buffs'!$AF$22</f>
        <v>-57.25194024459779</v>
      </c>
      <c r="U49" s="250" t="s">
        <v>44</v>
      </c>
      <c r="V49" s="870">
        <f>IF(AND(IF('Gear &amp; Buffs'!$AC$50,$T49&gt;0+'Gear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Aman"),IF(includeprebc,$S49="Pre-BC"),IF(includesunwell,$S49="Sunwell"))),MAX($V$1:V48)+1,"")</f>
        <v>30</v>
      </c>
      <c r="W49" s="738">
        <v>46</v>
      </c>
      <c r="X49" s="714" t="str">
        <f t="shared" si="0"/>
        <v/>
      </c>
    </row>
    <row r="50" spans="1:24">
      <c r="A50" s="10" t="s">
        <v>2226</v>
      </c>
      <c r="B50" s="114">
        <v>28659</v>
      </c>
      <c r="C50" s="114">
        <v>1</v>
      </c>
      <c r="D50" s="114"/>
      <c r="E50" s="114"/>
      <c r="F50" s="114"/>
      <c r="G50" s="116">
        <v>20</v>
      </c>
      <c r="H50" s="116">
        <v>12</v>
      </c>
      <c r="I50" s="114"/>
      <c r="J50" s="114"/>
      <c r="K50" s="114"/>
      <c r="L50" s="114"/>
      <c r="M50" s="116"/>
      <c r="N50" s="116"/>
      <c r="O50" s="114"/>
      <c r="P50" s="114"/>
      <c r="Q50" s="114" t="s">
        <v>1033</v>
      </c>
      <c r="R50" s="114"/>
      <c r="S50" s="114" t="s">
        <v>672</v>
      </c>
      <c r="T50" s="124">
        <f>($D50*dpsStr+$E50*dpsAgi+$F50*dpsAP+$G50*dpsCrit+$H50*dpsHit+$I50*dpsHaste+$J50*dpsArmor+$K50*dpsExp+IF(MID($Q50,1,1)+MID($Q50,3,1)+MID($Q50,5,1)&gt;0,VLOOKUP('Gear &amp; Buffs'!$B$23,GenSocketStats,18,FALSE)+IF(MID($Q50,1,1)+MID($Q50,3,1)+MID($Q50,5,1)&gt;1,VLOOKUP('Gear &amp; Buffs'!$B$24,GenSocketStats,18,FALSE)+IF(MID($Q50,1,1)+MID($Q50,3,1)+MID($Q50,5,1)&gt;2,VLOOKUP('Gear &amp; Buffs'!$B$25,GenSocketStats,18,FALSE),0)),0))-'Gear &amp; Buffs'!$AF$22</f>
        <v>1.4781425764836058</v>
      </c>
      <c r="U50" s="250" t="s">
        <v>47</v>
      </c>
      <c r="V50" s="870">
        <f>IF(AND(IF('Gear &amp; Buffs'!$AC$50,$T50&gt;0+'Gear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Aman"),IF(includeprebc,$S50="Pre-BC"),IF(includesunwell,$S50="Sunwell"))),MAX($V$1:V49)+1,"")</f>
        <v>31</v>
      </c>
      <c r="W50" s="738">
        <v>47</v>
      </c>
      <c r="X50" s="714" t="str">
        <f t="shared" si="0"/>
        <v/>
      </c>
    </row>
    <row r="51" spans="1:24">
      <c r="A51" s="10" t="str">
        <f>'Gear &amp; Buffs'!$B$155</f>
        <v>(Unmodeled)</v>
      </c>
      <c r="B51" s="114"/>
      <c r="C51" s="114"/>
      <c r="D51" s="114">
        <f>'Gear &amp; Buffs'!$D$155</f>
        <v>0</v>
      </c>
      <c r="E51" s="114">
        <f>'Gear &amp; Buffs'!$E$155</f>
        <v>0</v>
      </c>
      <c r="F51" s="114">
        <f>'Gear &amp; Buffs'!$I$155</f>
        <v>0</v>
      </c>
      <c r="G51" s="115">
        <f>'Gear &amp; Buffs'!$G$155</f>
        <v>0</v>
      </c>
      <c r="H51" s="115">
        <f>'Gear &amp; Buffs'!$H$155</f>
        <v>0</v>
      </c>
      <c r="I51" s="115">
        <f>'Gear &amp; Buffs'!$P$155</f>
        <v>0</v>
      </c>
      <c r="J51" s="114">
        <f>'Gear &amp; Buffs'!$Q$155</f>
        <v>0</v>
      </c>
      <c r="K51" s="116">
        <f>'Gear &amp; Buffs'!$L$155</f>
        <v>0</v>
      </c>
      <c r="L51" s="114">
        <f>'Gear &amp; Buffs'!$F$155</f>
        <v>0</v>
      </c>
      <c r="M51" s="116">
        <f>'Gear &amp; Buffs'!$K$155</f>
        <v>0</v>
      </c>
      <c r="N51" s="114">
        <f>'Gear &amp; Buffs'!$J$155</f>
        <v>0</v>
      </c>
      <c r="O51" s="116"/>
      <c r="P51" s="114"/>
      <c r="Q51" s="114" t="str">
        <f>'Gear &amp; Buffs'!$R$155</f>
        <v>0 0 0</v>
      </c>
      <c r="R51" s="720">
        <f>'Gear &amp; Buffs'!$S$155</f>
        <v>0</v>
      </c>
      <c r="S51" s="114"/>
      <c r="T51" s="124">
        <f>($D51*dpsStr+$E51*dpsAgi+$F51*dpsAP+$G51*dpsCrit+$H51*dpsHit+$I51*dpsHaste+$J51*dpsArmor+$K51*dpsExp+IF(MID($Q51,1,1)+MID($Q51,3,1)+MID($Q51,5,1)&gt;0,VLOOKUP('Gear &amp; Buffs'!$B$23,GenSocketStats,18,FALSE)+IF(MID($Q51,1,1)+MID($Q51,3,1)+MID($Q51,5,1)&gt;1,VLOOKUP('Gear &amp; Buffs'!$B$24,GenSocketStats,18,FALSE)+IF(MID($Q51,1,1)+MID($Q51,3,1)+MID($Q51,5,1)&gt;2,VLOOKUP('Gear &amp; Buffs'!$B$25,GenSocketStats,18,FALSE),0)),0))-'Gear &amp; Buffs'!$AF$22</f>
        <v>-78.838161139231943</v>
      </c>
      <c r="U51" s="114"/>
      <c r="V51" s="870">
        <f>MAX($V$1:V50)+1</f>
        <v>32</v>
      </c>
      <c r="W51" s="738">
        <v>48</v>
      </c>
      <c r="X51" s="714" t="str">
        <f t="shared" si="0"/>
        <v/>
      </c>
    </row>
    <row r="52" spans="1:24">
      <c r="A52" s="10" t="s">
        <v>2207</v>
      </c>
      <c r="B52" s="10"/>
      <c r="C52" s="10"/>
      <c r="D52" s="114"/>
      <c r="E52" s="114"/>
      <c r="F52" s="114"/>
      <c r="G52" s="116"/>
      <c r="H52" s="116"/>
      <c r="I52" s="114"/>
      <c r="J52" s="114"/>
      <c r="K52" s="116"/>
      <c r="L52" s="114"/>
      <c r="M52" s="116"/>
      <c r="N52" s="116"/>
      <c r="O52" s="116"/>
      <c r="P52" s="116"/>
      <c r="Q52" s="114" t="s">
        <v>1033</v>
      </c>
      <c r="R52" s="114"/>
      <c r="S52" s="114"/>
      <c r="T52" s="114"/>
      <c r="U52" s="114"/>
      <c r="W52" s="738">
        <v>49</v>
      </c>
      <c r="X52" s="714" t="str">
        <f t="shared" si="0"/>
        <v/>
      </c>
    </row>
    <row r="53" spans="1:24">
      <c r="A53" s="10"/>
      <c r="B53" s="114"/>
      <c r="C53" s="114"/>
      <c r="D53" s="114"/>
      <c r="E53" s="114"/>
      <c r="F53" s="114"/>
      <c r="G53" s="127"/>
      <c r="H53" s="114"/>
      <c r="I53" s="114"/>
      <c r="J53" s="114"/>
      <c r="K53" s="114"/>
      <c r="L53" s="114"/>
      <c r="M53" s="114"/>
      <c r="N53" s="116"/>
      <c r="O53" s="114"/>
      <c r="P53" s="114"/>
      <c r="Q53" s="114"/>
      <c r="R53" s="114"/>
      <c r="S53" s="114"/>
      <c r="T53" s="114"/>
      <c r="U53" s="114"/>
      <c r="W53" s="738">
        <v>50</v>
      </c>
      <c r="X53" s="714" t="str">
        <f t="shared" si="0"/>
        <v/>
      </c>
    </row>
    <row r="54" spans="1:24">
      <c r="A54" s="130"/>
      <c r="J54" s="114"/>
      <c r="R54" s="114"/>
      <c r="S54" s="114"/>
      <c r="T54" s="114"/>
      <c r="U54" s="114"/>
      <c r="W54" s="114"/>
      <c r="X54" s="151"/>
    </row>
    <row r="55" spans="1:24">
      <c r="A55" s="130"/>
      <c r="J55" s="114"/>
      <c r="R55" s="114"/>
      <c r="S55" s="114"/>
      <c r="T55" s="114"/>
      <c r="U55" s="114"/>
      <c r="W55" s="114"/>
      <c r="X55" s="151"/>
    </row>
    <row r="56" spans="1:24">
      <c r="A56" s="130"/>
      <c r="J56" s="114"/>
      <c r="R56" s="114"/>
      <c r="S56" s="114"/>
      <c r="T56" s="114"/>
      <c r="U56" s="114"/>
      <c r="W56" s="114"/>
    </row>
    <row r="57" spans="1:24">
      <c r="A57" s="130"/>
      <c r="J57" s="114"/>
      <c r="Q57" s="114"/>
      <c r="R57" s="114"/>
      <c r="S57" s="114"/>
      <c r="T57" s="776"/>
      <c r="U57" s="250"/>
      <c r="W57" s="114"/>
    </row>
    <row r="58" spans="1:24">
      <c r="A58" s="130"/>
      <c r="J58" s="114"/>
      <c r="R58" s="114"/>
      <c r="S58" s="114"/>
      <c r="T58" s="114"/>
      <c r="U58" s="114"/>
      <c r="W58" s="114"/>
    </row>
    <row r="59" spans="1:24">
      <c r="A59" s="130"/>
      <c r="J59" s="114"/>
      <c r="R59" s="114"/>
      <c r="S59" s="114"/>
      <c r="T59" s="114"/>
      <c r="U59" s="114"/>
      <c r="W59" s="114"/>
    </row>
    <row r="60" spans="1:24">
      <c r="A60" s="130"/>
      <c r="B60" s="47"/>
      <c r="C60" s="47"/>
      <c r="D60" s="47"/>
      <c r="E60" s="47"/>
      <c r="F60" s="47"/>
      <c r="G60" s="47"/>
      <c r="H60" s="47"/>
      <c r="I60" s="47"/>
      <c r="J60" s="114"/>
      <c r="K60" s="47"/>
      <c r="L60" s="47"/>
      <c r="M60" s="47"/>
      <c r="N60" s="47"/>
      <c r="R60" s="114"/>
      <c r="S60" s="114"/>
      <c r="T60" s="114"/>
      <c r="U60" s="114"/>
      <c r="W60" s="114"/>
    </row>
    <row r="61" spans="1:24">
      <c r="A61" s="130"/>
      <c r="J61" s="114"/>
      <c r="R61" s="114"/>
      <c r="S61" s="114"/>
      <c r="T61" s="114"/>
      <c r="U61" s="114"/>
      <c r="W61" s="114"/>
    </row>
    <row r="62" spans="1:24">
      <c r="A62" s="130"/>
      <c r="J62" s="114"/>
      <c r="R62" s="114"/>
      <c r="S62" s="114"/>
      <c r="T62" s="114"/>
      <c r="U62" s="114"/>
      <c r="W62" s="114"/>
    </row>
    <row r="63" spans="1:24">
      <c r="A63" s="130"/>
      <c r="J63" s="114"/>
      <c r="R63" s="114"/>
      <c r="S63" s="114"/>
      <c r="T63" s="114"/>
      <c r="U63" s="114"/>
    </row>
    <row r="64" spans="1:24">
      <c r="A64" s="130"/>
      <c r="J64" s="114"/>
      <c r="R64" s="114"/>
      <c r="S64" s="114"/>
      <c r="T64" s="114"/>
      <c r="U64" s="114"/>
    </row>
    <row r="65" spans="1:21">
      <c r="A65" s="130"/>
      <c r="J65" s="114"/>
      <c r="O65" s="47"/>
      <c r="P65" s="47"/>
      <c r="R65" s="114"/>
      <c r="S65" s="114"/>
      <c r="T65" s="114"/>
      <c r="U65" s="114"/>
    </row>
    <row r="66" spans="1:21">
      <c r="A66" s="130"/>
      <c r="J66" s="114"/>
      <c r="R66" s="114"/>
      <c r="S66" s="114"/>
      <c r="T66" s="114"/>
      <c r="U66" s="114"/>
    </row>
    <row r="67" spans="1:21">
      <c r="A67" s="130"/>
      <c r="J67" s="114"/>
      <c r="R67" s="114"/>
      <c r="S67" s="114"/>
      <c r="T67" s="114"/>
      <c r="U67" s="114"/>
    </row>
    <row r="68" spans="1:21">
      <c r="A68" s="130"/>
      <c r="J68" s="114"/>
      <c r="R68" s="114"/>
      <c r="S68" s="114"/>
      <c r="T68" s="114"/>
      <c r="U68" s="114"/>
    </row>
    <row r="69" spans="1:21">
      <c r="A69" s="130"/>
      <c r="B69" s="10"/>
      <c r="C69" s="10"/>
      <c r="D69" s="114"/>
      <c r="E69" s="114"/>
      <c r="F69" s="114"/>
      <c r="G69" s="114"/>
      <c r="H69" s="114"/>
      <c r="L69" s="114"/>
      <c r="M69" s="127"/>
      <c r="N69" s="116"/>
      <c r="R69" s="114"/>
      <c r="S69" s="114"/>
      <c r="T69" s="114"/>
      <c r="U69" s="114"/>
    </row>
    <row r="70" spans="1:21">
      <c r="A70" s="130"/>
      <c r="B70" s="10"/>
      <c r="C70" s="10"/>
      <c r="D70" s="114"/>
      <c r="E70" s="114"/>
      <c r="F70" s="114"/>
      <c r="G70" s="127"/>
      <c r="H70" s="114"/>
      <c r="K70" s="129"/>
      <c r="L70" s="114"/>
      <c r="M70" s="114"/>
      <c r="N70" s="116"/>
      <c r="Q70" s="114"/>
      <c r="T70" s="114"/>
    </row>
    <row r="71" spans="1:21">
      <c r="A71" s="130"/>
      <c r="B71" s="130"/>
      <c r="C71" s="130"/>
      <c r="D71" s="133"/>
      <c r="E71" s="133"/>
      <c r="F71" s="133"/>
      <c r="G71" s="133"/>
      <c r="H71" s="133"/>
      <c r="L71" s="133"/>
      <c r="M71" s="133"/>
      <c r="N71" s="134"/>
      <c r="T71" s="114"/>
    </row>
    <row r="72" spans="1:21">
      <c r="A72" s="130"/>
      <c r="B72" s="10"/>
      <c r="C72" s="10"/>
      <c r="D72" s="114"/>
      <c r="E72" s="114"/>
      <c r="F72" s="114"/>
      <c r="G72" s="127"/>
      <c r="H72" s="114"/>
      <c r="L72" s="114"/>
      <c r="M72" s="127"/>
      <c r="N72" s="116"/>
      <c r="T72" s="114"/>
    </row>
    <row r="73" spans="1:21">
      <c r="A73" s="130"/>
      <c r="B73" s="130"/>
      <c r="C73" s="130"/>
      <c r="D73" s="133"/>
      <c r="E73" s="133"/>
      <c r="F73" s="133"/>
      <c r="G73" s="133"/>
      <c r="H73" s="133"/>
      <c r="L73" s="133"/>
      <c r="M73" s="133"/>
      <c r="N73" s="134"/>
      <c r="T73" s="114"/>
    </row>
    <row r="74" spans="1:21">
      <c r="A74" s="130"/>
      <c r="B74" s="10"/>
      <c r="C74" s="10"/>
      <c r="D74" s="114"/>
      <c r="E74" s="114"/>
      <c r="F74" s="114"/>
      <c r="G74" s="114"/>
      <c r="H74" s="127"/>
      <c r="L74" s="114"/>
      <c r="M74" s="127"/>
      <c r="N74" s="116"/>
      <c r="T74" s="114"/>
    </row>
    <row r="75" spans="1:21">
      <c r="A75" s="130"/>
      <c r="B75" s="10"/>
      <c r="C75" s="10"/>
      <c r="D75" s="114"/>
      <c r="E75" s="114"/>
      <c r="F75" s="114"/>
      <c r="G75" s="114"/>
      <c r="H75" s="127"/>
      <c r="L75" s="114"/>
      <c r="M75" s="114"/>
      <c r="N75" s="116"/>
      <c r="T75" s="114"/>
    </row>
    <row r="76" spans="1:21">
      <c r="A76" s="130"/>
      <c r="B76" s="10"/>
      <c r="C76" s="10"/>
      <c r="D76" s="114"/>
      <c r="E76" s="114"/>
      <c r="F76" s="114"/>
      <c r="G76" s="114"/>
      <c r="H76" s="127"/>
      <c r="L76" s="114"/>
      <c r="M76" s="114"/>
      <c r="N76" s="116"/>
      <c r="T76" s="114"/>
    </row>
    <row r="77" spans="1:21">
      <c r="A77" s="10"/>
      <c r="B77" s="10"/>
      <c r="C77" s="10"/>
      <c r="D77" s="114"/>
      <c r="E77" s="114"/>
      <c r="F77" s="114"/>
      <c r="G77" s="114"/>
      <c r="H77" s="127"/>
      <c r="L77" s="114"/>
      <c r="M77" s="114"/>
      <c r="N77" s="116"/>
      <c r="T77" s="114"/>
    </row>
    <row r="78" spans="1:21">
      <c r="A78" s="10"/>
      <c r="B78" s="10"/>
      <c r="C78" s="10"/>
      <c r="D78" s="114"/>
      <c r="E78" s="114"/>
      <c r="F78" s="114"/>
      <c r="G78" s="114"/>
      <c r="H78" s="114"/>
      <c r="L78" s="114"/>
      <c r="M78" s="114"/>
      <c r="N78" s="116"/>
      <c r="T78" s="114"/>
    </row>
    <row r="79" spans="1:21">
      <c r="A79" s="10"/>
      <c r="B79" s="10"/>
      <c r="C79" s="10"/>
      <c r="D79" s="114"/>
      <c r="E79" s="114"/>
      <c r="F79" s="114"/>
      <c r="G79" s="114"/>
      <c r="H79" s="127"/>
      <c r="L79" s="114"/>
      <c r="M79" s="114"/>
      <c r="N79" s="116"/>
      <c r="T79" s="114"/>
    </row>
    <row r="80" spans="1:21">
      <c r="A80" s="130"/>
      <c r="B80" s="130"/>
      <c r="C80" s="130"/>
      <c r="D80" s="133"/>
      <c r="E80" s="133"/>
      <c r="F80" s="133"/>
      <c r="G80" s="133"/>
      <c r="H80" s="133"/>
      <c r="L80" s="133"/>
      <c r="M80" s="133"/>
      <c r="N80" s="134"/>
      <c r="T80" s="114"/>
    </row>
    <row r="81" spans="1:20">
      <c r="A81" s="132"/>
      <c r="B81" s="132"/>
      <c r="C81" s="132"/>
      <c r="D81" s="118"/>
      <c r="E81" s="118"/>
      <c r="F81" s="118"/>
      <c r="G81" s="118"/>
      <c r="H81" s="118"/>
      <c r="L81" s="118"/>
      <c r="M81" s="118"/>
      <c r="N81" s="119"/>
      <c r="T81" s="114"/>
    </row>
    <row r="82" spans="1:20">
      <c r="A82" s="10"/>
      <c r="B82" s="10"/>
      <c r="C82" s="10"/>
      <c r="D82" s="114"/>
      <c r="E82" s="114"/>
      <c r="F82" s="114"/>
      <c r="G82" s="114"/>
      <c r="H82" s="127"/>
      <c r="L82" s="114"/>
      <c r="M82" s="114"/>
      <c r="N82" s="116"/>
      <c r="T82" s="114"/>
    </row>
    <row r="83" spans="1:20">
      <c r="A83" s="10"/>
      <c r="B83" s="10"/>
      <c r="C83" s="10"/>
      <c r="D83" s="114"/>
      <c r="E83" s="114"/>
      <c r="F83" s="114"/>
      <c r="G83" s="114"/>
      <c r="H83" s="114"/>
      <c r="L83" s="114"/>
      <c r="M83" s="114"/>
      <c r="N83" s="116"/>
      <c r="T83" s="114"/>
    </row>
    <row r="84" spans="1:20">
      <c r="A84" s="10"/>
      <c r="B84" s="10"/>
      <c r="C84" s="10"/>
      <c r="D84" s="114"/>
      <c r="E84" s="114"/>
      <c r="F84" s="114"/>
      <c r="G84" s="114"/>
      <c r="H84" s="114"/>
      <c r="L84" s="114"/>
      <c r="M84" s="114"/>
      <c r="N84" s="116"/>
      <c r="T84" s="114"/>
    </row>
    <row r="85" spans="1:20">
      <c r="A85" s="10"/>
      <c r="B85" s="10"/>
      <c r="C85" s="10"/>
      <c r="D85" s="114"/>
      <c r="E85" s="114"/>
      <c r="F85" s="114"/>
      <c r="G85" s="114"/>
      <c r="H85" s="114"/>
      <c r="L85" s="114"/>
      <c r="M85" s="127"/>
      <c r="N85" s="116"/>
      <c r="T85" s="114"/>
    </row>
    <row r="86" spans="1:20">
      <c r="A86" s="10"/>
      <c r="B86" s="10"/>
      <c r="C86" s="10"/>
      <c r="D86" s="114"/>
      <c r="E86" s="114"/>
      <c r="F86" s="114"/>
      <c r="G86" s="114"/>
      <c r="H86" s="114"/>
      <c r="L86" s="114"/>
      <c r="M86" s="114"/>
      <c r="N86" s="116"/>
      <c r="T86" s="114"/>
    </row>
    <row r="87" spans="1:20">
      <c r="A87" s="10"/>
      <c r="B87" s="10"/>
      <c r="C87" s="10"/>
      <c r="D87" s="114"/>
      <c r="E87" s="114"/>
      <c r="F87" s="114"/>
      <c r="G87" s="114"/>
      <c r="H87" s="127"/>
      <c r="L87" s="114"/>
      <c r="M87" s="114"/>
      <c r="N87" s="116"/>
      <c r="T87" s="114"/>
    </row>
    <row r="88" spans="1:20">
      <c r="A88" s="10"/>
      <c r="B88" s="10"/>
      <c r="C88" s="10"/>
      <c r="D88" s="114"/>
      <c r="E88" s="114"/>
      <c r="F88" s="114"/>
      <c r="G88" s="127"/>
      <c r="H88" s="114"/>
      <c r="L88" s="114"/>
      <c r="M88" s="114"/>
      <c r="N88" s="116"/>
      <c r="T88" s="114"/>
    </row>
    <row r="89" spans="1:20">
      <c r="A89" s="130"/>
      <c r="B89" s="130"/>
      <c r="C89" s="130"/>
      <c r="D89" s="133"/>
      <c r="E89" s="133"/>
      <c r="F89" s="133"/>
      <c r="G89" s="133"/>
      <c r="H89" s="133"/>
      <c r="L89" s="133"/>
      <c r="M89" s="133"/>
      <c r="N89" s="134"/>
      <c r="T89" s="114"/>
    </row>
    <row r="90" spans="1:20">
      <c r="A90" s="132"/>
      <c r="B90" s="132"/>
      <c r="C90" s="132"/>
      <c r="D90" s="118"/>
      <c r="E90" s="118"/>
      <c r="F90" s="118"/>
      <c r="G90" s="118"/>
      <c r="H90" s="118"/>
      <c r="L90" s="118"/>
      <c r="M90" s="118"/>
      <c r="N90" s="119"/>
      <c r="T90" s="114"/>
    </row>
    <row r="91" spans="1:20">
      <c r="A91" s="10"/>
      <c r="B91" s="10"/>
      <c r="C91" s="10"/>
      <c r="D91" s="114"/>
      <c r="E91" s="114"/>
      <c r="F91" s="114"/>
      <c r="G91" s="127"/>
      <c r="H91" s="127"/>
      <c r="K91" s="128"/>
      <c r="L91" s="114"/>
      <c r="M91" s="127"/>
      <c r="N91" s="116"/>
      <c r="T91" s="114"/>
    </row>
    <row r="92" spans="1:20">
      <c r="A92" s="10"/>
      <c r="B92" s="10"/>
      <c r="C92" s="10"/>
      <c r="D92" s="114"/>
      <c r="E92" s="114"/>
      <c r="F92" s="114"/>
      <c r="G92" s="127"/>
      <c r="H92" s="127"/>
      <c r="K92" s="129"/>
      <c r="L92" s="114"/>
      <c r="M92" s="127"/>
      <c r="N92" s="116"/>
      <c r="T92" s="114"/>
    </row>
    <row r="93" spans="1:20">
      <c r="A93" s="10"/>
      <c r="B93" s="10"/>
      <c r="C93" s="10"/>
      <c r="D93" s="114"/>
      <c r="E93" s="114"/>
      <c r="F93" s="114"/>
      <c r="G93" s="114"/>
      <c r="H93" s="114"/>
      <c r="L93" s="114"/>
      <c r="M93" s="114"/>
      <c r="N93" s="116"/>
      <c r="T93" s="114"/>
    </row>
    <row r="94" spans="1:20">
      <c r="A94" s="10"/>
      <c r="B94" s="10"/>
      <c r="C94" s="10"/>
      <c r="D94" s="114"/>
      <c r="E94" s="114"/>
      <c r="F94" s="114"/>
      <c r="G94" s="114"/>
      <c r="H94" s="114"/>
      <c r="L94" s="114"/>
      <c r="M94" s="114"/>
      <c r="N94" s="116"/>
      <c r="T94" s="114"/>
    </row>
    <row r="95" spans="1:20">
      <c r="A95" s="10"/>
      <c r="B95" s="10"/>
      <c r="C95" s="10"/>
      <c r="D95" s="114"/>
      <c r="E95" s="114"/>
      <c r="F95" s="118"/>
      <c r="G95" s="114"/>
      <c r="H95" s="127"/>
      <c r="L95" s="114"/>
      <c r="M95" s="114"/>
      <c r="N95" s="116"/>
      <c r="T95" s="114"/>
    </row>
    <row r="96" spans="1:20">
      <c r="A96" s="10"/>
      <c r="B96" s="10"/>
      <c r="C96" s="10"/>
      <c r="D96" s="114"/>
      <c r="E96" s="114"/>
      <c r="F96" s="114"/>
      <c r="G96" s="114"/>
      <c r="H96" s="114"/>
      <c r="L96" s="114"/>
      <c r="M96" s="114"/>
      <c r="N96" s="116"/>
      <c r="T96" s="114"/>
    </row>
    <row r="97" spans="1:20">
      <c r="A97" s="10"/>
      <c r="B97" s="10"/>
      <c r="C97" s="10"/>
      <c r="D97" s="114"/>
      <c r="E97" s="114"/>
      <c r="F97" s="114"/>
      <c r="G97" s="127"/>
      <c r="H97" s="127"/>
      <c r="L97" s="114"/>
      <c r="M97" s="114"/>
      <c r="N97" s="116"/>
      <c r="T97" s="114"/>
    </row>
    <row r="98" spans="1:20">
      <c r="A98" s="135"/>
      <c r="B98" s="135"/>
      <c r="C98" s="135"/>
      <c r="D98" s="133"/>
      <c r="E98" s="133"/>
      <c r="F98" s="133"/>
      <c r="G98" s="133"/>
      <c r="H98" s="133"/>
      <c r="L98" s="133"/>
      <c r="M98" s="133"/>
      <c r="N98" s="134"/>
      <c r="T98" s="114"/>
    </row>
    <row r="99" spans="1:20">
      <c r="A99" s="132"/>
      <c r="B99" s="132"/>
      <c r="C99" s="132"/>
      <c r="D99" s="118"/>
      <c r="E99" s="118"/>
      <c r="F99" s="118"/>
      <c r="G99" s="118"/>
      <c r="H99" s="118"/>
      <c r="L99" s="118"/>
      <c r="M99" s="118"/>
      <c r="N99" s="119"/>
    </row>
    <row r="100" spans="1:20">
      <c r="A100" s="10"/>
      <c r="B100" s="10"/>
      <c r="C100" s="10"/>
      <c r="D100" s="114"/>
      <c r="E100" s="114"/>
      <c r="F100" s="114"/>
      <c r="G100" s="127"/>
      <c r="H100" s="127"/>
      <c r="L100" s="114"/>
      <c r="M100" s="114"/>
      <c r="N100" s="116"/>
    </row>
    <row r="101" spans="1:20">
      <c r="A101" s="10"/>
      <c r="B101" s="10"/>
      <c r="C101" s="10"/>
      <c r="D101" s="114"/>
      <c r="E101" s="114"/>
      <c r="F101" s="114"/>
      <c r="G101" s="114"/>
      <c r="H101" s="127"/>
      <c r="L101" s="114"/>
      <c r="M101" s="114"/>
      <c r="N101" s="116"/>
    </row>
    <row r="102" spans="1:20">
      <c r="A102" s="10"/>
      <c r="B102" s="10"/>
      <c r="C102" s="10"/>
      <c r="D102" s="114"/>
      <c r="E102" s="114"/>
      <c r="F102" s="114"/>
      <c r="G102" s="114"/>
      <c r="H102" s="127"/>
      <c r="L102" s="114"/>
      <c r="M102" s="114"/>
      <c r="N102" s="116"/>
    </row>
    <row r="103" spans="1:20">
      <c r="A103" s="10"/>
      <c r="B103" s="10"/>
      <c r="C103" s="10"/>
      <c r="D103" s="114"/>
      <c r="E103" s="114"/>
      <c r="F103" s="114"/>
      <c r="G103" s="127"/>
      <c r="H103" s="127"/>
      <c r="L103" s="114"/>
      <c r="M103" s="114"/>
      <c r="N103" s="116"/>
    </row>
    <row r="104" spans="1:20">
      <c r="A104" s="10"/>
      <c r="B104" s="10"/>
      <c r="C104" s="10"/>
      <c r="D104" s="114"/>
      <c r="E104" s="114"/>
      <c r="F104" s="114"/>
      <c r="G104" s="127"/>
      <c r="H104" s="127"/>
      <c r="L104" s="114"/>
      <c r="M104" s="114"/>
      <c r="N104" s="116"/>
    </row>
    <row r="105" spans="1:20">
      <c r="A105" s="10"/>
      <c r="B105" s="10"/>
      <c r="C105" s="10"/>
      <c r="D105" s="114"/>
      <c r="E105" s="114"/>
      <c r="F105" s="114"/>
      <c r="G105" s="127"/>
      <c r="H105" s="114"/>
      <c r="K105" s="131"/>
      <c r="L105" s="114"/>
      <c r="M105" s="114"/>
      <c r="N105" s="116"/>
    </row>
    <row r="106" spans="1:20">
      <c r="A106" s="10"/>
      <c r="B106" s="10"/>
      <c r="C106" s="10"/>
      <c r="D106" s="114"/>
      <c r="E106" s="114"/>
      <c r="F106" s="114"/>
      <c r="G106" s="114"/>
      <c r="H106" s="127"/>
      <c r="L106" s="114"/>
      <c r="M106" s="127"/>
      <c r="N106" s="116"/>
    </row>
    <row r="107" spans="1:20">
      <c r="A107" s="10"/>
      <c r="B107" s="10"/>
      <c r="C107" s="10"/>
      <c r="D107" s="114"/>
      <c r="E107" s="114"/>
      <c r="F107" s="114"/>
      <c r="G107" s="127"/>
      <c r="H107" s="127"/>
      <c r="L107" s="114"/>
      <c r="M107" s="114"/>
      <c r="N107" s="116"/>
    </row>
    <row r="108" spans="1:20">
      <c r="A108" s="10"/>
      <c r="B108" s="10"/>
      <c r="C108" s="10"/>
      <c r="D108" s="114"/>
      <c r="E108" s="114"/>
      <c r="F108" s="114"/>
      <c r="G108" s="127"/>
      <c r="H108" s="127"/>
      <c r="L108" s="114"/>
      <c r="M108" s="114"/>
      <c r="N108" s="116"/>
    </row>
    <row r="109" spans="1:20">
      <c r="A109" s="10"/>
      <c r="B109" s="10"/>
      <c r="C109" s="10"/>
      <c r="D109" s="114"/>
      <c r="E109" s="114"/>
      <c r="F109" s="114"/>
      <c r="G109" s="114"/>
      <c r="H109" s="127"/>
      <c r="L109" s="114"/>
      <c r="M109" s="114"/>
      <c r="N109" s="116"/>
    </row>
    <row r="110" spans="1:20">
      <c r="A110" s="136"/>
      <c r="B110" s="136"/>
      <c r="C110" s="136"/>
      <c r="D110" s="114"/>
      <c r="E110" s="114"/>
      <c r="F110" s="114"/>
      <c r="G110" s="114"/>
      <c r="H110" s="114"/>
      <c r="L110" s="114"/>
      <c r="M110" s="114"/>
      <c r="N110" s="116"/>
    </row>
    <row r="111" spans="1:20">
      <c r="A111" s="132"/>
      <c r="B111" s="132"/>
      <c r="C111" s="132"/>
      <c r="D111" s="118"/>
      <c r="E111" s="118"/>
      <c r="F111" s="118"/>
      <c r="G111" s="118"/>
      <c r="H111" s="118"/>
      <c r="L111" s="118"/>
      <c r="M111" s="118"/>
      <c r="N111" s="119"/>
    </row>
    <row r="112" spans="1:20">
      <c r="A112" s="10"/>
      <c r="B112" s="10"/>
      <c r="C112" s="10"/>
      <c r="D112" s="114"/>
      <c r="E112" s="114"/>
      <c r="F112" s="114"/>
      <c r="G112" s="127"/>
      <c r="H112" s="114"/>
      <c r="L112" s="114"/>
      <c r="M112" s="114"/>
      <c r="N112" s="116"/>
    </row>
    <row r="113" spans="1:14">
      <c r="A113" s="10"/>
      <c r="B113" s="10"/>
      <c r="C113" s="10"/>
      <c r="D113" s="114"/>
      <c r="E113" s="114"/>
      <c r="F113" s="114"/>
      <c r="G113" s="114"/>
      <c r="H113" s="127"/>
      <c r="L113" s="114"/>
      <c r="M113" s="127"/>
      <c r="N113" s="116"/>
    </row>
    <row r="114" spans="1:14">
      <c r="A114" s="10"/>
      <c r="B114" s="10"/>
      <c r="C114" s="10"/>
      <c r="D114" s="114"/>
      <c r="E114" s="114"/>
      <c r="F114" s="114"/>
      <c r="G114" s="114"/>
      <c r="H114" s="127"/>
      <c r="L114" s="114"/>
      <c r="M114" s="127"/>
      <c r="N114" s="116"/>
    </row>
    <row r="115" spans="1:14">
      <c r="A115" s="10"/>
      <c r="B115" s="10"/>
      <c r="C115" s="10"/>
      <c r="D115" s="114"/>
      <c r="E115" s="114"/>
      <c r="F115" s="114"/>
      <c r="G115" s="114"/>
      <c r="H115" s="127"/>
      <c r="L115" s="114"/>
      <c r="M115" s="114"/>
      <c r="N115" s="116"/>
    </row>
    <row r="116" spans="1:14">
      <c r="A116" s="10"/>
      <c r="B116" s="10"/>
      <c r="C116" s="10"/>
      <c r="D116" s="114"/>
      <c r="E116" s="114"/>
      <c r="F116" s="114"/>
      <c r="G116" s="114"/>
      <c r="H116" s="127"/>
      <c r="L116" s="114"/>
      <c r="M116" s="114"/>
      <c r="N116" s="116"/>
    </row>
    <row r="117" spans="1:14">
      <c r="A117" s="136"/>
      <c r="B117" s="136"/>
      <c r="C117" s="136"/>
      <c r="D117" s="114"/>
      <c r="E117" s="114"/>
      <c r="F117" s="114"/>
      <c r="G117" s="114"/>
      <c r="H117" s="114"/>
      <c r="L117" s="114"/>
      <c r="M117" s="114"/>
      <c r="N117" s="116"/>
    </row>
    <row r="118" spans="1:14">
      <c r="A118" s="132"/>
      <c r="B118" s="132"/>
      <c r="C118" s="132"/>
      <c r="D118" s="118"/>
      <c r="E118" s="118"/>
      <c r="F118" s="118"/>
      <c r="G118" s="118"/>
      <c r="H118" s="118"/>
      <c r="L118" s="118"/>
      <c r="M118" s="118"/>
      <c r="N118" s="119"/>
    </row>
    <row r="119" spans="1:14">
      <c r="A119" s="10"/>
      <c r="B119" s="10"/>
      <c r="C119" s="10"/>
      <c r="D119" s="114"/>
      <c r="E119" s="114"/>
      <c r="F119" s="114"/>
      <c r="G119" s="114"/>
      <c r="H119" s="114"/>
      <c r="L119" s="114"/>
      <c r="M119" s="114"/>
      <c r="N119" s="116"/>
    </row>
    <row r="120" spans="1:14">
      <c r="A120" s="10"/>
      <c r="B120" s="10"/>
      <c r="C120" s="10"/>
      <c r="D120" s="114"/>
      <c r="E120" s="114"/>
      <c r="F120" s="114"/>
      <c r="G120" s="114"/>
      <c r="H120" s="127"/>
      <c r="L120" s="114"/>
      <c r="M120" s="114"/>
      <c r="N120" s="116"/>
    </row>
    <row r="121" spans="1:14">
      <c r="A121" s="10"/>
      <c r="B121" s="10"/>
      <c r="C121" s="10"/>
      <c r="D121" s="114"/>
      <c r="E121" s="114"/>
      <c r="F121" s="114"/>
      <c r="G121" s="114"/>
      <c r="H121" s="114"/>
      <c r="L121" s="114"/>
      <c r="M121" s="127"/>
      <c r="N121" s="116"/>
    </row>
    <row r="122" spans="1:14">
      <c r="A122" s="10"/>
      <c r="B122" s="10"/>
      <c r="C122" s="10"/>
      <c r="D122" s="114"/>
      <c r="E122" s="114"/>
      <c r="F122" s="114"/>
      <c r="G122" s="114"/>
      <c r="H122" s="114"/>
      <c r="L122" s="114"/>
      <c r="M122" s="114"/>
      <c r="N122" s="116"/>
    </row>
    <row r="123" spans="1:14">
      <c r="A123" s="10"/>
      <c r="B123" s="10"/>
      <c r="C123" s="10"/>
      <c r="D123" s="114"/>
      <c r="E123" s="114"/>
      <c r="F123" s="114"/>
      <c r="G123" s="127"/>
      <c r="H123" s="127"/>
      <c r="L123" s="114"/>
      <c r="M123" s="114"/>
      <c r="N123" s="116"/>
    </row>
    <row r="124" spans="1:14">
      <c r="A124" s="10"/>
      <c r="B124" s="10"/>
      <c r="C124" s="10"/>
      <c r="D124" s="114"/>
      <c r="E124" s="114"/>
      <c r="F124" s="114"/>
      <c r="G124" s="127"/>
      <c r="H124" s="127"/>
      <c r="L124" s="114"/>
      <c r="M124" s="114"/>
      <c r="N124" s="116"/>
    </row>
    <row r="125" spans="1:14">
      <c r="A125" s="10"/>
      <c r="B125" s="10"/>
      <c r="C125" s="10"/>
      <c r="D125" s="114"/>
      <c r="E125" s="114"/>
      <c r="F125" s="114"/>
      <c r="G125" s="114"/>
      <c r="H125" s="127"/>
      <c r="L125" s="114"/>
      <c r="M125" s="114"/>
      <c r="N125" s="116"/>
    </row>
    <row r="126" spans="1:14">
      <c r="A126" s="10"/>
      <c r="B126" s="10"/>
      <c r="C126" s="10"/>
      <c r="D126" s="114"/>
      <c r="E126" s="114"/>
      <c r="F126" s="114"/>
      <c r="G126" s="114"/>
      <c r="H126" s="114"/>
      <c r="L126" s="114"/>
      <c r="M126" s="127"/>
      <c r="N126" s="116"/>
    </row>
    <row r="127" spans="1:14">
      <c r="A127" s="10"/>
      <c r="B127" s="10"/>
      <c r="C127" s="10"/>
      <c r="D127" s="114"/>
      <c r="E127" s="114"/>
      <c r="F127" s="114"/>
      <c r="G127" s="127"/>
      <c r="H127" s="114"/>
      <c r="L127" s="114"/>
      <c r="M127" s="114"/>
      <c r="N127" s="116"/>
    </row>
    <row r="128" spans="1:14">
      <c r="A128" s="10"/>
      <c r="B128" s="10"/>
      <c r="C128" s="10"/>
      <c r="D128" s="114"/>
      <c r="E128" s="114"/>
      <c r="F128" s="114"/>
      <c r="G128" s="127"/>
      <c r="H128" s="127"/>
      <c r="L128" s="114"/>
      <c r="M128" s="114"/>
      <c r="N128" s="116"/>
    </row>
    <row r="129" spans="1:14">
      <c r="A129" s="10"/>
      <c r="B129" s="10"/>
      <c r="C129" s="10"/>
      <c r="D129" s="114"/>
      <c r="E129" s="114"/>
      <c r="F129" s="114"/>
      <c r="G129" s="114"/>
      <c r="H129" s="114"/>
      <c r="L129" s="114"/>
      <c r="M129" s="114"/>
      <c r="N129" s="116"/>
    </row>
    <row r="130" spans="1:14">
      <c r="A130" s="132"/>
      <c r="B130" s="132"/>
      <c r="C130" s="132"/>
      <c r="D130" s="118"/>
      <c r="E130" s="118"/>
      <c r="F130" s="118"/>
      <c r="G130" s="118"/>
      <c r="H130" s="118"/>
      <c r="L130" s="118"/>
      <c r="M130" s="118"/>
      <c r="N130" s="119"/>
    </row>
    <row r="131" spans="1:14">
      <c r="A131" s="10"/>
      <c r="B131" s="10"/>
      <c r="C131" s="10"/>
      <c r="D131" s="114"/>
      <c r="E131" s="114"/>
      <c r="F131" s="114"/>
      <c r="G131" s="127"/>
      <c r="H131" s="114"/>
      <c r="L131" s="114"/>
      <c r="M131" s="114"/>
      <c r="N131" s="116"/>
    </row>
    <row r="132" spans="1:14">
      <c r="A132" s="10"/>
      <c r="B132" s="10"/>
      <c r="C132" s="10"/>
      <c r="D132" s="114"/>
      <c r="E132" s="114"/>
      <c r="F132" s="114"/>
      <c r="G132" s="114"/>
      <c r="H132" s="127"/>
      <c r="L132" s="114"/>
      <c r="M132" s="114"/>
      <c r="N132" s="116"/>
    </row>
    <row r="133" spans="1:14">
      <c r="A133" s="10"/>
      <c r="B133" s="10"/>
      <c r="C133" s="10"/>
      <c r="D133" s="114"/>
      <c r="E133" s="114"/>
      <c r="F133" s="114"/>
      <c r="G133" s="114"/>
      <c r="H133" s="114"/>
      <c r="L133" s="114"/>
      <c r="M133" s="127"/>
      <c r="N133" s="116"/>
    </row>
    <row r="134" spans="1:14">
      <c r="A134" s="10"/>
      <c r="B134" s="10"/>
      <c r="C134" s="10"/>
      <c r="D134" s="114"/>
      <c r="E134" s="114"/>
      <c r="F134" s="114"/>
      <c r="G134" s="127"/>
      <c r="H134" s="114"/>
      <c r="L134" s="114"/>
      <c r="M134" s="114"/>
      <c r="N134" s="116"/>
    </row>
    <row r="135" spans="1:14">
      <c r="A135" s="10"/>
      <c r="B135" s="10"/>
      <c r="C135" s="10"/>
      <c r="D135" s="114"/>
      <c r="E135" s="114"/>
      <c r="F135" s="114"/>
      <c r="G135" s="114"/>
      <c r="H135" s="127"/>
      <c r="L135" s="114"/>
      <c r="M135" s="114"/>
      <c r="N135" s="116"/>
    </row>
    <row r="136" spans="1:14">
      <c r="A136" s="10"/>
      <c r="B136" s="10"/>
      <c r="C136" s="10"/>
      <c r="D136" s="114"/>
      <c r="E136" s="114"/>
      <c r="F136" s="114"/>
      <c r="G136" s="114"/>
      <c r="H136" s="127"/>
      <c r="L136" s="114"/>
      <c r="M136" s="114"/>
      <c r="N136" s="116"/>
    </row>
    <row r="137" spans="1:14">
      <c r="A137" s="10"/>
      <c r="B137" s="10"/>
      <c r="C137" s="10"/>
      <c r="D137" s="114"/>
      <c r="E137" s="114"/>
      <c r="F137" s="114"/>
      <c r="G137" s="127"/>
      <c r="H137" s="114"/>
      <c r="L137" s="114"/>
      <c r="M137" s="114"/>
      <c r="N137" s="116"/>
    </row>
    <row r="138" spans="1:14">
      <c r="A138" s="10"/>
      <c r="B138" s="10"/>
      <c r="C138" s="10"/>
      <c r="D138" s="114"/>
      <c r="E138" s="114"/>
      <c r="F138" s="114"/>
      <c r="G138" s="114"/>
      <c r="H138" s="114"/>
      <c r="L138" s="114"/>
      <c r="M138" s="114"/>
      <c r="N138" s="116"/>
    </row>
    <row r="139" spans="1:14">
      <c r="A139" s="10"/>
      <c r="B139" s="10"/>
      <c r="C139" s="10"/>
      <c r="D139" s="114"/>
      <c r="E139" s="114"/>
      <c r="F139" s="114"/>
      <c r="G139" s="114"/>
      <c r="H139" s="127"/>
      <c r="L139" s="114"/>
      <c r="M139" s="114"/>
      <c r="N139" s="116"/>
    </row>
  </sheetData>
  <phoneticPr fontId="2" type="noConversion"/>
  <conditionalFormatting sqref="T2:T51">
    <cfRule type="cellIs" dxfId="1" priority="1" stopIfTrue="1" operator="lessThan">
      <formula>0</formula>
    </cfRule>
    <cfRule type="cellIs" dxfId="0"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AZ414"/>
  <sheetViews>
    <sheetView workbookViewId="0">
      <pane ySplit="1" topLeftCell="A2" activePane="bottomLeft" state="frozen"/>
      <selection pane="bottomLeft" activeCell="AF231" sqref="AF231"/>
    </sheetView>
  </sheetViews>
  <sheetFormatPr defaultRowHeight="11.25"/>
  <cols>
    <col min="1" max="1" width="25.28515625" style="129" bestFit="1" customWidth="1"/>
    <col min="2" max="2" width="7.42578125" style="125" bestFit="1" customWidth="1"/>
    <col min="3" max="3" width="2" style="125" bestFit="1" customWidth="1"/>
    <col min="4" max="4" width="3.28515625" style="129" bestFit="1" customWidth="1"/>
    <col min="5" max="5" width="3.5703125" style="129" bestFit="1" customWidth="1"/>
    <col min="6" max="6" width="5.85546875" style="129" bestFit="1" customWidth="1"/>
    <col min="7" max="7" width="5.42578125" style="129" bestFit="1" customWidth="1"/>
    <col min="8" max="8" width="8" style="129" bestFit="1" customWidth="1"/>
    <col min="9" max="9" width="5.5703125" style="308" bestFit="1" customWidth="1"/>
    <col min="10" max="10" width="7" style="129" bestFit="1" customWidth="1"/>
    <col min="11" max="11" width="3.7109375" style="125" bestFit="1" customWidth="1"/>
    <col min="12" max="12" width="3.42578125" style="129" bestFit="1" customWidth="1"/>
    <col min="13" max="13" width="4" style="125" bestFit="1" customWidth="1"/>
    <col min="14" max="14" width="4" style="129" bestFit="1" customWidth="1"/>
    <col min="15" max="15" width="3.5703125" style="125" bestFit="1" customWidth="1"/>
    <col min="16" max="16" width="8.140625" style="129" bestFit="1" customWidth="1"/>
    <col min="17" max="17" width="7.42578125" style="129" bestFit="1" customWidth="1"/>
    <col min="18" max="18" width="6.42578125" style="129" bestFit="1" customWidth="1"/>
    <col min="19" max="19" width="10.28515625" style="129" bestFit="1" customWidth="1"/>
    <col min="20" max="20" width="3.85546875" style="129" bestFit="1" customWidth="1"/>
    <col min="21" max="21" width="4.140625" style="125" bestFit="1" customWidth="1"/>
    <col min="22" max="22" width="4.85546875" style="129" bestFit="1" customWidth="1"/>
    <col min="23" max="23" width="4" style="129" bestFit="1" customWidth="1"/>
    <col min="24" max="24" width="5.7109375" style="129" bestFit="1" customWidth="1"/>
    <col min="25" max="25" width="6" style="129" bestFit="1" customWidth="1"/>
    <col min="26" max="26" width="8.140625" style="129" bestFit="1" customWidth="1"/>
    <col min="27" max="27" width="4.5703125" style="129" bestFit="1" customWidth="1"/>
    <col min="28" max="28" width="6" style="129" bestFit="1" customWidth="1"/>
    <col min="29" max="29" width="31.5703125" style="290" customWidth="1"/>
    <col min="30" max="30" width="2.7109375" style="150" bestFit="1" customWidth="1"/>
    <col min="31" max="31" width="2.7109375" style="129" bestFit="1" customWidth="1"/>
    <col min="32" max="32" width="3.5703125" style="129" bestFit="1" customWidth="1"/>
    <col min="33" max="33" width="1.85546875" style="129" bestFit="1" customWidth="1"/>
    <col min="34" max="34" width="8.7109375" style="129" bestFit="1" customWidth="1"/>
    <col min="35" max="35" width="10.140625" style="129" bestFit="1" customWidth="1"/>
    <col min="36" max="36" width="12.5703125" style="129" bestFit="1" customWidth="1"/>
    <col min="37" max="37" width="12.85546875" style="129" bestFit="1" customWidth="1"/>
    <col min="38" max="38" width="24.7109375" style="129" bestFit="1" customWidth="1"/>
    <col min="39" max="39" width="11.140625" style="129" bestFit="1" customWidth="1"/>
    <col min="40" max="40" width="11.7109375" style="129" bestFit="1" customWidth="1"/>
    <col min="41" max="41" width="6.5703125" style="129" bestFit="1" customWidth="1"/>
    <col min="42" max="42" width="9.140625" style="129"/>
    <col min="43" max="43" width="10.5703125" style="129" bestFit="1" customWidth="1"/>
    <col min="44" max="44" width="28.5703125" style="129" bestFit="1" customWidth="1"/>
    <col min="45" max="16384" width="9.140625" style="129"/>
  </cols>
  <sheetData>
    <row r="1" spans="1:48" ht="22.5">
      <c r="A1" s="820" t="s">
        <v>164</v>
      </c>
      <c r="B1" s="820" t="s">
        <v>1934</v>
      </c>
      <c r="C1" s="820" t="s">
        <v>2798</v>
      </c>
      <c r="D1" s="820" t="s">
        <v>1214</v>
      </c>
      <c r="E1" s="820" t="s">
        <v>1215</v>
      </c>
      <c r="F1" s="820" t="s">
        <v>768</v>
      </c>
      <c r="G1" s="821" t="s">
        <v>2140</v>
      </c>
      <c r="H1" s="821" t="s">
        <v>2139</v>
      </c>
      <c r="I1" s="822" t="s">
        <v>771</v>
      </c>
      <c r="J1" s="823" t="s">
        <v>1739</v>
      </c>
      <c r="K1" s="821" t="s">
        <v>760</v>
      </c>
      <c r="L1" s="820" t="s">
        <v>1216</v>
      </c>
      <c r="M1" s="821" t="s">
        <v>264</v>
      </c>
      <c r="N1" s="821" t="s">
        <v>1217</v>
      </c>
      <c r="O1" s="821" t="s">
        <v>1287</v>
      </c>
      <c r="P1" s="820" t="s">
        <v>1221</v>
      </c>
      <c r="Q1" s="824" t="s">
        <v>1032</v>
      </c>
      <c r="R1" s="824" t="s">
        <v>1941</v>
      </c>
      <c r="S1" s="820" t="s">
        <v>666</v>
      </c>
      <c r="T1" s="825" t="s">
        <v>1222</v>
      </c>
      <c r="U1" s="821" t="s">
        <v>1223</v>
      </c>
      <c r="V1" s="825" t="s">
        <v>1705</v>
      </c>
      <c r="W1" s="825" t="s">
        <v>146</v>
      </c>
      <c r="X1" s="820" t="s">
        <v>1538</v>
      </c>
      <c r="Y1" s="820" t="s">
        <v>1225</v>
      </c>
      <c r="Z1" s="820" t="s">
        <v>564</v>
      </c>
      <c r="AA1" s="820" t="s">
        <v>565</v>
      </c>
      <c r="AB1" s="820" t="s">
        <v>566</v>
      </c>
      <c r="AC1" s="826" t="s">
        <v>567</v>
      </c>
      <c r="AD1" s="825"/>
      <c r="AE1" s="827">
        <v>0</v>
      </c>
      <c r="AF1" s="872">
        <v>0</v>
      </c>
      <c r="AG1" s="872"/>
    </row>
    <row r="2" spans="1:48" ht="12" thickBot="1">
      <c r="A2" s="828" t="s">
        <v>2057</v>
      </c>
      <c r="B2" s="829"/>
      <c r="C2" s="829"/>
      <c r="D2" s="744"/>
      <c r="E2" s="744"/>
      <c r="F2" s="744"/>
      <c r="G2" s="744"/>
      <c r="H2" s="744"/>
      <c r="I2" s="830"/>
      <c r="J2" s="744"/>
      <c r="K2" s="829"/>
      <c r="L2" s="744"/>
      <c r="M2" s="829"/>
      <c r="N2" s="744"/>
      <c r="O2" s="829"/>
      <c r="P2" s="744"/>
      <c r="Q2" s="744" t="s">
        <v>1033</v>
      </c>
      <c r="R2" s="744"/>
      <c r="S2" s="744"/>
      <c r="T2" s="831"/>
      <c r="U2" s="829"/>
      <c r="V2" s="831"/>
      <c r="W2" s="831"/>
      <c r="X2" s="744"/>
      <c r="Y2" s="744"/>
      <c r="Z2" s="744"/>
      <c r="AA2" s="744"/>
      <c r="AB2" s="744"/>
      <c r="AC2" s="832"/>
      <c r="AD2" s="831"/>
      <c r="AE2" s="744">
        <v>1</v>
      </c>
      <c r="AF2" s="114">
        <f>MAX(AF$1:AF1)+1</f>
        <v>1</v>
      </c>
      <c r="AG2" s="114"/>
      <c r="AK2" s="48"/>
      <c r="AL2" s="137" t="s">
        <v>1692</v>
      </c>
    </row>
    <row r="3" spans="1:48">
      <c r="A3" s="10" t="s">
        <v>2844</v>
      </c>
      <c r="B3" s="114">
        <v>30999</v>
      </c>
      <c r="C3" s="114">
        <v>1</v>
      </c>
      <c r="D3" s="114"/>
      <c r="E3" s="114">
        <v>11</v>
      </c>
      <c r="F3" s="114">
        <v>40</v>
      </c>
      <c r="G3" s="115"/>
      <c r="H3" s="115"/>
      <c r="I3" s="115"/>
      <c r="J3" s="114"/>
      <c r="K3" s="116"/>
      <c r="L3" s="114">
        <v>10</v>
      </c>
      <c r="M3" s="116"/>
      <c r="N3" s="114"/>
      <c r="O3" s="116"/>
      <c r="P3" s="114"/>
      <c r="Q3" s="114" t="s">
        <v>1033</v>
      </c>
      <c r="R3" s="114"/>
      <c r="S3" s="114" t="s">
        <v>675</v>
      </c>
      <c r="T3" s="114">
        <v>65</v>
      </c>
      <c r="U3" s="116">
        <v>122</v>
      </c>
      <c r="V3" s="155">
        <f>(U3+T3)/2</f>
        <v>93.5</v>
      </c>
      <c r="W3" s="155">
        <v>1.4</v>
      </c>
      <c r="X3" s="124">
        <f>V3/W3</f>
        <v>66.785714285714292</v>
      </c>
      <c r="Y3" s="114" t="s">
        <v>2269</v>
      </c>
      <c r="Z3" s="114"/>
      <c r="AA3" s="114"/>
      <c r="AB3" s="114"/>
      <c r="AC3" s="289"/>
      <c r="AD3" s="114"/>
      <c r="AE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Aman"),IF(includeprebc,$S3="Pre-BC"),IF(includesunwell,$S3="Sunwell"))),MAX($AE2:AE$2)+1,"")</f>
        <v>2</v>
      </c>
      <c r="AF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Aman"),IF(includeprebc,$S3="Pre-BC"),IF(includesunwell,$S3="Sunwell"))),MAX($AF$1:AF2)+1,"")</f>
        <v>2</v>
      </c>
      <c r="AG3" s="114"/>
      <c r="AK3" s="48">
        <v>1</v>
      </c>
      <c r="AL3" s="151" t="str">
        <f>IF('Gear &amp; Buffs'!$Y$47="Dagger",IF(ISNA(INDEX($A$2:$A$54,MATCH(AK3,AE$2:AE$54,0))),"",INDEX($A$2:$A$54,MATCH(AK3,AE$2:AE$54,0))),"")&amp;
IF('Gear &amp; Buffs'!$Y$47="Sword",IF(ISNA(INDEX($A$56:$A$100,MATCH(AK3,AE$56:AE$100,0))),"",INDEX($A$56:$A$100,MATCH(AK3,AE$56:AE$100,0))),"")&amp;
IF('Gear &amp; Buffs'!$Y$47="Fist",IF(ISNA(INDEX($A$102:$A$119,MATCH(AK3,AE$102:AE$119,0))),"",INDEX($A$102:$A$119,MATCH(AK3,AE$102:AE$119,0))),"")&amp;
IF('Gear &amp; Buffs'!$Y$47="Mace",IF(ISNA(INDEX($A$121:$A$148,MATCH(AK3,AE$121:AE$148,0))),"",INDEX($A$121:$A$148,MATCH(AK3,AE$121:AE$148,0))),"")&amp;
IF('Gear &amp; Buffs'!$Y$47="All",IF(ISNA(INDEX($A$2:$A$148,MATCH(AK3,AF$2:AF$148,0))),"",INDEX($A$2:$A$148,MATCH(AK3,AF$2:AF$148,0))),"")</f>
        <v>(Daggers)</v>
      </c>
    </row>
    <row r="4" spans="1:48">
      <c r="A4" s="10" t="s">
        <v>425</v>
      </c>
      <c r="B4" s="114">
        <v>34894</v>
      </c>
      <c r="C4" s="114">
        <v>5</v>
      </c>
      <c r="D4" s="114"/>
      <c r="E4" s="114"/>
      <c r="F4" s="114">
        <v>44</v>
      </c>
      <c r="G4" s="115">
        <v>24</v>
      </c>
      <c r="H4" s="115"/>
      <c r="I4" s="115"/>
      <c r="J4" s="114"/>
      <c r="K4" s="116"/>
      <c r="L4" s="114">
        <v>30</v>
      </c>
      <c r="M4" s="116"/>
      <c r="N4" s="114"/>
      <c r="O4" s="116"/>
      <c r="P4" s="114"/>
      <c r="Q4" s="114" t="s">
        <v>1033</v>
      </c>
      <c r="R4" s="114"/>
      <c r="S4" s="114" t="s">
        <v>691</v>
      </c>
      <c r="T4" s="114">
        <v>130</v>
      </c>
      <c r="U4" s="116">
        <v>241</v>
      </c>
      <c r="V4" s="155">
        <f>(U4+T4)/2</f>
        <v>185.5</v>
      </c>
      <c r="W4" s="155">
        <v>1.8</v>
      </c>
      <c r="X4" s="124">
        <f>V4/W4</f>
        <v>103.05555555555556</v>
      </c>
      <c r="Y4" s="114" t="s">
        <v>2269</v>
      </c>
      <c r="Z4" s="114"/>
      <c r="AA4" s="114"/>
      <c r="AB4" s="114"/>
      <c r="AC4" s="289"/>
      <c r="AD4" s="114"/>
      <c r="AE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Aman"),IF(includeprebc,$S4="Pre-BC"),IF(includesunwell,$S4="Sunwell"))),MAX($AE$2:AE3)+1,"")</f>
        <v/>
      </c>
      <c r="AF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Aman"),IF(includeprebc,$S4="Pre-BC"),IF(includesunwell,$S4="Sunwell"))),MAX($AF$1:AF3)+1,"")</f>
        <v/>
      </c>
      <c r="AG4" s="114"/>
      <c r="AH4" s="152"/>
      <c r="AI4" s="153"/>
      <c r="AK4" s="48">
        <v>2</v>
      </c>
      <c r="AL4" s="151" t="str">
        <f>IF('Gear &amp; Buffs'!$Y$47="Dagger",IF(ISNA(INDEX($A$2:$A$54,MATCH(AK4,AE$2:AE$54,0))),"",INDEX($A$2:$A$54,MATCH(AK4,AE$2:AE$54,0))),"")&amp;
IF('Gear &amp; Buffs'!$Y$47="Sword",IF(ISNA(INDEX($A$56:$A$100,MATCH(AK4,AE$56:AE$100,0))),"",INDEX($A$56:$A$100,MATCH(AK4,AE$56:AE$100,0))),"")&amp;
IF('Gear &amp; Buffs'!$Y$47="Fist",IF(ISNA(INDEX($A$102:$A$119,MATCH(AK4,AE$102:AE$119,0))),"",INDEX($A$102:$A$119,MATCH(AK4,AE$102:AE$119,0))),"")&amp;
IF('Gear &amp; Buffs'!$Y$47="Mace",IF(ISNA(INDEX($A$121:$A$148,MATCH(AK4,AE$121:AE$148,0))),"",INDEX($A$121:$A$148,MATCH(AK4,AE$121:AE$148,0))),"")&amp;
IF('Gear &amp; Buffs'!$Y$47="All",IF(ISNA(INDEX($A$2:$A$148,MATCH(AK4,AF$2:AF$148,0))),"",INDEX($A$2:$A$148,MATCH(AK4,AF$2:AF$148,0))),"")</f>
        <v>Ashtongue Blade</v>
      </c>
      <c r="AM4" s="154"/>
      <c r="AN4" s="154"/>
      <c r="AO4" s="154"/>
    </row>
    <row r="5" spans="1:48">
      <c r="A5" s="10" t="s">
        <v>2271</v>
      </c>
      <c r="B5" s="114">
        <v>28572</v>
      </c>
      <c r="C5" s="114">
        <v>1</v>
      </c>
      <c r="D5" s="114"/>
      <c r="E5" s="114"/>
      <c r="F5" s="114">
        <v>18</v>
      </c>
      <c r="G5" s="115">
        <v>9</v>
      </c>
      <c r="H5" s="115"/>
      <c r="I5" s="115"/>
      <c r="J5" s="114"/>
      <c r="K5" s="116"/>
      <c r="L5" s="114">
        <v>13</v>
      </c>
      <c r="M5" s="116"/>
      <c r="N5" s="114"/>
      <c r="O5" s="116"/>
      <c r="P5" s="114"/>
      <c r="Q5" s="114" t="s">
        <v>2093</v>
      </c>
      <c r="R5" s="114" t="s">
        <v>1065</v>
      </c>
      <c r="S5" s="114" t="s">
        <v>672</v>
      </c>
      <c r="T5" s="114">
        <v>112</v>
      </c>
      <c r="U5" s="116">
        <v>168</v>
      </c>
      <c r="V5" s="155">
        <f>(U5+T5)/2</f>
        <v>140</v>
      </c>
      <c r="W5" s="155">
        <v>1.6</v>
      </c>
      <c r="X5" s="124">
        <f>V5/W5</f>
        <v>87.5</v>
      </c>
      <c r="Y5" s="114" t="s">
        <v>2269</v>
      </c>
      <c r="Z5" s="114"/>
      <c r="AA5" s="114"/>
      <c r="AB5" s="114"/>
      <c r="AC5" s="289"/>
      <c r="AD5" s="114"/>
      <c r="AE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Aman"),IF(includeprebc,$S5="Pre-BC"),IF(includesunwell,$S5="Sunwell"))),MAX($AE$2:AE4)+1,"")</f>
        <v>3</v>
      </c>
      <c r="AF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Aman"),IF(includeprebc,$S5="Pre-BC"),IF(includesunwell,$S5="Sunwell"))),MAX($AF$1:AF4)+1,"")</f>
        <v>3</v>
      </c>
      <c r="AG5" s="114"/>
      <c r="AK5" s="48">
        <v>3</v>
      </c>
      <c r="AL5" s="151" t="str">
        <f>IF('Gear &amp; Buffs'!$Y$47="Dagger",IF(ISNA(INDEX($A$2:$A$54,MATCH(AK5,AE$2:AE$54,0))),"",INDEX($A$2:$A$54,MATCH(AK5,AE$2:AE$54,0))),"")&amp;
IF('Gear &amp; Buffs'!$Y$47="Sword",IF(ISNA(INDEX($A$56:$A$100,MATCH(AK5,AE$56:AE$100,0))),"",INDEX($A$56:$A$100,MATCH(AK5,AE$56:AE$100,0))),"")&amp;
IF('Gear &amp; Buffs'!$Y$47="Fist",IF(ISNA(INDEX($A$102:$A$119,MATCH(AK5,AE$102:AE$119,0))),"",INDEX($A$102:$A$119,MATCH(AK5,AE$102:AE$119,0))),"")&amp;
IF('Gear &amp; Buffs'!$Y$47="Mace",IF(ISNA(INDEX($A$121:$A$148,MATCH(AK5,AE$121:AE$148,0))),"",INDEX($A$121:$A$148,MATCH(AK5,AE$121:AE$148,0))),"")&amp;
IF('Gear &amp; Buffs'!$Y$47="All",IF(ISNA(INDEX($A$2:$A$148,MATCH(AK5,AF$2:AF$148,0))),"",INDEX($A$2:$A$148,MATCH(AK5,AF$2:AF$148,0))),"")</f>
        <v>Blade of the Unrequited</v>
      </c>
    </row>
    <row r="6" spans="1:48">
      <c r="A6" s="10" t="s">
        <v>971</v>
      </c>
      <c r="B6" s="114">
        <v>34665</v>
      </c>
      <c r="C6" s="114">
        <v>5</v>
      </c>
      <c r="D6" s="114"/>
      <c r="E6" s="114">
        <v>14</v>
      </c>
      <c r="F6" s="114">
        <v>26</v>
      </c>
      <c r="G6" s="114"/>
      <c r="H6" s="114">
        <v>11</v>
      </c>
      <c r="I6" s="847"/>
      <c r="J6" s="114"/>
      <c r="K6" s="116"/>
      <c r="L6" s="114">
        <v>12</v>
      </c>
      <c r="M6" s="116"/>
      <c r="N6" s="114"/>
      <c r="O6" s="116"/>
      <c r="P6" s="114"/>
      <c r="Q6" s="114" t="s">
        <v>1033</v>
      </c>
      <c r="R6" s="114"/>
      <c r="S6" s="114" t="s">
        <v>676</v>
      </c>
      <c r="T6" s="114">
        <v>90</v>
      </c>
      <c r="U6" s="116">
        <v>168</v>
      </c>
      <c r="V6" s="155">
        <f t="shared" ref="V6:V54" si="0">(U6+T6)/2</f>
        <v>129</v>
      </c>
      <c r="W6" s="155">
        <v>1.8</v>
      </c>
      <c r="X6" s="124">
        <f t="shared" ref="X6:X54" si="1">V6/W6</f>
        <v>71.666666666666671</v>
      </c>
      <c r="Y6" s="124" t="s">
        <v>2269</v>
      </c>
      <c r="Z6" s="114"/>
      <c r="AA6" s="114"/>
      <c r="AB6" s="114"/>
      <c r="AC6" s="289"/>
      <c r="AD6" s="791"/>
      <c r="AE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Aman"),IF(includeprebc,$S6="Pre-BC"),IF(includesunwell,$S6="Sunwell"))),MAX($AE$2:AE5)+1,"")</f>
        <v/>
      </c>
      <c r="AF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Aman"),IF(includeprebc,$S6="Pre-BC"),IF(includesunwell,$S6="Sunwell"))),MAX($AF$1:AF5)+1,"")</f>
        <v/>
      </c>
      <c r="AG6" s="114"/>
      <c r="AK6" s="48">
        <v>4</v>
      </c>
      <c r="AL6" s="151" t="str">
        <f>IF('Gear &amp; Buffs'!$Y$47="Dagger",IF(ISNA(INDEX($A$2:$A$54,MATCH(AK6,AE$2:AE$54,0))),"",INDEX($A$2:$A$54,MATCH(AK6,AE$2:AE$54,0))),"")&amp;
IF('Gear &amp; Buffs'!$Y$47="Sword",IF(ISNA(INDEX($A$56:$A$100,MATCH(AK6,AE$56:AE$100,0))),"",INDEX($A$56:$A$100,MATCH(AK6,AE$56:AE$100,0))),"")&amp;
IF('Gear &amp; Buffs'!$Y$47="Fist",IF(ISNA(INDEX($A$102:$A$119,MATCH(AK6,AE$102:AE$119,0))),"",INDEX($A$102:$A$119,MATCH(AK6,AE$102:AE$119,0))),"")&amp;
IF('Gear &amp; Buffs'!$Y$47="Mace",IF(ISNA(INDEX($A$121:$A$148,MATCH(AK6,AE$121:AE$148,0))),"",INDEX($A$121:$A$148,MATCH(AK6,AE$121:AE$148,0))),"")&amp;
IF('Gear &amp; Buffs'!$Y$47="All",IF(ISNA(INDEX($A$2:$A$148,MATCH(AK6,AF$2:AF$148,0))),"",INDEX($A$2:$A$148,MATCH(AK6,AF$2:AF$148,0))),"")</f>
        <v>Borak's Reminder</v>
      </c>
    </row>
    <row r="7" spans="1:48">
      <c r="A7" s="10" t="s">
        <v>2845</v>
      </c>
      <c r="B7" s="114">
        <v>31073</v>
      </c>
      <c r="C7" s="114">
        <v>1</v>
      </c>
      <c r="D7" s="114"/>
      <c r="E7" s="114">
        <v>11</v>
      </c>
      <c r="F7" s="114">
        <v>40</v>
      </c>
      <c r="G7" s="114"/>
      <c r="H7" s="114">
        <v>7</v>
      </c>
      <c r="I7" s="847"/>
      <c r="J7" s="114"/>
      <c r="K7" s="116"/>
      <c r="L7" s="114"/>
      <c r="M7" s="116"/>
      <c r="N7" s="114"/>
      <c r="O7" s="116"/>
      <c r="P7" s="114"/>
      <c r="Q7" s="114" t="s">
        <v>1033</v>
      </c>
      <c r="R7" s="114"/>
      <c r="S7" s="114" t="s">
        <v>675</v>
      </c>
      <c r="T7" s="114">
        <v>84</v>
      </c>
      <c r="U7" s="116">
        <v>157</v>
      </c>
      <c r="V7" s="155">
        <f t="shared" ref="V7" si="2">(U7+T7)/2</f>
        <v>120.5</v>
      </c>
      <c r="W7" s="155">
        <v>1.8</v>
      </c>
      <c r="X7" s="124">
        <f t="shared" ref="X7" si="3">V7/W7</f>
        <v>66.944444444444443</v>
      </c>
      <c r="Y7" s="124" t="s">
        <v>2269</v>
      </c>
      <c r="Z7" s="114"/>
      <c r="AA7" s="114"/>
      <c r="AB7" s="114"/>
      <c r="AC7" s="289"/>
      <c r="AD7" s="791"/>
      <c r="AE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Aman"),IF(includeprebc,$S7="Pre-BC"),IF(includesunwell,$S7="Sunwell"))),MAX($AE$2:AE6)+1,"")</f>
        <v>4</v>
      </c>
      <c r="AF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Aman"),IF(includeprebc,$S7="Pre-BC"),IF(includesunwell,$S7="Sunwell"))),MAX($AF$1:AF6)+1,"")</f>
        <v>4</v>
      </c>
      <c r="AG7" s="114"/>
      <c r="AK7" s="48">
        <v>5</v>
      </c>
      <c r="AL7" s="151" t="str">
        <f>IF('Gear &amp; Buffs'!$Y$47="Dagger",IF(ISNA(INDEX($A$2:$A$54,MATCH(AK7,AE$2:AE$54,0))),"",INDEX($A$2:$A$54,MATCH(AK7,AE$2:AE$54,0))),"")&amp;
IF('Gear &amp; Buffs'!$Y$47="Sword",IF(ISNA(INDEX($A$56:$A$100,MATCH(AK7,AE$56:AE$100,0))),"",INDEX($A$56:$A$100,MATCH(AK7,AE$56:AE$100,0))),"")&amp;
IF('Gear &amp; Buffs'!$Y$47="Fist",IF(ISNA(INDEX($A$102:$A$119,MATCH(AK7,AE$102:AE$119,0))),"",INDEX($A$102:$A$119,MATCH(AK7,AE$102:AE$119,0))),"")&amp;
IF('Gear &amp; Buffs'!$Y$47="Mace",IF(ISNA(INDEX($A$121:$A$148,MATCH(AK7,AE$121:AE$148,0))),"",INDEX($A$121:$A$148,MATCH(AK7,AE$121:AE$148,0))),"")&amp;
IF('Gear &amp; Buffs'!$Y$47="All",IF(ISNA(INDEX($A$2:$A$148,MATCH(AK7,AF$2:AF$148,0))),"",INDEX($A$2:$A$148,MATCH(AK7,AF$2:AF$148,0))),"")</f>
        <v>Ced's Carver</v>
      </c>
    </row>
    <row r="8" spans="1:48">
      <c r="A8" s="10" t="s">
        <v>2279</v>
      </c>
      <c r="B8" s="114">
        <v>30901</v>
      </c>
      <c r="C8" s="114">
        <v>3</v>
      </c>
      <c r="D8" s="114"/>
      <c r="E8" s="114"/>
      <c r="F8" s="114"/>
      <c r="G8" s="114">
        <v>24</v>
      </c>
      <c r="H8" s="114"/>
      <c r="I8" s="847"/>
      <c r="J8" s="114">
        <v>210</v>
      </c>
      <c r="K8" s="116"/>
      <c r="L8" s="114"/>
      <c r="M8" s="116"/>
      <c r="N8" s="114"/>
      <c r="O8" s="116"/>
      <c r="P8" s="114"/>
      <c r="Q8" s="114" t="s">
        <v>1033</v>
      </c>
      <c r="R8" s="114"/>
      <c r="S8" s="114" t="s">
        <v>684</v>
      </c>
      <c r="T8" s="114">
        <v>144</v>
      </c>
      <c r="U8" s="116">
        <v>217</v>
      </c>
      <c r="V8" s="155">
        <f t="shared" si="0"/>
        <v>180.5</v>
      </c>
      <c r="W8" s="155">
        <v>1.8</v>
      </c>
      <c r="X8" s="124">
        <f t="shared" si="1"/>
        <v>100.27777777777777</v>
      </c>
      <c r="Y8" s="124" t="s">
        <v>2269</v>
      </c>
      <c r="Z8" s="114"/>
      <c r="AA8" s="114"/>
      <c r="AB8" s="114"/>
      <c r="AC8" s="289"/>
      <c r="AD8" s="791"/>
      <c r="AE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Aman"),IF(includeprebc,$S8="Pre-BC"),IF(includesunwell,$S8="Sunwell"))),MAX($AE$2:AE7)+1,"")</f>
        <v/>
      </c>
      <c r="AF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Aman"),IF(includeprebc,$S8="Pre-BC"),IF(includesunwell,$S8="Sunwell"))),MAX($AF$1:AF7)+1,"")</f>
        <v/>
      </c>
      <c r="AG8" s="114"/>
      <c r="AK8" s="48">
        <v>6</v>
      </c>
      <c r="AL8" s="151" t="str">
        <f>IF('Gear &amp; Buffs'!$Y$47="Dagger",IF(ISNA(INDEX($A$2:$A$54,MATCH(AK8,AE$2:AE$54,0))),"",INDEX($A$2:$A$54,MATCH(AK8,AE$2:AE$54,0))),"")&amp;
IF('Gear &amp; Buffs'!$Y$47="Sword",IF(ISNA(INDEX($A$56:$A$100,MATCH(AK8,AE$56:AE$100,0))),"",INDEX($A$56:$A$100,MATCH(AK8,AE$56:AE$100,0))),"")&amp;
IF('Gear &amp; Buffs'!$Y$47="Fist",IF(ISNA(INDEX($A$102:$A$119,MATCH(AK8,AE$102:AE$119,0))),"",INDEX($A$102:$A$119,MATCH(AK8,AE$102:AE$119,0))),"")&amp;
IF('Gear &amp; Buffs'!$Y$47="Mace",IF(ISNA(INDEX($A$121:$A$148,MATCH(AK8,AE$121:AE$148,0))),"",INDEX($A$121:$A$148,MATCH(AK8,AE$121:AE$148,0))),"")&amp;
IF('Gear &amp; Buffs'!$Y$47="All",IF(ISNA(INDEX($A$2:$A$148,MATCH(AK8,AF$2:AF$148,0))),"",INDEX($A$2:$A$148,MATCH(AK8,AF$2:AF$148,0))),"")</f>
        <v>Ceremonial Warmaul Blood-blade</v>
      </c>
    </row>
    <row r="9" spans="1:48">
      <c r="A9" s="10" t="s">
        <v>1998</v>
      </c>
      <c r="B9" s="114">
        <v>35093</v>
      </c>
      <c r="C9" s="114">
        <v>5</v>
      </c>
      <c r="D9" s="114"/>
      <c r="E9" s="114"/>
      <c r="F9" s="114">
        <v>38</v>
      </c>
      <c r="G9" s="115">
        <v>22</v>
      </c>
      <c r="H9" s="115">
        <v>9</v>
      </c>
      <c r="I9" s="847"/>
      <c r="J9" s="114">
        <v>49</v>
      </c>
      <c r="K9" s="116"/>
      <c r="L9" s="114">
        <v>31</v>
      </c>
      <c r="M9" s="116"/>
      <c r="N9" s="114">
        <v>12</v>
      </c>
      <c r="O9" s="116"/>
      <c r="P9" s="114"/>
      <c r="Q9" s="114" t="s">
        <v>1033</v>
      </c>
      <c r="R9" s="114"/>
      <c r="S9" s="114" t="s">
        <v>677</v>
      </c>
      <c r="T9" s="114">
        <v>155</v>
      </c>
      <c r="U9" s="116">
        <v>233</v>
      </c>
      <c r="V9" s="155">
        <f t="shared" si="0"/>
        <v>194</v>
      </c>
      <c r="W9" s="155">
        <v>1.8</v>
      </c>
      <c r="X9" s="124">
        <f t="shared" si="1"/>
        <v>107.77777777777777</v>
      </c>
      <c r="Y9" s="114" t="s">
        <v>2269</v>
      </c>
      <c r="Z9" s="114"/>
      <c r="AA9" s="114"/>
      <c r="AB9" s="114"/>
      <c r="AC9" s="289"/>
      <c r="AD9" s="791"/>
      <c r="AE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Aman"),IF(includeprebc,$S9="Pre-BC"),IF(includesunwell,$S9="Sunwell"))),MAX($AE$2:AE8)+1,"")</f>
        <v/>
      </c>
      <c r="AF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Aman"),IF(includeprebc,$S9="Pre-BC"),IF(includesunwell,$S9="Sunwell"))),MAX($AF$1:AF8)+1,"")</f>
        <v/>
      </c>
      <c r="AG9" s="114"/>
      <c r="AK9" s="48">
        <v>7</v>
      </c>
      <c r="AL9" s="151" t="str">
        <f>IF('Gear &amp; Buffs'!$Y$47="Dagger",IF(ISNA(INDEX($A$2:$A$54,MATCH(AK9,AE$2:AE$54,0))),"",INDEX($A$2:$A$54,MATCH(AK9,AE$2:AE$54,0))),"")&amp;
IF('Gear &amp; Buffs'!$Y$47="Sword",IF(ISNA(INDEX($A$56:$A$100,MATCH(AK9,AE$56:AE$100,0))),"",INDEX($A$56:$A$100,MATCH(AK9,AE$56:AE$100,0))),"")&amp;
IF('Gear &amp; Buffs'!$Y$47="Fist",IF(ISNA(INDEX($A$102:$A$119,MATCH(AK9,AE$102:AE$119,0))),"",INDEX($A$102:$A$119,MATCH(AK9,AE$102:AE$119,0))),"")&amp;
IF('Gear &amp; Buffs'!$Y$47="Mace",IF(ISNA(INDEX($A$121:$A$148,MATCH(AK9,AE$121:AE$148,0))),"",INDEX($A$121:$A$148,MATCH(AK9,AE$121:AE$148,0))),"")&amp;
IF('Gear &amp; Buffs'!$Y$47="All",IF(ISNA(INDEX($A$2:$A$148,MATCH(AK9,AF$2:AF$148,0))),"",INDEX($A$2:$A$148,MATCH(AK9,AF$2:AF$148,0))),"")</f>
        <v>Claw of the Netherwing Flight</v>
      </c>
      <c r="AQ9" s="129" t="s">
        <v>2870</v>
      </c>
    </row>
    <row r="10" spans="1:48">
      <c r="A10" s="10" t="s">
        <v>2281</v>
      </c>
      <c r="B10" s="114">
        <v>31305</v>
      </c>
      <c r="C10" s="114">
        <v>1</v>
      </c>
      <c r="D10" s="114"/>
      <c r="E10" s="114"/>
      <c r="F10" s="114">
        <v>30</v>
      </c>
      <c r="G10" s="115">
        <v>16</v>
      </c>
      <c r="H10" s="115"/>
      <c r="I10" s="115"/>
      <c r="J10" s="114"/>
      <c r="K10" s="116"/>
      <c r="L10" s="114">
        <v>13</v>
      </c>
      <c r="M10" s="116"/>
      <c r="N10" s="114"/>
      <c r="O10" s="116"/>
      <c r="P10" s="114"/>
      <c r="Q10" s="114" t="s">
        <v>1033</v>
      </c>
      <c r="R10" s="114"/>
      <c r="S10" s="114" t="s">
        <v>674</v>
      </c>
      <c r="T10" s="114">
        <v>103</v>
      </c>
      <c r="U10" s="116">
        <v>155</v>
      </c>
      <c r="V10" s="155">
        <f t="shared" ref="V10:V11" si="4">(U10+T10)/2</f>
        <v>129</v>
      </c>
      <c r="W10" s="155">
        <v>1.8</v>
      </c>
      <c r="X10" s="124">
        <f t="shared" ref="X10:X11" si="5">V10/W10</f>
        <v>71.666666666666671</v>
      </c>
      <c r="Y10" s="114" t="s">
        <v>2269</v>
      </c>
      <c r="Z10" s="114"/>
      <c r="AA10" s="114"/>
      <c r="AB10" s="114"/>
      <c r="AC10" s="289"/>
      <c r="AD10" s="114"/>
      <c r="AE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Aman"),IF(includeprebc,$S10="Pre-BC"),IF(includesunwell,$S10="Sunwell"))),MAX($AE$2:AE9)+1,"")</f>
        <v>5</v>
      </c>
      <c r="AF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Aman"),IF(includeprebc,$S10="Pre-BC"),IF(includesunwell,$S10="Sunwell"))),MAX($AF$1:AF9)+1,"")</f>
        <v>5</v>
      </c>
      <c r="AG10" s="114"/>
      <c r="AI10" s="114"/>
      <c r="AK10" s="48">
        <v>8</v>
      </c>
      <c r="AL10" s="151" t="str">
        <f>IF('Gear &amp; Buffs'!$Y$47="Dagger",IF(ISNA(INDEX($A$2:$A$54,MATCH(AK10,AE$2:AE$54,0))),"",INDEX($A$2:$A$54,MATCH(AK10,AE$2:AE$54,0))),"")&amp;
IF('Gear &amp; Buffs'!$Y$47="Sword",IF(ISNA(INDEX($A$56:$A$100,MATCH(AK10,AE$56:AE$100,0))),"",INDEX($A$56:$A$100,MATCH(AK10,AE$56:AE$100,0))),"")&amp;
IF('Gear &amp; Buffs'!$Y$47="Fist",IF(ISNA(INDEX($A$102:$A$119,MATCH(AK10,AE$102:AE$119,0))),"",INDEX($A$102:$A$119,MATCH(AK10,AE$102:AE$119,0))),"")&amp;
IF('Gear &amp; Buffs'!$Y$47="Mace",IF(ISNA(INDEX($A$121:$A$148,MATCH(AK10,AE$121:AE$148,0))),"",INDEX($A$121:$A$148,MATCH(AK10,AE$121:AE$148,0))),"")&amp;
IF('Gear &amp; Buffs'!$Y$47="All",IF(ISNA(INDEX($A$2:$A$148,MATCH(AK10,AF$2:AF$148,0))),"",INDEX($A$2:$A$148,MATCH(AK10,AF$2:AF$148,0))),"")</f>
        <v>Death's Sting</v>
      </c>
      <c r="AP10" s="114"/>
      <c r="AQ10" s="129" t="s">
        <v>2269</v>
      </c>
    </row>
    <row r="11" spans="1:48">
      <c r="A11" s="10" t="s">
        <v>2847</v>
      </c>
      <c r="B11" s="114">
        <v>25763</v>
      </c>
      <c r="C11" s="114">
        <v>1</v>
      </c>
      <c r="D11" s="114"/>
      <c r="E11" s="114">
        <v>13</v>
      </c>
      <c r="F11" s="114">
        <v>26</v>
      </c>
      <c r="G11" s="115"/>
      <c r="H11" s="115"/>
      <c r="I11" s="115"/>
      <c r="J11" s="114"/>
      <c r="K11" s="116"/>
      <c r="L11" s="114">
        <v>19</v>
      </c>
      <c r="M11" s="116"/>
      <c r="N11" s="114"/>
      <c r="O11" s="116"/>
      <c r="P11" s="114"/>
      <c r="Q11" s="114" t="s">
        <v>1033</v>
      </c>
      <c r="R11" s="114"/>
      <c r="S11" s="114" t="s">
        <v>675</v>
      </c>
      <c r="T11" s="114">
        <v>74</v>
      </c>
      <c r="U11" s="116">
        <v>139</v>
      </c>
      <c r="V11" s="155">
        <f t="shared" si="4"/>
        <v>106.5</v>
      </c>
      <c r="W11" s="155">
        <v>1.7</v>
      </c>
      <c r="X11" s="124">
        <f t="shared" si="5"/>
        <v>62.647058823529413</v>
      </c>
      <c r="Y11" s="114" t="s">
        <v>2269</v>
      </c>
      <c r="Z11" s="114"/>
      <c r="AA11" s="114"/>
      <c r="AB11" s="114"/>
      <c r="AC11" s="289"/>
      <c r="AD11" s="114"/>
      <c r="AE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Aman"),IF(includeprebc,$S11="Pre-BC"),IF(includesunwell,$S11="Sunwell"))),MAX($AE$2:AE10)+1,"")</f>
        <v>6</v>
      </c>
      <c r="AF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Aman"),IF(includeprebc,$S11="Pre-BC"),IF(includesunwell,$S11="Sunwell"))),MAX($AF$1:AF10)+1,"")</f>
        <v>6</v>
      </c>
      <c r="AG11" s="114"/>
      <c r="AK11" s="48">
        <v>9</v>
      </c>
      <c r="AL11" s="151" t="str">
        <f>IF('Gear &amp; Buffs'!$Y$47="Dagger",IF(ISNA(INDEX($A$2:$A$54,MATCH(AK11,AE$2:AE$54,0))),"",INDEX($A$2:$A$54,MATCH(AK11,AE$2:AE$54,0))),"")&amp;
IF('Gear &amp; Buffs'!$Y$47="Sword",IF(ISNA(INDEX($A$56:$A$100,MATCH(AK11,AE$56:AE$100,0))),"",INDEX($A$56:$A$100,MATCH(AK11,AE$56:AE$100,0))),"")&amp;
IF('Gear &amp; Buffs'!$Y$47="Fist",IF(ISNA(INDEX($A$102:$A$119,MATCH(AK11,AE$102:AE$119,0))),"",INDEX($A$102:$A$119,MATCH(AK11,AE$102:AE$119,0))),"")&amp;
IF('Gear &amp; Buffs'!$Y$47="Mace",IF(ISNA(INDEX($A$121:$A$148,MATCH(AK11,AE$121:AE$148,0))),"",INDEX($A$121:$A$148,MATCH(AK11,AE$121:AE$148,0))),"")&amp;
IF('Gear &amp; Buffs'!$Y$47="All",IF(ISNA(INDEX($A$2:$A$148,MATCH(AK11,AF$2:AF$148,0))),"",INDEX($A$2:$A$148,MATCH(AK11,AF$2:AF$148,0))),"")</f>
        <v>Dirge</v>
      </c>
      <c r="AQ11" s="129" t="s">
        <v>1377</v>
      </c>
    </row>
    <row r="12" spans="1:48">
      <c r="A12" s="10" t="s">
        <v>2846</v>
      </c>
      <c r="B12" s="114">
        <v>31492</v>
      </c>
      <c r="C12" s="114">
        <v>1</v>
      </c>
      <c r="D12" s="114"/>
      <c r="E12" s="114">
        <v>15</v>
      </c>
      <c r="F12" s="114">
        <v>30</v>
      </c>
      <c r="G12" s="115">
        <v>15</v>
      </c>
      <c r="H12" s="115"/>
      <c r="I12" s="115"/>
      <c r="J12" s="114"/>
      <c r="K12" s="116">
        <v>15</v>
      </c>
      <c r="L12" s="114"/>
      <c r="M12" s="116"/>
      <c r="N12" s="114"/>
      <c r="O12" s="116"/>
      <c r="P12" s="114"/>
      <c r="Q12" s="114" t="s">
        <v>1033</v>
      </c>
      <c r="R12" s="114"/>
      <c r="S12" s="114" t="s">
        <v>675</v>
      </c>
      <c r="T12" s="114">
        <v>83</v>
      </c>
      <c r="U12" s="116">
        <v>156</v>
      </c>
      <c r="V12" s="155">
        <f t="shared" si="0"/>
        <v>119.5</v>
      </c>
      <c r="W12" s="155">
        <v>1.8</v>
      </c>
      <c r="X12" s="124">
        <f t="shared" si="1"/>
        <v>66.388888888888886</v>
      </c>
      <c r="Y12" s="114" t="s">
        <v>2269</v>
      </c>
      <c r="Z12" s="114"/>
      <c r="AA12" s="114"/>
      <c r="AB12" s="114"/>
      <c r="AC12" s="289"/>
      <c r="AD12" s="114"/>
      <c r="AE12" s="114">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Aman"),IF(includeprebc,$S12="Pre-BC"),IF(includesunwell,$S12="Sunwell"))),MAX($AE$2:AE11)+1,"")</f>
        <v>7</v>
      </c>
      <c r="AF12" s="114">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Aman"),IF(includeprebc,$S12="Pre-BC"),IF(includesunwell,$S12="Sunwell"))),MAX($AF$1:AF11)+1,"")</f>
        <v>7</v>
      </c>
      <c r="AG12" s="114"/>
      <c r="AK12" s="48">
        <v>10</v>
      </c>
      <c r="AL12" s="151" t="str">
        <f>IF('Gear &amp; Buffs'!$Y$47="Dagger",IF(ISNA(INDEX($A$2:$A$54,MATCH(AK12,AE$2:AE$54,0))),"",INDEX($A$2:$A$54,MATCH(AK12,AE$2:AE$54,0))),"")&amp;
IF('Gear &amp; Buffs'!$Y$47="Sword",IF(ISNA(INDEX($A$56:$A$100,MATCH(AK12,AE$56:AE$100,0))),"",INDEX($A$56:$A$100,MATCH(AK12,AE$56:AE$100,0))),"")&amp;
IF('Gear &amp; Buffs'!$Y$47="Fist",IF(ISNA(INDEX($A$102:$A$119,MATCH(AK12,AE$102:AE$119,0))),"",INDEX($A$102:$A$119,MATCH(AK12,AE$102:AE$119,0))),"")&amp;
IF('Gear &amp; Buffs'!$Y$47="Mace",IF(ISNA(INDEX($A$121:$A$148,MATCH(AK12,AE$121:AE$148,0))),"",INDEX($A$121:$A$148,MATCH(AK12,AE$121:AE$148,0))),"")&amp;
IF('Gear &amp; Buffs'!$Y$47="All",IF(ISNA(INDEX($A$2:$A$148,MATCH(AK12,AF$2:AF$148,0))),"",INDEX($A$2:$A$148,MATCH(AK12,AF$2:AF$148,0))),"")</f>
        <v>Emerald Ripper</v>
      </c>
      <c r="AQ12" s="129" t="s">
        <v>6</v>
      </c>
    </row>
    <row r="13" spans="1:48">
      <c r="A13" s="10" t="s">
        <v>988</v>
      </c>
      <c r="B13" s="114">
        <v>34329</v>
      </c>
      <c r="C13" s="114">
        <v>5</v>
      </c>
      <c r="D13" s="114"/>
      <c r="E13" s="114">
        <v>18</v>
      </c>
      <c r="F13" s="114">
        <v>56</v>
      </c>
      <c r="G13" s="115"/>
      <c r="H13" s="115"/>
      <c r="I13" s="115">
        <v>27</v>
      </c>
      <c r="J13" s="114"/>
      <c r="K13" s="116"/>
      <c r="L13" s="114">
        <v>15</v>
      </c>
      <c r="M13" s="116"/>
      <c r="N13" s="114"/>
      <c r="O13" s="116"/>
      <c r="P13" s="114"/>
      <c r="Q13" s="114" t="s">
        <v>1035</v>
      </c>
      <c r="R13" s="114" t="s">
        <v>1066</v>
      </c>
      <c r="S13" s="114" t="s">
        <v>871</v>
      </c>
      <c r="T13" s="114">
        <v>164</v>
      </c>
      <c r="U13" s="116">
        <v>247</v>
      </c>
      <c r="V13" s="155">
        <f t="shared" si="0"/>
        <v>205.5</v>
      </c>
      <c r="W13" s="155">
        <v>1.8</v>
      </c>
      <c r="X13" s="124">
        <f t="shared" si="1"/>
        <v>114.16666666666666</v>
      </c>
      <c r="Y13" s="114" t="s">
        <v>2269</v>
      </c>
      <c r="Z13" s="114"/>
      <c r="AA13" s="114"/>
      <c r="AB13" s="114"/>
      <c r="AC13" s="289"/>
      <c r="AD13" s="114"/>
      <c r="AE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Aman"),IF(includeprebc,$S13="Pre-BC"),IF(includesunwell,$S13="Sunwell"))),MAX($AE$2:AE12)+1,"")</f>
        <v/>
      </c>
      <c r="AF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Aman"),IF(includeprebc,$S13="Pre-BC"),IF(includesunwell,$S13="Sunwell"))),MAX($AF$1:AF12)+1,"")</f>
        <v/>
      </c>
      <c r="AG13" s="114"/>
      <c r="AK13" s="48">
        <v>11</v>
      </c>
      <c r="AL13" s="151" t="str">
        <f>IF('Gear &amp; Buffs'!$Y$47="Dagger",IF(ISNA(INDEX($A$2:$A$54,MATCH(AK13,AE$2:AE$54,0))),"",INDEX($A$2:$A$54,MATCH(AK13,AE$2:AE$54,0))),"")&amp;
IF('Gear &amp; Buffs'!$Y$47="Sword",IF(ISNA(INDEX($A$56:$A$100,MATCH(AK13,AE$56:AE$100,0))),"",INDEX($A$56:$A$100,MATCH(AK13,AE$56:AE$100,0))),"")&amp;
IF('Gear &amp; Buffs'!$Y$47="Fist",IF(ISNA(INDEX($A$102:$A$119,MATCH(AK13,AE$102:AE$119,0))),"",INDEX($A$102:$A$119,MATCH(AK13,AE$102:AE$119,0))),"")&amp;
IF('Gear &amp; Buffs'!$Y$47="Mace",IF(ISNA(INDEX($A$121:$A$148,MATCH(AK13,AE$121:AE$148,0))),"",INDEX($A$121:$A$148,MATCH(AK13,AE$121:AE$148,0))),"")&amp;
IF('Gear &amp; Buffs'!$Y$47="All",IF(ISNA(INDEX($A$2:$A$148,MATCH(AK13,AF$2:AF$148,0))),"",INDEX($A$2:$A$148,MATCH(AK13,AF$2:AF$148,0))),"")</f>
        <v>Feltooth Eviscerator</v>
      </c>
      <c r="AQ13" s="114" t="s">
        <v>911</v>
      </c>
      <c r="AR13" s="114"/>
    </row>
    <row r="14" spans="1:48">
      <c r="A14" s="10" t="s">
        <v>646</v>
      </c>
      <c r="B14" s="114">
        <v>32659</v>
      </c>
      <c r="C14" s="114">
        <v>3</v>
      </c>
      <c r="D14" s="114"/>
      <c r="E14" s="114">
        <v>11</v>
      </c>
      <c r="F14" s="114">
        <v>40</v>
      </c>
      <c r="G14" s="115"/>
      <c r="H14" s="115"/>
      <c r="I14" s="115"/>
      <c r="J14" s="114"/>
      <c r="K14" s="116"/>
      <c r="L14" s="114">
        <v>12</v>
      </c>
      <c r="M14" s="116"/>
      <c r="N14" s="114"/>
      <c r="O14" s="116"/>
      <c r="P14" s="114"/>
      <c r="Q14" s="114" t="s">
        <v>1033</v>
      </c>
      <c r="R14" s="114"/>
      <c r="S14" s="114" t="s">
        <v>674</v>
      </c>
      <c r="T14" s="114">
        <v>103</v>
      </c>
      <c r="U14" s="116">
        <v>155</v>
      </c>
      <c r="V14" s="155">
        <f t="shared" si="0"/>
        <v>129</v>
      </c>
      <c r="W14" s="155">
        <v>1.8</v>
      </c>
      <c r="X14" s="124">
        <f t="shared" si="1"/>
        <v>71.666666666666671</v>
      </c>
      <c r="Y14" s="114" t="s">
        <v>2269</v>
      </c>
      <c r="Z14" s="114"/>
      <c r="AA14" s="114"/>
      <c r="AB14" s="114"/>
      <c r="AC14" s="289"/>
      <c r="AD14" s="114"/>
      <c r="AE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Aman"),IF(includeprebc,$S14="Pre-BC"),IF(includesunwell,$S14="Sunwell"))),MAX($AE$2:AE13)+1,"")</f>
        <v/>
      </c>
      <c r="AF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Aman"),IF(includeprebc,$S14="Pre-BC"),IF(includesunwell,$S14="Sunwell"))),MAX($AF$1:AF13)+1,"")</f>
        <v/>
      </c>
      <c r="AG14" s="114"/>
      <c r="AK14" s="48">
        <v>12</v>
      </c>
      <c r="AL14" s="151" t="str">
        <f>IF('Gear &amp; Buffs'!$Y$47="Dagger",IF(ISNA(INDEX($A$2:$A$54,MATCH(AK14,AE$2:AE$54,0))),"",INDEX($A$2:$A$54,MATCH(AK14,AE$2:AE$54,0))),"")&amp;
IF('Gear &amp; Buffs'!$Y$47="Sword",IF(ISNA(INDEX($A$56:$A$100,MATCH(AK14,AE$56:AE$100,0))),"",INDEX($A$56:$A$100,MATCH(AK14,AE$56:AE$100,0))),"")&amp;
IF('Gear &amp; Buffs'!$Y$47="Fist",IF(ISNA(INDEX($A$102:$A$119,MATCH(AK14,AE$102:AE$119,0))),"",INDEX($A$102:$A$119,MATCH(AK14,AE$102:AE$119,0))),"")&amp;
IF('Gear &amp; Buffs'!$Y$47="Mace",IF(ISNA(INDEX($A$121:$A$148,MATCH(AK14,AE$121:AE$148,0))),"",INDEX($A$121:$A$148,MATCH(AK14,AE$121:AE$148,0))),"")&amp;
IF('Gear &amp; Buffs'!$Y$47="All",IF(ISNA(INDEX($A$2:$A$148,MATCH(AK14,AF$2:AF$148,0))),"",INDEX($A$2:$A$148,MATCH(AK14,AF$2:AF$148,0))),"")</f>
        <v>Gladiator's Shanker</v>
      </c>
      <c r="AQ14" s="114" t="s">
        <v>2301</v>
      </c>
      <c r="AS14" s="114"/>
      <c r="AT14" s="114"/>
      <c r="AU14" s="114"/>
      <c r="AV14" s="114"/>
    </row>
    <row r="15" spans="1:48" s="114" customFormat="1">
      <c r="A15" s="10" t="s">
        <v>1663</v>
      </c>
      <c r="B15" s="114">
        <v>33389</v>
      </c>
      <c r="C15" s="114">
        <v>4</v>
      </c>
      <c r="E15" s="114">
        <v>21</v>
      </c>
      <c r="F15" s="114">
        <v>40</v>
      </c>
      <c r="G15" s="115"/>
      <c r="H15" s="115"/>
      <c r="I15" s="115"/>
      <c r="J15" s="114">
        <v>140</v>
      </c>
      <c r="K15" s="116"/>
      <c r="M15" s="116"/>
      <c r="O15" s="116"/>
      <c r="Q15" s="114" t="s">
        <v>1033</v>
      </c>
      <c r="S15" s="114" t="s">
        <v>664</v>
      </c>
      <c r="T15" s="114">
        <v>137</v>
      </c>
      <c r="U15" s="116">
        <v>207</v>
      </c>
      <c r="V15" s="155">
        <f t="shared" si="0"/>
        <v>172</v>
      </c>
      <c r="W15" s="155">
        <v>1.8</v>
      </c>
      <c r="X15" s="124">
        <f t="shared" si="1"/>
        <v>95.555555555555557</v>
      </c>
      <c r="Y15" s="114" t="s">
        <v>2269</v>
      </c>
      <c r="AC15" s="289"/>
      <c r="AE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Aman"),IF(includeprebc,$S15="Pre-BC"),IF(includesunwell,$S15="Sunwell"))),MAX($AE$2:AE14)+1,"")</f>
        <v/>
      </c>
      <c r="AF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Aman"),IF(includeprebc,$S15="Pre-BC"),IF(includesunwell,$S15="Sunwell"))),MAX($AF$1:AF14)+1,"")</f>
        <v/>
      </c>
      <c r="AI15" s="129"/>
      <c r="AK15" s="48">
        <v>13</v>
      </c>
      <c r="AL15" s="151" t="str">
        <f>IF('Gear &amp; Buffs'!$Y$47="Dagger",IF(ISNA(INDEX($A$2:$A$54,MATCH(AK15,AE$2:AE$54,0))),"",INDEX($A$2:$A$54,MATCH(AK15,AE$2:AE$54,0))),"")&amp;
IF('Gear &amp; Buffs'!$Y$47="Sword",IF(ISNA(INDEX($A$56:$A$100,MATCH(AK15,AE$56:AE$100,0))),"",INDEX($A$56:$A$100,MATCH(AK15,AE$56:AE$100,0))),"")&amp;
IF('Gear &amp; Buffs'!$Y$47="Fist",IF(ISNA(INDEX($A$102:$A$119,MATCH(AK15,AE$102:AE$119,0))),"",INDEX($A$102:$A$119,MATCH(AK15,AE$102:AE$119,0))),"")&amp;
IF('Gear &amp; Buffs'!$Y$47="Mace",IF(ISNA(INDEX($A$121:$A$148,MATCH(AK15,AE$121:AE$148,0))),"",INDEX($A$121:$A$148,MATCH(AK15,AE$121:AE$148,0))),"")&amp;
IF('Gear &amp; Buffs'!$Y$47="All",IF(ISNA(INDEX($A$2:$A$148,MATCH(AK15,AF$2:AF$148,0))),"",INDEX($A$2:$A$148,MATCH(AK15,AF$2:AF$148,0))),"")</f>
        <v>Grand Marshal's Shanker</v>
      </c>
      <c r="AP15" s="129"/>
      <c r="AQ15" s="129"/>
      <c r="AR15" s="129"/>
      <c r="AS15" s="129"/>
      <c r="AT15" s="129"/>
      <c r="AU15" s="129"/>
      <c r="AV15" s="129"/>
    </row>
    <row r="16" spans="1:48">
      <c r="A16" s="10" t="s">
        <v>2405</v>
      </c>
      <c r="B16" s="114">
        <v>21126</v>
      </c>
      <c r="C16" s="114">
        <v>1</v>
      </c>
      <c r="D16" s="114"/>
      <c r="E16" s="114"/>
      <c r="F16" s="114">
        <v>38</v>
      </c>
      <c r="G16" s="115"/>
      <c r="H16" s="115"/>
      <c r="I16" s="115"/>
      <c r="J16" s="114"/>
      <c r="K16" s="116">
        <v>7</v>
      </c>
      <c r="L16" s="114">
        <v>10</v>
      </c>
      <c r="M16" s="116"/>
      <c r="N16" s="114"/>
      <c r="O16" s="116"/>
      <c r="P16" s="114"/>
      <c r="Q16" s="114" t="s">
        <v>1033</v>
      </c>
      <c r="R16" s="114"/>
      <c r="S16" s="114" t="s">
        <v>668</v>
      </c>
      <c r="T16" s="114">
        <v>95</v>
      </c>
      <c r="U16" s="116">
        <v>144</v>
      </c>
      <c r="V16" s="155">
        <f t="shared" si="0"/>
        <v>119.5</v>
      </c>
      <c r="W16" s="155">
        <v>1.8</v>
      </c>
      <c r="X16" s="124">
        <f t="shared" si="1"/>
        <v>66.388888888888886</v>
      </c>
      <c r="Y16" s="114" t="s">
        <v>2269</v>
      </c>
      <c r="Z16" s="114"/>
      <c r="AA16" s="114"/>
      <c r="AB16" s="114"/>
      <c r="AC16" s="289"/>
      <c r="AD16" s="114"/>
      <c r="AE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Aman"),IF(includeprebc,$S16="Pre-BC"),IF(includesunwell,$S16="Sunwell"))),MAX($AE$2:AE15)+1,"")</f>
        <v>8</v>
      </c>
      <c r="AF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Aman"),IF(includeprebc,$S16="Pre-BC"),IF(includesunwell,$S16="Sunwell"))),MAX($AF$1:AF15)+1,"")</f>
        <v>8</v>
      </c>
      <c r="AG16" s="114"/>
      <c r="AK16" s="48">
        <v>14</v>
      </c>
      <c r="AL16" s="151" t="str">
        <f>IF('Gear &amp; Buffs'!$Y$47="Dagger",IF(ISNA(INDEX($A$2:$A$54,MATCH(AK16,AE$2:AE$54,0))),"",INDEX($A$2:$A$54,MATCH(AK16,AE$2:AE$54,0))),"")&amp;
IF('Gear &amp; Buffs'!$Y$47="Sword",IF(ISNA(INDEX($A$56:$A$100,MATCH(AK16,AE$56:AE$100,0))),"",INDEX($A$56:$A$100,MATCH(AK16,AE$56:AE$100,0))),"")&amp;
IF('Gear &amp; Buffs'!$Y$47="Fist",IF(ISNA(INDEX($A$102:$A$119,MATCH(AK16,AE$102:AE$119,0))),"",INDEX($A$102:$A$119,MATCH(AK16,AE$102:AE$119,0))),"")&amp;
IF('Gear &amp; Buffs'!$Y$47="Mace",IF(ISNA(INDEX($A$121:$A$148,MATCH(AK16,AE$121:AE$148,0))),"",INDEX($A$121:$A$148,MATCH(AK16,AE$121:AE$148,0))),"")&amp;
IF('Gear &amp; Buffs'!$Y$47="All",IF(ISNA(INDEX($A$2:$A$148,MATCH(AK16,AF$2:AF$148,0))),"",INDEX($A$2:$A$148,MATCH(AK16,AF$2:AF$148,0))),"")</f>
        <v>Grand Marshal's Shiv</v>
      </c>
    </row>
    <row r="17" spans="1:52">
      <c r="A17" s="10" t="s">
        <v>444</v>
      </c>
      <c r="B17" s="114">
        <v>23555</v>
      </c>
      <c r="C17" s="114">
        <v>1</v>
      </c>
      <c r="D17" s="114"/>
      <c r="E17" s="114"/>
      <c r="F17" s="114">
        <v>40</v>
      </c>
      <c r="G17" s="115">
        <v>20</v>
      </c>
      <c r="H17" s="115"/>
      <c r="I17" s="115"/>
      <c r="J17" s="114"/>
      <c r="K17" s="116"/>
      <c r="L17" s="114"/>
      <c r="M17" s="116"/>
      <c r="N17" s="114"/>
      <c r="O17" s="116"/>
      <c r="P17" s="114"/>
      <c r="Q17" s="114" t="s">
        <v>1033</v>
      </c>
      <c r="R17" s="114"/>
      <c r="S17" s="114" t="s">
        <v>685</v>
      </c>
      <c r="T17" s="114">
        <v>81</v>
      </c>
      <c r="U17" s="116">
        <v>152</v>
      </c>
      <c r="V17" s="155">
        <f t="shared" si="0"/>
        <v>116.5</v>
      </c>
      <c r="W17" s="155">
        <v>1.4</v>
      </c>
      <c r="X17" s="124">
        <f t="shared" si="1"/>
        <v>83.214285714285722</v>
      </c>
      <c r="Y17" s="114" t="s">
        <v>2269</v>
      </c>
      <c r="Z17" s="114"/>
      <c r="AA17" s="114"/>
      <c r="AB17" s="114"/>
      <c r="AC17" s="289"/>
      <c r="AD17" s="114"/>
      <c r="AE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Aman"),IF(includeprebc,$S17="Pre-BC"),IF(includesunwell,$S17="Sunwell"))),MAX($AE$2:AE16)+1,"")</f>
        <v>9</v>
      </c>
      <c r="AF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Aman"),IF(includeprebc,$S17="Pre-BC"),IF(includesunwell,$S17="Sunwell"))),MAX($AF$1:AF16)+1,"")</f>
        <v>9</v>
      </c>
      <c r="AG17" s="114"/>
      <c r="AK17" s="48">
        <v>15</v>
      </c>
      <c r="AL17" s="151" t="str">
        <f>IF('Gear &amp; Buffs'!$Y$47="Dagger",IF(ISNA(INDEX($A$2:$A$54,MATCH(AK17,AE$2:AE$54,0))),"",INDEX($A$2:$A$54,MATCH(AK17,AE$2:AE$54,0))),"")&amp;
IF('Gear &amp; Buffs'!$Y$47="Sword",IF(ISNA(INDEX($A$56:$A$100,MATCH(AK17,AE$56:AE$100,0))),"",INDEX($A$56:$A$100,MATCH(AK17,AE$56:AE$100,0))),"")&amp;
IF('Gear &amp; Buffs'!$Y$47="Fist",IF(ISNA(INDEX($A$102:$A$119,MATCH(AK17,AE$102:AE$119,0))),"",INDEX($A$102:$A$119,MATCH(AK17,AE$102:AE$119,0))),"")&amp;
IF('Gear &amp; Buffs'!$Y$47="Mace",IF(ISNA(INDEX($A$121:$A$148,MATCH(AK17,AE$121:AE$148,0))),"",INDEX($A$121:$A$148,MATCH(AK17,AE$121:AE$148,0))),"")&amp;
IF('Gear &amp; Buffs'!$Y$47="All",IF(ISNA(INDEX($A$2:$A$148,MATCH(AK17,AF$2:AF$148,0))),"",INDEX($A$2:$A$148,MATCH(AK17,AF$2:AF$148,0))),"")</f>
        <v>Guile of Khoraazi</v>
      </c>
    </row>
    <row r="18" spans="1:52">
      <c r="A18" s="10" t="s">
        <v>1142</v>
      </c>
      <c r="B18" s="114">
        <v>34606</v>
      </c>
      <c r="C18" s="114">
        <v>5</v>
      </c>
      <c r="D18" s="114"/>
      <c r="E18" s="114"/>
      <c r="F18" s="114">
        <v>36</v>
      </c>
      <c r="G18" s="115"/>
      <c r="H18" s="115"/>
      <c r="I18" s="115">
        <v>17</v>
      </c>
      <c r="J18" s="114"/>
      <c r="K18" s="116"/>
      <c r="L18" s="114">
        <v>25</v>
      </c>
      <c r="M18" s="116"/>
      <c r="N18" s="114"/>
      <c r="O18" s="116"/>
      <c r="P18" s="114"/>
      <c r="Q18" s="114" t="s">
        <v>1033</v>
      </c>
      <c r="R18" s="114"/>
      <c r="S18" s="114" t="s">
        <v>691</v>
      </c>
      <c r="T18" s="114">
        <v>79</v>
      </c>
      <c r="U18" s="116">
        <v>148</v>
      </c>
      <c r="V18" s="155">
        <f>(U18+T18)/2</f>
        <v>113.5</v>
      </c>
      <c r="W18" s="155">
        <v>1.3</v>
      </c>
      <c r="X18" s="124">
        <f>V18/W18</f>
        <v>87.307692307692307</v>
      </c>
      <c r="Y18" s="114" t="s">
        <v>2269</v>
      </c>
      <c r="Z18" s="114"/>
      <c r="AA18" s="114"/>
      <c r="AB18" s="114"/>
      <c r="AC18" s="289"/>
      <c r="AD18" s="114"/>
      <c r="AE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Aman"),IF(includeprebc,$S18="Pre-BC"),IF(includesunwell,$S18="Sunwell"))),MAX($AE$2:AE17)+1,"")</f>
        <v/>
      </c>
      <c r="AF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Aman"),IF(includeprebc,$S18="Pre-BC"),IF(includesunwell,$S18="Sunwell"))),MAX($AF$1:AF17)+1,"")</f>
        <v/>
      </c>
      <c r="AG18" s="114"/>
      <c r="AK18" s="48">
        <v>16</v>
      </c>
      <c r="AL18" s="151" t="str">
        <f>IF('Gear &amp; Buffs'!$Y$47="Dagger",IF(ISNA(INDEX($A$2:$A$54,MATCH(AK18,AE$2:AE$54,0))),"",INDEX($A$2:$A$54,MATCH(AK18,AE$2:AE$54,0))),"")&amp;
IF('Gear &amp; Buffs'!$Y$47="Sword",IF(ISNA(INDEX($A$56:$A$100,MATCH(AK18,AE$56:AE$100,0))),"",INDEX($A$56:$A$100,MATCH(AK18,AE$56:AE$100,0))),"")&amp;
IF('Gear &amp; Buffs'!$Y$47="Fist",IF(ISNA(INDEX($A$102:$A$119,MATCH(AK18,AE$102:AE$119,0))),"",INDEX($A$102:$A$119,MATCH(AK18,AE$102:AE$119,0))),"")&amp;
IF('Gear &amp; Buffs'!$Y$47="Mace",IF(ISNA(INDEX($A$121:$A$148,MATCH(AK18,AE$121:AE$148,0))),"",INDEX($A$121:$A$148,MATCH(AK18,AE$121:AE$148,0))),"")&amp;
IF('Gear &amp; Buffs'!$Y$47="All",IF(ISNA(INDEX($A$2:$A$148,MATCH(AK18,AF$2:AF$148,0))),"",INDEX($A$2:$A$148,MATCH(AK18,AF$2:AF$148,0))),"")</f>
        <v>Harbinger of Doom</v>
      </c>
    </row>
    <row r="19" spans="1:52">
      <c r="A19" s="10" t="s">
        <v>446</v>
      </c>
      <c r="B19" s="114">
        <v>28524</v>
      </c>
      <c r="C19" s="114">
        <v>1</v>
      </c>
      <c r="D19" s="114"/>
      <c r="E19" s="114">
        <v>19</v>
      </c>
      <c r="F19" s="114">
        <v>36</v>
      </c>
      <c r="G19" s="115"/>
      <c r="H19" s="115"/>
      <c r="I19" s="115"/>
      <c r="J19" s="114"/>
      <c r="K19" s="116"/>
      <c r="L19" s="114">
        <v>18</v>
      </c>
      <c r="M19" s="116"/>
      <c r="N19" s="114"/>
      <c r="O19" s="116"/>
      <c r="P19" s="114"/>
      <c r="Q19" s="114" t="s">
        <v>1033</v>
      </c>
      <c r="R19" s="114"/>
      <c r="S19" s="114" t="s">
        <v>672</v>
      </c>
      <c r="T19" s="114">
        <v>126</v>
      </c>
      <c r="U19" s="116">
        <v>189</v>
      </c>
      <c r="V19" s="155">
        <f t="shared" si="0"/>
        <v>157.5</v>
      </c>
      <c r="W19" s="155">
        <v>1.8</v>
      </c>
      <c r="X19" s="124">
        <f t="shared" si="1"/>
        <v>87.5</v>
      </c>
      <c r="Y19" s="114" t="s">
        <v>2269</v>
      </c>
      <c r="Z19" s="114"/>
      <c r="AA19" s="114"/>
      <c r="AB19" s="114"/>
      <c r="AC19" s="289"/>
      <c r="AD19" s="114"/>
      <c r="AE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Aman"),IF(includeprebc,$S19="Pre-BC"),IF(includesunwell,$S19="Sunwell"))),MAX($AE$2:AE18)+1,"")</f>
        <v>10</v>
      </c>
      <c r="AF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Aman"),IF(includeprebc,$S19="Pre-BC"),IF(includesunwell,$S19="Sunwell"))),MAX($AF$1:AF18)+1,"")</f>
        <v>10</v>
      </c>
      <c r="AG19" s="114"/>
      <c r="AK19" s="48">
        <v>17</v>
      </c>
      <c r="AL19" s="151" t="str">
        <f>IF('Gear &amp; Buffs'!$Y$47="Dagger",IF(ISNA(INDEX($A$2:$A$54,MATCH(AK19,AE$2:AE$54,0))),"",INDEX($A$2:$A$54,MATCH(AK19,AE$2:AE$54,0))),"")&amp;
IF('Gear &amp; Buffs'!$Y$47="Sword",IF(ISNA(INDEX($A$56:$A$100,MATCH(AK19,AE$56:AE$100,0))),"",INDEX($A$56:$A$100,MATCH(AK19,AE$56:AE$100,0))),"")&amp;
IF('Gear &amp; Buffs'!$Y$47="Fist",IF(ISNA(INDEX($A$102:$A$119,MATCH(AK19,AE$102:AE$119,0))),"",INDEX($A$102:$A$119,MATCH(AK19,AE$102:AE$119,0))),"")&amp;
IF('Gear &amp; Buffs'!$Y$47="Mace",IF(ISNA(INDEX($A$121:$A$148,MATCH(AK19,AE$121:AE$148,0))),"",INDEX($A$121:$A$148,MATCH(AK19,AE$121:AE$148,0))),"")&amp;
IF('Gear &amp; Buffs'!$Y$47="All",IF(ISNA(INDEX($A$2:$A$148,MATCH(AK19,AF$2:AF$148,0))),"",INDEX($A$2:$A$148,MATCH(AK19,AF$2:AF$148,0))),"")</f>
        <v>High Warlord's Shanker</v>
      </c>
      <c r="AQ19" s="1325"/>
      <c r="AR19" s="1325"/>
      <c r="AS19" s="1325"/>
    </row>
    <row r="20" spans="1:52">
      <c r="A20" s="10" t="s">
        <v>987</v>
      </c>
      <c r="B20" s="114">
        <v>34165</v>
      </c>
      <c r="C20" s="114">
        <v>5</v>
      </c>
      <c r="D20" s="114"/>
      <c r="E20" s="114">
        <v>25</v>
      </c>
      <c r="F20" s="114">
        <v>48</v>
      </c>
      <c r="G20" s="115"/>
      <c r="H20" s="115"/>
      <c r="I20" s="115">
        <v>25</v>
      </c>
      <c r="J20" s="114"/>
      <c r="K20" s="116"/>
      <c r="L20" s="114"/>
      <c r="M20" s="116"/>
      <c r="N20" s="114"/>
      <c r="O20" s="116"/>
      <c r="P20" s="114"/>
      <c r="Q20" s="114" t="s">
        <v>1033</v>
      </c>
      <c r="R20" s="114"/>
      <c r="S20" s="114" t="s">
        <v>871</v>
      </c>
      <c r="T20" s="114">
        <v>113</v>
      </c>
      <c r="U20" s="116">
        <v>211</v>
      </c>
      <c r="V20" s="155">
        <f t="shared" si="0"/>
        <v>162</v>
      </c>
      <c r="W20" s="155">
        <v>1.5</v>
      </c>
      <c r="X20" s="124">
        <f t="shared" si="1"/>
        <v>108</v>
      </c>
      <c r="Y20" s="114" t="s">
        <v>2269</v>
      </c>
      <c r="Z20" s="114"/>
      <c r="AA20" s="114"/>
      <c r="AB20" s="114"/>
      <c r="AC20" s="289"/>
      <c r="AD20" s="114"/>
      <c r="AE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Aman"),IF(includeprebc,$S20="Pre-BC"),IF(includesunwell,$S20="Sunwell"))),MAX($AE$2:AE19)+1,"")</f>
        <v/>
      </c>
      <c r="AF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Aman"),IF(includeprebc,$S20="Pre-BC"),IF(includesunwell,$S20="Sunwell"))),MAX($AF$1:AF19)+1,"")</f>
        <v/>
      </c>
      <c r="AG20" s="114"/>
      <c r="AK20" s="48">
        <v>18</v>
      </c>
      <c r="AL20" s="151" t="str">
        <f>IF('Gear &amp; Buffs'!$Y$47="Dagger",IF(ISNA(INDEX($A$2:$A$54,MATCH(AK20,AE$2:AE$54,0))),"",INDEX($A$2:$A$54,MATCH(AK20,AE$2:AE$54,0))),"")&amp;
IF('Gear &amp; Buffs'!$Y$47="Sword",IF(ISNA(INDEX($A$56:$A$100,MATCH(AK20,AE$56:AE$100,0))),"",INDEX($A$56:$A$100,MATCH(AK20,AE$56:AE$100,0))),"")&amp;
IF('Gear &amp; Buffs'!$Y$47="Fist",IF(ISNA(INDEX($A$102:$A$119,MATCH(AK20,AE$102:AE$119,0))),"",INDEX($A$102:$A$119,MATCH(AK20,AE$102:AE$119,0))),"")&amp;
IF('Gear &amp; Buffs'!$Y$47="Mace",IF(ISNA(INDEX($A$121:$A$148,MATCH(AK20,AE$121:AE$148,0))),"",INDEX($A$121:$A$148,MATCH(AK20,AE$121:AE$148,0))),"")&amp;
IF('Gear &amp; Buffs'!$Y$47="All",IF(ISNA(INDEX($A$2:$A$148,MATCH(AK20,AF$2:AF$148,0))),"",INDEX($A$2:$A$148,MATCH(AK20,AF$2:AF$148,0))),"")</f>
        <v>High Warlord's Shiv</v>
      </c>
      <c r="AQ20" s="1325"/>
      <c r="AR20" s="1331" t="s">
        <v>922</v>
      </c>
      <c r="AS20" s="1325"/>
      <c r="AT20" s="1325"/>
      <c r="AU20" s="1325"/>
      <c r="AV20" s="1325"/>
      <c r="AW20" s="1325" t="s">
        <v>1026</v>
      </c>
      <c r="AX20" s="1325" t="s">
        <v>1647</v>
      </c>
      <c r="AY20" s="1325" t="s">
        <v>1648</v>
      </c>
      <c r="AZ20" s="1325" t="s">
        <v>1649</v>
      </c>
    </row>
    <row r="21" spans="1:52">
      <c r="A21" s="10" t="s">
        <v>447</v>
      </c>
      <c r="B21" s="114">
        <v>30103</v>
      </c>
      <c r="C21" s="114">
        <v>2</v>
      </c>
      <c r="D21" s="114"/>
      <c r="E21" s="114"/>
      <c r="F21" s="114">
        <v>56</v>
      </c>
      <c r="G21" s="115"/>
      <c r="H21" s="115"/>
      <c r="I21" s="115"/>
      <c r="J21" s="114"/>
      <c r="K21" s="116">
        <v>21</v>
      </c>
      <c r="L21" s="114">
        <v>19</v>
      </c>
      <c r="M21" s="116"/>
      <c r="N21" s="114"/>
      <c r="O21" s="116"/>
      <c r="P21" s="114"/>
      <c r="Q21" s="114" t="s">
        <v>1033</v>
      </c>
      <c r="R21" s="114"/>
      <c r="S21" s="114" t="s">
        <v>667</v>
      </c>
      <c r="T21" s="114">
        <v>144</v>
      </c>
      <c r="U21" s="116">
        <v>217</v>
      </c>
      <c r="V21" s="155">
        <f t="shared" si="0"/>
        <v>180.5</v>
      </c>
      <c r="W21" s="155">
        <v>1.8</v>
      </c>
      <c r="X21" s="124">
        <f t="shared" si="1"/>
        <v>100.27777777777777</v>
      </c>
      <c r="Y21" s="114" t="s">
        <v>2269</v>
      </c>
      <c r="Z21" s="114"/>
      <c r="AA21" s="114"/>
      <c r="AB21" s="114"/>
      <c r="AC21" s="289"/>
      <c r="AD21" s="114"/>
      <c r="AE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Aman"),IF(includeprebc,$S21="Pre-BC"),IF(includesunwell,$S21="Sunwell"))),MAX($AE$2:AE20)+1,"")</f>
        <v/>
      </c>
      <c r="AF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Aman"),IF(includeprebc,$S21="Pre-BC"),IF(includesunwell,$S21="Sunwell"))),MAX($AF$1:AF20)+1,"")</f>
        <v/>
      </c>
      <c r="AG21" s="114"/>
      <c r="AK21" s="48">
        <v>19</v>
      </c>
      <c r="AL21" s="151" t="str">
        <f>IF('Gear &amp; Buffs'!$Y$47="Dagger",IF(ISNA(INDEX($A$2:$A$54,MATCH(AK21,AE$2:AE$54,0))),"",INDEX($A$2:$A$54,MATCH(AK21,AE$2:AE$54,0))),"")&amp;
IF('Gear &amp; Buffs'!$Y$47="Sword",IF(ISNA(INDEX($A$56:$A$100,MATCH(AK21,AE$56:AE$100,0))),"",INDEX($A$56:$A$100,MATCH(AK21,AE$56:AE$100,0))),"")&amp;
IF('Gear &amp; Buffs'!$Y$47="Fist",IF(ISNA(INDEX($A$102:$A$119,MATCH(AK21,AE$102:AE$119,0))),"",INDEX($A$102:$A$119,MATCH(AK21,AE$102:AE$119,0))),"")&amp;
IF('Gear &amp; Buffs'!$Y$47="Mace",IF(ISNA(INDEX($A$121:$A$148,MATCH(AK21,AE$121:AE$148,0))),"",INDEX($A$121:$A$148,MATCH(AK21,AE$121:AE$148,0))),"")&amp;
IF('Gear &amp; Buffs'!$Y$47="All",IF(ISNA(INDEX($A$2:$A$148,MATCH(AK21,AF$2:AF$148,0))),"",INDEX($A$2:$A$148,MATCH(AK21,AF$2:AF$148,0))),"")</f>
        <v>Hungering Spineripper</v>
      </c>
      <c r="AQ21" s="1329" t="s">
        <v>924</v>
      </c>
      <c r="AR21" s="1328">
        <f>IF(mh="The Night Blade",Optimize!C46,IF(oh="The Night Blade",Optimize!C47,10))</f>
        <v>10</v>
      </c>
      <c r="AS21" s="1325"/>
      <c r="AT21" s="1325" t="s">
        <v>925</v>
      </c>
      <c r="AU21" s="1325"/>
      <c r="AV21" s="1325">
        <v>0</v>
      </c>
      <c r="AW21" s="1326">
        <f>10/($AR$24)</f>
        <v>16.666666666666664</v>
      </c>
      <c r="AX21" s="1327">
        <v>1</v>
      </c>
      <c r="AY21" s="1326">
        <v>0</v>
      </c>
      <c r="AZ21" s="1327">
        <v>0</v>
      </c>
    </row>
    <row r="22" spans="1:52">
      <c r="A22" s="10" t="s">
        <v>1735</v>
      </c>
      <c r="B22" s="114">
        <v>29346</v>
      </c>
      <c r="C22" s="114">
        <v>1</v>
      </c>
      <c r="D22" s="114"/>
      <c r="E22" s="114"/>
      <c r="F22" s="114">
        <v>34</v>
      </c>
      <c r="G22" s="115">
        <v>22</v>
      </c>
      <c r="H22" s="115"/>
      <c r="I22" s="115"/>
      <c r="J22" s="114"/>
      <c r="K22" s="116"/>
      <c r="L22" s="114"/>
      <c r="M22" s="116"/>
      <c r="N22" s="114"/>
      <c r="O22" s="116"/>
      <c r="P22" s="114"/>
      <c r="Q22" s="114" t="s">
        <v>1033</v>
      </c>
      <c r="R22" s="114"/>
      <c r="S22" s="114" t="s">
        <v>691</v>
      </c>
      <c r="T22" s="114">
        <v>83</v>
      </c>
      <c r="U22" s="116">
        <v>156</v>
      </c>
      <c r="V22" s="155">
        <f t="shared" si="0"/>
        <v>119.5</v>
      </c>
      <c r="W22" s="155">
        <v>1.4</v>
      </c>
      <c r="X22" s="124">
        <f t="shared" si="1"/>
        <v>85.357142857142861</v>
      </c>
      <c r="Y22" s="114" t="s">
        <v>2269</v>
      </c>
      <c r="Z22" s="114"/>
      <c r="AA22" s="114"/>
      <c r="AB22" s="114"/>
      <c r="AC22" s="289"/>
      <c r="AD22" s="114"/>
      <c r="AE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Aman"),IF(includeprebc,$S22="Pre-BC"),IF(includesunwell,$S22="Sunwell"))),MAX($AE$2:AE21)+1,"")</f>
        <v>11</v>
      </c>
      <c r="AF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Aman"),IF(includeprebc,$S22="Pre-BC"),IF(includesunwell,$S22="Sunwell"))),MAX($AF$1:AF21)+1,"")</f>
        <v>11</v>
      </c>
      <c r="AG22" s="114"/>
      <c r="AK22" s="48">
        <v>20</v>
      </c>
      <c r="AL22" s="151" t="str">
        <f>IF('Gear &amp; Buffs'!$Y$47="Dagger",IF(ISNA(INDEX($A$2:$A$54,MATCH(AK22,AE$2:AE$54,0))),"",INDEX($A$2:$A$54,MATCH(AK22,AE$2:AE$54,0))),"")&amp;
IF('Gear &amp; Buffs'!$Y$47="Sword",IF(ISNA(INDEX($A$56:$A$100,MATCH(AK22,AE$56:AE$100,0))),"",INDEX($A$56:$A$100,MATCH(AK22,AE$56:AE$100,0))),"")&amp;
IF('Gear &amp; Buffs'!$Y$47="Fist",IF(ISNA(INDEX($A$102:$A$119,MATCH(AK22,AE$102:AE$119,0))),"",INDEX($A$102:$A$119,MATCH(AK22,AE$102:AE$119,0))),"")&amp;
IF('Gear &amp; Buffs'!$Y$47="Mace",IF(ISNA(INDEX($A$121:$A$148,MATCH(AK22,AE$121:AE$148,0))),"",INDEX($A$121:$A$148,MATCH(AK22,AE$121:AE$148,0))),"")&amp;
IF('Gear &amp; Buffs'!$Y$47="All",IF(ISNA(INDEX($A$2:$A$148,MATCH(AK22,AF$2:AF$148,0))),"",INDEX($A$2:$A$148,MATCH(AK22,AF$2:AF$148,0))),"")</f>
        <v>Illidari-Bane Dagger</v>
      </c>
      <c r="AQ22" s="1329"/>
      <c r="AR22" s="1328"/>
      <c r="AS22" s="1325"/>
      <c r="AT22" s="1325" t="s">
        <v>926</v>
      </c>
      <c r="AU22" s="1325"/>
      <c r="AV22" s="1325">
        <v>1</v>
      </c>
      <c r="AW22" s="1326">
        <f>10/(1+$AR$24/(1-EXP(-$AR$24)))</f>
        <v>4.2921742610378759</v>
      </c>
      <c r="AX22" s="1327">
        <f>1-EXP(-$AR$21*tnbproc)</f>
        <v>0.45118836390597361</v>
      </c>
      <c r="AY22" s="1326">
        <v>10</v>
      </c>
      <c r="AZ22" s="1327">
        <f>EXP(-$AR$21*tnbproc)</f>
        <v>0.54881163609402639</v>
      </c>
    </row>
    <row r="23" spans="1:52">
      <c r="A23" s="10" t="s">
        <v>1737</v>
      </c>
      <c r="B23" s="114">
        <v>28312</v>
      </c>
      <c r="C23" s="114">
        <v>1</v>
      </c>
      <c r="D23" s="114"/>
      <c r="E23" s="114"/>
      <c r="F23" s="114">
        <v>28</v>
      </c>
      <c r="G23" s="115">
        <v>15</v>
      </c>
      <c r="H23" s="115">
        <v>9</v>
      </c>
      <c r="I23" s="115"/>
      <c r="J23" s="114"/>
      <c r="K23" s="116"/>
      <c r="L23" s="114">
        <v>21</v>
      </c>
      <c r="M23" s="116"/>
      <c r="N23" s="114">
        <v>10</v>
      </c>
      <c r="O23" s="116"/>
      <c r="P23" s="114"/>
      <c r="Q23" s="114" t="s">
        <v>1033</v>
      </c>
      <c r="R23" s="114"/>
      <c r="S23" s="114" t="s">
        <v>677</v>
      </c>
      <c r="T23" s="114">
        <v>131</v>
      </c>
      <c r="U23" s="116">
        <v>197</v>
      </c>
      <c r="V23" s="155">
        <f t="shared" si="0"/>
        <v>164</v>
      </c>
      <c r="W23" s="155">
        <v>1.8</v>
      </c>
      <c r="X23" s="124">
        <f t="shared" si="1"/>
        <v>91.111111111111114</v>
      </c>
      <c r="Y23" s="114" t="s">
        <v>2269</v>
      </c>
      <c r="Z23" s="114"/>
      <c r="AA23" s="114"/>
      <c r="AB23" s="114"/>
      <c r="AC23" s="289"/>
      <c r="AD23" s="114"/>
      <c r="AE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Aman"),IF(includeprebc,$S23="Pre-BC"),IF(includesunwell,$S23="Sunwell"))),MAX($AE$2:AE22)+1,"")</f>
        <v>12</v>
      </c>
      <c r="AF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Aman"),IF(includeprebc,$S23="Pre-BC"),IF(includesunwell,$S23="Sunwell"))),MAX($AF$1:AF22)+1,"")</f>
        <v>12</v>
      </c>
      <c r="AG23" s="114"/>
      <c r="AK23" s="48">
        <v>21</v>
      </c>
      <c r="AL23" s="151" t="str">
        <f>IF('Gear &amp; Buffs'!$Y$47="Dagger",IF(ISNA(INDEX($A$2:$A$54,MATCH(AK23,AE$2:AE$54,0))),"",INDEX($A$2:$A$54,MATCH(AK23,AE$2:AE$54,0))),"")&amp;
IF('Gear &amp; Buffs'!$Y$47="Sword",IF(ISNA(INDEX($A$56:$A$100,MATCH(AK23,AE$56:AE$100,0))),"",INDEX($A$56:$A$100,MATCH(AK23,AE$56:AE$100,0))),"")&amp;
IF('Gear &amp; Buffs'!$Y$47="Fist",IF(ISNA(INDEX($A$102:$A$119,MATCH(AK23,AE$102:AE$119,0))),"",INDEX($A$102:$A$119,MATCH(AK23,AE$102:AE$119,0))),"")&amp;
IF('Gear &amp; Buffs'!$Y$47="Mace",IF(ISNA(INDEX($A$121:$A$148,MATCH(AK23,AE$121:AE$148,0))),"",INDEX($A$121:$A$148,MATCH(AK23,AE$121:AE$148,0))),"")&amp;
IF('Gear &amp; Buffs'!$Y$47="All",IF(ISNA(INDEX($A$2:$A$148,MATCH(AK23,AF$2:AF$148,0))),"",INDEX($A$2:$A$148,MATCH(AK23,AF$2:AF$148,0))),"")</f>
        <v>Kingsfall</v>
      </c>
      <c r="AQ23" s="1329" t="s">
        <v>3013</v>
      </c>
      <c r="AR23" s="1327">
        <f>1.8/60*2</f>
        <v>6.0000000000000005E-2</v>
      </c>
      <c r="AS23" s="1325"/>
      <c r="AT23" s="1325" t="s">
        <v>927</v>
      </c>
      <c r="AU23" s="1325"/>
      <c r="AV23" s="1325">
        <v>2</v>
      </c>
      <c r="AW23" s="1326">
        <f>10/(1+$AR$24/(1-EXP(-$AR$24)))</f>
        <v>4.2921742610378759</v>
      </c>
      <c r="AX23" s="1327">
        <f>(1-EXP(-$AR$21*tnbproc))^2</f>
        <v>0.20357093972414927</v>
      </c>
      <c r="AY23" s="1326">
        <v>10</v>
      </c>
      <c r="AZ23" s="1327">
        <f>AX22-AX23</f>
        <v>0.24761742418182434</v>
      </c>
    </row>
    <row r="24" spans="1:52">
      <c r="A24" s="10" t="s">
        <v>940</v>
      </c>
      <c r="B24" s="114">
        <v>28954</v>
      </c>
      <c r="C24" s="114">
        <v>1</v>
      </c>
      <c r="D24" s="114"/>
      <c r="E24" s="114"/>
      <c r="F24" s="114">
        <v>26</v>
      </c>
      <c r="G24" s="115">
        <v>13</v>
      </c>
      <c r="H24" s="115">
        <v>8</v>
      </c>
      <c r="I24" s="115"/>
      <c r="J24" s="114"/>
      <c r="K24" s="116"/>
      <c r="L24" s="114">
        <v>18</v>
      </c>
      <c r="M24" s="116"/>
      <c r="N24" s="114">
        <v>9</v>
      </c>
      <c r="O24" s="116"/>
      <c r="P24" s="114"/>
      <c r="Q24" s="114" t="s">
        <v>1033</v>
      </c>
      <c r="R24" s="114"/>
      <c r="S24" s="114" t="s">
        <v>677</v>
      </c>
      <c r="T24" s="114">
        <v>103</v>
      </c>
      <c r="U24" s="116">
        <v>155</v>
      </c>
      <c r="V24" s="155">
        <f t="shared" si="0"/>
        <v>129</v>
      </c>
      <c r="W24" s="155">
        <v>1.8</v>
      </c>
      <c r="X24" s="124">
        <f t="shared" si="1"/>
        <v>71.666666666666671</v>
      </c>
      <c r="Y24" s="114" t="s">
        <v>2269</v>
      </c>
      <c r="Z24" s="114"/>
      <c r="AA24" s="114"/>
      <c r="AB24" s="114"/>
      <c r="AC24" s="289"/>
      <c r="AD24" s="114"/>
      <c r="AE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Aman"),IF(includeprebc,$S24="Pre-BC"),IF(includesunwell,$S24="Sunwell"))),MAX($AE$2:AE23)+1,"")</f>
        <v>13</v>
      </c>
      <c r="AF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Aman"),IF(includeprebc,$S24="Pre-BC"),IF(includesunwell,$S24="Sunwell"))),MAX($AF$1:AF23)+1,"")</f>
        <v>13</v>
      </c>
      <c r="AG24" s="114"/>
      <c r="AK24" s="48">
        <v>22</v>
      </c>
      <c r="AL24" s="151" t="str">
        <f>IF('Gear &amp; Buffs'!$Y$47="Dagger",IF(ISNA(INDEX($A$2:$A$54,MATCH(AK24,AE$2:AE$54,0))),"",INDEX($A$2:$A$54,MATCH(AK24,AE$2:AE$54,0))),"")&amp;
IF('Gear &amp; Buffs'!$Y$47="Sword",IF(ISNA(INDEX($A$56:$A$100,MATCH(AK24,AE$56:AE$100,0))),"",INDEX($A$56:$A$100,MATCH(AK24,AE$56:AE$100,0))),"")&amp;
IF('Gear &amp; Buffs'!$Y$47="Fist",IF(ISNA(INDEX($A$102:$A$119,MATCH(AK24,AE$102:AE$119,0))),"",INDEX($A$102:$A$119,MATCH(AK24,AE$102:AE$119,0))),"")&amp;
IF('Gear &amp; Buffs'!$Y$47="Mace",IF(ISNA(INDEX($A$121:$A$148,MATCH(AK24,AE$121:AE$148,0))),"",INDEX($A$121:$A$148,MATCH(AK24,AE$121:AE$148,0))),"")&amp;
IF('Gear &amp; Buffs'!$Y$47="All",IF(ISNA(INDEX($A$2:$A$148,MATCH(AK24,AF$2:AF$148,0))),"",INDEX($A$2:$A$148,MATCH(AK24,AF$2:AF$148,0))),"")</f>
        <v>Malchazeen</v>
      </c>
      <c r="AQ24" s="1329" t="s">
        <v>1644</v>
      </c>
      <c r="AR24" s="1328">
        <f>IF($AR$21*tnbproc&gt;0, $AR$21*tnbproc, 1)</f>
        <v>0.60000000000000009</v>
      </c>
      <c r="AS24" s="1325"/>
      <c r="AT24" s="1325" t="s">
        <v>928</v>
      </c>
      <c r="AU24" s="1325"/>
      <c r="AV24" s="1325">
        <v>3</v>
      </c>
      <c r="AW24" s="1326">
        <f>IF(time=0, AW23/EXP(-$AR$21*tnbproc), MIN(AW23/EXP(-$AR$21*tnbproc),time-SUMPRODUCT(AW21:AW23,AX21:AX23)))</f>
        <v>7.8208514155893543</v>
      </c>
      <c r="AX24" s="1327">
        <f>AX23</f>
        <v>0.20357093972414927</v>
      </c>
      <c r="AY24" s="1326">
        <v>0</v>
      </c>
      <c r="AZ24" s="1327">
        <v>0</v>
      </c>
    </row>
    <row r="25" spans="1:52">
      <c r="A25" s="10" t="s">
        <v>941</v>
      </c>
      <c r="B25" s="114">
        <v>28955</v>
      </c>
      <c r="C25" s="114">
        <v>1</v>
      </c>
      <c r="D25" s="114"/>
      <c r="E25" s="114"/>
      <c r="F25" s="114">
        <v>26</v>
      </c>
      <c r="G25" s="116">
        <v>13</v>
      </c>
      <c r="H25" s="116">
        <v>8</v>
      </c>
      <c r="I25" s="115"/>
      <c r="J25" s="114"/>
      <c r="K25" s="116"/>
      <c r="L25" s="114">
        <v>18</v>
      </c>
      <c r="M25" s="114"/>
      <c r="N25" s="114">
        <v>9</v>
      </c>
      <c r="O25" s="116"/>
      <c r="P25" s="114"/>
      <c r="Q25" s="114" t="s">
        <v>1033</v>
      </c>
      <c r="R25" s="114"/>
      <c r="S25" s="114" t="s">
        <v>677</v>
      </c>
      <c r="T25" s="116">
        <v>80</v>
      </c>
      <c r="U25" s="116">
        <v>121</v>
      </c>
      <c r="V25" s="155">
        <f t="shared" si="0"/>
        <v>100.5</v>
      </c>
      <c r="W25" s="155">
        <v>1.4</v>
      </c>
      <c r="X25" s="124">
        <f t="shared" si="1"/>
        <v>71.785714285714292</v>
      </c>
      <c r="Y25" s="124" t="s">
        <v>2269</v>
      </c>
      <c r="Z25" s="124"/>
      <c r="AA25" s="124"/>
      <c r="AB25" s="124"/>
      <c r="AC25" s="289"/>
      <c r="AD25" s="116"/>
      <c r="AE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Aman"),IF(includeprebc,$S25="Pre-BC"),IF(includesunwell,$S25="Sunwell"))),MAX($AE$2:AE24)+1,"")</f>
        <v>14</v>
      </c>
      <c r="AF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Aman"),IF(includeprebc,$S25="Pre-BC"),IF(includesunwell,$S25="Sunwell"))),MAX($AF$1:AF24)+1,"")</f>
        <v>14</v>
      </c>
      <c r="AG25" s="114"/>
      <c r="AK25" s="48">
        <v>23</v>
      </c>
      <c r="AL25" s="151" t="str">
        <f>IF('Gear &amp; Buffs'!$Y$47="Dagger",IF(ISNA(INDEX($A$2:$A$54,MATCH(AK25,AE$2:AE$54,0))),"",INDEX($A$2:$A$54,MATCH(AK25,AE$2:AE$54,0))),"")&amp;
IF('Gear &amp; Buffs'!$Y$47="Sword",IF(ISNA(INDEX($A$56:$A$100,MATCH(AK25,AE$56:AE$100,0))),"",INDEX($A$56:$A$100,MATCH(AK25,AE$56:AE$100,0))),"")&amp;
IF('Gear &amp; Buffs'!$Y$47="Fist",IF(ISNA(INDEX($A$102:$A$119,MATCH(AK25,AE$102:AE$119,0))),"",INDEX($A$102:$A$119,MATCH(AK25,AE$102:AE$119,0))),"")&amp;
IF('Gear &amp; Buffs'!$Y$47="Mace",IF(ISNA(INDEX($A$121:$A$148,MATCH(AK25,AE$121:AE$148,0))),"",INDEX($A$121:$A$148,MATCH(AK25,AE$121:AE$148,0))),"")&amp;
IF('Gear &amp; Buffs'!$Y$47="All",IF(ISNA(INDEX($A$2:$A$148,MATCH(AK25,AF$2:AF$148,0))),"",INDEX($A$2:$A$148,MATCH(AK25,AF$2:AF$148,0))),"")</f>
        <v>Retainer's Blade</v>
      </c>
      <c r="AQ25" s="1329" t="s">
        <v>929</v>
      </c>
      <c r="AR25" s="1328">
        <f>(Cycles!$I$1)*0.3</f>
        <v>0.77354193647919856</v>
      </c>
      <c r="AS25" s="1325"/>
      <c r="AT25" s="1325"/>
      <c r="AU25" s="1325"/>
      <c r="AV25" s="1325"/>
      <c r="AW25" s="1326">
        <f>SUMPRODUCT(AX21:AX24,AW21:AW24)</f>
        <v>21.069105768997428</v>
      </c>
      <c r="AX25" s="1325"/>
      <c r="AY25" s="1326">
        <f>SUMPRODUCT(AZ21:AZ24,AY21:AY24)</f>
        <v>7.9642906027585081</v>
      </c>
      <c r="AZ25" s="1325"/>
    </row>
    <row r="26" spans="1:52">
      <c r="A26" s="10" t="s">
        <v>1738</v>
      </c>
      <c r="B26" s="114">
        <v>29121</v>
      </c>
      <c r="C26" s="114">
        <v>1</v>
      </c>
      <c r="D26" s="114"/>
      <c r="E26" s="114">
        <v>19</v>
      </c>
      <c r="F26" s="114">
        <v>38</v>
      </c>
      <c r="G26" s="115"/>
      <c r="H26" s="115"/>
      <c r="I26" s="115"/>
      <c r="J26" s="114"/>
      <c r="K26" s="116"/>
      <c r="L26" s="114"/>
      <c r="M26" s="116"/>
      <c r="N26" s="114"/>
      <c r="O26" s="116"/>
      <c r="P26" s="114"/>
      <c r="Q26" s="114" t="s">
        <v>1033</v>
      </c>
      <c r="R26" s="114"/>
      <c r="S26" s="114" t="s">
        <v>676</v>
      </c>
      <c r="T26" s="114">
        <v>104</v>
      </c>
      <c r="U26" s="116">
        <v>156</v>
      </c>
      <c r="V26" s="155">
        <f t="shared" si="0"/>
        <v>130</v>
      </c>
      <c r="W26" s="155">
        <v>1.6</v>
      </c>
      <c r="X26" s="124">
        <f t="shared" si="1"/>
        <v>81.25</v>
      </c>
      <c r="Y26" s="114" t="s">
        <v>2269</v>
      </c>
      <c r="Z26" s="114"/>
      <c r="AA26" s="114"/>
      <c r="AB26" s="114"/>
      <c r="AC26" s="289"/>
      <c r="AD26" s="114"/>
      <c r="AE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Aman"),IF(includeprebc,$S26="Pre-BC"),IF(includesunwell,$S26="Sunwell"))),MAX($AE$2:AE25)+1,"")</f>
        <v>15</v>
      </c>
      <c r="AF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Aman"),IF(includeprebc,$S26="Pre-BC"),IF(includesunwell,$S26="Sunwell"))),MAX($AF$1:AF25)+1,"")</f>
        <v>15</v>
      </c>
      <c r="AG26" s="114"/>
      <c r="AH26" s="124"/>
      <c r="AK26" s="48">
        <v>24</v>
      </c>
      <c r="AL26" s="151" t="str">
        <f>IF('Gear &amp; Buffs'!$Y$47="Dagger",IF(ISNA(INDEX($A$2:$A$54,MATCH(AK26,AE$2:AE$54,0))),"",INDEX($A$2:$A$54,MATCH(AK26,AE$2:AE$54,0))),"")&amp;
IF('Gear &amp; Buffs'!$Y$47="Sword",IF(ISNA(INDEX($A$56:$A$100,MATCH(AK26,AE$56:AE$100,0))),"",INDEX($A$56:$A$100,MATCH(AK26,AE$56:AE$100,0))),"")&amp;
IF('Gear &amp; Buffs'!$Y$47="Fist",IF(ISNA(INDEX($A$102:$A$119,MATCH(AK26,AE$102:AE$119,0))),"",INDEX($A$102:$A$119,MATCH(AK26,AE$102:AE$119,0))),"")&amp;
IF('Gear &amp; Buffs'!$Y$47="Mace",IF(ISNA(INDEX($A$121:$A$148,MATCH(AK26,AE$121:AE$148,0))),"",INDEX($A$121:$A$148,MATCH(AK26,AE$121:AE$148,0))),"")&amp;
IF('Gear &amp; Buffs'!$Y$47="All",IF(ISNA(INDEX($A$2:$A$148,MATCH(AK26,AF$2:AF$148,0))),"",INDEX($A$2:$A$148,MATCH(AK26,AF$2:AF$148,0))),"")</f>
        <v>Riftmaker</v>
      </c>
      <c r="AQ26" s="1325"/>
      <c r="AR26" s="1325"/>
      <c r="AS26" s="1325"/>
      <c r="AT26" s="1325"/>
      <c r="AU26" s="1325"/>
      <c r="AV26" s="1325"/>
      <c r="AW26" s="1326">
        <f>SUMPRODUCT(AX21:AX24,AW21:AW24,$AV21:$AV24)</f>
        <v>8.460397194338988</v>
      </c>
      <c r="AX26" s="1325"/>
      <c r="AY26" s="1326">
        <f>SUMPRODUCT(AZ21:AZ24,AY21:AY24,$AV21:$AV24)</f>
        <v>10.440464844576752</v>
      </c>
      <c r="AZ26" s="1325"/>
    </row>
    <row r="27" spans="1:52">
      <c r="A27" s="10" t="s">
        <v>2414</v>
      </c>
      <c r="B27" s="114">
        <v>23044</v>
      </c>
      <c r="C27" s="114">
        <v>1</v>
      </c>
      <c r="D27" s="114"/>
      <c r="E27" s="114">
        <v>8</v>
      </c>
      <c r="F27" s="114"/>
      <c r="G27" s="115">
        <v>14</v>
      </c>
      <c r="H27" s="115">
        <v>10</v>
      </c>
      <c r="I27" s="115"/>
      <c r="J27" s="114"/>
      <c r="K27" s="116"/>
      <c r="L27" s="114">
        <v>8</v>
      </c>
      <c r="M27" s="116"/>
      <c r="N27" s="114"/>
      <c r="O27" s="116"/>
      <c r="P27" s="114"/>
      <c r="Q27" s="114" t="s">
        <v>1033</v>
      </c>
      <c r="R27" s="114"/>
      <c r="S27" s="114" t="s">
        <v>668</v>
      </c>
      <c r="T27" s="114">
        <v>83</v>
      </c>
      <c r="U27" s="116">
        <v>126</v>
      </c>
      <c r="V27" s="155">
        <f t="shared" si="0"/>
        <v>104.5</v>
      </c>
      <c r="W27" s="155">
        <v>1.6</v>
      </c>
      <c r="X27" s="124">
        <f t="shared" si="1"/>
        <v>65.3125</v>
      </c>
      <c r="Y27" s="114" t="s">
        <v>2269</v>
      </c>
      <c r="Z27" s="114"/>
      <c r="AA27" s="114"/>
      <c r="AB27" s="114"/>
      <c r="AC27" s="289"/>
      <c r="AD27" s="114"/>
      <c r="AE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Aman"),IF(includeprebc,$S27="Pre-BC"),IF(includesunwell,$S27="Sunwell"))),MAX($AE$2:AE26)+1,"")</f>
        <v>16</v>
      </c>
      <c r="AF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Aman"),IF(includeprebc,$S27="Pre-BC"),IF(includesunwell,$S27="Sunwell"))),MAX($AF$1:AF26)+1,"")</f>
        <v>16</v>
      </c>
      <c r="AG27" s="114"/>
      <c r="AK27" s="48">
        <v>25</v>
      </c>
      <c r="AL27" s="151" t="str">
        <f>IF('Gear &amp; Buffs'!$Y$47="Dagger",IF(ISNA(INDEX($A$2:$A$54,MATCH(AK27,AE$2:AE$54,0))),"",INDEX($A$2:$A$54,MATCH(AK27,AE$2:AE$54,0))),"")&amp;
IF('Gear &amp; Buffs'!$Y$47="Sword",IF(ISNA(INDEX($A$56:$A$100,MATCH(AK27,AE$56:AE$100,0))),"",INDEX($A$56:$A$100,MATCH(AK27,AE$56:AE$100,0))),"")&amp;
IF('Gear &amp; Buffs'!$Y$47="Fist",IF(ISNA(INDEX($A$102:$A$119,MATCH(AK27,AE$102:AE$119,0))),"",INDEX($A$102:$A$119,MATCH(AK27,AE$102:AE$119,0))),"")&amp;
IF('Gear &amp; Buffs'!$Y$47="Mace",IF(ISNA(INDEX($A$121:$A$148,MATCH(AK27,AE$121:AE$148,0))),"",INDEX($A$121:$A$148,MATCH(AK27,AE$121:AE$148,0))),"")&amp;
IF('Gear &amp; Buffs'!$Y$47="All",IF(ISNA(INDEX($A$2:$A$148,MATCH(AK27,AF$2:AF$148,0))),"",INDEX($A$2:$A$148,MATCH(AK27,AF$2:AF$148,0))),"")</f>
        <v>Terror Flame Dagger</v>
      </c>
      <c r="AQ27" s="1330"/>
      <c r="AR27" s="1330"/>
      <c r="AS27" s="1330"/>
      <c r="AT27" s="1325"/>
      <c r="AU27" s="1325"/>
      <c r="AV27" s="1325"/>
      <c r="AW27" s="1325"/>
      <c r="AX27" s="1326">
        <f>IF(OR(mh="The Night Blade",oh="The Night Blade"),(AW26+AY26)/(AW25+AY25),0)</f>
        <v>0</v>
      </c>
      <c r="AY27" s="1325"/>
      <c r="AZ27" s="1325"/>
    </row>
    <row r="28" spans="1:52">
      <c r="A28" s="10" t="s">
        <v>648</v>
      </c>
      <c r="B28" s="114">
        <v>29962</v>
      </c>
      <c r="C28" s="114">
        <v>2</v>
      </c>
      <c r="D28" s="114"/>
      <c r="E28" s="114">
        <v>20</v>
      </c>
      <c r="F28" s="124">
        <f>270*itHRmhUP</f>
        <v>114.88947681036424</v>
      </c>
      <c r="G28" s="115"/>
      <c r="H28" s="115"/>
      <c r="I28" s="115"/>
      <c r="J28" s="114"/>
      <c r="K28" s="116"/>
      <c r="L28" s="114">
        <v>30</v>
      </c>
      <c r="M28" s="116"/>
      <c r="N28" s="114"/>
      <c r="O28" s="116"/>
      <c r="P28" s="114"/>
      <c r="Q28" s="114" t="s">
        <v>1033</v>
      </c>
      <c r="R28" s="114"/>
      <c r="S28" s="114" t="s">
        <v>680</v>
      </c>
      <c r="T28" s="114">
        <v>121</v>
      </c>
      <c r="U28" s="116">
        <v>226</v>
      </c>
      <c r="V28" s="155">
        <f t="shared" si="0"/>
        <v>173.5</v>
      </c>
      <c r="W28" s="155">
        <v>1.8</v>
      </c>
      <c r="X28" s="124">
        <f t="shared" si="1"/>
        <v>96.388888888888886</v>
      </c>
      <c r="Y28" s="114" t="s">
        <v>2269</v>
      </c>
      <c r="Z28" s="114"/>
      <c r="AA28" s="114"/>
      <c r="AB28" s="114"/>
      <c r="AC28" s="289" t="s">
        <v>644</v>
      </c>
      <c r="AD28" s="114"/>
      <c r="AE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Aman"),IF(includeprebc,$S28="Pre-BC"),IF(includesunwell,$S28="Sunwell"))),MAX($AE$2:AE27)+1,"")</f>
        <v/>
      </c>
      <c r="AF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Aman"),IF(includeprebc,$S28="Pre-BC"),IF(includesunwell,$S28="Sunwell"))),MAX($AF$1:AF27)+1,"")</f>
        <v/>
      </c>
      <c r="AG28" s="114"/>
      <c r="AK28" s="48">
        <v>26</v>
      </c>
      <c r="AL28" s="151" t="str">
        <f>IF('Gear &amp; Buffs'!$Y$47="Dagger",IF(ISNA(INDEX($A$2:$A$54,MATCH(AK28,AE$2:AE$54,0))),"",INDEX($A$2:$A$54,MATCH(AK28,AE$2:AE$54,0))),"")&amp;
IF('Gear &amp; Buffs'!$Y$47="Sword",IF(ISNA(INDEX($A$56:$A$100,MATCH(AK28,AE$56:AE$100,0))),"",INDEX($A$56:$A$100,MATCH(AK28,AE$56:AE$100,0))),"")&amp;
IF('Gear &amp; Buffs'!$Y$47="Fist",IF(ISNA(INDEX($A$102:$A$119,MATCH(AK28,AE$102:AE$119,0))),"",INDEX($A$102:$A$119,MATCH(AK28,AE$102:AE$119,0))),"")&amp;
IF('Gear &amp; Buffs'!$Y$47="Mace",IF(ISNA(INDEX($A$121:$A$148,MATCH(AK28,AE$121:AE$148,0))),"",INDEX($A$121:$A$148,MATCH(AK28,AE$121:AE$148,0))),"")&amp;
IF('Gear &amp; Buffs'!$Y$47="All",IF(ISNA(INDEX($A$2:$A$148,MATCH(AK28,AF$2:AF$148,0))),"",INDEX($A$2:$A$148,MATCH(AK28,AF$2:AF$148,0))),"")</f>
        <v>The Night Blade</v>
      </c>
      <c r="AR28" s="1332" t="s">
        <v>1399</v>
      </c>
      <c r="AS28" s="1359">
        <f>75%/(BossLevel)*5/25</f>
        <v>2.054794520547945E-3</v>
      </c>
      <c r="AT28" s="1330"/>
      <c r="AU28" s="1330"/>
      <c r="AV28" s="1330"/>
      <c r="AW28" s="1330"/>
      <c r="AX28" s="1330"/>
      <c r="AY28" s="1330"/>
      <c r="AZ28" s="1330"/>
    </row>
    <row r="29" spans="1:52">
      <c r="A29" s="10" t="s">
        <v>942</v>
      </c>
      <c r="B29" s="114">
        <v>28929</v>
      </c>
      <c r="C29" s="114">
        <v>1</v>
      </c>
      <c r="D29" s="114"/>
      <c r="E29" s="114"/>
      <c r="F29" s="114">
        <v>26</v>
      </c>
      <c r="G29" s="115">
        <v>13</v>
      </c>
      <c r="H29" s="115">
        <v>8</v>
      </c>
      <c r="I29" s="115"/>
      <c r="J29" s="114"/>
      <c r="K29" s="116"/>
      <c r="L29" s="114">
        <v>18</v>
      </c>
      <c r="M29" s="116"/>
      <c r="N29" s="114">
        <v>9</v>
      </c>
      <c r="O29" s="116"/>
      <c r="P29" s="114"/>
      <c r="Q29" s="114" t="s">
        <v>1033</v>
      </c>
      <c r="R29" s="114"/>
      <c r="S29" s="114" t="s">
        <v>677</v>
      </c>
      <c r="T29" s="114">
        <v>103</v>
      </c>
      <c r="U29" s="116">
        <v>155</v>
      </c>
      <c r="V29" s="155">
        <f t="shared" si="0"/>
        <v>129</v>
      </c>
      <c r="W29" s="155">
        <v>1.8</v>
      </c>
      <c r="X29" s="124">
        <f t="shared" si="1"/>
        <v>71.666666666666671</v>
      </c>
      <c r="Y29" s="114" t="s">
        <v>2269</v>
      </c>
      <c r="Z29" s="114"/>
      <c r="AA29" s="114"/>
      <c r="AB29" s="114"/>
      <c r="AC29" s="289"/>
      <c r="AD29" s="114"/>
      <c r="AE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Aman"),IF(includeprebc,$S29="Pre-BC"),IF(includesunwell,$S29="Sunwell"))),MAX($AE$2:AE28)+1,"")</f>
        <v>17</v>
      </c>
      <c r="AF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Aman"),IF(includeprebc,$S29="Pre-BC"),IF(includesunwell,$S29="Sunwell"))),MAX($AF$1:AF28)+1,"")</f>
        <v>17</v>
      </c>
      <c r="AG29" s="114"/>
      <c r="AK29" s="48">
        <v>27</v>
      </c>
      <c r="AL29" s="151" t="str">
        <f>IF('Gear &amp; Buffs'!$Y$47="Dagger",IF(ISNA(INDEX($A$2:$A$54,MATCH(AK29,AE$2:AE$54,0))),"",INDEX($A$2:$A$54,MATCH(AK29,AE$2:AE$54,0))),"")&amp;
IF('Gear &amp; Buffs'!$Y$47="Sword",IF(ISNA(INDEX($A$56:$A$100,MATCH(AK29,AE$56:AE$100,0))),"",INDEX($A$56:$A$100,MATCH(AK29,AE$56:AE$100,0))),"")&amp;
IF('Gear &amp; Buffs'!$Y$47="Fist",IF(ISNA(INDEX($A$102:$A$119,MATCH(AK29,AE$102:AE$119,0))),"",INDEX($A$102:$A$119,MATCH(AK29,AE$102:AE$119,0))),"")&amp;
IF('Gear &amp; Buffs'!$Y$47="Mace",IF(ISNA(INDEX($A$121:$A$148,MATCH(AK29,AE$121:AE$148,0))),"",INDEX($A$121:$A$148,MATCH(AK29,AE$121:AE$148,0))),"")&amp;
IF('Gear &amp; Buffs'!$Y$47="All",IF(ISNA(INDEX($A$2:$A$148,MATCH(AK29,AF$2:AF$148,0))),"",INDEX($A$2:$A$148,MATCH(AK29,AF$2:AF$148,0))),"")</f>
        <v>Timeslicer</v>
      </c>
    </row>
    <row r="30" spans="1:52" ht="12" thickBot="1">
      <c r="A30" s="10" t="s">
        <v>943</v>
      </c>
      <c r="B30" s="114">
        <v>28930</v>
      </c>
      <c r="C30" s="114">
        <v>1</v>
      </c>
      <c r="D30" s="114"/>
      <c r="E30" s="114"/>
      <c r="F30" s="114">
        <v>26</v>
      </c>
      <c r="G30" s="116">
        <v>13</v>
      </c>
      <c r="H30" s="116">
        <v>8</v>
      </c>
      <c r="I30" s="115"/>
      <c r="J30" s="114"/>
      <c r="K30" s="116"/>
      <c r="L30" s="114">
        <v>18</v>
      </c>
      <c r="M30" s="114"/>
      <c r="N30" s="114">
        <v>9</v>
      </c>
      <c r="O30" s="116"/>
      <c r="P30" s="114"/>
      <c r="Q30" s="114" t="s">
        <v>1033</v>
      </c>
      <c r="R30" s="114"/>
      <c r="S30" s="114" t="s">
        <v>677</v>
      </c>
      <c r="T30" s="116">
        <v>80</v>
      </c>
      <c r="U30" s="116">
        <v>121</v>
      </c>
      <c r="V30" s="155">
        <f t="shared" si="0"/>
        <v>100.5</v>
      </c>
      <c r="W30" s="155">
        <v>1.4</v>
      </c>
      <c r="X30" s="124">
        <f t="shared" si="1"/>
        <v>71.785714285714292</v>
      </c>
      <c r="Y30" s="124" t="s">
        <v>2269</v>
      </c>
      <c r="Z30" s="124"/>
      <c r="AA30" s="124"/>
      <c r="AB30" s="124"/>
      <c r="AC30" s="289"/>
      <c r="AD30" s="116"/>
      <c r="AE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Aman"),IF(includeprebc,$S30="Pre-BC"),IF(includesunwell,$S30="Sunwell"))),MAX($AE$2:AE29)+1,"")</f>
        <v>18</v>
      </c>
      <c r="AF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Aman"),IF(includeprebc,$S30="Pre-BC"),IF(includesunwell,$S30="Sunwell"))),MAX($AF$1:AF29)+1,"")</f>
        <v>18</v>
      </c>
      <c r="AG30" s="114"/>
      <c r="AK30" s="48">
        <v>28</v>
      </c>
      <c r="AL30" s="151" t="str">
        <f>IF('Gear &amp; Buffs'!$Y$47="Dagger",IF(ISNA(INDEX($A$2:$A$54,MATCH(AK30,AE$2:AE$54,0))),"",INDEX($A$2:$A$54,MATCH(AK30,AE$2:AE$54,0))),"")&amp;
IF('Gear &amp; Buffs'!$Y$47="Sword",IF(ISNA(INDEX($A$56:$A$100,MATCH(AK30,AE$56:AE$100,0))),"",INDEX($A$56:$A$100,MATCH(AK30,AE$56:AE$100,0))),"")&amp;
IF('Gear &amp; Buffs'!$Y$47="Fist",IF(ISNA(INDEX($A$102:$A$119,MATCH(AK30,AE$102:AE$119,0))),"",INDEX($A$102:$A$119,MATCH(AK30,AE$102:AE$119,0))),"")&amp;
IF('Gear &amp; Buffs'!$Y$47="Mace",IF(ISNA(INDEX($A$121:$A$148,MATCH(AK30,AE$121:AE$148,0))),"",INDEX($A$121:$A$148,MATCH(AK30,AE$121:AE$148,0))),"")&amp;
IF('Gear &amp; Buffs'!$Y$47="All",IF(ISNA(INDEX($A$2:$A$148,MATCH(AK30,AF$2:AF$148,0))),"",INDEX($A$2:$A$148,MATCH(AK30,AF$2:AF$148,0))),"")</f>
        <v>Twinblade of Mastery</v>
      </c>
    </row>
    <row r="31" spans="1:52" ht="12" thickBot="1">
      <c r="A31" s="10" t="s">
        <v>649</v>
      </c>
      <c r="B31" s="114">
        <v>28416</v>
      </c>
      <c r="C31" s="114">
        <v>1</v>
      </c>
      <c r="D31" s="114"/>
      <c r="E31" s="114"/>
      <c r="F31" s="114">
        <v>30</v>
      </c>
      <c r="G31" s="115">
        <v>16</v>
      </c>
      <c r="H31" s="115"/>
      <c r="I31" s="115"/>
      <c r="J31" s="114"/>
      <c r="K31" s="116"/>
      <c r="L31" s="114">
        <v>13</v>
      </c>
      <c r="M31" s="116"/>
      <c r="N31" s="114"/>
      <c r="O31" s="116"/>
      <c r="P31" s="114"/>
      <c r="Q31" s="114" t="s">
        <v>1033</v>
      </c>
      <c r="R31" s="114"/>
      <c r="S31" s="114" t="s">
        <v>673</v>
      </c>
      <c r="T31" s="114">
        <v>103</v>
      </c>
      <c r="U31" s="116">
        <v>155</v>
      </c>
      <c r="V31" s="155">
        <f t="shared" si="0"/>
        <v>129</v>
      </c>
      <c r="W31" s="155">
        <v>1.8</v>
      </c>
      <c r="X31" s="124">
        <f t="shared" si="1"/>
        <v>71.666666666666671</v>
      </c>
      <c r="Y31" s="114" t="s">
        <v>2269</v>
      </c>
      <c r="Z31" s="114"/>
      <c r="AA31" s="114"/>
      <c r="AB31" s="114"/>
      <c r="AC31" s="289"/>
      <c r="AD31" s="114"/>
      <c r="AE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Aman"),IF(includeprebc,$S31="Pre-BC"),IF(includesunwell,$S31="Sunwell"))),MAX($AE$2:AE30)+1,"")</f>
        <v>19</v>
      </c>
      <c r="AF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Aman"),IF(includeprebc,$S31="Pre-BC"),IF(includesunwell,$S31="Sunwell"))),MAX($AF$1:AF30)+1,"")</f>
        <v>19</v>
      </c>
      <c r="AG31" s="114"/>
      <c r="AK31" s="48">
        <v>29</v>
      </c>
      <c r="AL31" s="151" t="str">
        <f>IF('Gear &amp; Buffs'!$Y$47="Dagger",IF(ISNA(INDEX($A$2:$A$54,MATCH(AK31,AE$2:AE$54,0))),"",INDEX($A$2:$A$54,MATCH(AK31,AE$2:AE$54,0))),"")&amp;
IF('Gear &amp; Buffs'!$Y$47="Sword",IF(ISNA(INDEX($A$56:$A$100,MATCH(AK31,AE$56:AE$100,0))),"",INDEX($A$56:$A$100,MATCH(AK31,AE$56:AE$100,0))),"")&amp;
IF('Gear &amp; Buffs'!$Y$47="Fist",IF(ISNA(INDEX($A$102:$A$119,MATCH(AK31,AE$102:AE$119,0))),"",INDEX($A$102:$A$119,MATCH(AK31,AE$102:AE$119,0))),"")&amp;
IF('Gear &amp; Buffs'!$Y$47="Mace",IF(ISNA(INDEX($A$121:$A$148,MATCH(AK31,AE$121:AE$148,0))),"",INDEX($A$121:$A$148,MATCH(AK31,AE$121:AE$148,0))),"")&amp;
IF('Gear &amp; Buffs'!$Y$47="All",IF(ISNA(INDEX($A$2:$A$148,MATCH(AK31,AF$2:AF$148,0))),"",INDEX($A$2:$A$148,MATCH(AK31,AF$2:AF$148,0))),"")</f>
        <v>Vileblade of the Betrayer</v>
      </c>
      <c r="AQ31" s="813"/>
      <c r="AR31" s="814" t="s">
        <v>2272</v>
      </c>
      <c r="AS31" s="815"/>
      <c r="AT31" s="815"/>
      <c r="AU31" s="815"/>
      <c r="AV31" s="816"/>
    </row>
    <row r="32" spans="1:52">
      <c r="A32" s="10" t="s">
        <v>650</v>
      </c>
      <c r="B32" s="114">
        <v>31745</v>
      </c>
      <c r="C32" s="114">
        <v>1</v>
      </c>
      <c r="D32" s="114"/>
      <c r="E32" s="114"/>
      <c r="F32" s="114">
        <f>IF(OR(mobtype="Any",mobtype="Demon"),93,0)</f>
        <v>93</v>
      </c>
      <c r="G32" s="116"/>
      <c r="H32" s="116"/>
      <c r="I32" s="115"/>
      <c r="J32" s="114"/>
      <c r="K32" s="116"/>
      <c r="L32" s="114"/>
      <c r="M32" s="114"/>
      <c r="N32" s="114"/>
      <c r="O32" s="116"/>
      <c r="P32" s="114"/>
      <c r="Q32" s="114" t="s">
        <v>1033</v>
      </c>
      <c r="R32" s="114"/>
      <c r="S32" s="114" t="s">
        <v>675</v>
      </c>
      <c r="T32" s="116">
        <v>90</v>
      </c>
      <c r="U32" s="116">
        <v>168</v>
      </c>
      <c r="V32" s="155">
        <f t="shared" si="0"/>
        <v>129</v>
      </c>
      <c r="W32" s="155">
        <v>1.8</v>
      </c>
      <c r="X32" s="124">
        <f t="shared" si="1"/>
        <v>71.666666666666671</v>
      </c>
      <c r="Y32" s="124" t="s">
        <v>2269</v>
      </c>
      <c r="Z32" s="124"/>
      <c r="AA32" s="124"/>
      <c r="AB32" s="124"/>
      <c r="AC32" s="289"/>
      <c r="AD32" s="116"/>
      <c r="AE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Aman"),IF(includeprebc,$S32="Pre-BC"),IF(includesunwell,$S32="Sunwell"))),MAX($AE$2:AE31)+1,"")</f>
        <v>20</v>
      </c>
      <c r="AF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Aman"),IF(includeprebc,$S32="Pre-BC"),IF(includesunwell,$S32="Sunwell"))),MAX($AF$1:AF31)+1,"")</f>
        <v>20</v>
      </c>
      <c r="AG32" s="114"/>
      <c r="AK32" s="48">
        <v>30</v>
      </c>
      <c r="AL32" s="151" t="str">
        <f>IF('Gear &amp; Buffs'!$Y$47="Dagger",IF(ISNA(INDEX($A$2:$A$54,MATCH(AK32,AE$2:AE$54,0))),"",INDEX($A$2:$A$54,MATCH(AK32,AE$2:AE$54,0))),"")&amp;
IF('Gear &amp; Buffs'!$Y$47="Sword",IF(ISNA(INDEX($A$56:$A$100,MATCH(AK32,AE$56:AE$100,0))),"",INDEX($A$56:$A$100,MATCH(AK32,AE$56:AE$100,0))),"")&amp;
IF('Gear &amp; Buffs'!$Y$47="Fist",IF(ISNA(INDEX($A$102:$A$119,MATCH(AK32,AE$102:AE$119,0))),"",INDEX($A$102:$A$119,MATCH(AK32,AE$102:AE$119,0))),"")&amp;
IF('Gear &amp; Buffs'!$Y$47="Mace",IF(ISNA(INDEX($A$121:$A$148,MATCH(AK32,AE$121:AE$148,0))),"",INDEX($A$121:$A$148,MATCH(AK32,AE$121:AE$148,0))),"")&amp;
IF('Gear &amp; Buffs'!$Y$47="All",IF(ISNA(INDEX($A$2:$A$148,MATCH(AK32,AF$2:AF$148,0))),"",INDEX($A$2:$A$148,MATCH(AK32,AF$2:AF$148,0))),"")</f>
        <v>Warp Splinter's Thorn</v>
      </c>
      <c r="AQ32" s="808"/>
      <c r="AR32" s="133"/>
      <c r="AS32" s="130" t="s">
        <v>3112</v>
      </c>
      <c r="AT32" s="114"/>
      <c r="AU32" s="114"/>
      <c r="AV32" s="807"/>
    </row>
    <row r="33" spans="1:48">
      <c r="A33" s="10" t="s">
        <v>651</v>
      </c>
      <c r="B33" s="114">
        <v>30312</v>
      </c>
      <c r="C33" s="114">
        <v>2</v>
      </c>
      <c r="D33" s="114"/>
      <c r="E33" s="114"/>
      <c r="F33" s="114">
        <v>70</v>
      </c>
      <c r="G33" s="116">
        <v>25</v>
      </c>
      <c r="H33" s="116"/>
      <c r="I33" s="115"/>
      <c r="J33" s="114"/>
      <c r="K33" s="116"/>
      <c r="L33" s="114">
        <v>35</v>
      </c>
      <c r="M33" s="114"/>
      <c r="N33" s="114"/>
      <c r="O33" s="116"/>
      <c r="P33" s="114"/>
      <c r="Q33" s="114" t="s">
        <v>1033</v>
      </c>
      <c r="R33" s="114"/>
      <c r="S33" s="114" t="s">
        <v>680</v>
      </c>
      <c r="T33" s="116">
        <v>171</v>
      </c>
      <c r="U33" s="116">
        <v>318</v>
      </c>
      <c r="V33" s="155">
        <f t="shared" si="0"/>
        <v>244.5</v>
      </c>
      <c r="W33" s="155">
        <v>2</v>
      </c>
      <c r="X33" s="124">
        <f t="shared" si="1"/>
        <v>122.25</v>
      </c>
      <c r="Y33" s="124" t="s">
        <v>2269</v>
      </c>
      <c r="Z33" s="124"/>
      <c r="AA33" s="124"/>
      <c r="AB33" s="124"/>
      <c r="AC33" s="289" t="s">
        <v>449</v>
      </c>
      <c r="AD33" s="116"/>
      <c r="AE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Aman"),IF(includeprebc,$S33="Pre-BC"),IF(includesunwell,$S33="Sunwell"))),MAX($AE$2:AE32)+1,"")</f>
        <v/>
      </c>
      <c r="AF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Aman"),IF(includeprebc,$S33="Pre-BC"),IF(includesunwell,$S33="Sunwell"))),MAX($AF$1:AF32)+1,"")</f>
        <v/>
      </c>
      <c r="AG33" s="114"/>
      <c r="AK33" s="48">
        <v>31</v>
      </c>
      <c r="AL33" s="151" t="str">
        <f>IF('Gear &amp; Buffs'!$Y$47="Dagger",IF(ISNA(INDEX($A$2:$A$54,MATCH(AK33,AE$2:AE$54,0))),"",INDEX($A$2:$A$54,MATCH(AK33,AE$2:AE$54,0))),"")&amp;
IF('Gear &amp; Buffs'!$Y$47="Sword",IF(ISNA(INDEX($A$56:$A$100,MATCH(AK33,AE$56:AE$100,0))),"",INDEX($A$56:$A$100,MATCH(AK33,AE$56:AE$100,0))),"")&amp;
IF('Gear &amp; Buffs'!$Y$47="Fist",IF(ISNA(INDEX($A$102:$A$119,MATCH(AK33,AE$102:AE$119,0))),"",INDEX($A$102:$A$119,MATCH(AK33,AE$102:AE$119,0))),"")&amp;
IF('Gear &amp; Buffs'!$Y$47="Mace",IF(ISNA(INDEX($A$121:$A$148,MATCH(AK33,AE$121:AE$148,0))),"",INDEX($A$121:$A$148,MATCH(AK33,AE$121:AE$148,0))),"")&amp;
IF('Gear &amp; Buffs'!$Y$47="All",IF(ISNA(INDEX($A$2:$A$148,MATCH(AK33,AF$2:AF$148,0))),"",INDEX($A$2:$A$148,MATCH(AK33,AF$2:AF$148,0))),"")</f>
        <v>Whispering Blade of Slaying</v>
      </c>
      <c r="AQ33" s="804" t="s">
        <v>2282</v>
      </c>
      <c r="AR33" s="156">
        <f>'Damage Calc'!F25</f>
        <v>0.98</v>
      </c>
      <c r="AS33" s="10" t="s">
        <v>2275</v>
      </c>
      <c r="AT33" s="124">
        <f>VLOOKUP('Gear &amp; Buffs'!$B$10,MHWeaponStats,28,FALSE)</f>
        <v>0</v>
      </c>
      <c r="AU33" s="788" t="s">
        <v>2276</v>
      </c>
      <c r="AV33" s="805">
        <f>VLOOKUP('Gear &amp; Buffs'!$B$16,OHWeaponStats,28,FALSE)</f>
        <v>0</v>
      </c>
    </row>
    <row r="34" spans="1:48">
      <c r="A34" s="10" t="s">
        <v>652</v>
      </c>
      <c r="B34" s="114">
        <v>22802</v>
      </c>
      <c r="C34" s="114">
        <v>1</v>
      </c>
      <c r="D34" s="114"/>
      <c r="E34" s="114">
        <v>16</v>
      </c>
      <c r="F34" s="114"/>
      <c r="G34" s="115">
        <v>14</v>
      </c>
      <c r="H34" s="115">
        <v>10</v>
      </c>
      <c r="I34" s="115"/>
      <c r="J34" s="114"/>
      <c r="K34" s="116"/>
      <c r="L34" s="114"/>
      <c r="M34" s="116"/>
      <c r="N34" s="114"/>
      <c r="O34" s="116"/>
      <c r="P34" s="114"/>
      <c r="Q34" s="114" t="s">
        <v>1033</v>
      </c>
      <c r="R34" s="114"/>
      <c r="S34" s="114" t="s">
        <v>668</v>
      </c>
      <c r="T34" s="114">
        <v>105</v>
      </c>
      <c r="U34" s="116">
        <v>158</v>
      </c>
      <c r="V34" s="155">
        <f t="shared" si="0"/>
        <v>131.5</v>
      </c>
      <c r="W34" s="155">
        <v>1.8</v>
      </c>
      <c r="X34" s="124">
        <f t="shared" si="1"/>
        <v>73.055555555555557</v>
      </c>
      <c r="Y34" s="114" t="s">
        <v>2269</v>
      </c>
      <c r="Z34" s="114"/>
      <c r="AA34" s="114"/>
      <c r="AB34" s="114"/>
      <c r="AC34" s="289"/>
      <c r="AD34" s="114"/>
      <c r="AE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Aman"),IF(includeprebc,$S34="Pre-BC"),IF(includesunwell,$S34="Sunwell"))),MAX($AE$2:AE33)+1,"")</f>
        <v>21</v>
      </c>
      <c r="AF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Aman"),IF(includeprebc,$S34="Pre-BC"),IF(includesunwell,$S34="Sunwell"))),MAX($AF$1:AF33)+1,"")</f>
        <v>21</v>
      </c>
      <c r="AG34" s="114"/>
      <c r="AK34" s="48">
        <v>32</v>
      </c>
      <c r="AL34" s="151" t="str">
        <f>IF('Gear &amp; Buffs'!$Y$47="Dagger",IF(ISNA(INDEX($A$2:$A$54,MATCH(AK34,AE$2:AE$54,0))),"",INDEX($A$2:$A$54,MATCH(AK34,AE$2:AE$54,0))),"")&amp;
IF('Gear &amp; Buffs'!$Y$47="Sword",IF(ISNA(INDEX($A$56:$A$100,MATCH(AK34,AE$56:AE$100,0))),"",INDEX($A$56:$A$100,MATCH(AK34,AE$56:AE$100,0))),"")&amp;
IF('Gear &amp; Buffs'!$Y$47="Fist",IF(ISNA(INDEX($A$102:$A$119,MATCH(AK34,AE$102:AE$119,0))),"",INDEX($A$102:$A$119,MATCH(AK34,AE$102:AE$119,0))),"")&amp;
IF('Gear &amp; Buffs'!$Y$47="Mace",IF(ISNA(INDEX($A$121:$A$148,MATCH(AK34,AE$121:AE$148,0))),"",INDEX($A$121:$A$148,MATCH(AK34,AE$121:AE$148,0))),"")&amp;
IF('Gear &amp; Buffs'!$Y$47="All",IF(ISNA(INDEX($A$2:$A$148,MATCH(AK34,AF$2:AF$148,0))),"",INDEX($A$2:$A$148,MATCH(AK34,AF$2:AF$148,0))),"")</f>
        <v>(Unmodeled MH Dagger)</v>
      </c>
      <c r="AQ34" s="804" t="s">
        <v>2283</v>
      </c>
      <c r="AR34" s="156">
        <f>(IF(instatk="bs",-impBS*AR33,0)+'Damage Calc'!$F$23)</f>
        <v>0.21668945840701978</v>
      </c>
      <c r="AS34" s="10" t="s">
        <v>2278</v>
      </c>
      <c r="AT34" s="124">
        <f>IF(AT33&gt;0,VLOOKUP('Gear &amp; Buffs'!$B$10,MHWeaponStats,26,FALSE),0)</f>
        <v>0</v>
      </c>
      <c r="AU34" s="10"/>
      <c r="AV34" s="805">
        <f>IF(AV33&gt;0,VLOOKUP('Gear &amp; Buffs'!$B$16,OHWeaponStats,26,FALSE),0)</f>
        <v>0</v>
      </c>
    </row>
    <row r="35" spans="1:48">
      <c r="A35" s="10" t="s">
        <v>653</v>
      </c>
      <c r="B35" s="114">
        <v>28768</v>
      </c>
      <c r="C35" s="114">
        <v>1</v>
      </c>
      <c r="D35" s="114"/>
      <c r="E35" s="114"/>
      <c r="F35" s="114">
        <v>50</v>
      </c>
      <c r="G35" s="115"/>
      <c r="H35" s="115">
        <v>15</v>
      </c>
      <c r="I35" s="115"/>
      <c r="J35" s="114"/>
      <c r="K35" s="116"/>
      <c r="L35" s="114">
        <v>16</v>
      </c>
      <c r="M35" s="116"/>
      <c r="N35" s="114"/>
      <c r="O35" s="116"/>
      <c r="P35" s="114"/>
      <c r="Q35" s="114" t="s">
        <v>1033</v>
      </c>
      <c r="R35" s="114"/>
      <c r="S35" s="114" t="s">
        <v>672</v>
      </c>
      <c r="T35" s="114">
        <v>132</v>
      </c>
      <c r="U35" s="116">
        <v>199</v>
      </c>
      <c r="V35" s="155">
        <f t="shared" si="0"/>
        <v>165.5</v>
      </c>
      <c r="W35" s="155">
        <v>1.8</v>
      </c>
      <c r="X35" s="124">
        <f t="shared" si="1"/>
        <v>91.944444444444443</v>
      </c>
      <c r="Y35" s="114" t="s">
        <v>2269</v>
      </c>
      <c r="Z35" s="114"/>
      <c r="AA35" s="114"/>
      <c r="AB35" s="114"/>
      <c r="AC35" s="289"/>
      <c r="AD35" s="114"/>
      <c r="AE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Aman"),IF(includeprebc,$S35="Pre-BC"),IF(includesunwell,$S35="Sunwell"))),MAX($AE$2:AE34)+1,"")</f>
        <v>22</v>
      </c>
      <c r="AF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Aman"),IF(includeprebc,$S35="Pre-BC"),IF(includesunwell,$S35="Sunwell"))),MAX($AF$1:AF34)+1,"")</f>
        <v>22</v>
      </c>
      <c r="AG35" s="114"/>
      <c r="AK35" s="48">
        <v>33</v>
      </c>
      <c r="AL35" s="151" t="str">
        <f>IF('Gear &amp; Buffs'!$Y$47="Dagger",IF(ISNA(INDEX($A$2:$A$54,MATCH(AK35,AE$2:AE$54,0))),"",INDEX($A$2:$A$54,MATCH(AK35,AE$2:AE$54,0))),"")&amp;
IF('Gear &amp; Buffs'!$Y$47="Sword",IF(ISNA(INDEX($A$56:$A$100,MATCH(AK35,AE$56:AE$100,0))),"",INDEX($A$56:$A$100,MATCH(AK35,AE$56:AE$100,0))),"")&amp;
IF('Gear &amp; Buffs'!$Y$47="Fist",IF(ISNA(INDEX($A$102:$A$119,MATCH(AK35,AE$102:AE$119,0))),"",INDEX($A$102:$A$119,MATCH(AK35,AE$102:AE$119,0))),"")&amp;
IF('Gear &amp; Buffs'!$Y$47="Mace",IF(ISNA(INDEX($A$121:$A$148,MATCH(AK35,AE$121:AE$148,0))),"",INDEX($A$121:$A$148,MATCH(AK35,AE$121:AE$148,0))),"")&amp;
IF('Gear &amp; Buffs'!$Y$47="All",IF(ISNA(INDEX($A$2:$A$148,MATCH(AK35,AF$2:AF$148,0))),"",INDEX($A$2:$A$148,MATCH(AK35,AF$2:AF$148,0))),"")</f>
        <v xml:space="preserve"> </v>
      </c>
      <c r="AQ35" s="1360"/>
      <c r="AR35" s="1361"/>
      <c r="AS35" s="10"/>
      <c r="AT35" s="124"/>
      <c r="AU35" s="10"/>
      <c r="AV35" s="805"/>
    </row>
    <row r="36" spans="1:48">
      <c r="A36" s="10" t="s">
        <v>654</v>
      </c>
      <c r="B36" s="114">
        <v>32044</v>
      </c>
      <c r="C36" s="114">
        <v>2</v>
      </c>
      <c r="D36" s="114"/>
      <c r="E36" s="114"/>
      <c r="F36" s="114">
        <v>30</v>
      </c>
      <c r="G36" s="115">
        <v>19</v>
      </c>
      <c r="H36" s="115">
        <v>10</v>
      </c>
      <c r="I36" s="115"/>
      <c r="J36" s="114"/>
      <c r="K36" s="116"/>
      <c r="L36" s="114">
        <v>27</v>
      </c>
      <c r="M36" s="116"/>
      <c r="N36" s="114">
        <v>12</v>
      </c>
      <c r="O36" s="116"/>
      <c r="P36" s="114"/>
      <c r="Q36" s="114" t="s">
        <v>1033</v>
      </c>
      <c r="R36" s="114"/>
      <c r="S36" s="114" t="s">
        <v>677</v>
      </c>
      <c r="T36" s="114">
        <v>140</v>
      </c>
      <c r="U36" s="116">
        <v>211</v>
      </c>
      <c r="V36" s="155">
        <f t="shared" si="0"/>
        <v>175.5</v>
      </c>
      <c r="W36" s="155">
        <v>1.8</v>
      </c>
      <c r="X36" s="124">
        <f t="shared" si="1"/>
        <v>97.5</v>
      </c>
      <c r="Y36" s="114" t="s">
        <v>2269</v>
      </c>
      <c r="Z36" s="114"/>
      <c r="AA36" s="114"/>
      <c r="AB36" s="114"/>
      <c r="AC36" s="289"/>
      <c r="AD36" s="114"/>
      <c r="AE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Aman"),IF(includeprebc,$S36="Pre-BC"),IF(includesunwell,$S36="Sunwell"))),MAX($AE$2:AE35)+1,"")</f>
        <v/>
      </c>
      <c r="AF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Aman"),IF(includeprebc,$S36="Pre-BC"),IF(includesunwell,$S36="Sunwell"))),MAX($AF$1:AF35)+1,"")</f>
        <v/>
      </c>
      <c r="AG36" s="114"/>
      <c r="AK36" s="48">
        <v>34</v>
      </c>
      <c r="AL36" s="151" t="str">
        <f>IF('Gear &amp; Buffs'!$Y$47="Dagger",IF(ISNA(INDEX($A$2:$A$54,MATCH(AK36,AE$2:AE$54,0))),"",INDEX($A$2:$A$54,MATCH(AK36,AE$2:AE$54,0))),"")&amp;
IF('Gear &amp; Buffs'!$Y$47="Sword",IF(ISNA(INDEX($A$56:$A$100,MATCH(AK36,AE$56:AE$100,0))),"",INDEX($A$56:$A$100,MATCH(AK36,AE$56:AE$100,0))),"")&amp;
IF('Gear &amp; Buffs'!$Y$47="Fist",IF(ISNA(INDEX($A$102:$A$119,MATCH(AK36,AE$102:AE$119,0))),"",INDEX($A$102:$A$119,MATCH(AK36,AE$102:AE$119,0))),"")&amp;
IF('Gear &amp; Buffs'!$Y$47="Mace",IF(ISNA(INDEX($A$121:$A$148,MATCH(AK36,AE$121:AE$148,0))),"",INDEX($A$121:$A$148,MATCH(AK36,AE$121:AE$148,0))),"")&amp;
IF('Gear &amp; Buffs'!$Y$47="All",IF(ISNA(INDEX($A$2:$A$148,MATCH(AK36,AF$2:AF$148,0))),"",INDEX($A$2:$A$148,MATCH(AK36,AF$2:AF$148,0))),"")</f>
        <v>(Swords)</v>
      </c>
      <c r="AQ36" s="1360"/>
      <c r="AR36" s="1361"/>
      <c r="AS36" s="10" t="s">
        <v>2280</v>
      </c>
      <c r="AT36" s="124">
        <f>IF(AT33&gt;0,VLOOKUP('Gear &amp; Buffs'!$B$10,MHWeaponStats,27,FALSE),1)</f>
        <v>1</v>
      </c>
      <c r="AU36" s="10"/>
      <c r="AV36" s="805">
        <f>IF(AV33&gt;0,VLOOKUP('Gear &amp; Buffs'!$B$16,OHWeaponStats,27,FALSE),1)</f>
        <v>1</v>
      </c>
    </row>
    <row r="37" spans="1:48">
      <c r="A37" s="10" t="s">
        <v>239</v>
      </c>
      <c r="B37" s="114">
        <v>32269</v>
      </c>
      <c r="C37" s="114">
        <v>3</v>
      </c>
      <c r="D37" s="114"/>
      <c r="E37" s="114">
        <v>22</v>
      </c>
      <c r="F37" s="114">
        <v>44</v>
      </c>
      <c r="G37" s="115"/>
      <c r="H37" s="115"/>
      <c r="I37" s="115"/>
      <c r="J37" s="114"/>
      <c r="K37" s="116"/>
      <c r="L37" s="114">
        <v>31</v>
      </c>
      <c r="M37" s="116"/>
      <c r="N37" s="114"/>
      <c r="O37" s="116"/>
      <c r="P37" s="114"/>
      <c r="Q37" s="114" t="s">
        <v>1033</v>
      </c>
      <c r="R37" s="114"/>
      <c r="S37" s="114" t="s">
        <v>683</v>
      </c>
      <c r="T37" s="114">
        <v>112</v>
      </c>
      <c r="U37" s="116">
        <v>169</v>
      </c>
      <c r="V37" s="155">
        <f t="shared" si="0"/>
        <v>140.5</v>
      </c>
      <c r="W37" s="155">
        <v>1.4</v>
      </c>
      <c r="X37" s="124">
        <f t="shared" si="1"/>
        <v>100.35714285714286</v>
      </c>
      <c r="Y37" s="114" t="s">
        <v>2269</v>
      </c>
      <c r="Z37" s="114"/>
      <c r="AA37" s="114"/>
      <c r="AB37" s="114"/>
      <c r="AC37" s="289"/>
      <c r="AD37" s="114"/>
      <c r="AE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Aman"),IF(includeprebc,$S37="Pre-BC"),IF(includesunwell,$S37="Sunwell"))),MAX($AE$2:AE36)+1,"")</f>
        <v/>
      </c>
      <c r="AF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Aman"),IF(includeprebc,$S37="Pre-BC"),IF(includesunwell,$S37="Sunwell"))),MAX($AF$1:AF36)+1,"")</f>
        <v/>
      </c>
      <c r="AG37" s="114"/>
      <c r="AK37" s="48">
        <v>35</v>
      </c>
      <c r="AL37" s="151" t="str">
        <f>IF('Gear &amp; Buffs'!$Y$47="Dagger",IF(ISNA(INDEX($A$2:$A$54,MATCH(AK37,AE$2:AE$54,0))),"",INDEX($A$2:$A$54,MATCH(AK37,AE$2:AE$54,0))),"")&amp;
IF('Gear &amp; Buffs'!$Y$47="Sword",IF(ISNA(INDEX($A$56:$A$100,MATCH(AK37,AE$56:AE$100,0))),"",INDEX($A$56:$A$100,MATCH(AK37,AE$56:AE$100,0))),"")&amp;
IF('Gear &amp; Buffs'!$Y$47="Fist",IF(ISNA(INDEX($A$102:$A$119,MATCH(AK37,AE$102:AE$119,0))),"",INDEX($A$102:$A$119,MATCH(AK37,AE$102:AE$119,0))),"")&amp;
IF('Gear &amp; Buffs'!$Y$47="Mace",IF(ISNA(INDEX($A$121:$A$148,MATCH(AK37,AE$121:AE$148,0))),"",INDEX($A$121:$A$148,MATCH(AK37,AE$121:AE$148,0))),"")&amp;
IF('Gear &amp; Buffs'!$Y$47="All",IF(ISNA(INDEX($A$2:$A$148,MATCH(AK37,AF$2:AF$148,0))),"",INDEX($A$2:$A$148,MATCH(AK37,AF$2:AF$148,0))),"")</f>
        <v>Blinkstrike</v>
      </c>
      <c r="AQ37" s="1360"/>
      <c r="AR37" s="1361"/>
      <c r="AS37" s="10"/>
      <c r="AT37" s="124"/>
      <c r="AU37" s="10"/>
      <c r="AV37" s="805"/>
    </row>
    <row r="38" spans="1:48">
      <c r="A38" s="10" t="s">
        <v>1531</v>
      </c>
      <c r="B38" s="114">
        <v>33298</v>
      </c>
      <c r="C38" s="114">
        <v>4</v>
      </c>
      <c r="D38" s="114"/>
      <c r="E38" s="114"/>
      <c r="F38" s="114">
        <v>42</v>
      </c>
      <c r="G38" s="115"/>
      <c r="H38" s="115"/>
      <c r="I38" s="115"/>
      <c r="J38" s="114">
        <v>140</v>
      </c>
      <c r="K38" s="116"/>
      <c r="L38" s="114">
        <v>30</v>
      </c>
      <c r="M38" s="116"/>
      <c r="N38" s="114"/>
      <c r="O38" s="116"/>
      <c r="P38" s="114"/>
      <c r="Q38" s="114" t="s">
        <v>1033</v>
      </c>
      <c r="R38" s="114"/>
      <c r="S38" s="114" t="s">
        <v>664</v>
      </c>
      <c r="T38" s="114">
        <v>100</v>
      </c>
      <c r="U38" s="116">
        <v>187</v>
      </c>
      <c r="V38" s="155">
        <f t="shared" si="0"/>
        <v>143.5</v>
      </c>
      <c r="W38" s="155">
        <v>1.5</v>
      </c>
      <c r="X38" s="124">
        <f t="shared" si="1"/>
        <v>95.666666666666671</v>
      </c>
      <c r="Y38" s="114" t="s">
        <v>2269</v>
      </c>
      <c r="Z38" s="114"/>
      <c r="AA38" s="114"/>
      <c r="AB38" s="114"/>
      <c r="AC38" s="289"/>
      <c r="AD38" s="114"/>
      <c r="AE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Aman"),IF(includeprebc,$S38="Pre-BC"),IF(includesunwell,$S38="Sunwell"))),MAX($AE$2:AE37)+1,"")</f>
        <v/>
      </c>
      <c r="AF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Aman"),IF(includeprebc,$S38="Pre-BC"),IF(includesunwell,$S38="Sunwell"))),MAX($AF$1:AF37)+1,"")</f>
        <v/>
      </c>
      <c r="AG38" s="114"/>
      <c r="AK38" s="48">
        <v>36</v>
      </c>
      <c r="AL38" s="151" t="str">
        <f>IF('Gear &amp; Buffs'!$Y$47="Dagger",IF(ISNA(INDEX($A$2:$A$54,MATCH(AK38,AE$2:AE$54,0))),"",INDEX($A$2:$A$54,MATCH(AK38,AE$2:AE$54,0))),"")&amp;
IF('Gear &amp; Buffs'!$Y$47="Sword",IF(ISNA(INDEX($A$56:$A$100,MATCH(AK38,AE$56:AE$100,0))),"",INDEX($A$56:$A$100,MATCH(AK38,AE$56:AE$100,0))),"")&amp;
IF('Gear &amp; Buffs'!$Y$47="Fist",IF(ISNA(INDEX($A$102:$A$119,MATCH(AK38,AE$102:AE$119,0))),"",INDEX($A$102:$A$119,MATCH(AK38,AE$102:AE$119,0))),"")&amp;
IF('Gear &amp; Buffs'!$Y$47="Mace",IF(ISNA(INDEX($A$121:$A$148,MATCH(AK38,AE$121:AE$148,0))),"",INDEX($A$121:$A$148,MATCH(AK38,AE$121:AE$148,0))),"")&amp;
IF('Gear &amp; Buffs'!$Y$47="All",IF(ISNA(INDEX($A$2:$A$148,MATCH(AK38,AF$2:AF$148,0))),"",INDEX($A$2:$A$148,MATCH(AK38,AF$2:AF$148,0))),"")</f>
        <v>Edge of the Cosmos</v>
      </c>
      <c r="AN38" s="151"/>
      <c r="AQ38" s="1360"/>
      <c r="AR38" s="1361"/>
      <c r="AS38" s="10"/>
      <c r="AT38" s="124"/>
      <c r="AU38" s="10"/>
      <c r="AV38" s="805"/>
    </row>
    <row r="39" spans="1:48">
      <c r="A39" s="10" t="s">
        <v>655</v>
      </c>
      <c r="B39" s="114">
        <v>29125</v>
      </c>
      <c r="C39" s="114">
        <v>1</v>
      </c>
      <c r="D39" s="114"/>
      <c r="E39" s="114">
        <v>22</v>
      </c>
      <c r="F39" s="114"/>
      <c r="G39" s="115"/>
      <c r="H39" s="115"/>
      <c r="I39" s="115"/>
      <c r="J39" s="114"/>
      <c r="K39" s="116"/>
      <c r="L39" s="114">
        <v>21</v>
      </c>
      <c r="M39" s="116"/>
      <c r="N39" s="114"/>
      <c r="O39" s="116"/>
      <c r="P39" s="114"/>
      <c r="Q39" s="114" t="s">
        <v>1033</v>
      </c>
      <c r="R39" s="114"/>
      <c r="S39" s="114" t="s">
        <v>676</v>
      </c>
      <c r="T39" s="114">
        <v>97</v>
      </c>
      <c r="U39" s="116">
        <v>146</v>
      </c>
      <c r="V39" s="155">
        <f t="shared" si="0"/>
        <v>121.5</v>
      </c>
      <c r="W39" s="155">
        <v>1.5</v>
      </c>
      <c r="X39" s="124">
        <f t="shared" si="1"/>
        <v>81</v>
      </c>
      <c r="Y39" s="114" t="s">
        <v>2269</v>
      </c>
      <c r="Z39" s="114"/>
      <c r="AA39" s="114"/>
      <c r="AB39" s="114"/>
      <c r="AC39" s="289"/>
      <c r="AD39" s="114"/>
      <c r="AE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Aman"),IF(includeprebc,$S39="Pre-BC"),IF(includesunwell,$S39="Sunwell"))),MAX($AE$2:AE38)+1,"")</f>
        <v>23</v>
      </c>
      <c r="AF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Aman"),IF(includeprebc,$S39="Pre-BC"),IF(includesunwell,$S39="Sunwell"))),MAX($AF$1:AF38)+1,"")</f>
        <v>23</v>
      </c>
      <c r="AG39" s="114"/>
      <c r="AK39" s="48">
        <v>37</v>
      </c>
      <c r="AL39" s="151" t="str">
        <f>IF('Gear &amp; Buffs'!$Y$47="Dagger",IF(ISNA(INDEX($A$2:$A$54,MATCH(AK39,AE$2:AE$54,0))),"",INDEX($A$2:$A$54,MATCH(AK39,AE$2:AE$54,0))),"")&amp;
IF('Gear &amp; Buffs'!$Y$47="Sword",IF(ISNA(INDEX($A$56:$A$100,MATCH(AK39,AE$56:AE$100,0))),"",INDEX($A$56:$A$100,MATCH(AK39,AE$56:AE$100,0))),"")&amp;
IF('Gear &amp; Buffs'!$Y$47="Fist",IF(ISNA(INDEX($A$102:$A$119,MATCH(AK39,AE$102:AE$119,0))),"",INDEX($A$102:$A$119,MATCH(AK39,AE$102:AE$119,0))),"")&amp;
IF('Gear &amp; Buffs'!$Y$47="Mace",IF(ISNA(INDEX($A$121:$A$148,MATCH(AK39,AE$121:AE$148,0))),"",INDEX($A$121:$A$148,MATCH(AK39,AE$121:AE$148,0))),"")&amp;
IF('Gear &amp; Buffs'!$Y$47="All",IF(ISNA(INDEX($A$2:$A$148,MATCH(AK39,AF$2:AF$148,0))),"",INDEX($A$2:$A$148,MATCH(AK39,AF$2:AF$148,0))),"")</f>
        <v>Felsteel Longblade</v>
      </c>
      <c r="AQ39" s="808" t="s">
        <v>2056</v>
      </c>
      <c r="AR39" s="114"/>
      <c r="AS39" s="10" t="s">
        <v>2284</v>
      </c>
      <c r="AT39" s="124">
        <f>'Damage Calc'!K48*'Damage Calc'!L48*$AT36*$AT34</f>
        <v>0</v>
      </c>
      <c r="AU39" s="10"/>
      <c r="AV39" s="806">
        <f>'Damage Calc'!K49*'Damage Calc'!L49*$AV36*$AV34</f>
        <v>0</v>
      </c>
    </row>
    <row r="40" spans="1:48">
      <c r="A40" s="10" t="s">
        <v>1352</v>
      </c>
      <c r="B40" s="114">
        <v>29182</v>
      </c>
      <c r="C40" s="114">
        <v>1</v>
      </c>
      <c r="D40" s="114"/>
      <c r="E40" s="114">
        <v>21</v>
      </c>
      <c r="F40" s="114">
        <v>22</v>
      </c>
      <c r="G40" s="115"/>
      <c r="H40" s="115"/>
      <c r="I40" s="115"/>
      <c r="J40" s="114"/>
      <c r="K40" s="116"/>
      <c r="L40" s="114"/>
      <c r="M40" s="116"/>
      <c r="N40" s="114"/>
      <c r="O40" s="116"/>
      <c r="P40" s="114"/>
      <c r="Q40" s="114" t="s">
        <v>1033</v>
      </c>
      <c r="R40" s="114"/>
      <c r="S40" s="114" t="s">
        <v>676</v>
      </c>
      <c r="T40" s="114">
        <v>117</v>
      </c>
      <c r="U40" s="116">
        <v>176</v>
      </c>
      <c r="V40" s="155">
        <f t="shared" si="0"/>
        <v>146.5</v>
      </c>
      <c r="W40" s="155">
        <v>1.8</v>
      </c>
      <c r="X40" s="124">
        <f t="shared" si="1"/>
        <v>81.388888888888886</v>
      </c>
      <c r="Y40" s="114" t="s">
        <v>2269</v>
      </c>
      <c r="Z40" s="114"/>
      <c r="AA40" s="114"/>
      <c r="AB40" s="114"/>
      <c r="AC40" s="289"/>
      <c r="AD40" s="114"/>
      <c r="AE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Aman"),IF(includeprebc,$S40="Pre-BC"),IF(includesunwell,$S40="Sunwell"))),MAX($AE$2:AE39)+1,"")</f>
        <v>24</v>
      </c>
      <c r="AF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Aman"),IF(includeprebc,$S40="Pre-BC"),IF(includesunwell,$S40="Sunwell"))),MAX($AF$1:AF39)+1,"")</f>
        <v>24</v>
      </c>
      <c r="AG40" s="114"/>
      <c r="AK40" s="48">
        <v>38</v>
      </c>
      <c r="AL40" s="151" t="str">
        <f>IF('Gear &amp; Buffs'!$Y$47="Dagger",IF(ISNA(INDEX($A$2:$A$54,MATCH(AK40,AE$2:AE$54,0))),"",INDEX($A$2:$A$54,MATCH(AK40,AE$2:AE$54,0))),"")&amp;
IF('Gear &amp; Buffs'!$Y$47="Sword",IF(ISNA(INDEX($A$56:$A$100,MATCH(AK40,AE$56:AE$100,0))),"",INDEX($A$56:$A$100,MATCH(AK40,AE$56:AE$100,0))),"")&amp;
IF('Gear &amp; Buffs'!$Y$47="Fist",IF(ISNA(INDEX($A$102:$A$119,MATCH(AK40,AE$102:AE$119,0))),"",INDEX($A$102:$A$119,MATCH(AK40,AE$102:AE$119,0))),"")&amp;
IF('Gear &amp; Buffs'!$Y$47="Mace",IF(ISNA(INDEX($A$121:$A$148,MATCH(AK40,AE$121:AE$148,0))),"",INDEX($A$121:$A$148,MATCH(AK40,AE$121:AE$148,0))),"")&amp;
IF('Gear &amp; Buffs'!$Y$47="All",IF(ISNA(INDEX($A$2:$A$148,MATCH(AK40,AF$2:AF$148,0))),"",INDEX($A$2:$A$148,MATCH(AK40,AF$2:AF$148,0))),"")</f>
        <v>Gladiator's Slicer</v>
      </c>
      <c r="AQ40" s="808">
        <v>1</v>
      </c>
      <c r="AR40" s="10" t="s">
        <v>2268</v>
      </c>
      <c r="AS40" s="10" t="s">
        <v>442</v>
      </c>
      <c r="AT40" s="114">
        <f>IF(AT33=1,AT39*($AR33+$AR34)*armor,0)</f>
        <v>0</v>
      </c>
      <c r="AU40" s="10"/>
      <c r="AV40" s="807">
        <f>IF(AV33=1,AV39*($AR33+$AR34)*armor,0)</f>
        <v>0</v>
      </c>
    </row>
    <row r="41" spans="1:48">
      <c r="A41" s="10" t="s">
        <v>1353</v>
      </c>
      <c r="B41" s="114">
        <v>32471</v>
      </c>
      <c r="C41" s="114">
        <v>3</v>
      </c>
      <c r="D41" s="114"/>
      <c r="E41" s="114"/>
      <c r="F41" s="114">
        <v>64</v>
      </c>
      <c r="G41" s="115"/>
      <c r="H41" s="115"/>
      <c r="I41" s="115"/>
      <c r="J41" s="114"/>
      <c r="K41" s="116"/>
      <c r="L41" s="114"/>
      <c r="M41" s="116"/>
      <c r="N41" s="114"/>
      <c r="O41" s="116"/>
      <c r="P41" s="114"/>
      <c r="Q41" s="114" t="s">
        <v>1033</v>
      </c>
      <c r="R41" s="114"/>
      <c r="S41" s="114" t="s">
        <v>683</v>
      </c>
      <c r="T41" s="114">
        <v>161</v>
      </c>
      <c r="U41" s="116">
        <v>242</v>
      </c>
      <c r="V41" s="155">
        <f t="shared" si="0"/>
        <v>201.5</v>
      </c>
      <c r="W41" s="155">
        <v>1.9</v>
      </c>
      <c r="X41" s="124">
        <f t="shared" si="1"/>
        <v>106.05263157894737</v>
      </c>
      <c r="Y41" s="114" t="s">
        <v>2269</v>
      </c>
      <c r="Z41" s="114"/>
      <c r="AA41" s="114"/>
      <c r="AB41" s="114"/>
      <c r="AC41" s="289" t="s">
        <v>450</v>
      </c>
      <c r="AD41" s="114"/>
      <c r="AE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Aman"),IF(includeprebc,$S41="Pre-BC"),IF(includesunwell,$S41="Sunwell"))),MAX($AE$2:AE40)+1,"")</f>
        <v/>
      </c>
      <c r="AF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Aman"),IF(includeprebc,$S41="Pre-BC"),IF(includesunwell,$S41="Sunwell"))),MAX($AF$1:AF40)+1,"")</f>
        <v/>
      </c>
      <c r="AG41" s="114"/>
      <c r="AK41" s="48">
        <v>39</v>
      </c>
      <c r="AL41" s="151" t="str">
        <f>IF('Gear &amp; Buffs'!$Y$47="Dagger",IF(ISNA(INDEX($A$2:$A$54,MATCH(AK41,AE$2:AE$54,0))),"",INDEX($A$2:$A$54,MATCH(AK41,AE$2:AE$54,0))),"")&amp;
IF('Gear &amp; Buffs'!$Y$47="Sword",IF(ISNA(INDEX($A$56:$A$100,MATCH(AK41,AE$56:AE$100,0))),"",INDEX($A$56:$A$100,MATCH(AK41,AE$56:AE$100,0))),"")&amp;
IF('Gear &amp; Buffs'!$Y$47="Fist",IF(ISNA(INDEX($A$102:$A$119,MATCH(AK41,AE$102:AE$119,0))),"",INDEX($A$102:$A$119,MATCH(AK41,AE$102:AE$119,0))),"")&amp;
IF('Gear &amp; Buffs'!$Y$47="Mace",IF(ISNA(INDEX($A$121:$A$148,MATCH(AK41,AE$121:AE$148,0))),"",INDEX($A$121:$A$148,MATCH(AK41,AE$121:AE$148,0))),"")&amp;
IF('Gear &amp; Buffs'!$Y$47="All",IF(ISNA(INDEX($A$2:$A$148,MATCH(AK41,AF$2:AF$148,0))),"",INDEX($A$2:$A$148,MATCH(AK41,AF$2:AF$148,0))),"")</f>
        <v>Grand Marshal's Quickblade</v>
      </c>
      <c r="AQ41" s="808">
        <v>2</v>
      </c>
      <c r="AR41" s="10" t="s">
        <v>2270</v>
      </c>
      <c r="AS41" s="10" t="s">
        <v>443</v>
      </c>
      <c r="AT41" s="114">
        <f>IF(AT33=2,AT39*($AR$33),0)</f>
        <v>0</v>
      </c>
      <c r="AU41" s="10"/>
      <c r="AV41" s="807">
        <f>IF(AV33=2,AV39*($AR$33),0)</f>
        <v>0</v>
      </c>
    </row>
    <row r="42" spans="1:48">
      <c r="A42" s="10" t="s">
        <v>989</v>
      </c>
      <c r="B42" s="114">
        <v>34197</v>
      </c>
      <c r="C42" s="114">
        <v>5</v>
      </c>
      <c r="D42" s="114"/>
      <c r="E42" s="114">
        <v>25</v>
      </c>
      <c r="F42" s="114">
        <v>42</v>
      </c>
      <c r="G42" s="115"/>
      <c r="H42" s="115"/>
      <c r="I42" s="115"/>
      <c r="J42" s="114">
        <v>196</v>
      </c>
      <c r="K42" s="116"/>
      <c r="L42" s="114"/>
      <c r="M42" s="116"/>
      <c r="N42" s="114"/>
      <c r="O42" s="116"/>
      <c r="P42" s="114"/>
      <c r="Q42" s="114" t="s">
        <v>1033</v>
      </c>
      <c r="R42" s="114"/>
      <c r="S42" s="114" t="s">
        <v>871</v>
      </c>
      <c r="T42" s="114">
        <v>136</v>
      </c>
      <c r="U42" s="116">
        <v>253</v>
      </c>
      <c r="V42" s="155">
        <f t="shared" si="0"/>
        <v>194.5</v>
      </c>
      <c r="W42" s="155">
        <v>1.8</v>
      </c>
      <c r="X42" s="124">
        <f t="shared" si="1"/>
        <v>108.05555555555556</v>
      </c>
      <c r="Y42" s="114" t="s">
        <v>2269</v>
      </c>
      <c r="Z42" s="114"/>
      <c r="AA42" s="114"/>
      <c r="AB42" s="114"/>
      <c r="AC42" s="289"/>
      <c r="AD42" s="114"/>
      <c r="AE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Aman"),IF(includeprebc,$S42="Pre-BC"),IF(includesunwell,$S42="Sunwell"))),MAX($AE$2:AE41)+1,"")</f>
        <v/>
      </c>
      <c r="AF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Aman"),IF(includeprebc,$S42="Pre-BC"),IF(includesunwell,$S42="Sunwell"))),MAX($AF$1:AF41)+1,"")</f>
        <v/>
      </c>
      <c r="AG42" s="114"/>
      <c r="AK42" s="48">
        <v>40</v>
      </c>
      <c r="AL42" s="151" t="str">
        <f>IF('Gear &amp; Buffs'!$Y$47="Dagger",IF(ISNA(INDEX($A$2:$A$54,MATCH(AK42,AE$2:AE$54,0))),"",INDEX($A$2:$A$54,MATCH(AK42,AE$2:AE$54,0))),"")&amp;
IF('Gear &amp; Buffs'!$Y$47="Sword",IF(ISNA(INDEX($A$56:$A$100,MATCH(AK42,AE$56:AE$100,0))),"",INDEX($A$56:$A$100,MATCH(AK42,AE$56:AE$100,0))),"")&amp;
IF('Gear &amp; Buffs'!$Y$47="Fist",IF(ISNA(INDEX($A$102:$A$119,MATCH(AK42,AE$102:AE$119,0))),"",INDEX($A$102:$A$119,MATCH(AK42,AE$102:AE$119,0))),"")&amp;
IF('Gear &amp; Buffs'!$Y$47="Mace",IF(ISNA(INDEX($A$121:$A$148,MATCH(AK42,AE$121:AE$148,0))),"",INDEX($A$121:$A$148,MATCH(AK42,AE$121:AE$148,0))),"")&amp;
IF('Gear &amp; Buffs'!$Y$47="All",IF(ISNA(INDEX($A$2:$A$148,MATCH(AK42,AF$2:AF$148,0))),"",INDEX($A$2:$A$148,MATCH(AK42,AF$2:AF$148,0))),"")</f>
        <v>Grand Marshal's Slicer</v>
      </c>
      <c r="AQ42" s="808">
        <v>3</v>
      </c>
      <c r="AR42" s="10" t="s">
        <v>2273</v>
      </c>
      <c r="AS42" s="10" t="s">
        <v>445</v>
      </c>
      <c r="AT42" s="114">
        <f>IF(AT33=3,AT39*(fullresist),0)</f>
        <v>0</v>
      </c>
      <c r="AU42" s="10"/>
      <c r="AV42" s="807">
        <f>IF(AV33=3,AV39*(fullresist),0)</f>
        <v>0</v>
      </c>
    </row>
    <row r="43" spans="1:48">
      <c r="A43" s="10" t="s">
        <v>647</v>
      </c>
      <c r="B43" s="114">
        <v>32781</v>
      </c>
      <c r="C43" s="114">
        <v>3</v>
      </c>
      <c r="D43" s="114"/>
      <c r="E43" s="114">
        <v>10</v>
      </c>
      <c r="F43" s="114">
        <v>36</v>
      </c>
      <c r="G43" s="115"/>
      <c r="H43" s="115"/>
      <c r="I43" s="115"/>
      <c r="J43" s="114"/>
      <c r="K43" s="116"/>
      <c r="L43" s="114"/>
      <c r="M43" s="116"/>
      <c r="N43" s="114"/>
      <c r="O43" s="116"/>
      <c r="P43" s="114"/>
      <c r="Q43" s="114" t="s">
        <v>1035</v>
      </c>
      <c r="R43" s="114" t="s">
        <v>1338</v>
      </c>
      <c r="S43" s="114" t="s">
        <v>691</v>
      </c>
      <c r="T43" s="114">
        <v>75</v>
      </c>
      <c r="U43" s="116">
        <v>140</v>
      </c>
      <c r="V43" s="155">
        <f t="shared" si="0"/>
        <v>107.5</v>
      </c>
      <c r="W43" s="155">
        <v>1.5</v>
      </c>
      <c r="X43" s="124">
        <f t="shared" si="1"/>
        <v>71.666666666666671</v>
      </c>
      <c r="Y43" s="114" t="s">
        <v>2269</v>
      </c>
      <c r="Z43" s="114"/>
      <c r="AA43" s="114"/>
      <c r="AB43" s="114"/>
      <c r="AC43" s="289"/>
      <c r="AD43" s="114"/>
      <c r="AE43" s="114" t="str">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Aman"),IF(includeprebc,$S43="Pre-BC"),IF(includesunwell,$S43="Sunwell"))),MAX($AE$2:AE42)+1,"")</f>
        <v/>
      </c>
      <c r="AF43" s="114" t="str">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Aman"),IF(includeprebc,$S43="Pre-BC"),IF(includesunwell,$S43="Sunwell"))),MAX($AF$1:AF42)+1,"")</f>
        <v/>
      </c>
      <c r="AG43" s="114"/>
      <c r="AK43" s="48">
        <v>41</v>
      </c>
      <c r="AL43" s="151" t="str">
        <f>IF('Gear &amp; Buffs'!$Y$47="Dagger",IF(ISNA(INDEX($A$2:$A$54,MATCH(AK43,AE$2:AE$54,0))),"",INDEX($A$2:$A$54,MATCH(AK43,AE$2:AE$54,0))),"")&amp;
IF('Gear &amp; Buffs'!$Y$47="Sword",IF(ISNA(INDEX($A$56:$A$100,MATCH(AK43,AE$56:AE$100,0))),"",INDEX($A$56:$A$100,MATCH(AK43,AE$56:AE$100,0))),"")&amp;
IF('Gear &amp; Buffs'!$Y$47="Fist",IF(ISNA(INDEX($A$102:$A$119,MATCH(AK43,AE$102:AE$119,0))),"",INDEX($A$102:$A$119,MATCH(AK43,AE$102:AE$119,0))),"")&amp;
IF('Gear &amp; Buffs'!$Y$47="Mace",IF(ISNA(INDEX($A$121:$A$148,MATCH(AK43,AE$121:AE$148,0))),"",INDEX($A$121:$A$148,MATCH(AK43,AE$121:AE$148,0))),"")&amp;
IF('Gear &amp; Buffs'!$Y$47="All",IF(ISNA(INDEX($A$2:$A$148,MATCH(AK43,AF$2:AF$148,0))),"",INDEX($A$2:$A$148,MATCH(AK43,AF$2:AF$148,0))),"")</f>
        <v>Gressil, Dawn of Ruin</v>
      </c>
      <c r="AQ43" s="808">
        <v>4</v>
      </c>
      <c r="AR43" s="10" t="s">
        <v>2274</v>
      </c>
      <c r="AS43" s="10" t="s">
        <v>448</v>
      </c>
      <c r="AT43" s="114">
        <f>IF(AT33=4,(AT39+'Damage Calc'!K49*'Damage Calc'!L49*AT36*AT34)*fullresist,0)</f>
        <v>0</v>
      </c>
      <c r="AU43" s="10"/>
      <c r="AV43" s="807">
        <f>IF(AV33=4,(AV39+'Damage Calc'!M49*'Damage Calc'!N49*AV36*AV34)*fullresist,0)</f>
        <v>0</v>
      </c>
    </row>
    <row r="44" spans="1:48">
      <c r="A44" s="10" t="s">
        <v>854</v>
      </c>
      <c r="B44" s="114">
        <v>27463</v>
      </c>
      <c r="C44" s="114">
        <v>1</v>
      </c>
      <c r="D44" s="114"/>
      <c r="E44" s="114"/>
      <c r="F44" s="114">
        <v>34</v>
      </c>
      <c r="G44" s="115"/>
      <c r="H44" s="115">
        <v>14</v>
      </c>
      <c r="I44" s="115"/>
      <c r="J44" s="114"/>
      <c r="K44" s="116"/>
      <c r="L44" s="114">
        <v>15</v>
      </c>
      <c r="M44" s="116"/>
      <c r="N44" s="114"/>
      <c r="O44" s="116"/>
      <c r="P44" s="114"/>
      <c r="Q44" s="114" t="s">
        <v>1033</v>
      </c>
      <c r="R44" s="114"/>
      <c r="S44" s="114" t="s">
        <v>691</v>
      </c>
      <c r="T44" s="114">
        <v>103</v>
      </c>
      <c r="U44" s="116">
        <v>155</v>
      </c>
      <c r="V44" s="155">
        <f t="shared" si="0"/>
        <v>129</v>
      </c>
      <c r="W44" s="155">
        <v>1.8</v>
      </c>
      <c r="X44" s="124">
        <f t="shared" si="1"/>
        <v>71.666666666666671</v>
      </c>
      <c r="Y44" s="114" t="s">
        <v>2269</v>
      </c>
      <c r="Z44" s="114"/>
      <c r="AA44" s="114"/>
      <c r="AB44" s="114"/>
      <c r="AC44" s="289"/>
      <c r="AD44" s="114"/>
      <c r="AE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Aman"),IF(includeprebc,$S44="Pre-BC"),IF(includesunwell,$S44="Sunwell"))),MAX($AE$2:AE43)+1,"")</f>
        <v>25</v>
      </c>
      <c r="AF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Aman"),IF(includeprebc,$S44="Pre-BC"),IF(includesunwell,$S44="Sunwell"))),MAX($AF$1:AF43)+1,"")</f>
        <v>25</v>
      </c>
      <c r="AG44" s="114"/>
      <c r="AK44" s="48">
        <v>42</v>
      </c>
      <c r="AL44" s="151" t="str">
        <f>IF('Gear &amp; Buffs'!$Y$47="Dagger",IF(ISNA(INDEX($A$2:$A$54,MATCH(AK44,AE$2:AE$54,0))),"",INDEX($A$2:$A$54,MATCH(AK44,AE$2:AE$54,0))),"")&amp;
IF('Gear &amp; Buffs'!$Y$47="Sword",IF(ISNA(INDEX($A$56:$A$100,MATCH(AK44,AE$56:AE$100,0))),"",INDEX($A$56:$A$100,MATCH(AK44,AE$56:AE$100,0))),"")&amp;
IF('Gear &amp; Buffs'!$Y$47="Fist",IF(ISNA(INDEX($A$102:$A$119,MATCH(AK44,AE$102:AE$119,0))),"",INDEX($A$102:$A$119,MATCH(AK44,AE$102:AE$119,0))),"")&amp;
IF('Gear &amp; Buffs'!$Y$47="Mace",IF(ISNA(INDEX($A$121:$A$148,MATCH(AK44,AE$121:AE$148,0))),"",INDEX($A$121:$A$148,MATCH(AK44,AE$121:AE$148,0))),"")&amp;
IF('Gear &amp; Buffs'!$Y$47="All",IF(ISNA(INDEX($A$2:$A$148,MATCH(AK44,AF$2:AF$148,0))),"",INDEX($A$2:$A$148,MATCH(AK44,AF$2:AF$148,0))),"")</f>
        <v>High Warlord's Blade (60)</v>
      </c>
      <c r="AQ44" s="808">
        <v>5</v>
      </c>
      <c r="AR44" s="10" t="s">
        <v>2277</v>
      </c>
      <c r="AS44" s="10" t="s">
        <v>1736</v>
      </c>
      <c r="AT44" s="114">
        <f>IF(AT33=5,(AT39)*fullresist,0)</f>
        <v>0</v>
      </c>
      <c r="AU44" s="10"/>
      <c r="AV44" s="807">
        <f>IF(AV33=5,(AV39)*fullresist,0)</f>
        <v>0</v>
      </c>
    </row>
    <row r="45" spans="1:48" ht="12" thickBot="1">
      <c r="A45" s="10" t="s">
        <v>1370</v>
      </c>
      <c r="B45" s="114">
        <v>31331</v>
      </c>
      <c r="C45" s="114">
        <v>1</v>
      </c>
      <c r="D45" s="114"/>
      <c r="E45" s="114"/>
      <c r="F45" s="114"/>
      <c r="G45" s="115"/>
      <c r="H45" s="115"/>
      <c r="I45" s="115"/>
      <c r="J45" s="114"/>
      <c r="K45" s="116"/>
      <c r="L45" s="114"/>
      <c r="M45" s="116"/>
      <c r="N45" s="114"/>
      <c r="O45" s="116"/>
      <c r="P45" s="114"/>
      <c r="Q45" s="114" t="s">
        <v>1033</v>
      </c>
      <c r="R45" s="114"/>
      <c r="S45" s="114" t="s">
        <v>674</v>
      </c>
      <c r="T45" s="114">
        <v>117</v>
      </c>
      <c r="U45" s="116">
        <v>176</v>
      </c>
      <c r="V45" s="155">
        <f t="shared" si="0"/>
        <v>146.5</v>
      </c>
      <c r="W45" s="155">
        <v>1.8</v>
      </c>
      <c r="X45" s="124">
        <f t="shared" si="1"/>
        <v>81.388888888888886</v>
      </c>
      <c r="Y45" s="114" t="s">
        <v>2269</v>
      </c>
      <c r="Z45" s="114"/>
      <c r="AA45" s="114"/>
      <c r="AB45" s="114"/>
      <c r="AC45" s="289" t="s">
        <v>1369</v>
      </c>
      <c r="AD45" s="114"/>
      <c r="AE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Aman"),IF(includeprebc,$S45="Pre-BC"),IF(includesunwell,$S45="Sunwell"))),MAX($AE$2:AE44)+1,"")</f>
        <v>26</v>
      </c>
      <c r="AF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Aman"),IF(includeprebc,$S45="Pre-BC"),IF(includesunwell,$S45="Sunwell"))),MAX($AF$1:AF44)+1,"")</f>
        <v>26</v>
      </c>
      <c r="AG45" s="114"/>
      <c r="AI45" s="114"/>
      <c r="AJ45" s="114"/>
      <c r="AK45" s="48">
        <v>43</v>
      </c>
      <c r="AL45" s="151" t="str">
        <f>IF('Gear &amp; Buffs'!$Y$47="Dagger",IF(ISNA(INDEX($A$2:$A$54,MATCH(AK45,AE$2:AE$54,0))),"",INDEX($A$2:$A$54,MATCH(AK45,AE$2:AE$54,0))),"")&amp;
IF('Gear &amp; Buffs'!$Y$47="Sword",IF(ISNA(INDEX($A$56:$A$100,MATCH(AK45,AE$56:AE$100,0))),"",INDEX($A$56:$A$100,MATCH(AK45,AE$56:AE$100,0))),"")&amp;
IF('Gear &amp; Buffs'!$Y$47="Fist",IF(ISNA(INDEX($A$102:$A$119,MATCH(AK45,AE$102:AE$119,0))),"",INDEX($A$102:$A$119,MATCH(AK45,AE$102:AE$119,0))),"")&amp;
IF('Gear &amp; Buffs'!$Y$47="Mace",IF(ISNA(INDEX($A$121:$A$148,MATCH(AK45,AE$121:AE$148,0))),"",INDEX($A$121:$A$148,MATCH(AK45,AE$121:AE$148,0))),"")&amp;
IF('Gear &amp; Buffs'!$Y$47="All",IF(ISNA(INDEX($A$2:$A$148,MATCH(AK45,AF$2:AF$148,0))),"",INDEX($A$2:$A$148,MATCH(AK45,AF$2:AF$148,0))),"")</f>
        <v>High Warlord's Quickblade</v>
      </c>
      <c r="AM45" s="114"/>
      <c r="AN45" s="114"/>
      <c r="AO45" s="114"/>
      <c r="AP45" s="114"/>
      <c r="AQ45" s="809"/>
      <c r="AR45" s="810"/>
      <c r="AS45" s="810"/>
      <c r="AT45" s="810">
        <f>SUM(AT40:AT44)</f>
        <v>0</v>
      </c>
      <c r="AU45" s="811"/>
      <c r="AV45" s="812">
        <f>SUM(AV40:AV44)</f>
        <v>0</v>
      </c>
    </row>
    <row r="46" spans="1:48">
      <c r="A46" s="10" t="s">
        <v>1371</v>
      </c>
      <c r="B46" s="114">
        <v>28226</v>
      </c>
      <c r="C46" s="114">
        <v>1</v>
      </c>
      <c r="D46" s="114"/>
      <c r="E46" s="114"/>
      <c r="F46" s="114">
        <v>30</v>
      </c>
      <c r="G46" s="115"/>
      <c r="H46" s="115"/>
      <c r="I46" s="115"/>
      <c r="J46" s="114"/>
      <c r="K46" s="116">
        <v>15</v>
      </c>
      <c r="L46" s="114">
        <v>13</v>
      </c>
      <c r="M46" s="116"/>
      <c r="N46" s="114"/>
      <c r="O46" s="116"/>
      <c r="P46" s="114"/>
      <c r="Q46" s="114" t="s">
        <v>1033</v>
      </c>
      <c r="R46" s="114"/>
      <c r="S46" s="114" t="s">
        <v>691</v>
      </c>
      <c r="T46" s="114">
        <v>80</v>
      </c>
      <c r="U46" s="116">
        <v>121</v>
      </c>
      <c r="V46" s="155">
        <f t="shared" si="0"/>
        <v>100.5</v>
      </c>
      <c r="W46" s="155">
        <v>1.4</v>
      </c>
      <c r="X46" s="124">
        <f t="shared" si="1"/>
        <v>71.785714285714292</v>
      </c>
      <c r="Y46" s="114" t="s">
        <v>2269</v>
      </c>
      <c r="Z46" s="114"/>
      <c r="AA46" s="114"/>
      <c r="AB46" s="114"/>
      <c r="AC46" s="289"/>
      <c r="AD46" s="114"/>
      <c r="AE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Aman"),IF(includeprebc,$S46="Pre-BC"),IF(includesunwell,$S46="Sunwell"))),MAX($AE$2:AE45)+1,"")</f>
        <v>27</v>
      </c>
      <c r="AF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Aman"),IF(includeprebc,$S46="Pre-BC"),IF(includesunwell,$S46="Sunwell"))),MAX($AF$1:AF45)+1,"")</f>
        <v>27</v>
      </c>
      <c r="AG46" s="114"/>
      <c r="AI46" s="114"/>
      <c r="AJ46" s="114"/>
      <c r="AK46" s="48">
        <v>44</v>
      </c>
      <c r="AL46" s="151" t="str">
        <f>IF('Gear &amp; Buffs'!$Y$47="Dagger",IF(ISNA(INDEX($A$2:$A$54,MATCH(AK46,AE$2:AE$54,0))),"",INDEX($A$2:$A$54,MATCH(AK46,AE$2:AE$54,0))),"")&amp;
IF('Gear &amp; Buffs'!$Y$47="Sword",IF(ISNA(INDEX($A$56:$A$100,MATCH(AK46,AE$56:AE$100,0))),"",INDEX($A$56:$A$100,MATCH(AK46,AE$56:AE$100,0))),"")&amp;
IF('Gear &amp; Buffs'!$Y$47="Fist",IF(ISNA(INDEX($A$102:$A$119,MATCH(AK46,AE$102:AE$119,0))),"",INDEX($A$102:$A$119,MATCH(AK46,AE$102:AE$119,0))),"")&amp;
IF('Gear &amp; Buffs'!$Y$47="Mace",IF(ISNA(INDEX($A$121:$A$148,MATCH(AK46,AE$121:AE$148,0))),"",INDEX($A$121:$A$148,MATCH(AK46,AE$121:AE$148,0))),"")&amp;
IF('Gear &amp; Buffs'!$Y$47="All",IF(ISNA(INDEX($A$2:$A$148,MATCH(AK46,AF$2:AF$148,0))),"",INDEX($A$2:$A$148,MATCH(AK46,AF$2:AF$148,0))),"")</f>
        <v>High Warlord's Slicer</v>
      </c>
      <c r="AM46" s="114"/>
      <c r="AN46" s="114"/>
      <c r="AO46" s="114"/>
      <c r="AP46" s="114"/>
    </row>
    <row r="47" spans="1:48">
      <c r="A47" s="10" t="s">
        <v>1372</v>
      </c>
      <c r="B47" s="114">
        <v>30865</v>
      </c>
      <c r="C47" s="114">
        <v>3</v>
      </c>
      <c r="D47" s="114"/>
      <c r="E47" s="114"/>
      <c r="F47" s="114">
        <v>44</v>
      </c>
      <c r="G47" s="115">
        <v>23</v>
      </c>
      <c r="H47" s="115">
        <v>20</v>
      </c>
      <c r="I47" s="115"/>
      <c r="J47" s="114"/>
      <c r="K47" s="116"/>
      <c r="L47" s="114"/>
      <c r="M47" s="116"/>
      <c r="N47" s="114"/>
      <c r="O47" s="116"/>
      <c r="P47" s="114"/>
      <c r="Q47" s="114" t="s">
        <v>1033</v>
      </c>
      <c r="R47" s="114"/>
      <c r="S47" s="114" t="s">
        <v>684</v>
      </c>
      <c r="T47" s="114">
        <v>105</v>
      </c>
      <c r="U47" s="116">
        <v>196</v>
      </c>
      <c r="V47" s="155">
        <f t="shared" si="0"/>
        <v>150.5</v>
      </c>
      <c r="W47" s="155">
        <v>1.5</v>
      </c>
      <c r="X47" s="124">
        <f t="shared" si="1"/>
        <v>100.33333333333333</v>
      </c>
      <c r="Y47" s="114" t="s">
        <v>2269</v>
      </c>
      <c r="Z47" s="114"/>
      <c r="AA47" s="114"/>
      <c r="AB47" s="114"/>
      <c r="AC47" s="289"/>
      <c r="AD47" s="114"/>
      <c r="AE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Aman"),IF(includeprebc,$S47="Pre-BC"),IF(includesunwell,$S47="Sunwell"))),MAX($AE$2:AE46)+1,"")</f>
        <v/>
      </c>
      <c r="AF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Aman"),IF(includeprebc,$S47="Pre-BC"),IF(includesunwell,$S47="Sunwell"))),MAX($AF$1:AF46)+1,"")</f>
        <v/>
      </c>
      <c r="AG47" s="114"/>
      <c r="AK47" s="48">
        <v>45</v>
      </c>
      <c r="AL47" s="151" t="str">
        <f>IF('Gear &amp; Buffs'!$Y$47="Dagger",IF(ISNA(INDEX($A$2:$A$54,MATCH(AK47,AE$2:AE$54,0))),"",INDEX($A$2:$A$54,MATCH(AK47,AE$2:AE$54,0))),"")&amp;
IF('Gear &amp; Buffs'!$Y$47="Sword",IF(ISNA(INDEX($A$56:$A$100,MATCH(AK47,AE$56:AE$100,0))),"",INDEX($A$56:$A$100,MATCH(AK47,AE$56:AE$100,0))),"")&amp;
IF('Gear &amp; Buffs'!$Y$47="Fist",IF(ISNA(INDEX($A$102:$A$119,MATCH(AK47,AE$102:AE$119,0))),"",INDEX($A$102:$A$119,MATCH(AK47,AE$102:AE$119,0))),"")&amp;
IF('Gear &amp; Buffs'!$Y$47="Mace",IF(ISNA(INDEX($A$121:$A$148,MATCH(AK47,AE$121:AE$148,0))),"",INDEX($A$121:$A$148,MATCH(AK47,AE$121:AE$148,0))),"")&amp;
IF('Gear &amp; Buffs'!$Y$47="All",IF(ISNA(INDEX($A$2:$A$148,MATCH(AK47,AF$2:AF$148,0))),"",INDEX($A$2:$A$148,MATCH(AK47,AF$2:AF$148,0))),"")</f>
        <v>Honor's Call</v>
      </c>
      <c r="AM47" s="114"/>
      <c r="AN47" s="114"/>
      <c r="AO47" s="114"/>
      <c r="AP47" s="114"/>
    </row>
    <row r="48" spans="1:48">
      <c r="A48" s="10" t="s">
        <v>645</v>
      </c>
      <c r="B48" s="114">
        <v>27814</v>
      </c>
      <c r="C48" s="114">
        <v>1</v>
      </c>
      <c r="D48" s="114"/>
      <c r="E48" s="114"/>
      <c r="F48" s="114"/>
      <c r="G48" s="115">
        <v>21</v>
      </c>
      <c r="H48" s="115"/>
      <c r="I48" s="115"/>
      <c r="J48" s="114"/>
      <c r="K48" s="116">
        <v>11</v>
      </c>
      <c r="L48" s="114">
        <v>12</v>
      </c>
      <c r="M48" s="116"/>
      <c r="N48" s="114"/>
      <c r="O48" s="116"/>
      <c r="P48" s="114"/>
      <c r="Q48" s="114" t="s">
        <v>1033</v>
      </c>
      <c r="R48" s="114"/>
      <c r="S48" s="114" t="s">
        <v>691</v>
      </c>
      <c r="T48" s="114">
        <v>80</v>
      </c>
      <c r="U48" s="116">
        <v>121</v>
      </c>
      <c r="V48" s="155">
        <f t="shared" si="0"/>
        <v>100.5</v>
      </c>
      <c r="W48" s="155">
        <v>1.4</v>
      </c>
      <c r="X48" s="124">
        <f t="shared" si="1"/>
        <v>71.785714285714292</v>
      </c>
      <c r="Y48" s="114" t="s">
        <v>2269</v>
      </c>
      <c r="Z48" s="114"/>
      <c r="AA48" s="114"/>
      <c r="AB48" s="114"/>
      <c r="AC48" s="289"/>
      <c r="AD48" s="114"/>
      <c r="AE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Aman"),IF(includeprebc,$S48="Pre-BC"),IF(includesunwell,$S48="Sunwell"))),MAX($AE$2:AE47)+1,"")</f>
        <v>28</v>
      </c>
      <c r="AF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Aman"),IF(includeprebc,$S48="Pre-BC"),IF(includesunwell,$S48="Sunwell"))),MAX($AF$1:AF47)+1,"")</f>
        <v>28</v>
      </c>
      <c r="AG48" s="114"/>
      <c r="AK48" s="48">
        <v>46</v>
      </c>
      <c r="AL48" s="151" t="str">
        <f>IF('Gear &amp; Buffs'!$Y$47="Dagger",IF(ISNA(INDEX($A$2:$A$54,MATCH(AK48,AE$2:AE$54,0))),"",INDEX($A$2:$A$54,MATCH(AK48,AE$2:AE$54,0))),"")&amp;
IF('Gear &amp; Buffs'!$Y$47="Sword",IF(ISNA(INDEX($A$56:$A$100,MATCH(AK48,AE$56:AE$100,0))),"",INDEX($A$56:$A$100,MATCH(AK48,AE$56:AE$100,0))),"")&amp;
IF('Gear &amp; Buffs'!$Y$47="Fist",IF(ISNA(INDEX($A$102:$A$119,MATCH(AK48,AE$102:AE$119,0))),"",INDEX($A$102:$A$119,MATCH(AK48,AE$102:AE$119,0))),"")&amp;
IF('Gear &amp; Buffs'!$Y$47="Mace",IF(ISNA(INDEX($A$121:$A$148,MATCH(AK48,AE$121:AE$148,0))),"",INDEX($A$121:$A$148,MATCH(AK48,AE$121:AE$148,0))),"")&amp;
IF('Gear &amp; Buffs'!$Y$47="All",IF(ISNA(INDEX($A$2:$A$148,MATCH(AK48,AF$2:AF$148,0))),"",INDEX($A$2:$A$148,MATCH(AK48,AF$2:AF$148,0))),"")</f>
        <v>Hope Ender</v>
      </c>
      <c r="AM48" s="114"/>
      <c r="AN48" s="114"/>
      <c r="AO48" s="114"/>
      <c r="AP48" s="114"/>
    </row>
    <row r="49" spans="1:48">
      <c r="A49" s="10" t="s">
        <v>1436</v>
      </c>
      <c r="B49" s="114">
        <v>33493</v>
      </c>
      <c r="C49" s="114">
        <v>4</v>
      </c>
      <c r="D49" s="114"/>
      <c r="E49" s="114">
        <v>12</v>
      </c>
      <c r="F49" s="114"/>
      <c r="G49" s="115"/>
      <c r="H49" s="115">
        <v>13</v>
      </c>
      <c r="I49" s="115"/>
      <c r="J49" s="114"/>
      <c r="K49" s="116"/>
      <c r="L49" s="114">
        <v>30</v>
      </c>
      <c r="M49" s="116"/>
      <c r="N49" s="114"/>
      <c r="O49" s="116"/>
      <c r="P49" s="114"/>
      <c r="Q49" s="114" t="s">
        <v>1045</v>
      </c>
      <c r="R49" s="114" t="s">
        <v>1465</v>
      </c>
      <c r="S49" s="114" t="s">
        <v>664</v>
      </c>
      <c r="T49" s="114">
        <v>137</v>
      </c>
      <c r="U49" s="116">
        <v>207</v>
      </c>
      <c r="V49" s="155">
        <f t="shared" si="0"/>
        <v>172</v>
      </c>
      <c r="W49" s="155">
        <v>1.8</v>
      </c>
      <c r="X49" s="124">
        <f t="shared" si="1"/>
        <v>95.555555555555557</v>
      </c>
      <c r="Y49" s="114" t="s">
        <v>2269</v>
      </c>
      <c r="Z49" s="114"/>
      <c r="AA49" s="114"/>
      <c r="AB49" s="114"/>
      <c r="AC49" s="289"/>
      <c r="AD49" s="114"/>
      <c r="AE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Aman"),IF(includeprebc,$S49="Pre-BC"),IF(includesunwell,$S49="Sunwell"))),MAX($AE$2:AE48)+1,"")</f>
        <v/>
      </c>
      <c r="AF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Aman"),IF(includeprebc,$S49="Pre-BC"),IF(includesunwell,$S49="Sunwell"))),MAX($AF$1:AF48)+1,"")</f>
        <v/>
      </c>
      <c r="AG49" s="114"/>
      <c r="AK49" s="48">
        <v>47</v>
      </c>
      <c r="AL49" s="151" t="str">
        <f>IF('Gear &amp; Buffs'!$Y$47="Dagger",IF(ISNA(INDEX($A$2:$A$54,MATCH(AK49,AE$2:AE$54,0))),"",INDEX($A$2:$A$54,MATCH(AK49,AE$2:AE$54,0))),"")&amp;
IF('Gear &amp; Buffs'!$Y$47="Sword",IF(ISNA(INDEX($A$56:$A$100,MATCH(AK49,AE$56:AE$100,0))),"",INDEX($A$56:$A$100,MATCH(AK49,AE$56:AE$100,0))),"")&amp;
IF('Gear &amp; Buffs'!$Y$47="Fist",IF(ISNA(INDEX($A$102:$A$119,MATCH(AK49,AE$102:AE$119,0))),"",INDEX($A$102:$A$119,MATCH(AK49,AE$102:AE$119,0))),"")&amp;
IF('Gear &amp; Buffs'!$Y$47="Mace",IF(ISNA(INDEX($A$121:$A$148,MATCH(AK49,AE$121:AE$148,0))),"",INDEX($A$121:$A$148,MATCH(AK49,AE$121:AE$148,0))),"")&amp;
IF('Gear &amp; Buffs'!$Y$47="All",IF(ISNA(INDEX($A$2:$A$148,MATCH(AK49,AF$2:AF$148,0))),"",INDEX($A$2:$A$148,MATCH(AK49,AF$2:AF$148,0))),"")</f>
        <v>Illidari-Bane Broadsword</v>
      </c>
      <c r="AM49" s="114"/>
      <c r="AN49" s="114"/>
      <c r="AO49" s="156"/>
      <c r="AP49" s="114"/>
    </row>
    <row r="50" spans="1:48">
      <c r="A50" s="10" t="s">
        <v>1765</v>
      </c>
      <c r="B50" s="114">
        <v>33754</v>
      </c>
      <c r="C50" s="114">
        <v>3</v>
      </c>
      <c r="D50" s="114"/>
      <c r="E50" s="114"/>
      <c r="F50" s="114">
        <v>34</v>
      </c>
      <c r="G50" s="115">
        <v>21</v>
      </c>
      <c r="H50" s="115">
        <v>8</v>
      </c>
      <c r="I50" s="847"/>
      <c r="J50" s="114">
        <v>49</v>
      </c>
      <c r="K50" s="116"/>
      <c r="L50" s="114">
        <v>30</v>
      </c>
      <c r="M50" s="116"/>
      <c r="N50" s="114">
        <v>12</v>
      </c>
      <c r="O50" s="116"/>
      <c r="P50" s="114"/>
      <c r="Q50" s="114" t="s">
        <v>1033</v>
      </c>
      <c r="R50" s="114"/>
      <c r="S50" s="114" t="s">
        <v>677</v>
      </c>
      <c r="T50" s="114">
        <v>148</v>
      </c>
      <c r="U50" s="116">
        <v>223</v>
      </c>
      <c r="V50" s="155">
        <f t="shared" si="0"/>
        <v>185.5</v>
      </c>
      <c r="W50" s="155">
        <v>1.8</v>
      </c>
      <c r="X50" s="124">
        <f t="shared" si="1"/>
        <v>103.05555555555556</v>
      </c>
      <c r="Y50" s="114" t="s">
        <v>2269</v>
      </c>
      <c r="Z50" s="114"/>
      <c r="AA50" s="114"/>
      <c r="AB50" s="114"/>
      <c r="AC50" s="289"/>
      <c r="AD50" s="791"/>
      <c r="AE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Aman"),IF(includeprebc,$S50="Pre-BC"),IF(includesunwell,$S50="Sunwell"))),MAX($AE$2:AE49)+1,"")</f>
        <v/>
      </c>
      <c r="AF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Aman"),IF(includeprebc,$S50="Pre-BC"),IF(includesunwell,$S50="Sunwell"))),MAX($AF$1:AF49)+1,"")</f>
        <v/>
      </c>
      <c r="AG50" s="114"/>
      <c r="AK50" s="48">
        <v>48</v>
      </c>
      <c r="AL50" s="151" t="str">
        <f>IF('Gear &amp; Buffs'!$Y$47="Dagger",IF(ISNA(INDEX($A$2:$A$54,MATCH(AK50,AE$2:AE$54,0))),"",INDEX($A$2:$A$54,MATCH(AK50,AE$2:AE$54,0))),"")&amp;
IF('Gear &amp; Buffs'!$Y$47="Sword",IF(ISNA(INDEX($A$56:$A$100,MATCH(AK50,AE$56:AE$100,0))),"",INDEX($A$56:$A$100,MATCH(AK50,AE$56:AE$100,0))),"")&amp;
IF('Gear &amp; Buffs'!$Y$47="Fist",IF(ISNA(INDEX($A$102:$A$119,MATCH(AK50,AE$102:AE$119,0))),"",INDEX($A$102:$A$119,MATCH(AK50,AE$102:AE$119,0))),"")&amp;
IF('Gear &amp; Buffs'!$Y$47="Mace",IF(ISNA(INDEX($A$121:$A$148,MATCH(AK50,AE$121:AE$148,0))),"",INDEX($A$121:$A$148,MATCH(AK50,AE$121:AE$148,0))),"")&amp;
IF('Gear &amp; Buffs'!$Y$47="All",IF(ISNA(INDEX($A$2:$A$148,MATCH(AK50,AF$2:AF$148,0))),"",INDEX($A$2:$A$148,MATCH(AK50,AF$2:AF$148,0))),"")</f>
        <v>King's Defender</v>
      </c>
      <c r="AM50" s="114"/>
      <c r="AN50" s="114"/>
      <c r="AO50" s="156"/>
      <c r="AP50" s="114"/>
    </row>
    <row r="51" spans="1:48">
      <c r="A51" s="10" t="s">
        <v>1373</v>
      </c>
      <c r="B51" s="114">
        <v>29360</v>
      </c>
      <c r="C51" s="114">
        <v>1</v>
      </c>
      <c r="D51" s="114"/>
      <c r="E51" s="114"/>
      <c r="F51" s="114">
        <v>60</v>
      </c>
      <c r="G51" s="115"/>
      <c r="H51" s="115"/>
      <c r="I51" s="115"/>
      <c r="J51" s="114"/>
      <c r="K51" s="116"/>
      <c r="L51" s="114"/>
      <c r="M51" s="116"/>
      <c r="N51" s="114"/>
      <c r="O51" s="116"/>
      <c r="P51" s="114"/>
      <c r="Q51" s="114" t="s">
        <v>1033</v>
      </c>
      <c r="R51" s="114"/>
      <c r="S51" s="114" t="s">
        <v>691</v>
      </c>
      <c r="T51" s="114">
        <v>120</v>
      </c>
      <c r="U51" s="116">
        <v>181</v>
      </c>
      <c r="V51" s="155">
        <f t="shared" si="0"/>
        <v>150.5</v>
      </c>
      <c r="W51" s="155">
        <v>1.8</v>
      </c>
      <c r="X51" s="124">
        <f t="shared" si="1"/>
        <v>83.611111111111114</v>
      </c>
      <c r="Y51" s="114" t="s">
        <v>2269</v>
      </c>
      <c r="Z51" s="114"/>
      <c r="AA51" s="114"/>
      <c r="AB51" s="114"/>
      <c r="AC51" s="289"/>
      <c r="AD51" s="114"/>
      <c r="AE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Aman"),IF(includeprebc,$S51="Pre-BC"),IF(includesunwell,$S51="Sunwell"))),MAX($AE$2:AE50)+1,"")</f>
        <v>29</v>
      </c>
      <c r="AF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Aman"),IF(includeprebc,$S51="Pre-BC"),IF(includesunwell,$S51="Sunwell"))),MAX($AF$1:AF50)+1,"")</f>
        <v>29</v>
      </c>
      <c r="AG51" s="114"/>
      <c r="AK51" s="48">
        <v>49</v>
      </c>
      <c r="AL51" s="151" t="str">
        <f>IF('Gear &amp; Buffs'!$Y$47="Dagger",IF(ISNA(INDEX($A$2:$A$54,MATCH(AK51,AE$2:AE$54,0))),"",INDEX($A$2:$A$54,MATCH(AK51,AE$2:AE$54,0))),"")&amp;
IF('Gear &amp; Buffs'!$Y$47="Sword",IF(ISNA(INDEX($A$56:$A$100,MATCH(AK51,AE$56:AE$100,0))),"",INDEX($A$56:$A$100,MATCH(AK51,AE$56:AE$100,0))),"")&amp;
IF('Gear &amp; Buffs'!$Y$47="Fist",IF(ISNA(INDEX($A$102:$A$119,MATCH(AK51,AE$102:AE$119,0))),"",INDEX($A$102:$A$119,MATCH(AK51,AE$102:AE$119,0))),"")&amp;
IF('Gear &amp; Buffs'!$Y$47="Mace",IF(ISNA(INDEX($A$121:$A$148,MATCH(AK51,AE$121:AE$148,0))),"",INDEX($A$121:$A$148,MATCH(AK51,AE$121:AE$148,0))),"")&amp;
IF('Gear &amp; Buffs'!$Y$47="All",IF(ISNA(INDEX($A$2:$A$148,MATCH(AK51,AF$2:AF$148,0))),"",INDEX($A$2:$A$148,MATCH(AK51,AF$2:AF$148,0))),"")</f>
        <v>Latro's Shifting Sword</v>
      </c>
      <c r="AM51" s="124"/>
      <c r="AN51" s="124"/>
      <c r="AO51" s="124"/>
      <c r="AP51" s="114"/>
    </row>
    <row r="52" spans="1:48">
      <c r="A52" s="10" t="s">
        <v>1374</v>
      </c>
      <c r="B52" s="114">
        <v>28345</v>
      </c>
      <c r="C52" s="114">
        <v>1</v>
      </c>
      <c r="D52" s="114"/>
      <c r="E52" s="114">
        <v>16</v>
      </c>
      <c r="F52" s="114"/>
      <c r="G52" s="115"/>
      <c r="H52" s="115">
        <v>15</v>
      </c>
      <c r="I52" s="115"/>
      <c r="J52" s="114"/>
      <c r="K52" s="116"/>
      <c r="L52" s="114">
        <v>13</v>
      </c>
      <c r="M52" s="116"/>
      <c r="N52" s="114"/>
      <c r="O52" s="116"/>
      <c r="P52" s="114"/>
      <c r="Q52" s="114" t="s">
        <v>1033</v>
      </c>
      <c r="R52" s="124"/>
      <c r="S52" s="114" t="s">
        <v>673</v>
      </c>
      <c r="T52" s="114">
        <v>74</v>
      </c>
      <c r="U52" s="116">
        <v>112</v>
      </c>
      <c r="V52" s="155">
        <f t="shared" si="0"/>
        <v>93</v>
      </c>
      <c r="W52" s="155">
        <v>1.3</v>
      </c>
      <c r="X52" s="124">
        <f t="shared" si="1"/>
        <v>71.538461538461533</v>
      </c>
      <c r="Y52" s="115" t="s">
        <v>2269</v>
      </c>
      <c r="Z52" s="114"/>
      <c r="AA52" s="114"/>
      <c r="AB52" s="114"/>
      <c r="AC52" s="289"/>
      <c r="AD52" s="115"/>
      <c r="AE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Aman"),IF(includeprebc,$S52="Pre-BC"),IF(includesunwell,$S52="Sunwell"))),MAX($AE$2:AE51)+1,"")</f>
        <v>30</v>
      </c>
      <c r="AF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Aman"),IF(includeprebc,$S52="Pre-BC"),IF(includesunwell,$S52="Sunwell"))),MAX($AF$1:AF51)+1,"")</f>
        <v>30</v>
      </c>
      <c r="AG52" s="114"/>
      <c r="AK52" s="48">
        <v>50</v>
      </c>
      <c r="AL52" s="151" t="str">
        <f>IF('Gear &amp; Buffs'!$Y$47="Dagger",IF(ISNA(INDEX($A$2:$A$54,MATCH(AK52,AE$2:AE$54,0))),"",INDEX($A$2:$A$54,MATCH(AK52,AE$2:AE$54,0))),"")&amp;
IF('Gear &amp; Buffs'!$Y$47="Sword",IF(ISNA(INDEX($A$56:$A$100,MATCH(AK52,AE$56:AE$100,0))),"",INDEX($A$56:$A$100,MATCH(AK52,AE$56:AE$100,0))),"")&amp;
IF('Gear &amp; Buffs'!$Y$47="Fist",IF(ISNA(INDEX($A$102:$A$119,MATCH(AK52,AE$102:AE$119,0))),"",INDEX($A$102:$A$119,MATCH(AK52,AE$102:AE$119,0))),"")&amp;
IF('Gear &amp; Buffs'!$Y$47="Mace",IF(ISNA(INDEX($A$121:$A$148,MATCH(AK52,AE$121:AE$148,0))),"",INDEX($A$121:$A$148,MATCH(AK52,AE$121:AE$148,0))),"")&amp;
IF('Gear &amp; Buffs'!$Y$47="All",IF(ISNA(INDEX($A$2:$A$148,MATCH(AK52,AF$2:AF$148,0))),"",INDEX($A$2:$A$148,MATCH(AK52,AF$2:AF$148,0))),"")</f>
        <v>Phosphorescent Blade</v>
      </c>
      <c r="AM52" s="124"/>
      <c r="AN52" s="114"/>
      <c r="AO52" s="124"/>
      <c r="AP52" s="114"/>
    </row>
    <row r="53" spans="1:48">
      <c r="A53" s="10" t="s">
        <v>1375</v>
      </c>
      <c r="B53" s="114">
        <v>27913</v>
      </c>
      <c r="C53" s="114">
        <v>1</v>
      </c>
      <c r="D53" s="114"/>
      <c r="E53" s="114"/>
      <c r="F53" s="114">
        <v>26</v>
      </c>
      <c r="G53" s="115"/>
      <c r="H53" s="115"/>
      <c r="I53" s="115"/>
      <c r="J53" s="114"/>
      <c r="K53" s="116">
        <v>15</v>
      </c>
      <c r="L53" s="114">
        <v>21</v>
      </c>
      <c r="M53" s="116"/>
      <c r="N53" s="114"/>
      <c r="O53" s="116"/>
      <c r="P53" s="114"/>
      <c r="Q53" s="114" t="s">
        <v>1033</v>
      </c>
      <c r="R53" s="114"/>
      <c r="S53" s="114" t="s">
        <v>673</v>
      </c>
      <c r="T53" s="114">
        <v>109</v>
      </c>
      <c r="U53" s="116">
        <v>164</v>
      </c>
      <c r="V53" s="155">
        <f>(U53+T53)/2</f>
        <v>136.5</v>
      </c>
      <c r="W53" s="155">
        <v>1.9</v>
      </c>
      <c r="X53" s="124">
        <f>V53/W53</f>
        <v>71.842105263157904</v>
      </c>
      <c r="Y53" s="114" t="s">
        <v>2269</v>
      </c>
      <c r="Z53" s="114"/>
      <c r="AA53" s="114"/>
      <c r="AB53" s="114"/>
      <c r="AC53" s="289"/>
      <c r="AD53" s="114"/>
      <c r="AE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Aman"),IF(includeprebc,$S53="Pre-BC"),IF(includesunwell,$S53="Sunwell"))),MAX($AE$2:AE52)+1,"")</f>
        <v>31</v>
      </c>
      <c r="AF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Aman"),IF(includeprebc,$S53="Pre-BC"),IF(includesunwell,$S53="Sunwell"))),MAX($AF$1:AF52)+1,"")</f>
        <v>31</v>
      </c>
      <c r="AG53" s="114"/>
      <c r="AK53" s="48">
        <v>51</v>
      </c>
      <c r="AL53" s="151" t="str">
        <f>IF('Gear &amp; Buffs'!$Y$47="Dagger",IF(ISNA(INDEX($A$2:$A$54,MATCH(AK53,AE$2:AE$54,0))),"",INDEX($A$2:$A$54,MATCH(AK53,AE$2:AE$54,0))),"")&amp;
IF('Gear &amp; Buffs'!$Y$47="Sword",IF(ISNA(INDEX($A$56:$A$100,MATCH(AK53,AE$56:AE$100,0))),"",INDEX($A$56:$A$100,MATCH(AK53,AE$56:AE$100,0))),"")&amp;
IF('Gear &amp; Buffs'!$Y$47="Fist",IF(ISNA(INDEX($A$102:$A$119,MATCH(AK53,AE$102:AE$119,0))),"",INDEX($A$102:$A$119,MATCH(AK53,AE$102:AE$119,0))),"")&amp;
IF('Gear &amp; Buffs'!$Y$47="Mace",IF(ISNA(INDEX($A$121:$A$148,MATCH(AK53,AE$121:AE$148,0))),"",INDEX($A$121:$A$148,MATCH(AK53,AE$121:AE$148,0))),"")&amp;
IF('Gear &amp; Buffs'!$Y$47="All",IF(ISNA(INDEX($A$2:$A$148,MATCH(AK53,AF$2:AF$148,0))),"",INDEX($A$2:$A$148,MATCH(AK53,AF$2:AF$148,0))),"")</f>
        <v>Revenger</v>
      </c>
      <c r="AM53" s="124"/>
      <c r="AN53" s="114"/>
      <c r="AO53" s="124"/>
      <c r="AP53" s="114"/>
    </row>
    <row r="54" spans="1:48">
      <c r="A54" s="10" t="str">
        <f>'Gear &amp; Buffs'!$B$147</f>
        <v>(Unmodeled MH Dagger)</v>
      </c>
      <c r="B54" s="114"/>
      <c r="C54" s="114"/>
      <c r="D54" s="114">
        <f>'Gear &amp; Buffs'!$D$147</f>
        <v>0</v>
      </c>
      <c r="E54" s="114">
        <f>'Gear &amp; Buffs'!$E$147</f>
        <v>0</v>
      </c>
      <c r="F54" s="114">
        <f>'Gear &amp; Buffs'!$I$147</f>
        <v>0</v>
      </c>
      <c r="G54" s="115">
        <f>'Gear &amp; Buffs'!$G$147</f>
        <v>0</v>
      </c>
      <c r="H54" s="115">
        <f>'Gear &amp; Buffs'!$H$147</f>
        <v>0</v>
      </c>
      <c r="I54" s="115">
        <f>'Gear &amp; Buffs'!$P$147</f>
        <v>0</v>
      </c>
      <c r="J54" s="114">
        <f>'Gear &amp; Buffs'!$Q$147</f>
        <v>0</v>
      </c>
      <c r="K54" s="116">
        <f>'Gear &amp; Buffs'!$L$147</f>
        <v>0</v>
      </c>
      <c r="L54" s="114">
        <f>'Gear &amp; Buffs'!$F$147</f>
        <v>0</v>
      </c>
      <c r="M54" s="116">
        <f>'Gear &amp; Buffs'!$K$147</f>
        <v>0</v>
      </c>
      <c r="N54" s="114">
        <f>'Gear &amp; Buffs'!$J$147</f>
        <v>0</v>
      </c>
      <c r="O54" s="115">
        <f>'Gear &amp; Buffs'!M147</f>
        <v>0</v>
      </c>
      <c r="P54" s="114"/>
      <c r="Q54" s="114" t="str">
        <f>'Gear &amp; Buffs'!$R$147</f>
        <v>0 0 0</v>
      </c>
      <c r="R54" s="114">
        <f>'Gear &amp; Buffs'!$S$147</f>
        <v>0</v>
      </c>
      <c r="S54" s="114"/>
      <c r="T54" s="114">
        <f>'Gear &amp; Buffs'!$T$147</f>
        <v>1</v>
      </c>
      <c r="U54" s="116">
        <f>'Gear &amp; Buffs'!$U$147</f>
        <v>1</v>
      </c>
      <c r="V54" s="155">
        <f t="shared" si="0"/>
        <v>1</v>
      </c>
      <c r="W54" s="155">
        <f>'Gear &amp; Buffs'!$V$147</f>
        <v>2</v>
      </c>
      <c r="X54" s="124">
        <f t="shared" si="1"/>
        <v>0.5</v>
      </c>
      <c r="Y54" s="114" t="s">
        <v>2269</v>
      </c>
      <c r="Z54" s="114"/>
      <c r="AA54" s="114"/>
      <c r="AB54" s="114"/>
      <c r="AC54" s="289"/>
      <c r="AD54" s="114"/>
      <c r="AE54" s="114">
        <f>MAX(AE$2:AE53)+1</f>
        <v>32</v>
      </c>
      <c r="AF54" s="114">
        <f>MAX(AF$1:AF53)+1</f>
        <v>32</v>
      </c>
      <c r="AG54" s="114"/>
      <c r="AK54" s="48">
        <v>52</v>
      </c>
      <c r="AL54" s="151" t="str">
        <f>IF('Gear &amp; Buffs'!$Y$47="Dagger",IF(ISNA(INDEX($A$2:$A$54,MATCH(AK54,AE$2:AE$54,0))),"",INDEX($A$2:$A$54,MATCH(AK54,AE$2:AE$54,0))),"")&amp;
IF('Gear &amp; Buffs'!$Y$47="Sword",IF(ISNA(INDEX($A$56:$A$100,MATCH(AK54,AE$56:AE$100,0))),"",INDEX($A$56:$A$100,MATCH(AK54,AE$56:AE$100,0))),"")&amp;
IF('Gear &amp; Buffs'!$Y$47="Fist",IF(ISNA(INDEX($A$102:$A$119,MATCH(AK54,AE$102:AE$119,0))),"",INDEX($A$102:$A$119,MATCH(AK54,AE$102:AE$119,0))),"")&amp;
IF('Gear &amp; Buffs'!$Y$47="Mace",IF(ISNA(INDEX($A$121:$A$148,MATCH(AK54,AE$121:AE$148,0))),"",INDEX($A$121:$A$148,MATCH(AK54,AE$121:AE$148,0))),"")&amp;
IF('Gear &amp; Buffs'!$Y$47="All",IF(ISNA(INDEX($A$2:$A$148,MATCH(AK54,AF$2:AF$148,0))),"",INDEX($A$2:$A$148,MATCH(AK54,AF$2:AF$148,0))),"")</f>
        <v>Spiteblade</v>
      </c>
      <c r="AM54" s="124"/>
      <c r="AN54" s="114"/>
      <c r="AO54" s="124"/>
      <c r="AP54" s="114"/>
    </row>
    <row r="55" spans="1:48">
      <c r="A55" s="827" t="str">
        <f>" "</f>
        <v xml:space="preserve"> </v>
      </c>
      <c r="B55" s="833"/>
      <c r="C55" s="833"/>
      <c r="D55" s="827"/>
      <c r="E55" s="827"/>
      <c r="F55" s="827"/>
      <c r="G55" s="827"/>
      <c r="H55" s="827"/>
      <c r="I55" s="834"/>
      <c r="J55" s="827"/>
      <c r="K55" s="833"/>
      <c r="L55" s="827"/>
      <c r="M55" s="833"/>
      <c r="N55" s="827"/>
      <c r="O55" s="833"/>
      <c r="P55" s="827"/>
      <c r="Q55" s="827" t="s">
        <v>1033</v>
      </c>
      <c r="R55" s="827"/>
      <c r="S55" s="827"/>
      <c r="T55" s="827"/>
      <c r="U55" s="833"/>
      <c r="V55" s="827"/>
      <c r="W55" s="827"/>
      <c r="X55" s="827"/>
      <c r="Y55" s="827"/>
      <c r="Z55" s="827"/>
      <c r="AA55" s="827"/>
      <c r="AB55" s="827"/>
      <c r="AC55" s="835"/>
      <c r="AD55" s="836"/>
      <c r="AE55" s="827" t="str">
        <f>IF(OR(IF(includeblacksmith,S55="Blacksmithing"),IF(includeleatherwork,S55="Leatherworking"),IF(includeengineer,S55="Engineering"),IF(includeboecrafted,S55="BoE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Hyjal"),IF(includeprebc,S55="Pre-BC")),MAX($AE$1:AE52)+1,"")</f>
        <v/>
      </c>
      <c r="AF55" s="114">
        <f>MAX(AF$1:AF54)+1</f>
        <v>33</v>
      </c>
      <c r="AG55" s="114"/>
      <c r="AK55" s="208">
        <v>53</v>
      </c>
      <c r="AL55" s="151" t="str">
        <f>IF('Gear &amp; Buffs'!$Y$47="Dagger",IF(ISNA(INDEX($A$2:$A$54,MATCH(AK55,AE$2:AE$54,0))),"",INDEX($A$2:$A$54,MATCH(AK55,AE$2:AE$54,0))),"")&amp;
IF('Gear &amp; Buffs'!$Y$47="Sword",IF(ISNA(INDEX($A$56:$A$100,MATCH(AK55,AE$56:AE$100,0))),"",INDEX($A$56:$A$100,MATCH(AK55,AE$56:AE$100,0))),"")&amp;
IF('Gear &amp; Buffs'!$Y$47="Fist",IF(ISNA(INDEX($A$102:$A$119,MATCH(AK55,AE$102:AE$119,0))),"",INDEX($A$102:$A$119,MATCH(AK55,AE$102:AE$119,0))),"")&amp;
IF('Gear &amp; Buffs'!$Y$47="Mace",IF(ISNA(INDEX($A$121:$A$148,MATCH(AK55,AE$121:AE$148,0))),"",INDEX($A$121:$A$148,MATCH(AK55,AE$121:AE$148,0))),"")&amp;
IF('Gear &amp; Buffs'!$Y$47="All",IF(ISNA(INDEX($A$2:$A$148,MATCH(AK55,AF$2:AF$148,0))),"",INDEX($A$2:$A$148,MATCH(AK55,AF$2:AF$148,0))),"")</f>
        <v>The Hungering Cold</v>
      </c>
      <c r="AM55" s="124"/>
      <c r="AN55" s="114"/>
      <c r="AO55" s="124"/>
      <c r="AP55" s="114"/>
    </row>
    <row r="56" spans="1:48" ht="12" thickBot="1">
      <c r="A56" s="837" t="s">
        <v>1376</v>
      </c>
      <c r="B56" s="743"/>
      <c r="C56" s="743"/>
      <c r="D56" s="743"/>
      <c r="E56" s="743"/>
      <c r="F56" s="743"/>
      <c r="G56" s="743"/>
      <c r="H56" s="743"/>
      <c r="I56" s="838"/>
      <c r="J56" s="743"/>
      <c r="K56" s="743"/>
      <c r="L56" s="743"/>
      <c r="M56" s="743"/>
      <c r="N56" s="743"/>
      <c r="O56" s="743"/>
      <c r="P56" s="837"/>
      <c r="Q56" s="743" t="s">
        <v>1033</v>
      </c>
      <c r="R56" s="743"/>
      <c r="S56" s="743"/>
      <c r="T56" s="743"/>
      <c r="U56" s="743"/>
      <c r="V56" s="743"/>
      <c r="W56" s="743"/>
      <c r="X56" s="743"/>
      <c r="Y56" s="743"/>
      <c r="Z56" s="743"/>
      <c r="AA56" s="743"/>
      <c r="AB56" s="743"/>
      <c r="AC56" s="837"/>
      <c r="AD56" s="743"/>
      <c r="AE56" s="743">
        <v>1</v>
      </c>
      <c r="AF56" s="114">
        <f>MAX(AF$1:AF55)+1</f>
        <v>34</v>
      </c>
      <c r="AG56" s="114"/>
      <c r="AK56" s="48">
        <v>54</v>
      </c>
      <c r="AL56" s="151" t="str">
        <f>IF('Gear &amp; Buffs'!$Y$47="Dagger",IF(ISNA(INDEX($A$2:$A$54,MATCH(AK56,AE$2:AE$54,0))),"",INDEX($A$2:$A$54,MATCH(AK56,AE$2:AE$54,0))),"")&amp;
IF('Gear &amp; Buffs'!$Y$47="Sword",IF(ISNA(INDEX($A$56:$A$100,MATCH(AK56,AE$56:AE$100,0))),"",INDEX($A$56:$A$100,MATCH(AK56,AE$56:AE$100,0))),"")&amp;
IF('Gear &amp; Buffs'!$Y$47="Fist",IF(ISNA(INDEX($A$102:$A$119,MATCH(AK56,AE$102:AE$119,0))),"",INDEX($A$102:$A$119,MATCH(AK56,AE$102:AE$119,0))),"")&amp;
IF('Gear &amp; Buffs'!$Y$47="Mace",IF(ISNA(INDEX($A$121:$A$148,MATCH(AK56,AE$121:AE$148,0))),"",INDEX($A$121:$A$148,MATCH(AK56,AE$121:AE$148,0))),"")&amp;
IF('Gear &amp; Buffs'!$Y$47="All",IF(ISNA(INDEX($A$2:$A$148,MATCH(AK56,AF$2:AF$148,0))),"",INDEX($A$2:$A$148,MATCH(AK56,AF$2:AF$148,0))),"")</f>
        <v>The Sun Eater</v>
      </c>
      <c r="AM56" s="114"/>
      <c r="AN56" s="114"/>
      <c r="AO56" s="157"/>
      <c r="AP56" s="114"/>
    </row>
    <row r="57" spans="1:48">
      <c r="A57" s="10" t="s">
        <v>282</v>
      </c>
      <c r="B57" s="116">
        <v>33214</v>
      </c>
      <c r="C57" s="116">
        <v>4</v>
      </c>
      <c r="D57" s="114"/>
      <c r="E57" s="114"/>
      <c r="F57" s="114">
        <v>52</v>
      </c>
      <c r="G57" s="115"/>
      <c r="H57" s="115"/>
      <c r="I57" s="115">
        <v>18</v>
      </c>
      <c r="J57" s="114"/>
      <c r="K57" s="116"/>
      <c r="L57" s="114">
        <v>25</v>
      </c>
      <c r="M57" s="116"/>
      <c r="N57" s="114"/>
      <c r="O57" s="116"/>
      <c r="P57" s="114"/>
      <c r="Q57" s="114" t="s">
        <v>1033</v>
      </c>
      <c r="R57" s="114"/>
      <c r="S57" s="114" t="s">
        <v>664</v>
      </c>
      <c r="T57" s="114">
        <v>100</v>
      </c>
      <c r="U57" s="116">
        <v>187</v>
      </c>
      <c r="V57" s="155">
        <f t="shared" ref="V57:V98" si="6">(U57+T57)/2</f>
        <v>143.5</v>
      </c>
      <c r="W57" s="155">
        <v>1.5</v>
      </c>
      <c r="X57" s="124">
        <f t="shared" ref="X57:X98" si="7">V57/W57</f>
        <v>95.666666666666671</v>
      </c>
      <c r="Y57" s="115" t="s">
        <v>1377</v>
      </c>
      <c r="Z57" s="114"/>
      <c r="AA57" s="114"/>
      <c r="AB57" s="114"/>
      <c r="AC57" s="289"/>
      <c r="AD57" s="115"/>
      <c r="AE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Aman"),IF(includeprebc,S57="Pre-BC"),IF(includesunwell,S57="Sunwell"))),MAX($AE$56:AE56)+1,"")</f>
        <v/>
      </c>
      <c r="AF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Aman"),IF(includeprebc,$S57="Pre-BC"),IF(includesunwell,$S57="Sunwell"))),MAX($AF$1:AF56)+1,"")</f>
        <v/>
      </c>
      <c r="AG57" s="114"/>
      <c r="AK57" s="48">
        <v>55</v>
      </c>
      <c r="AL57" s="151" t="str">
        <f>IF('Gear &amp; Buffs'!$Y$47="Dagger",IF(ISNA(INDEX($A$2:$A$54,MATCH(AK57,AE$2:AE$54,0))),"",INDEX($A$2:$A$54,MATCH(AK57,AE$2:AE$54,0))),"")&amp;
IF('Gear &amp; Buffs'!$Y$47="Sword",IF(ISNA(INDEX($A$56:$A$100,MATCH(AK57,AE$56:AE$100,0))),"",INDEX($A$56:$A$100,MATCH(AK57,AE$56:AE$100,0))),"")&amp;
IF('Gear &amp; Buffs'!$Y$47="Fist",IF(ISNA(INDEX($A$102:$A$119,MATCH(AK57,AE$102:AE$119,0))),"",INDEX($A$102:$A$119,MATCH(AK57,AE$102:AE$119,0))),"")&amp;
IF('Gear &amp; Buffs'!$Y$47="Mace",IF(ISNA(INDEX($A$121:$A$148,MATCH(AK57,AE$121:AE$148,0))),"",INDEX($A$121:$A$148,MATCH(AK57,AE$121:AE$148,0))),"")&amp;
IF('Gear &amp; Buffs'!$Y$47="All",IF(ISNA(INDEX($A$2:$A$148,MATCH(AK57,AF$2:AF$148,0))),"",INDEX($A$2:$A$148,MATCH(AK57,AF$2:AF$148,0))),"")</f>
        <v>Thunderfury</v>
      </c>
      <c r="AM57" s="114"/>
      <c r="AN57" s="114"/>
      <c r="AO57" s="114"/>
      <c r="AP57" s="114"/>
      <c r="AQ57" s="114"/>
      <c r="AR57" s="114"/>
    </row>
    <row r="58" spans="1:48">
      <c r="A58" s="10" t="s">
        <v>1378</v>
      </c>
      <c r="B58" s="114">
        <v>30881</v>
      </c>
      <c r="C58" s="114">
        <v>3</v>
      </c>
      <c r="D58" s="114"/>
      <c r="E58" s="114">
        <v>28</v>
      </c>
      <c r="F58" s="114">
        <v>56</v>
      </c>
      <c r="G58" s="114"/>
      <c r="H58" s="114"/>
      <c r="I58" s="115"/>
      <c r="J58" s="114"/>
      <c r="K58" s="114"/>
      <c r="L58" s="114"/>
      <c r="M58" s="114"/>
      <c r="N58" s="114"/>
      <c r="O58" s="114"/>
      <c r="P58" s="10"/>
      <c r="Q58" s="114" t="s">
        <v>1033</v>
      </c>
      <c r="R58" s="114"/>
      <c r="S58" s="114" t="s">
        <v>684</v>
      </c>
      <c r="T58" s="114">
        <v>182</v>
      </c>
      <c r="U58" s="114">
        <v>339</v>
      </c>
      <c r="V58" s="155">
        <f t="shared" si="6"/>
        <v>260.5</v>
      </c>
      <c r="W58" s="155">
        <v>2.6</v>
      </c>
      <c r="X58" s="124">
        <f t="shared" si="7"/>
        <v>100.19230769230769</v>
      </c>
      <c r="Y58" s="114" t="s">
        <v>1377</v>
      </c>
      <c r="Z58" s="114"/>
      <c r="AA58" s="114"/>
      <c r="AB58" s="114"/>
      <c r="AC58" s="10"/>
      <c r="AD58" s="114"/>
      <c r="AE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Aman"),IF(includeprebc,S58="Pre-BC"),IF(includesunwell,S58="Sunwell"))),MAX($AE$56:AE57)+1,"")</f>
        <v/>
      </c>
      <c r="AF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Aman"),IF(includeprebc,$S58="Pre-BC"),IF(includesunwell,$S58="Sunwell"))),MAX($AF$1:AF57)+1,"")</f>
        <v/>
      </c>
      <c r="AG58" s="114"/>
      <c r="AK58" s="48">
        <v>56</v>
      </c>
      <c r="AL58" s="151" t="str">
        <f>IF('Gear &amp; Buffs'!$Y$47="Dagger",IF(ISNA(INDEX($A$2:$A$54,MATCH(AK58,AE$2:AE$54,0))),"",INDEX($A$2:$A$54,MATCH(AK58,AE$2:AE$54,0))),"")&amp;
IF('Gear &amp; Buffs'!$Y$47="Sword",IF(ISNA(INDEX($A$56:$A$100,MATCH(AK58,AE$56:AE$100,0))),"",INDEX($A$56:$A$100,MATCH(AK58,AE$56:AE$100,0))),"")&amp;
IF('Gear &amp; Buffs'!$Y$47="Fist",IF(ISNA(INDEX($A$102:$A$119,MATCH(AK58,AE$102:AE$119,0))),"",INDEX($A$102:$A$119,MATCH(AK58,AE$102:AE$119,0))),"")&amp;
IF('Gear &amp; Buffs'!$Y$47="Mace",IF(ISNA(INDEX($A$121:$A$148,MATCH(AK58,AE$121:AE$148,0))),"",INDEX($A$121:$A$148,MATCH(AK58,AE$121:AE$148,0))),"")&amp;
IF('Gear &amp; Buffs'!$Y$47="All",IF(ISNA(INDEX($A$2:$A$148,MATCH(AK58,AF$2:AF$148,0))),"",INDEX($A$2:$A$148,MATCH(AK58,AF$2:AF$148,0))),"")</f>
        <v>Vindicator's Brand</v>
      </c>
      <c r="AM58" s="114"/>
      <c r="AN58" s="114"/>
      <c r="AO58" s="114"/>
      <c r="AP58" s="114"/>
      <c r="AQ58" s="114"/>
      <c r="AR58" s="114"/>
      <c r="AS58" s="114"/>
      <c r="AT58" s="114"/>
      <c r="AU58" s="114"/>
      <c r="AV58" s="114"/>
    </row>
    <row r="59" spans="1:48">
      <c r="A59" s="10" t="s">
        <v>241</v>
      </c>
      <c r="B59" s="116">
        <v>32369</v>
      </c>
      <c r="C59" s="116">
        <v>3</v>
      </c>
      <c r="D59" s="114"/>
      <c r="E59" s="114"/>
      <c r="F59" s="114">
        <v>44</v>
      </c>
      <c r="G59" s="115">
        <v>22</v>
      </c>
      <c r="H59" s="115">
        <v>15</v>
      </c>
      <c r="I59" s="115"/>
      <c r="J59" s="114"/>
      <c r="K59" s="116"/>
      <c r="L59" s="114">
        <v>19</v>
      </c>
      <c r="M59" s="116"/>
      <c r="N59" s="114"/>
      <c r="O59" s="116"/>
      <c r="P59" s="114"/>
      <c r="Q59" s="114" t="s">
        <v>1033</v>
      </c>
      <c r="R59" s="114"/>
      <c r="S59" s="114" t="s">
        <v>683</v>
      </c>
      <c r="T59" s="114">
        <v>98</v>
      </c>
      <c r="U59" s="116">
        <v>183</v>
      </c>
      <c r="V59" s="155">
        <f t="shared" si="6"/>
        <v>140.5</v>
      </c>
      <c r="W59" s="155">
        <v>1.4</v>
      </c>
      <c r="X59" s="124">
        <f t="shared" si="7"/>
        <v>100.35714285714286</v>
      </c>
      <c r="Y59" s="115" t="s">
        <v>1377</v>
      </c>
      <c r="Z59" s="114"/>
      <c r="AA59" s="114"/>
      <c r="AB59" s="114"/>
      <c r="AC59" s="289"/>
      <c r="AD59" s="115"/>
      <c r="AE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Aman"),IF(includeprebc,S59="Pre-BC"),IF(includesunwell,S59="Sunwell"))),MAX($AE$56:AE58)+1,"")</f>
        <v/>
      </c>
      <c r="AF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Aman"),IF(includeprebc,$S59="Pre-BC"),IF(includesunwell,$S59="Sunwell"))),MAX($AF$1:AF58)+1,"")</f>
        <v/>
      </c>
      <c r="AG59" s="114"/>
      <c r="AK59" s="48">
        <v>57</v>
      </c>
      <c r="AL59" s="151" t="str">
        <f>IF('Gear &amp; Buffs'!$Y$47="Dagger",IF(ISNA(INDEX($A$2:$A$54,MATCH(AK59,AE$2:AE$54,0))),"",INDEX($A$2:$A$54,MATCH(AK59,AE$2:AE$54,0))),"")&amp;
IF('Gear &amp; Buffs'!$Y$47="Sword",IF(ISNA(INDEX($A$56:$A$100,MATCH(AK59,AE$56:AE$100,0))),"",INDEX($A$56:$A$100,MATCH(AK59,AE$56:AE$100,0))),"")&amp;
IF('Gear &amp; Buffs'!$Y$47="Fist",IF(ISNA(INDEX($A$102:$A$119,MATCH(AK59,AE$102:AE$119,0))),"",INDEX($A$102:$A$119,MATCH(AK59,AE$102:AE$119,0))),"")&amp;
IF('Gear &amp; Buffs'!$Y$47="Mace",IF(ISNA(INDEX($A$121:$A$148,MATCH(AK59,AE$121:AE$148,0))),"",INDEX($A$121:$A$148,MATCH(AK59,AE$121:AE$148,0))),"")&amp;
IF('Gear &amp; Buffs'!$Y$47="All",IF(ISNA(INDEX($A$2:$A$148,MATCH(AK59,AF$2:AF$148,0))),"",INDEX($A$2:$A$148,MATCH(AK59,AF$2:AF$148,0))),"")</f>
        <v>Warp-Storm Warblade</v>
      </c>
      <c r="AM59" s="114"/>
      <c r="AN59" s="114"/>
      <c r="AO59" s="114"/>
      <c r="AP59" s="114"/>
      <c r="AQ59" s="114"/>
      <c r="AR59" s="114"/>
      <c r="AS59" s="114"/>
      <c r="AT59" s="114"/>
      <c r="AU59" s="114"/>
      <c r="AV59" s="114"/>
    </row>
    <row r="60" spans="1:48">
      <c r="A60" s="10" t="s">
        <v>1379</v>
      </c>
      <c r="B60" s="114">
        <v>28427</v>
      </c>
      <c r="C60" s="114">
        <v>1</v>
      </c>
      <c r="D60" s="114"/>
      <c r="E60" s="114">
        <v>19</v>
      </c>
      <c r="F60" s="114"/>
      <c r="G60" s="114"/>
      <c r="H60" s="114">
        <v>18</v>
      </c>
      <c r="I60" s="115"/>
      <c r="J60" s="114"/>
      <c r="K60" s="114"/>
      <c r="L60" s="114">
        <v>28</v>
      </c>
      <c r="M60" s="114"/>
      <c r="N60" s="114"/>
      <c r="O60" s="114"/>
      <c r="P60" s="10"/>
      <c r="Q60" s="114" t="s">
        <v>1033</v>
      </c>
      <c r="R60" s="114"/>
      <c r="S60" s="114" t="s">
        <v>686</v>
      </c>
      <c r="T60" s="114">
        <v>109</v>
      </c>
      <c r="U60" s="114">
        <v>203</v>
      </c>
      <c r="V60" s="155">
        <f t="shared" si="6"/>
        <v>156</v>
      </c>
      <c r="W60" s="155">
        <v>1.6</v>
      </c>
      <c r="X60" s="124">
        <f t="shared" si="7"/>
        <v>97.5</v>
      </c>
      <c r="Y60" s="114" t="s">
        <v>1377</v>
      </c>
      <c r="Z60" s="114"/>
      <c r="AA60" s="114"/>
      <c r="AB60" s="114"/>
      <c r="AC60" s="10"/>
      <c r="AD60" s="114"/>
      <c r="AE60" s="114" t="str">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Aman"),IF(includeprebc,S60="Pre-BC"),IF(includesunwell,S60="Sunwell"))),MAX($AE$56:AE59)+1,"")</f>
        <v/>
      </c>
      <c r="AF60" s="114" t="str">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Aman"),IF(includeprebc,$S60="Pre-BC"),IF(includesunwell,$S60="Sunwell"))),MAX($AF$1:AF59)+1,"")</f>
        <v/>
      </c>
      <c r="AG60" s="114"/>
      <c r="AK60" s="48">
        <v>58</v>
      </c>
      <c r="AL60" s="151" t="str">
        <f>IF('Gear &amp; Buffs'!$Y$47="Dagger",IF(ISNA(INDEX($A$2:$A$54,MATCH(AK60,AE$2:AE$54,0))),"",INDEX($A$2:$A$54,MATCH(AK60,AE$2:AE$54,0))),"")&amp;
IF('Gear &amp; Buffs'!$Y$47="Sword",IF(ISNA(INDEX($A$56:$A$100,MATCH(AK60,AE$56:AE$100,0))),"",INDEX($A$56:$A$100,MATCH(AK60,AE$56:AE$100,0))),"")&amp;
IF('Gear &amp; Buffs'!$Y$47="Fist",IF(ISNA(INDEX($A$102:$A$119,MATCH(AK60,AE$102:AE$119,0))),"",INDEX($A$102:$A$119,MATCH(AK60,AE$102:AE$119,0))),"")&amp;
IF('Gear &amp; Buffs'!$Y$47="Mace",IF(ISNA(INDEX($A$121:$A$148,MATCH(AK60,AE$121:AE$148,0))),"",INDEX($A$121:$A$148,MATCH(AK60,AE$121:AE$148,0))),"")&amp;
IF('Gear &amp; Buffs'!$Y$47="All",IF(ISNA(INDEX($A$2:$A$148,MATCH(AK60,AF$2:AF$148,0))),"",INDEX($A$2:$A$148,MATCH(AK60,AF$2:AF$148,0))),"")</f>
        <v>(Unmodeled MH Sword)</v>
      </c>
      <c r="AM60" s="114"/>
      <c r="AN60" s="114"/>
      <c r="AO60" s="114"/>
      <c r="AP60" s="114"/>
      <c r="AS60" s="114"/>
      <c r="AT60" s="114"/>
      <c r="AU60" s="114"/>
      <c r="AV60" s="114"/>
    </row>
    <row r="61" spans="1:48">
      <c r="A61" s="10" t="s">
        <v>1380</v>
      </c>
      <c r="B61" s="116">
        <v>28426</v>
      </c>
      <c r="C61" s="116">
        <v>1</v>
      </c>
      <c r="D61" s="114"/>
      <c r="E61" s="114">
        <v>17</v>
      </c>
      <c r="F61" s="114"/>
      <c r="G61" s="115"/>
      <c r="H61" s="115">
        <v>17</v>
      </c>
      <c r="I61" s="115"/>
      <c r="J61" s="114"/>
      <c r="K61" s="116"/>
      <c r="L61" s="114">
        <v>25</v>
      </c>
      <c r="M61" s="116"/>
      <c r="N61" s="114"/>
      <c r="O61" s="116"/>
      <c r="P61" s="114"/>
      <c r="Q61" s="114" t="s">
        <v>1033</v>
      </c>
      <c r="R61" s="114"/>
      <c r="S61" s="114" t="s">
        <v>686</v>
      </c>
      <c r="T61" s="114">
        <v>102</v>
      </c>
      <c r="U61" s="116">
        <v>190</v>
      </c>
      <c r="V61" s="155">
        <f t="shared" si="6"/>
        <v>146</v>
      </c>
      <c r="W61" s="155">
        <v>1.6</v>
      </c>
      <c r="X61" s="124">
        <f t="shared" si="7"/>
        <v>91.25</v>
      </c>
      <c r="Y61" s="115" t="s">
        <v>1377</v>
      </c>
      <c r="Z61" s="114"/>
      <c r="AA61" s="114"/>
      <c r="AB61" s="114"/>
      <c r="AC61" s="289"/>
      <c r="AD61" s="115"/>
      <c r="AE61" s="114" t="str">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Aman"),IF(includeprebc,S61="Pre-BC"),IF(includesunwell,S61="Sunwell"))),MAX($AE$56:AE60)+1,"")</f>
        <v/>
      </c>
      <c r="AF61" s="114" t="str">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Aman"),IF(includeprebc,$S61="Pre-BC"),IF(includesunwell,$S61="Sunwell"))),MAX($AF$1:AF60)+1,"")</f>
        <v/>
      </c>
      <c r="AG61" s="114"/>
      <c r="AK61" s="48">
        <v>59</v>
      </c>
      <c r="AL61" s="151" t="str">
        <f>IF('Gear &amp; Buffs'!$Y$47="Dagger",IF(ISNA(INDEX($A$2:$A$54,MATCH(AK61,AE$2:AE$54,0))),"",INDEX($A$2:$A$54,MATCH(AK61,AE$2:AE$54,0))),"")&amp;
IF('Gear &amp; Buffs'!$Y$47="Sword",IF(ISNA(INDEX($A$56:$A$100,MATCH(AK61,AE$56:AE$100,0))),"",INDEX($A$56:$A$100,MATCH(AK61,AE$56:AE$100,0))),"")&amp;
IF('Gear &amp; Buffs'!$Y$47="Fist",IF(ISNA(INDEX($A$102:$A$119,MATCH(AK61,AE$102:AE$119,0))),"",INDEX($A$102:$A$119,MATCH(AK61,AE$102:AE$119,0))),"")&amp;
IF('Gear &amp; Buffs'!$Y$47="Mace",IF(ISNA(INDEX($A$121:$A$148,MATCH(AK61,AE$121:AE$148,0))),"",INDEX($A$121:$A$148,MATCH(AK61,AE$121:AE$148,0))),"")&amp;
IF('Gear &amp; Buffs'!$Y$47="All",IF(ISNA(INDEX($A$2:$A$148,MATCH(AK61,AF$2:AF$148,0))),"",INDEX($A$2:$A$148,MATCH(AK61,AF$2:AF$148,0))),"")</f>
        <v xml:space="preserve"> </v>
      </c>
      <c r="AM61" s="114"/>
      <c r="AN61" s="114"/>
      <c r="AO61" s="114"/>
      <c r="AP61" s="114"/>
    </row>
    <row r="62" spans="1:48">
      <c r="A62" s="10" t="s">
        <v>1381</v>
      </c>
      <c r="B62" s="114">
        <v>31332</v>
      </c>
      <c r="C62" s="114">
        <v>1</v>
      </c>
      <c r="D62" s="114"/>
      <c r="E62" s="114"/>
      <c r="F62" s="114"/>
      <c r="G62" s="114"/>
      <c r="H62" s="114"/>
      <c r="I62" s="115"/>
      <c r="J62" s="114"/>
      <c r="K62" s="114"/>
      <c r="L62" s="114"/>
      <c r="M62" s="114"/>
      <c r="N62" s="114"/>
      <c r="O62" s="114"/>
      <c r="P62" s="10"/>
      <c r="Q62" s="114" t="s">
        <v>1033</v>
      </c>
      <c r="R62" s="114"/>
      <c r="S62" s="114" t="s">
        <v>674</v>
      </c>
      <c r="T62" s="114">
        <v>147</v>
      </c>
      <c r="U62" s="114">
        <v>275</v>
      </c>
      <c r="V62" s="155">
        <f t="shared" si="6"/>
        <v>211</v>
      </c>
      <c r="W62" s="155">
        <v>2.6</v>
      </c>
      <c r="X62" s="124">
        <f t="shared" si="7"/>
        <v>81.153846153846146</v>
      </c>
      <c r="Y62" s="114" t="s">
        <v>1377</v>
      </c>
      <c r="Z62" s="114"/>
      <c r="AA62" s="114"/>
      <c r="AB62" s="114"/>
      <c r="AC62" s="10" t="s">
        <v>757</v>
      </c>
      <c r="AD62" s="114"/>
      <c r="AE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Aman"),IF(includeprebc,S62="Pre-BC"),IF(includesunwell,S62="Sunwell"))),MAX($AE$56:AE61)+1,"")</f>
        <v>2</v>
      </c>
      <c r="AF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Aman"),IF(includeprebc,$S62="Pre-BC"),IF(includesunwell,$S62="Sunwell"))),MAX($AF$1:AF61)+1,"")</f>
        <v>35</v>
      </c>
      <c r="AG62" s="114"/>
      <c r="AK62" s="48">
        <v>60</v>
      </c>
      <c r="AL62" s="151" t="str">
        <f>IF('Gear &amp; Buffs'!$Y$47="Dagger",IF(ISNA(INDEX($A$2:$A$54,MATCH(AK62,AE$2:AE$54,0))),"",INDEX($A$2:$A$54,MATCH(AK62,AE$2:AE$54,0))),"")&amp;
IF('Gear &amp; Buffs'!$Y$47="Sword",IF(ISNA(INDEX($A$56:$A$100,MATCH(AK62,AE$56:AE$100,0))),"",INDEX($A$56:$A$100,MATCH(AK62,AE$56:AE$100,0))),"")&amp;
IF('Gear &amp; Buffs'!$Y$47="Fist",IF(ISNA(INDEX($A$102:$A$119,MATCH(AK62,AE$102:AE$119,0))),"",INDEX($A$102:$A$119,MATCH(AK62,AE$102:AE$119,0))),"")&amp;
IF('Gear &amp; Buffs'!$Y$47="Mace",IF(ISNA(INDEX($A$121:$A$148,MATCH(AK62,AE$121:AE$148,0))),"",INDEX($A$121:$A$148,MATCH(AK62,AE$121:AE$148,0))),"")&amp;
IF('Gear &amp; Buffs'!$Y$47="All",IF(ISNA(INDEX($A$2:$A$148,MATCH(AK62,AF$2:AF$148,0))),"",INDEX($A$2:$A$148,MATCH(AK62,AF$2:AF$148,0))),"")</f>
        <v>(Fist Weapons)</v>
      </c>
      <c r="AM62" s="114"/>
      <c r="AN62" s="114"/>
      <c r="AO62" s="114"/>
      <c r="AP62" s="114"/>
    </row>
    <row r="63" spans="1:48">
      <c r="A63" s="10" t="s">
        <v>2002</v>
      </c>
      <c r="B63" s="116">
        <v>35101</v>
      </c>
      <c r="C63" s="116">
        <v>5</v>
      </c>
      <c r="D63" s="114"/>
      <c r="E63" s="114"/>
      <c r="F63" s="114">
        <v>38</v>
      </c>
      <c r="G63" s="115">
        <v>22</v>
      </c>
      <c r="H63" s="115">
        <v>9</v>
      </c>
      <c r="I63" s="847"/>
      <c r="J63" s="114">
        <v>49</v>
      </c>
      <c r="K63" s="116"/>
      <c r="L63" s="114">
        <v>31</v>
      </c>
      <c r="M63" s="116"/>
      <c r="N63" s="114">
        <v>12</v>
      </c>
      <c r="O63" s="116"/>
      <c r="P63" s="114"/>
      <c r="Q63" s="114" t="s">
        <v>1033</v>
      </c>
      <c r="R63" s="114"/>
      <c r="S63" s="114" t="s">
        <v>677</v>
      </c>
      <c r="T63" s="114">
        <v>224</v>
      </c>
      <c r="U63" s="116">
        <v>337</v>
      </c>
      <c r="V63" s="155">
        <f t="shared" si="6"/>
        <v>280.5</v>
      </c>
      <c r="W63" s="155">
        <v>2.6</v>
      </c>
      <c r="X63" s="124">
        <f t="shared" si="7"/>
        <v>107.88461538461539</v>
      </c>
      <c r="Y63" s="114" t="s">
        <v>1377</v>
      </c>
      <c r="Z63" s="114"/>
      <c r="AA63" s="114"/>
      <c r="AB63" s="114"/>
      <c r="AC63" s="289"/>
      <c r="AD63" s="791"/>
      <c r="AE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Aman"),IF(includeprebc,S63="Pre-BC"),IF(includesunwell,S63="Sunwell"))),MAX($AE$56:AE62)+1,"")</f>
        <v/>
      </c>
      <c r="AF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Aman"),IF(includeprebc,$S63="Pre-BC"),IF(includesunwell,$S63="Sunwell"))),MAX($AF$1:AF62)+1,"")</f>
        <v/>
      </c>
      <c r="AG63" s="114"/>
      <c r="AK63" s="48">
        <v>61</v>
      </c>
      <c r="AL63" s="151" t="str">
        <f>IF('Gear &amp; Buffs'!$Y$47="Dagger",IF(ISNA(INDEX($A$2:$A$54,MATCH(AK63,AE$2:AE$54,0))),"",INDEX($A$2:$A$54,MATCH(AK63,AE$2:AE$54,0))),"")&amp;
IF('Gear &amp; Buffs'!$Y$47="Sword",IF(ISNA(INDEX($A$56:$A$100,MATCH(AK63,AE$56:AE$100,0))),"",INDEX($A$56:$A$100,MATCH(AK63,AE$56:AE$100,0))),"")&amp;
IF('Gear &amp; Buffs'!$Y$47="Fist",IF(ISNA(INDEX($A$102:$A$119,MATCH(AK63,AE$102:AE$119,0))),"",INDEX($A$102:$A$119,MATCH(AK63,AE$102:AE$119,0))),"")&amp;
IF('Gear &amp; Buffs'!$Y$47="Mace",IF(ISNA(INDEX($A$121:$A$148,MATCH(AK63,AE$121:AE$148,0))),"",INDEX($A$121:$A$148,MATCH(AK63,AE$121:AE$148,0))),"")&amp;
IF('Gear &amp; Buffs'!$Y$47="All",IF(ISNA(INDEX($A$2:$A$148,MATCH(AK63,AF$2:AF$148,0))),"",INDEX($A$2:$A$148,MATCH(AK63,AF$2:AF$148,0))),"")</f>
        <v>Big Bad Wolf's Paw</v>
      </c>
      <c r="AM63" s="114"/>
      <c r="AN63" s="114"/>
      <c r="AO63" s="114"/>
      <c r="AP63" s="114"/>
    </row>
    <row r="64" spans="1:48">
      <c r="A64" s="10" t="s">
        <v>986</v>
      </c>
      <c r="B64" s="114">
        <v>34164</v>
      </c>
      <c r="C64" s="114">
        <v>5</v>
      </c>
      <c r="D64" s="114"/>
      <c r="E64" s="114"/>
      <c r="F64" s="114"/>
      <c r="G64" s="114"/>
      <c r="H64" s="114"/>
      <c r="I64" s="115">
        <v>25</v>
      </c>
      <c r="J64" s="114"/>
      <c r="K64" s="114">
        <v>25</v>
      </c>
      <c r="L64" s="114">
        <v>36</v>
      </c>
      <c r="M64" s="114"/>
      <c r="N64" s="114"/>
      <c r="O64" s="114"/>
      <c r="P64" s="10"/>
      <c r="Q64" s="114" t="s">
        <v>1033</v>
      </c>
      <c r="R64" s="114"/>
      <c r="S64" s="114" t="s">
        <v>871</v>
      </c>
      <c r="T64" s="114">
        <v>113</v>
      </c>
      <c r="U64" s="114">
        <v>211</v>
      </c>
      <c r="V64" s="155">
        <f t="shared" si="6"/>
        <v>162</v>
      </c>
      <c r="W64" s="155">
        <v>1.5</v>
      </c>
      <c r="X64" s="124">
        <f t="shared" si="7"/>
        <v>108</v>
      </c>
      <c r="Y64" s="114" t="s">
        <v>1377</v>
      </c>
      <c r="Z64" s="114"/>
      <c r="AA64" s="114"/>
      <c r="AB64" s="114"/>
      <c r="AC64" s="10"/>
      <c r="AD64" s="114"/>
      <c r="AE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Aman"),IF(includeprebc,S64="Pre-BC"),IF(includesunwell,S64="Sunwell"))),MAX($AE$56:AE63)+1,"")</f>
        <v/>
      </c>
      <c r="AF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Aman"),IF(includeprebc,$S64="Pre-BC"),IF(includesunwell,$S64="Sunwell"))),MAX($AF$1:AF63)+1,"")</f>
        <v/>
      </c>
      <c r="AG64" s="114"/>
      <c r="AK64" s="48">
        <v>62</v>
      </c>
      <c r="AL64" s="151" t="str">
        <f>IF('Gear &amp; Buffs'!$Y$47="Dagger",IF(ISNA(INDEX($A$2:$A$54,MATCH(AK64,AE$2:AE$54,0))),"",INDEX($A$2:$A$54,MATCH(AK64,AE$2:AE$54,0))),"")&amp;
IF('Gear &amp; Buffs'!$Y$47="Sword",IF(ISNA(INDEX($A$56:$A$100,MATCH(AK64,AE$56:AE$100,0))),"",INDEX($A$56:$A$100,MATCH(AK64,AE$56:AE$100,0))),"")&amp;
IF('Gear &amp; Buffs'!$Y$47="Fist",IF(ISNA(INDEX($A$102:$A$119,MATCH(AK64,AE$102:AE$119,0))),"",INDEX($A$102:$A$119,MATCH(AK64,AE$102:AE$119,0))),"")&amp;
IF('Gear &amp; Buffs'!$Y$47="Mace",IF(ISNA(INDEX($A$121:$A$148,MATCH(AK64,AE$121:AE$148,0))),"",INDEX($A$121:$A$148,MATCH(AK64,AE$121:AE$148,0))),"")&amp;
IF('Gear &amp; Buffs'!$Y$47="All",IF(ISNA(INDEX($A$2:$A$148,MATCH(AK64,AF$2:AF$148,0))),"",INDEX($A$2:$A$148,MATCH(AK64,AF$2:AF$148,0))),"")</f>
        <v>Claw of the Watcher</v>
      </c>
      <c r="AM64" s="114"/>
      <c r="AN64" s="114"/>
      <c r="AO64" s="114"/>
      <c r="AP64" s="114"/>
    </row>
    <row r="65" spans="1:48">
      <c r="A65" s="10" t="s">
        <v>1382</v>
      </c>
      <c r="B65" s="114">
        <v>28267</v>
      </c>
      <c r="C65" s="114">
        <v>1</v>
      </c>
      <c r="D65" s="114"/>
      <c r="E65" s="114"/>
      <c r="F65" s="114">
        <v>30</v>
      </c>
      <c r="G65" s="114">
        <v>16</v>
      </c>
      <c r="H65" s="114"/>
      <c r="I65" s="115"/>
      <c r="J65" s="114"/>
      <c r="K65" s="114"/>
      <c r="L65" s="114">
        <v>13</v>
      </c>
      <c r="M65" s="114"/>
      <c r="N65" s="114"/>
      <c r="O65" s="114"/>
      <c r="P65" s="10"/>
      <c r="Q65" s="114" t="s">
        <v>1033</v>
      </c>
      <c r="R65" s="114"/>
      <c r="S65" s="114" t="s">
        <v>673</v>
      </c>
      <c r="T65" s="114">
        <v>130</v>
      </c>
      <c r="U65" s="114">
        <v>243</v>
      </c>
      <c r="V65" s="155">
        <f t="shared" si="6"/>
        <v>186.5</v>
      </c>
      <c r="W65" s="155">
        <v>2.6</v>
      </c>
      <c r="X65" s="124">
        <f t="shared" si="7"/>
        <v>71.730769230769226</v>
      </c>
      <c r="Y65" s="114" t="s">
        <v>1377</v>
      </c>
      <c r="Z65" s="114"/>
      <c r="AA65" s="114"/>
      <c r="AB65" s="114"/>
      <c r="AC65" s="10"/>
      <c r="AD65" s="114"/>
      <c r="AE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Aman"),IF(includeprebc,S65="Pre-BC"),IF(includesunwell,S65="Sunwell"))),MAX($AE$56:AE64)+1,"")</f>
        <v>3</v>
      </c>
      <c r="AF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Aman"),IF(includeprebc,$S65="Pre-BC"),IF(includesunwell,$S65="Sunwell"))),MAX($AF$1:AF64)+1,"")</f>
        <v>36</v>
      </c>
      <c r="AG65" s="114"/>
      <c r="AK65" s="48">
        <v>63</v>
      </c>
      <c r="AL65" s="151" t="str">
        <f>IF('Gear &amp; Buffs'!$Y$47="Dagger",IF(ISNA(INDEX($A$2:$A$54,MATCH(AK65,AE$2:AE$54,0))),"",INDEX($A$2:$A$54,MATCH(AK65,AE$2:AE$54,0))),"")&amp;
IF('Gear &amp; Buffs'!$Y$47="Sword",IF(ISNA(INDEX($A$56:$A$100,MATCH(AK65,AE$56:AE$100,0))),"",INDEX($A$56:$A$100,MATCH(AK65,AE$56:AE$100,0))),"")&amp;
IF('Gear &amp; Buffs'!$Y$47="Fist",IF(ISNA(INDEX($A$102:$A$119,MATCH(AK65,AE$102:AE$119,0))),"",INDEX($A$102:$A$119,MATCH(AK65,AE$102:AE$119,0))),"")&amp;
IF('Gear &amp; Buffs'!$Y$47="Mace",IF(ISNA(INDEX($A$121:$A$148,MATCH(AK65,AE$121:AE$148,0))),"",INDEX($A$121:$A$148,MATCH(AK65,AE$121:AE$148,0))),"")&amp;
IF('Gear &amp; Buffs'!$Y$47="All",IF(ISNA(INDEX($A$2:$A$148,MATCH(AK65,AF$2:AF$148,0))),"",INDEX($A$2:$A$148,MATCH(AK65,AF$2:AF$148,0))),"")</f>
        <v>Demonblood Eviscerator</v>
      </c>
      <c r="AM65" s="114"/>
      <c r="AN65" s="114"/>
      <c r="AO65" s="114"/>
      <c r="AP65" s="114"/>
    </row>
    <row r="66" spans="1:48">
      <c r="A66" s="10" t="s">
        <v>1383</v>
      </c>
      <c r="B66" s="116">
        <v>23540</v>
      </c>
      <c r="C66" s="116">
        <v>1</v>
      </c>
      <c r="D66" s="114"/>
      <c r="E66" s="114">
        <v>26</v>
      </c>
      <c r="F66" s="114"/>
      <c r="G66" s="115"/>
      <c r="H66" s="115"/>
      <c r="I66" s="115"/>
      <c r="J66" s="114"/>
      <c r="K66" s="116"/>
      <c r="L66" s="114">
        <v>15</v>
      </c>
      <c r="M66" s="116"/>
      <c r="N66" s="114"/>
      <c r="O66" s="116"/>
      <c r="P66" s="114"/>
      <c r="Q66" s="114" t="s">
        <v>1033</v>
      </c>
      <c r="R66" s="114"/>
      <c r="S66" s="114" t="s">
        <v>685</v>
      </c>
      <c r="T66" s="114">
        <v>128</v>
      </c>
      <c r="U66" s="116">
        <v>239</v>
      </c>
      <c r="V66" s="155">
        <f t="shared" si="6"/>
        <v>183.5</v>
      </c>
      <c r="W66" s="155">
        <v>2.2000000000000002</v>
      </c>
      <c r="X66" s="124">
        <f t="shared" si="7"/>
        <v>83.409090909090907</v>
      </c>
      <c r="Y66" s="115" t="s">
        <v>1377</v>
      </c>
      <c r="Z66" s="114"/>
      <c r="AA66" s="114"/>
      <c r="AB66" s="114"/>
      <c r="AC66" s="289"/>
      <c r="AD66" s="115"/>
      <c r="AE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Aman"),IF(includeprebc,S66="Pre-BC"),IF(includesunwell,S66="Sunwell"))),MAX($AE$56:AE65)+1,"")</f>
        <v>4</v>
      </c>
      <c r="AF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Aman"),IF(includeprebc,$S66="Pre-BC"),IF(includesunwell,$S66="Sunwell"))),MAX($AF$1:AF65)+1,"")</f>
        <v>37</v>
      </c>
      <c r="AG66" s="114"/>
      <c r="AK66" s="48">
        <v>64</v>
      </c>
      <c r="AL66" s="151" t="str">
        <f>IF('Gear &amp; Buffs'!$Y$47="Dagger",IF(ISNA(INDEX($A$2:$A$54,MATCH(AK66,AE$2:AE$54,0))),"",INDEX($A$2:$A$54,MATCH(AK66,AE$2:AE$54,0))),"")&amp;
IF('Gear &amp; Buffs'!$Y$47="Sword",IF(ISNA(INDEX($A$56:$A$100,MATCH(AK66,AE$56:AE$100,0))),"",INDEX($A$56:$A$100,MATCH(AK66,AE$56:AE$100,0))),"")&amp;
IF('Gear &amp; Buffs'!$Y$47="Fist",IF(ISNA(INDEX($A$102:$A$119,MATCH(AK66,AE$102:AE$119,0))),"",INDEX($A$102:$A$119,MATCH(AK66,AE$102:AE$119,0))),"")&amp;
IF('Gear &amp; Buffs'!$Y$47="Mace",IF(ISNA(INDEX($A$121:$A$148,MATCH(AK66,AE$121:AE$148,0))),"",INDEX($A$121:$A$148,MATCH(AK66,AE$121:AE$148,0))),"")&amp;
IF('Gear &amp; Buffs'!$Y$47="All",IF(ISNA(INDEX($A$2:$A$148,MATCH(AK66,AF$2:AF$148,0))),"",INDEX($A$2:$A$148,MATCH(AK66,AF$2:AF$148,0))),"")</f>
        <v>Gladiator's Right Ripper</v>
      </c>
      <c r="AM66" s="114"/>
      <c r="AN66" s="114"/>
      <c r="AO66" s="156"/>
      <c r="AP66" s="114"/>
    </row>
    <row r="67" spans="1:48">
      <c r="A67" s="10" t="s">
        <v>1384</v>
      </c>
      <c r="B67" s="114">
        <v>28425</v>
      </c>
      <c r="C67" s="114">
        <v>1</v>
      </c>
      <c r="D67" s="114"/>
      <c r="E67" s="114">
        <v>16</v>
      </c>
      <c r="F67" s="114"/>
      <c r="G67" s="114"/>
      <c r="H67" s="114">
        <v>16</v>
      </c>
      <c r="I67" s="115"/>
      <c r="J67" s="114"/>
      <c r="K67" s="114"/>
      <c r="L67" s="114">
        <v>23</v>
      </c>
      <c r="M67" s="114"/>
      <c r="N67" s="114"/>
      <c r="O67" s="114"/>
      <c r="P67" s="10"/>
      <c r="Q67" s="114" t="s">
        <v>1033</v>
      </c>
      <c r="R67" s="114"/>
      <c r="S67" s="114" t="s">
        <v>686</v>
      </c>
      <c r="T67" s="114">
        <v>94</v>
      </c>
      <c r="U67" s="114">
        <v>176</v>
      </c>
      <c r="V67" s="155">
        <f t="shared" si="6"/>
        <v>135</v>
      </c>
      <c r="W67" s="155">
        <v>1.6</v>
      </c>
      <c r="X67" s="124">
        <f t="shared" si="7"/>
        <v>84.375</v>
      </c>
      <c r="Y67" s="114" t="s">
        <v>1377</v>
      </c>
      <c r="Z67" s="114"/>
      <c r="AA67" s="114"/>
      <c r="AB67" s="114"/>
      <c r="AC67" s="10"/>
      <c r="AD67" s="114"/>
      <c r="AE67" s="114" t="str">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Aman"),IF(includeprebc,S67="Pre-BC"),IF(includesunwell,S67="Sunwell"))),MAX($AE$56:AE66)+1,"")</f>
        <v/>
      </c>
      <c r="AF67" s="114" t="str">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Aman"),IF(includeprebc,$S67="Pre-BC"),IF(includesunwell,$S67="Sunwell"))),MAX($AF$1:AF66)+1,"")</f>
        <v/>
      </c>
      <c r="AG67" s="114"/>
      <c r="AK67" s="48">
        <v>65</v>
      </c>
      <c r="AL67" s="151" t="str">
        <f>IF('Gear &amp; Buffs'!$Y$47="Dagger",IF(ISNA(INDEX($A$2:$A$54,MATCH(AK67,AE$2:AE$54,0))),"",INDEX($A$2:$A$54,MATCH(AK67,AE$2:AE$54,0))),"")&amp;
IF('Gear &amp; Buffs'!$Y$47="Sword",IF(ISNA(INDEX($A$56:$A$100,MATCH(AK67,AE$56:AE$100,0))),"",INDEX($A$56:$A$100,MATCH(AK67,AE$56:AE$100,0))),"")&amp;
IF('Gear &amp; Buffs'!$Y$47="Fist",IF(ISNA(INDEX($A$102:$A$119,MATCH(AK67,AE$102:AE$119,0))),"",INDEX($A$102:$A$119,MATCH(AK67,AE$102:AE$119,0))),"")&amp;
IF('Gear &amp; Buffs'!$Y$47="Mace",IF(ISNA(INDEX($A$121:$A$148,MATCH(AK67,AE$121:AE$148,0))),"",INDEX($A$121:$A$148,MATCH(AK67,AE$121:AE$148,0))),"")&amp;
IF('Gear &amp; Buffs'!$Y$47="All",IF(ISNA(INDEX($A$2:$A$148,MATCH(AK67,AF$2:AF$148,0))),"",INDEX($A$2:$A$148,MATCH(AK67,AF$2:AF$148,0))),"")</f>
        <v>Grand Marshal's Right Ripper</v>
      </c>
      <c r="AM67" s="124"/>
      <c r="AN67" s="124"/>
      <c r="AO67" s="124"/>
      <c r="AP67" s="114"/>
    </row>
    <row r="68" spans="1:48">
      <c r="A68" s="10" t="s">
        <v>1385</v>
      </c>
      <c r="B68" s="114">
        <v>28295</v>
      </c>
      <c r="C68" s="114">
        <v>1</v>
      </c>
      <c r="D68" s="114"/>
      <c r="E68" s="114"/>
      <c r="F68" s="114">
        <v>28</v>
      </c>
      <c r="G68" s="114">
        <v>15</v>
      </c>
      <c r="H68" s="114">
        <v>9</v>
      </c>
      <c r="I68" s="115"/>
      <c r="J68" s="114"/>
      <c r="K68" s="114"/>
      <c r="L68" s="114">
        <v>21</v>
      </c>
      <c r="M68" s="114"/>
      <c r="N68" s="114">
        <v>10</v>
      </c>
      <c r="O68" s="114"/>
      <c r="P68" s="10"/>
      <c r="Q68" s="114" t="s">
        <v>1033</v>
      </c>
      <c r="R68" s="114"/>
      <c r="S68" s="114" t="s">
        <v>677</v>
      </c>
      <c r="T68" s="114">
        <v>189</v>
      </c>
      <c r="U68" s="114">
        <v>285</v>
      </c>
      <c r="V68" s="155">
        <f t="shared" si="6"/>
        <v>237</v>
      </c>
      <c r="W68" s="155">
        <v>2.6</v>
      </c>
      <c r="X68" s="124">
        <f t="shared" si="7"/>
        <v>91.153846153846146</v>
      </c>
      <c r="Y68" s="114" t="s">
        <v>1377</v>
      </c>
      <c r="Z68" s="114"/>
      <c r="AA68" s="114"/>
      <c r="AB68" s="114"/>
      <c r="AC68" s="10"/>
      <c r="AD68" s="114"/>
      <c r="AE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Aman"),IF(includeprebc,S68="Pre-BC"),IF(includesunwell,S68="Sunwell"))),MAX($AE$56:AE67)+1,"")</f>
        <v>5</v>
      </c>
      <c r="AF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Aman"),IF(includeprebc,$S68="Pre-BC"),IF(includesunwell,$S68="Sunwell"))),MAX($AF$1:AF67)+1,"")</f>
        <v>38</v>
      </c>
      <c r="AG68" s="114"/>
      <c r="AK68" s="48">
        <v>66</v>
      </c>
      <c r="AL68" s="151" t="str">
        <f>IF('Gear &amp; Buffs'!$Y$47="Dagger",IF(ISNA(INDEX($A$2:$A$54,MATCH(AK68,AE$2:AE$54,0))),"",INDEX($A$2:$A$54,MATCH(AK68,AE$2:AE$54,0))),"")&amp;
IF('Gear &amp; Buffs'!$Y$47="Sword",IF(ISNA(INDEX($A$56:$A$100,MATCH(AK68,AE$56:AE$100,0))),"",INDEX($A$56:$A$100,MATCH(AK68,AE$56:AE$100,0))),"")&amp;
IF('Gear &amp; Buffs'!$Y$47="Fist",IF(ISNA(INDEX($A$102:$A$119,MATCH(AK68,AE$102:AE$119,0))),"",INDEX($A$102:$A$119,MATCH(AK68,AE$102:AE$119,0))),"")&amp;
IF('Gear &amp; Buffs'!$Y$47="Mace",IF(ISNA(INDEX($A$121:$A$148,MATCH(AK68,AE$121:AE$148,0))),"",INDEX($A$121:$A$148,MATCH(AK68,AE$121:AE$148,0))),"")&amp;
IF('Gear &amp; Buffs'!$Y$47="All",IF(ISNA(INDEX($A$2:$A$148,MATCH(AK68,AF$2:AF$148,0))),"",INDEX($A$2:$A$148,MATCH(AK68,AF$2:AF$148,0))),"")</f>
        <v>High Warlord's Right Ripper</v>
      </c>
      <c r="AM68" s="124"/>
      <c r="AN68" s="114"/>
      <c r="AO68" s="124"/>
      <c r="AP68" s="114"/>
    </row>
    <row r="69" spans="1:48">
      <c r="A69" s="10" t="s">
        <v>944</v>
      </c>
      <c r="B69" s="114">
        <v>28952</v>
      </c>
      <c r="C69" s="114">
        <v>1</v>
      </c>
      <c r="D69" s="114"/>
      <c r="E69" s="114"/>
      <c r="F69" s="114">
        <v>26</v>
      </c>
      <c r="G69" s="114">
        <v>13</v>
      </c>
      <c r="H69" s="114">
        <v>8</v>
      </c>
      <c r="I69" s="115"/>
      <c r="J69" s="114"/>
      <c r="K69" s="114"/>
      <c r="L69" s="114">
        <v>18</v>
      </c>
      <c r="M69" s="114"/>
      <c r="N69" s="114">
        <v>9</v>
      </c>
      <c r="O69" s="114"/>
      <c r="P69" s="10"/>
      <c r="Q69" s="114" t="s">
        <v>1033</v>
      </c>
      <c r="R69" s="114"/>
      <c r="S69" s="114" t="s">
        <v>677</v>
      </c>
      <c r="T69" s="114">
        <v>103</v>
      </c>
      <c r="U69" s="114">
        <v>155</v>
      </c>
      <c r="V69" s="155">
        <f t="shared" si="6"/>
        <v>129</v>
      </c>
      <c r="W69" s="155">
        <v>1.8</v>
      </c>
      <c r="X69" s="124">
        <f t="shared" si="7"/>
        <v>71.666666666666671</v>
      </c>
      <c r="Y69" s="114" t="s">
        <v>1377</v>
      </c>
      <c r="Z69" s="114"/>
      <c r="AA69" s="114"/>
      <c r="AB69" s="114"/>
      <c r="AC69" s="10"/>
      <c r="AD69" s="114"/>
      <c r="AE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Aman"),IF(includeprebc,S69="Pre-BC"),IF(includesunwell,S69="Sunwell"))),MAX($AE$56:AE68)+1,"")</f>
        <v>6</v>
      </c>
      <c r="AF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Aman"),IF(includeprebc,$S69="Pre-BC"),IF(includesunwell,$S69="Sunwell"))),MAX($AF$1:AF68)+1,"")</f>
        <v>39</v>
      </c>
      <c r="AG69" s="114"/>
      <c r="AK69" s="48">
        <v>67</v>
      </c>
      <c r="AL69" s="151" t="str">
        <f>IF('Gear &amp; Buffs'!$Y$47="Dagger",IF(ISNA(INDEX($A$2:$A$54,MATCH(AK69,AE$2:AE$54,0))),"",INDEX($A$2:$A$54,MATCH(AK69,AE$2:AE$54,0))),"")&amp;
IF('Gear &amp; Buffs'!$Y$47="Sword",IF(ISNA(INDEX($A$56:$A$100,MATCH(AK69,AE$56:AE$100,0))),"",INDEX($A$56:$A$100,MATCH(AK69,AE$56:AE$100,0))),"")&amp;
IF('Gear &amp; Buffs'!$Y$47="Fist",IF(ISNA(INDEX($A$102:$A$119,MATCH(AK69,AE$102:AE$119,0))),"",INDEX($A$102:$A$119,MATCH(AK69,AE$102:AE$119,0))),"")&amp;
IF('Gear &amp; Buffs'!$Y$47="Mace",IF(ISNA(INDEX($A$121:$A$148,MATCH(AK69,AE$121:AE$148,0))),"",INDEX($A$121:$A$148,MATCH(AK69,AE$121:AE$148,0))),"")&amp;
IF('Gear &amp; Buffs'!$Y$47="All",IF(ISNA(INDEX($A$2:$A$148,MATCH(AK69,AF$2:AF$148,0))),"",INDEX($A$2:$A$148,MATCH(AK69,AF$2:AF$148,0))),"")</f>
        <v>Reflex Blades</v>
      </c>
      <c r="AM69" s="124"/>
      <c r="AN69" s="114"/>
      <c r="AO69" s="124"/>
      <c r="AP69" s="114"/>
    </row>
    <row r="70" spans="1:48">
      <c r="A70" s="10" t="s">
        <v>945</v>
      </c>
      <c r="B70" s="114">
        <v>28956</v>
      </c>
      <c r="C70" s="114">
        <v>1</v>
      </c>
      <c r="D70" s="114"/>
      <c r="E70" s="114"/>
      <c r="F70" s="114">
        <v>26</v>
      </c>
      <c r="G70" s="114">
        <v>13</v>
      </c>
      <c r="H70" s="114">
        <v>8</v>
      </c>
      <c r="I70" s="115"/>
      <c r="J70" s="114"/>
      <c r="K70" s="114"/>
      <c r="L70" s="114">
        <v>18</v>
      </c>
      <c r="M70" s="114"/>
      <c r="N70" s="114">
        <v>9</v>
      </c>
      <c r="O70" s="114"/>
      <c r="P70" s="10"/>
      <c r="Q70" s="114" t="s">
        <v>1033</v>
      </c>
      <c r="R70" s="114"/>
      <c r="S70" s="114" t="s">
        <v>677</v>
      </c>
      <c r="T70" s="114">
        <v>149</v>
      </c>
      <c r="U70" s="114">
        <v>224</v>
      </c>
      <c r="V70" s="155">
        <f t="shared" si="6"/>
        <v>186.5</v>
      </c>
      <c r="W70" s="155">
        <v>2.6</v>
      </c>
      <c r="X70" s="124">
        <f t="shared" si="7"/>
        <v>71.730769230769226</v>
      </c>
      <c r="Y70" s="114" t="s">
        <v>1377</v>
      </c>
      <c r="Z70" s="114"/>
      <c r="AA70" s="114"/>
      <c r="AB70" s="114"/>
      <c r="AC70" s="10"/>
      <c r="AD70" s="114"/>
      <c r="AE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Aman"),IF(includeprebc,S70="Pre-BC"),IF(includesunwell,S70="Sunwell"))),MAX($AE$56:AE69)+1,"")</f>
        <v>7</v>
      </c>
      <c r="AF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Aman"),IF(includeprebc,$S70="Pre-BC"),IF(includesunwell,$S70="Sunwell"))),MAX($AF$1:AF69)+1,"")</f>
        <v>40</v>
      </c>
      <c r="AG70" s="114"/>
      <c r="AK70" s="48">
        <v>68</v>
      </c>
      <c r="AL70" s="151" t="str">
        <f>IF('Gear &amp; Buffs'!$Y$47="Dagger",IF(ISNA(INDEX($A$2:$A$54,MATCH(AK70,AE$2:AE$54,0))),"",INDEX($A$2:$A$54,MATCH(AK70,AE$2:AE$54,0))),"")&amp;
IF('Gear &amp; Buffs'!$Y$47="Sword",IF(ISNA(INDEX($A$56:$A$100,MATCH(AK70,AE$56:AE$100,0))),"",INDEX($A$56:$A$100,MATCH(AK70,AE$56:AE$100,0))),"")&amp;
IF('Gear &amp; Buffs'!$Y$47="Fist",IF(ISNA(INDEX($A$102:$A$119,MATCH(AK70,AE$102:AE$119,0))),"",INDEX($A$102:$A$119,MATCH(AK70,AE$102:AE$119,0))),"")&amp;
IF('Gear &amp; Buffs'!$Y$47="Mace",IF(ISNA(INDEX($A$121:$A$148,MATCH(AK70,AE$121:AE$148,0))),"",INDEX($A$121:$A$148,MATCH(AK70,AE$121:AE$148,0))),"")&amp;
IF('Gear &amp; Buffs'!$Y$47="All",IF(ISNA(INDEX($A$2:$A$148,MATCH(AK70,AF$2:AF$148,0))),"",INDEX($A$2:$A$148,MATCH(AK70,AF$2:AF$148,0))),"")</f>
        <v>The Bladefist</v>
      </c>
      <c r="AM70" s="124"/>
      <c r="AN70" s="114"/>
      <c r="AO70" s="124"/>
      <c r="AP70" s="114"/>
    </row>
    <row r="71" spans="1:48">
      <c r="A71" s="10" t="s">
        <v>1386</v>
      </c>
      <c r="B71" s="116">
        <v>23054</v>
      </c>
      <c r="C71" s="116">
        <v>1</v>
      </c>
      <c r="D71" s="114"/>
      <c r="E71" s="114"/>
      <c r="F71" s="114">
        <v>40</v>
      </c>
      <c r="G71" s="115"/>
      <c r="H71" s="115"/>
      <c r="I71" s="115"/>
      <c r="J71" s="114"/>
      <c r="K71" s="116"/>
      <c r="L71" s="114">
        <v>15</v>
      </c>
      <c r="M71" s="116"/>
      <c r="N71" s="114"/>
      <c r="O71" s="116"/>
      <c r="P71" s="114"/>
      <c r="Q71" s="114" t="s">
        <v>1033</v>
      </c>
      <c r="R71" s="114"/>
      <c r="S71" s="114" t="s">
        <v>668</v>
      </c>
      <c r="T71" s="114">
        <v>138</v>
      </c>
      <c r="U71" s="116">
        <v>257</v>
      </c>
      <c r="V71" s="155">
        <f t="shared" si="6"/>
        <v>197.5</v>
      </c>
      <c r="W71" s="155">
        <v>2.7</v>
      </c>
      <c r="X71" s="124">
        <f t="shared" si="7"/>
        <v>73.148148148148138</v>
      </c>
      <c r="Y71" s="115" t="s">
        <v>1377</v>
      </c>
      <c r="Z71" s="114"/>
      <c r="AA71" s="114"/>
      <c r="AB71" s="114"/>
      <c r="AC71" s="289"/>
      <c r="AD71" s="115"/>
      <c r="AE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Aman"),IF(includeprebc,S71="Pre-BC"),IF(includesunwell,S71="Sunwell"))),MAX($AE$56:AE70)+1,"")</f>
        <v>8</v>
      </c>
      <c r="AF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Aman"),IF(includeprebc,$S71="Pre-BC"),IF(includesunwell,$S71="Sunwell"))),MAX($AF$1:AF70)+1,"")</f>
        <v>41</v>
      </c>
      <c r="AG71" s="114"/>
      <c r="AK71" s="48">
        <v>69</v>
      </c>
      <c r="AL71" s="151" t="str">
        <f>IF('Gear &amp; Buffs'!$Y$47="Dagger",IF(ISNA(INDEX($A$2:$A$54,MATCH(AK71,AE$2:AE$54,0))),"",INDEX($A$2:$A$54,MATCH(AK71,AE$2:AE$54,0))),"")&amp;
IF('Gear &amp; Buffs'!$Y$47="Sword",IF(ISNA(INDEX($A$56:$A$100,MATCH(AK71,AE$56:AE$100,0))),"",INDEX($A$56:$A$100,MATCH(AK71,AE$56:AE$100,0))),"")&amp;
IF('Gear &amp; Buffs'!$Y$47="Fist",IF(ISNA(INDEX($A$102:$A$119,MATCH(AK71,AE$102:AE$119,0))),"",INDEX($A$102:$A$119,MATCH(AK71,AE$102:AE$119,0))),"")&amp;
IF('Gear &amp; Buffs'!$Y$47="Mace",IF(ISNA(INDEX($A$121:$A$148,MATCH(AK71,AE$121:AE$148,0))),"",INDEX($A$121:$A$148,MATCH(AK71,AE$121:AE$148,0))),"")&amp;
IF('Gear &amp; Buffs'!$Y$47="All",IF(ISNA(INDEX($A$2:$A$148,MATCH(AK71,AF$2:AF$148,0))),"",INDEX($A$2:$A$148,MATCH(AK71,AF$2:AF$148,0))),"")</f>
        <v>(Unmodeled MH Fist)</v>
      </c>
      <c r="AM71" s="124"/>
      <c r="AN71" s="114"/>
      <c r="AO71" s="124"/>
      <c r="AP71" s="114"/>
    </row>
    <row r="72" spans="1:48">
      <c r="A72" s="10" t="s">
        <v>281</v>
      </c>
      <c r="B72" s="114">
        <v>33388</v>
      </c>
      <c r="C72" s="114">
        <v>4</v>
      </c>
      <c r="D72" s="114"/>
      <c r="E72" s="114"/>
      <c r="F72" s="114">
        <v>42</v>
      </c>
      <c r="G72" s="114"/>
      <c r="H72" s="114"/>
      <c r="I72" s="115">
        <v>20</v>
      </c>
      <c r="J72" s="114"/>
      <c r="K72" s="114"/>
      <c r="L72" s="114">
        <v>30</v>
      </c>
      <c r="M72" s="114"/>
      <c r="N72" s="114"/>
      <c r="O72" s="114"/>
      <c r="P72" s="10"/>
      <c r="Q72" s="114" t="s">
        <v>1033</v>
      </c>
      <c r="R72" s="114"/>
      <c r="S72" s="114" t="s">
        <v>664</v>
      </c>
      <c r="T72" s="114">
        <v>174</v>
      </c>
      <c r="U72" s="114">
        <v>323</v>
      </c>
      <c r="V72" s="155">
        <f t="shared" si="6"/>
        <v>248.5</v>
      </c>
      <c r="W72" s="155">
        <v>2.6</v>
      </c>
      <c r="X72" s="124">
        <f t="shared" si="7"/>
        <v>95.57692307692308</v>
      </c>
      <c r="Y72" s="114" t="s">
        <v>1377</v>
      </c>
      <c r="Z72" s="114"/>
      <c r="AA72" s="114"/>
      <c r="AB72" s="114"/>
      <c r="AC72" s="10"/>
      <c r="AD72" s="114"/>
      <c r="AE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Aman"),IF(includeprebc,S72="Pre-BC"),IF(includesunwell,S72="Sunwell"))),MAX($AE$56:AE71)+1,"")</f>
        <v/>
      </c>
      <c r="AF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Aman"),IF(includeprebc,$S72="Pre-BC"),IF(includesunwell,$S72="Sunwell"))),MAX($AF$1:AF71)+1,"")</f>
        <v/>
      </c>
      <c r="AG72" s="114"/>
      <c r="AK72" s="48">
        <v>70</v>
      </c>
      <c r="AL72" s="151" t="str">
        <f>IF('Gear &amp; Buffs'!$Y$47="Dagger",IF(ISNA(INDEX($A$2:$A$54,MATCH(AK72,AE$2:AE$54,0))),"",INDEX($A$2:$A$54,MATCH(AK72,AE$2:AE$54,0))),"")&amp;
IF('Gear &amp; Buffs'!$Y$47="Sword",IF(ISNA(INDEX($A$56:$A$100,MATCH(AK72,AE$56:AE$100,0))),"",INDEX($A$56:$A$100,MATCH(AK72,AE$56:AE$100,0))),"")&amp;
IF('Gear &amp; Buffs'!$Y$47="Fist",IF(ISNA(INDEX($A$102:$A$119,MATCH(AK72,AE$102:AE$119,0))),"",INDEX($A$102:$A$119,MATCH(AK72,AE$102:AE$119,0))),"")&amp;
IF('Gear &amp; Buffs'!$Y$47="Mace",IF(ISNA(INDEX($A$121:$A$148,MATCH(AK72,AE$121:AE$148,0))),"",INDEX($A$121:$A$148,MATCH(AK72,AE$121:AE$148,0))),"")&amp;
IF('Gear &amp; Buffs'!$Y$47="All",IF(ISNA(INDEX($A$2:$A$148,MATCH(AK72,AF$2:AF$148,0))),"",INDEX($A$2:$A$148,MATCH(AK72,AF$2:AF$148,0))),"")</f>
        <v xml:space="preserve"> </v>
      </c>
      <c r="AM72" s="114"/>
      <c r="AN72" s="114"/>
      <c r="AO72" s="157"/>
      <c r="AP72" s="114"/>
    </row>
    <row r="73" spans="1:48">
      <c r="A73" s="10" t="s">
        <v>2977</v>
      </c>
      <c r="B73" s="114">
        <v>16345</v>
      </c>
      <c r="C73" s="114">
        <v>1</v>
      </c>
      <c r="D73" s="114"/>
      <c r="E73" s="114"/>
      <c r="F73" s="114">
        <v>28</v>
      </c>
      <c r="G73" s="114">
        <v>14</v>
      </c>
      <c r="H73" s="114"/>
      <c r="I73" s="115"/>
      <c r="J73" s="114"/>
      <c r="K73" s="114"/>
      <c r="L73" s="114">
        <v>7</v>
      </c>
      <c r="M73" s="114"/>
      <c r="N73" s="114"/>
      <c r="O73" s="114"/>
      <c r="P73" s="10"/>
      <c r="Q73" s="114" t="s">
        <v>1033</v>
      </c>
      <c r="R73" s="114"/>
      <c r="S73" s="114" t="s">
        <v>677</v>
      </c>
      <c r="T73" s="114">
        <v>138</v>
      </c>
      <c r="U73" s="114">
        <v>207</v>
      </c>
      <c r="V73" s="155">
        <f t="shared" ref="V73" si="8">(U73+T73)/2</f>
        <v>172.5</v>
      </c>
      <c r="W73" s="155">
        <v>2.9</v>
      </c>
      <c r="X73" s="124">
        <f t="shared" ref="X73" si="9">V73/W73</f>
        <v>59.482758620689658</v>
      </c>
      <c r="Y73" s="114" t="s">
        <v>1377</v>
      </c>
      <c r="Z73" s="114"/>
      <c r="AA73" s="114"/>
      <c r="AB73" s="114"/>
      <c r="AC73" s="10"/>
      <c r="AD73" s="114"/>
      <c r="AE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Aman"),IF(includeprebc,S73="Pre-BC"),IF(includesunwell,S73="Sunwell"))),MAX($AE$56:AE72)+1,"")</f>
        <v>9</v>
      </c>
      <c r="AF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Aman"),IF(includeprebc,$S73="Pre-BC"),IF(includesunwell,$S73="Sunwell"))),MAX($AF$1:AF72)+1,"")</f>
        <v>42</v>
      </c>
      <c r="AG73" s="114"/>
      <c r="AK73" s="48">
        <v>71</v>
      </c>
      <c r="AL73" s="151" t="str">
        <f>IF('Gear &amp; Buffs'!$Y$47="Dagger",IF(ISNA(INDEX($A$2:$A$54,MATCH(AK73,AE$2:AE$54,0))),"",INDEX($A$2:$A$54,MATCH(AK73,AE$2:AE$54,0))),"")&amp;
IF('Gear &amp; Buffs'!$Y$47="Sword",IF(ISNA(INDEX($A$56:$A$100,MATCH(AK73,AE$56:AE$100,0))),"",INDEX($A$56:$A$100,MATCH(AK73,AE$56:AE$100,0))),"")&amp;
IF('Gear &amp; Buffs'!$Y$47="Fist",IF(ISNA(INDEX($A$102:$A$119,MATCH(AK73,AE$102:AE$119,0))),"",INDEX($A$102:$A$119,MATCH(AK73,AE$102:AE$119,0))),"")&amp;
IF('Gear &amp; Buffs'!$Y$47="Mace",IF(ISNA(INDEX($A$121:$A$148,MATCH(AK73,AE$121:AE$148,0))),"",INDEX($A$121:$A$148,MATCH(AK73,AE$121:AE$148,0))),"")&amp;
IF('Gear &amp; Buffs'!$Y$47="All",IF(ISNA(INDEX($A$2:$A$148,MATCH(AK73,AF$2:AF$148,0))),"",INDEX($A$2:$A$148,MATCH(AK73,AF$2:AF$148,0))),"")</f>
        <v>(Maces)</v>
      </c>
      <c r="AM73" s="114"/>
      <c r="AN73" s="114"/>
      <c r="AO73" s="114"/>
      <c r="AP73" s="114"/>
    </row>
    <row r="74" spans="1:48">
      <c r="A74" s="10" t="s">
        <v>947</v>
      </c>
      <c r="B74" s="114">
        <v>28926</v>
      </c>
      <c r="C74" s="114">
        <v>1</v>
      </c>
      <c r="D74" s="114"/>
      <c r="E74" s="114"/>
      <c r="F74" s="114">
        <v>26</v>
      </c>
      <c r="G74" s="114">
        <v>13</v>
      </c>
      <c r="H74" s="114">
        <v>8</v>
      </c>
      <c r="I74" s="115"/>
      <c r="J74" s="114"/>
      <c r="K74" s="114"/>
      <c r="L74" s="114">
        <v>18</v>
      </c>
      <c r="M74" s="114"/>
      <c r="N74" s="114">
        <v>9</v>
      </c>
      <c r="O74" s="114"/>
      <c r="P74" s="10"/>
      <c r="Q74" s="114" t="s">
        <v>1033</v>
      </c>
      <c r="R74" s="114"/>
      <c r="S74" s="114" t="s">
        <v>677</v>
      </c>
      <c r="T74" s="114">
        <v>103</v>
      </c>
      <c r="U74" s="114">
        <v>155</v>
      </c>
      <c r="V74" s="155">
        <f t="shared" si="6"/>
        <v>129</v>
      </c>
      <c r="W74" s="155">
        <v>1.8</v>
      </c>
      <c r="X74" s="124">
        <f t="shared" si="7"/>
        <v>71.666666666666671</v>
      </c>
      <c r="Y74" s="114" t="s">
        <v>1377</v>
      </c>
      <c r="Z74" s="114"/>
      <c r="AA74" s="114"/>
      <c r="AB74" s="114"/>
      <c r="AC74" s="10"/>
      <c r="AD74" s="114"/>
      <c r="AE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Aman"),IF(includeprebc,S74="Pre-BC"),IF(includesunwell,S74="Sunwell"))),MAX($AE$56:AE73)+1,"")</f>
        <v>10</v>
      </c>
      <c r="AF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Aman"),IF(includeprebc,$S74="Pre-BC"),IF(includesunwell,$S74="Sunwell"))),MAX($AF$1:AF73)+1,"")</f>
        <v>43</v>
      </c>
      <c r="AG74" s="114"/>
      <c r="AK74" s="48">
        <v>72</v>
      </c>
      <c r="AL74" s="151" t="str">
        <f>IF('Gear &amp; Buffs'!$Y$47="Dagger",IF(ISNA(INDEX($A$2:$A$54,MATCH(AK74,AE$2:AE$54,0))),"",INDEX($A$2:$A$54,MATCH(AK74,AE$2:AE$54,0))),"")&amp;
IF('Gear &amp; Buffs'!$Y$47="Sword",IF(ISNA(INDEX($A$56:$A$100,MATCH(AK74,AE$56:AE$100,0))),"",INDEX($A$56:$A$100,MATCH(AK74,AE$56:AE$100,0))),"")&amp;
IF('Gear &amp; Buffs'!$Y$47="Fist",IF(ISNA(INDEX($A$102:$A$119,MATCH(AK74,AE$102:AE$119,0))),"",INDEX($A$102:$A$119,MATCH(AK74,AE$102:AE$119,0))),"")&amp;
IF('Gear &amp; Buffs'!$Y$47="Mace",IF(ISNA(INDEX($A$121:$A$148,MATCH(AK74,AE$121:AE$148,0))),"",INDEX($A$121:$A$148,MATCH(AK74,AE$121:AE$148,0))),"")&amp;
IF('Gear &amp; Buffs'!$Y$47="All",IF(ISNA(INDEX($A$2:$A$148,MATCH(AK74,AF$2:AF$148,0))),"",INDEX($A$2:$A$148,MATCH(AK74,AF$2:AF$148,0))),"")</f>
        <v>Blackout Truncheon</v>
      </c>
      <c r="AM74" s="114"/>
      <c r="AN74" s="114"/>
      <c r="AO74" s="114"/>
      <c r="AP74" s="114"/>
    </row>
    <row r="75" spans="1:48">
      <c r="A75" s="10" t="s">
        <v>946</v>
      </c>
      <c r="B75" s="114">
        <v>28937</v>
      </c>
      <c r="C75" s="114">
        <v>1</v>
      </c>
      <c r="D75" s="114"/>
      <c r="E75" s="114"/>
      <c r="F75" s="114">
        <v>26</v>
      </c>
      <c r="G75" s="114">
        <v>13</v>
      </c>
      <c r="H75" s="114">
        <v>8</v>
      </c>
      <c r="I75" s="115"/>
      <c r="J75" s="114"/>
      <c r="K75" s="114"/>
      <c r="L75" s="114">
        <v>18</v>
      </c>
      <c r="M75" s="114"/>
      <c r="N75" s="114">
        <v>9</v>
      </c>
      <c r="O75" s="114"/>
      <c r="P75" s="10"/>
      <c r="Q75" s="114" t="s">
        <v>1033</v>
      </c>
      <c r="R75" s="114"/>
      <c r="S75" s="114" t="s">
        <v>677</v>
      </c>
      <c r="T75" s="114">
        <v>149</v>
      </c>
      <c r="U75" s="114">
        <v>224</v>
      </c>
      <c r="V75" s="155">
        <f t="shared" si="6"/>
        <v>186.5</v>
      </c>
      <c r="W75" s="155">
        <v>2.6</v>
      </c>
      <c r="X75" s="124">
        <f t="shared" si="7"/>
        <v>71.730769230769226</v>
      </c>
      <c r="Y75" s="114" t="s">
        <v>1377</v>
      </c>
      <c r="Z75" s="114"/>
      <c r="AA75" s="114"/>
      <c r="AB75" s="114"/>
      <c r="AC75" s="10"/>
      <c r="AD75" s="114"/>
      <c r="AE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Aman"),IF(includeprebc,S75="Pre-BC"),IF(includesunwell,S75="Sunwell"))),MAX($AE$56:AE74)+1,"")</f>
        <v>11</v>
      </c>
      <c r="AF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Aman"),IF(includeprebc,$S75="Pre-BC"),IF(includesunwell,$S75="Sunwell"))),MAX($AF$1:AF74)+1,"")</f>
        <v>44</v>
      </c>
      <c r="AG75" s="114"/>
      <c r="AK75" s="48">
        <v>73</v>
      </c>
      <c r="AL75" s="151" t="str">
        <f>IF('Gear &amp; Buffs'!$Y$47="Dagger",IF(ISNA(INDEX($A$2:$A$54,MATCH(AK75,AE$2:AE$54,0))),"",INDEX($A$2:$A$54,MATCH(AK75,AE$2:AE$54,0))),"")&amp;
IF('Gear &amp; Buffs'!$Y$47="Sword",IF(ISNA(INDEX($A$56:$A$100,MATCH(AK75,AE$56:AE$100,0))),"",INDEX($A$56:$A$100,MATCH(AK75,AE$56:AE$100,0))),"")&amp;
IF('Gear &amp; Buffs'!$Y$47="Fist",IF(ISNA(INDEX($A$102:$A$119,MATCH(AK75,AE$102:AE$119,0))),"",INDEX($A$102:$A$119,MATCH(AK75,AE$102:AE$119,0))),"")&amp;
IF('Gear &amp; Buffs'!$Y$47="Mace",IF(ISNA(INDEX($A$121:$A$148,MATCH(AK75,AE$121:AE$148,0))),"",INDEX($A$121:$A$148,MATCH(AK75,AE$121:AE$148,0))),"")&amp;
IF('Gear &amp; Buffs'!$Y$47="All",IF(ISNA(INDEX($A$2:$A$148,MATCH(AK75,AF$2:AF$148,0))),"",INDEX($A$2:$A$148,MATCH(AK75,AF$2:AF$148,0))),"")</f>
        <v>Bloodskull Destroyer</v>
      </c>
      <c r="AM75" s="114"/>
      <c r="AN75" s="114"/>
      <c r="AO75" s="114"/>
      <c r="AP75" s="114"/>
    </row>
    <row r="76" spans="1:48">
      <c r="A76" s="10" t="s">
        <v>1387</v>
      </c>
      <c r="B76" s="114">
        <v>29156</v>
      </c>
      <c r="C76" s="114">
        <v>1</v>
      </c>
      <c r="D76" s="114"/>
      <c r="E76" s="114"/>
      <c r="F76" s="114"/>
      <c r="G76" s="114"/>
      <c r="H76" s="114">
        <v>8</v>
      </c>
      <c r="I76" s="115"/>
      <c r="J76" s="114"/>
      <c r="K76" s="114"/>
      <c r="L76" s="114">
        <v>13</v>
      </c>
      <c r="M76" s="114"/>
      <c r="N76" s="114"/>
      <c r="O76" s="114">
        <v>16</v>
      </c>
      <c r="P76" s="10"/>
      <c r="Q76" s="114" t="s">
        <v>1033</v>
      </c>
      <c r="R76" s="114"/>
      <c r="S76" s="114" t="s">
        <v>676</v>
      </c>
      <c r="T76" s="114">
        <v>102</v>
      </c>
      <c r="U76" s="114">
        <v>190</v>
      </c>
      <c r="V76" s="155">
        <f t="shared" si="6"/>
        <v>146</v>
      </c>
      <c r="W76" s="155">
        <v>1.8</v>
      </c>
      <c r="X76" s="124">
        <f t="shared" si="7"/>
        <v>81.111111111111114</v>
      </c>
      <c r="Y76" s="114" t="s">
        <v>1377</v>
      </c>
      <c r="Z76" s="114"/>
      <c r="AA76" s="114"/>
      <c r="AB76" s="114"/>
      <c r="AC76" s="10"/>
      <c r="AD76" s="114"/>
      <c r="AE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Aman"),IF(includeprebc,S76="Pre-BC"),IF(includesunwell,S76="Sunwell"))),MAX($AE$56:AE75)+1,"")</f>
        <v>12</v>
      </c>
      <c r="AF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Aman"),IF(includeprebc,$S76="Pre-BC"),IF(includesunwell,$S76="Sunwell"))),MAX($AF$1:AF75)+1,"")</f>
        <v>45</v>
      </c>
      <c r="AG76" s="114"/>
      <c r="AK76" s="48">
        <v>74</v>
      </c>
      <c r="AL76" s="151" t="str">
        <f>IF('Gear &amp; Buffs'!$Y$47="Dagger",IF(ISNA(INDEX($A$2:$A$54,MATCH(AK76,AE$2:AE$54,0))),"",INDEX($A$2:$A$54,MATCH(AK76,AE$2:AE$54,0))),"")&amp;
IF('Gear &amp; Buffs'!$Y$47="Sword",IF(ISNA(INDEX($A$56:$A$100,MATCH(AK76,AE$56:AE$100,0))),"",INDEX($A$56:$A$100,MATCH(AK76,AE$56:AE$100,0))),"")&amp;
IF('Gear &amp; Buffs'!$Y$47="Fist",IF(ISNA(INDEX($A$102:$A$119,MATCH(AK76,AE$102:AE$119,0))),"",INDEX($A$102:$A$119,MATCH(AK76,AE$102:AE$119,0))),"")&amp;
IF('Gear &amp; Buffs'!$Y$47="Mace",IF(ISNA(INDEX($A$121:$A$148,MATCH(AK76,AE$121:AE$148,0))),"",INDEX($A$121:$A$148,MATCH(AK76,AE$121:AE$148,0))),"")&amp;
IF('Gear &amp; Buffs'!$Y$47="All",IF(ISNA(INDEX($A$2:$A$148,MATCH(AK76,AF$2:AF$148,0))),"",INDEX($A$2:$A$148,MATCH(AK76,AF$2:AF$148,0))),"")</f>
        <v>Fool's Bane</v>
      </c>
      <c r="AM76" s="114"/>
      <c r="AN76" s="114"/>
      <c r="AO76" s="114"/>
      <c r="AP76" s="114"/>
    </row>
    <row r="77" spans="1:48" s="114" customFormat="1">
      <c r="A77" s="10" t="s">
        <v>1388</v>
      </c>
      <c r="B77" s="116">
        <v>30733</v>
      </c>
      <c r="C77" s="116">
        <v>1</v>
      </c>
      <c r="F77" s="114">
        <v>70</v>
      </c>
      <c r="G77" s="115"/>
      <c r="H77" s="115"/>
      <c r="I77" s="115"/>
      <c r="K77" s="116"/>
      <c r="M77" s="116"/>
      <c r="O77" s="116"/>
      <c r="Q77" s="114" t="s">
        <v>1033</v>
      </c>
      <c r="S77" s="114" t="s">
        <v>682</v>
      </c>
      <c r="T77" s="114">
        <v>163</v>
      </c>
      <c r="U77" s="116">
        <v>304</v>
      </c>
      <c r="V77" s="155">
        <f t="shared" si="6"/>
        <v>233.5</v>
      </c>
      <c r="W77" s="155">
        <v>2.6</v>
      </c>
      <c r="X77" s="124">
        <f t="shared" si="7"/>
        <v>89.807692307692307</v>
      </c>
      <c r="Y77" s="115" t="s">
        <v>1377</v>
      </c>
      <c r="AC77" s="289"/>
      <c r="AD77" s="115"/>
      <c r="AE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Aman"),IF(includeprebc,S77="Pre-BC"),IF(includesunwell,S77="Sunwell"))),MAX($AE$56:AE76)+1,"")</f>
        <v>13</v>
      </c>
      <c r="AF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Aman"),IF(includeprebc,$S77="Pre-BC"),IF(includesunwell,$S77="Sunwell"))),MAX($AF$1:AF76)+1,"")</f>
        <v>46</v>
      </c>
      <c r="AI77" s="129"/>
      <c r="AJ77" s="129"/>
      <c r="AK77" s="48">
        <v>75</v>
      </c>
      <c r="AL77" s="151" t="str">
        <f>IF('Gear &amp; Buffs'!$Y$47="Dagger",IF(ISNA(INDEX($A$2:$A$54,MATCH(AK77,AE$2:AE$54,0))),"",INDEX($A$2:$A$54,MATCH(AK77,AE$2:AE$54,0))),"")&amp;
IF('Gear &amp; Buffs'!$Y$47="Sword",IF(ISNA(INDEX($A$56:$A$100,MATCH(AK77,AE$56:AE$100,0))),"",INDEX($A$56:$A$100,MATCH(AK77,AE$56:AE$100,0))),"")&amp;
IF('Gear &amp; Buffs'!$Y$47="Fist",IF(ISNA(INDEX($A$102:$A$119,MATCH(AK77,AE$102:AE$119,0))),"",INDEX($A$102:$A$119,MATCH(AK77,AE$102:AE$119,0))),"")&amp;
IF('Gear &amp; Buffs'!$Y$47="Mace",IF(ISNA(INDEX($A$121:$A$148,MATCH(AK77,AE$121:AE$148,0))),"",INDEX($A$121:$A$148,MATCH(AK77,AE$121:AE$148,0))),"")&amp;
IF('Gear &amp; Buffs'!$Y$47="All",IF(ISNA(INDEX($A$2:$A$148,MATCH(AK77,AF$2:AF$148,0))),"",INDEX($A$2:$A$148,MATCH(AK77,AF$2:AF$148,0))),"")</f>
        <v>Gladiator's Pummeler</v>
      </c>
      <c r="AQ77" s="129"/>
      <c r="AR77" s="129"/>
      <c r="AS77" s="129"/>
      <c r="AT77" s="129"/>
      <c r="AU77" s="129"/>
      <c r="AV77" s="129"/>
    </row>
    <row r="78" spans="1:48" s="114" customFormat="1">
      <c r="A78" s="10" t="s">
        <v>1389</v>
      </c>
      <c r="B78" s="114">
        <v>30788</v>
      </c>
      <c r="C78" s="114">
        <v>1</v>
      </c>
      <c r="F78" s="114">
        <f>IF(OR(mobtype="Any",mobtype="Demon"),93,0)</f>
        <v>93</v>
      </c>
      <c r="I78" s="115"/>
      <c r="P78" s="10"/>
      <c r="Q78" s="114" t="s">
        <v>1033</v>
      </c>
      <c r="S78" s="114" t="s">
        <v>675</v>
      </c>
      <c r="T78" s="114">
        <v>135</v>
      </c>
      <c r="U78" s="114">
        <v>252</v>
      </c>
      <c r="V78" s="155">
        <f t="shared" si="6"/>
        <v>193.5</v>
      </c>
      <c r="W78" s="155">
        <v>2.7</v>
      </c>
      <c r="X78" s="124">
        <f t="shared" si="7"/>
        <v>71.666666666666657</v>
      </c>
      <c r="Y78" s="114" t="s">
        <v>1377</v>
      </c>
      <c r="AC78" s="10"/>
      <c r="AE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Aman"),IF(includeprebc,S78="Pre-BC"),IF(includesunwell,S78="Sunwell"))),MAX($AE$56:AE77)+1,"")</f>
        <v>14</v>
      </c>
      <c r="AF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Aman"),IF(includeprebc,$S78="Pre-BC"),IF(includesunwell,$S78="Sunwell"))),MAX($AF$1:AF77)+1,"")</f>
        <v>47</v>
      </c>
      <c r="AI78" s="129"/>
      <c r="AJ78" s="129"/>
      <c r="AK78" s="48">
        <v>76</v>
      </c>
      <c r="AL78" s="151" t="str">
        <f>IF('Gear &amp; Buffs'!$Y$47="Dagger",IF(ISNA(INDEX($A$2:$A$54,MATCH(AK78,AE$2:AE$54,0))),"",INDEX($A$2:$A$54,MATCH(AK78,AE$2:AE$54,0))),"")&amp;
IF('Gear &amp; Buffs'!$Y$47="Sword",IF(ISNA(INDEX($A$56:$A$100,MATCH(AK78,AE$56:AE$100,0))),"",INDEX($A$56:$A$100,MATCH(AK78,AE$56:AE$100,0))),"")&amp;
IF('Gear &amp; Buffs'!$Y$47="Fist",IF(ISNA(INDEX($A$102:$A$119,MATCH(AK78,AE$102:AE$119,0))),"",INDEX($A$102:$A$119,MATCH(AK78,AE$102:AE$119,0))),"")&amp;
IF('Gear &amp; Buffs'!$Y$47="Mace",IF(ISNA(INDEX($A$121:$A$148,MATCH(AK78,AE$121:AE$148,0))),"",INDEX($A$121:$A$148,MATCH(AK78,AE$121:AE$148,0))),"")&amp;
IF('Gear &amp; Buffs'!$Y$47="All",IF(ISNA(INDEX($A$2:$A$148,MATCH(AK78,AF$2:AF$148,0))),"",INDEX($A$2:$A$148,MATCH(AK78,AF$2:AF$148,0))),"")</f>
        <v>Grand Marshal's Bonecracker</v>
      </c>
      <c r="AQ78" s="129"/>
      <c r="AR78" s="129"/>
      <c r="AS78" s="129"/>
      <c r="AT78" s="129"/>
      <c r="AU78" s="129"/>
      <c r="AV78" s="129"/>
    </row>
    <row r="79" spans="1:48" s="114" customFormat="1">
      <c r="A79" s="10" t="s">
        <v>972</v>
      </c>
      <c r="B79" s="114">
        <v>34672</v>
      </c>
      <c r="C79" s="114">
        <v>5</v>
      </c>
      <c r="H79" s="114">
        <v>8</v>
      </c>
      <c r="I79" s="115"/>
      <c r="K79" s="114">
        <v>11</v>
      </c>
      <c r="L79" s="114">
        <v>21</v>
      </c>
      <c r="O79" s="114">
        <v>13</v>
      </c>
      <c r="P79" s="10"/>
      <c r="Q79" s="114" t="s">
        <v>1033</v>
      </c>
      <c r="S79" s="114" t="s">
        <v>676</v>
      </c>
      <c r="T79" s="114">
        <v>80</v>
      </c>
      <c r="U79" s="114">
        <v>121</v>
      </c>
      <c r="V79" s="155">
        <f t="shared" si="6"/>
        <v>100.5</v>
      </c>
      <c r="W79" s="155">
        <v>1.4</v>
      </c>
      <c r="X79" s="124">
        <f t="shared" si="7"/>
        <v>71.785714285714292</v>
      </c>
      <c r="Y79" s="114" t="s">
        <v>1377</v>
      </c>
      <c r="AC79" s="10"/>
      <c r="AE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Aman"),IF(includeprebc,S79="Pre-BC"),IF(includesunwell,S79="Sunwell"))),MAX($AE$56:AE78)+1,"")</f>
        <v/>
      </c>
      <c r="AF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Aman"),IF(includeprebc,$S79="Pre-BC"),IF(includesunwell,$S79="Sunwell"))),MAX($AF$1:AF78)+1,"")</f>
        <v/>
      </c>
      <c r="AI79" s="129"/>
      <c r="AJ79" s="129"/>
      <c r="AK79" s="48">
        <v>77</v>
      </c>
      <c r="AL79" s="151" t="str">
        <f>IF('Gear &amp; Buffs'!$Y$47="Dagger",IF(ISNA(INDEX($A$2:$A$54,MATCH(AK79,AE$2:AE$54,0))),"",INDEX($A$2:$A$54,MATCH(AK79,AE$2:AE$54,0))),"")&amp;
IF('Gear &amp; Buffs'!$Y$47="Sword",IF(ISNA(INDEX($A$56:$A$100,MATCH(AK79,AE$56:AE$100,0))),"",INDEX($A$56:$A$100,MATCH(AK79,AE$56:AE$100,0))),"")&amp;
IF('Gear &amp; Buffs'!$Y$47="Fist",IF(ISNA(INDEX($A$102:$A$119,MATCH(AK79,AE$102:AE$119,0))),"",INDEX($A$102:$A$119,MATCH(AK79,AE$102:AE$119,0))),"")&amp;
IF('Gear &amp; Buffs'!$Y$47="Mace",IF(ISNA(INDEX($A$121:$A$148,MATCH(AK79,AE$121:AE$148,0))),"",INDEX($A$121:$A$148,MATCH(AK79,AE$121:AE$148,0))),"")&amp;
IF('Gear &amp; Buffs'!$Y$47="All",IF(ISNA(INDEX($A$2:$A$148,MATCH(AK79,AF$2:AF$148,0))),"",INDEX($A$2:$A$148,MATCH(AK79,AF$2:AF$148,0))),"")</f>
        <v>Grand Marshal's Pummeler</v>
      </c>
      <c r="AQ79" s="129"/>
      <c r="AR79" s="129"/>
      <c r="AS79" s="129"/>
      <c r="AT79" s="129"/>
      <c r="AU79" s="129"/>
      <c r="AV79" s="129"/>
    </row>
    <row r="80" spans="1:48">
      <c r="A80" s="10" t="s">
        <v>1390</v>
      </c>
      <c r="B80" s="116">
        <v>28749</v>
      </c>
      <c r="C80" s="116">
        <v>1</v>
      </c>
      <c r="D80" s="114"/>
      <c r="E80" s="114"/>
      <c r="F80" s="114"/>
      <c r="G80" s="115"/>
      <c r="H80" s="115">
        <v>17</v>
      </c>
      <c r="I80" s="115"/>
      <c r="J80" s="114"/>
      <c r="K80" s="116"/>
      <c r="L80" s="114">
        <v>28</v>
      </c>
      <c r="M80" s="116"/>
      <c r="N80" s="114"/>
      <c r="O80" s="116">
        <v>13</v>
      </c>
      <c r="P80" s="114"/>
      <c r="Q80" s="114" t="s">
        <v>1033</v>
      </c>
      <c r="R80" s="114"/>
      <c r="S80" s="114" t="s">
        <v>672</v>
      </c>
      <c r="T80" s="114">
        <v>98</v>
      </c>
      <c r="U80" s="116">
        <v>182</v>
      </c>
      <c r="V80" s="155">
        <f t="shared" si="6"/>
        <v>140</v>
      </c>
      <c r="W80" s="155">
        <v>1.6</v>
      </c>
      <c r="X80" s="124">
        <f t="shared" si="7"/>
        <v>87.5</v>
      </c>
      <c r="Y80" s="115" t="s">
        <v>1377</v>
      </c>
      <c r="Z80" s="114"/>
      <c r="AA80" s="114"/>
      <c r="AB80" s="114"/>
      <c r="AC80" s="289"/>
      <c r="AD80" s="115"/>
      <c r="AE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Aman"),IF(includeprebc,S80="Pre-BC"),IF(includesunwell,S80="Sunwell"))),MAX($AE$56:AE79)+1,"")</f>
        <v>15</v>
      </c>
      <c r="AF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Aman"),IF(includeprebc,$S80="Pre-BC"),IF(includesunwell,$S80="Sunwell"))),MAX($AF$1:AF79)+1,"")</f>
        <v>48</v>
      </c>
      <c r="AG80" s="114"/>
      <c r="AK80" s="48">
        <v>78</v>
      </c>
      <c r="AL80" s="151" t="str">
        <f>IF('Gear &amp; Buffs'!$Y$47="Dagger",IF(ISNA(INDEX($A$2:$A$54,MATCH(AK80,AE$2:AE$54,0))),"",INDEX($A$2:$A$54,MATCH(AK80,AE$2:AE$54,0))),"")&amp;
IF('Gear &amp; Buffs'!$Y$47="Sword",IF(ISNA(INDEX($A$56:$A$100,MATCH(AK80,AE$56:AE$100,0))),"",INDEX($A$56:$A$100,MATCH(AK80,AE$56:AE$100,0))),"")&amp;
IF('Gear &amp; Buffs'!$Y$47="Fist",IF(ISNA(INDEX($A$102:$A$119,MATCH(AK80,AE$102:AE$119,0))),"",INDEX($A$102:$A$119,MATCH(AK80,AE$102:AE$119,0))),"")&amp;
IF('Gear &amp; Buffs'!$Y$47="Mace",IF(ISNA(INDEX($A$121:$A$148,MATCH(AK80,AE$121:AE$148,0))),"",INDEX($A$121:$A$148,MATCH(AK80,AE$121:AE$148,0))),"")&amp;
IF('Gear &amp; Buffs'!$Y$47="All",IF(ISNA(INDEX($A$2:$A$148,MATCH(AK80,AF$2:AF$148,0))),"",INDEX($A$2:$A$148,MATCH(AK80,AF$2:AF$148,0))),"")</f>
        <v>High Warlord's Bonecracker</v>
      </c>
    </row>
    <row r="81" spans="1:48">
      <c r="A81" s="10" t="s">
        <v>960</v>
      </c>
      <c r="B81" s="114">
        <v>34703</v>
      </c>
      <c r="C81" s="114">
        <v>5</v>
      </c>
      <c r="D81" s="114"/>
      <c r="E81" s="114"/>
      <c r="F81" s="114">
        <f>28+IF(SetLat2p,30,0)</f>
        <v>28</v>
      </c>
      <c r="G81" s="114"/>
      <c r="H81" s="114"/>
      <c r="I81" s="115"/>
      <c r="J81" s="114">
        <v>98</v>
      </c>
      <c r="K81" s="114"/>
      <c r="L81" s="114">
        <v>21</v>
      </c>
      <c r="M81" s="114"/>
      <c r="N81" s="114"/>
      <c r="O81" s="116"/>
      <c r="P81" s="10" t="s">
        <v>961</v>
      </c>
      <c r="Q81" s="114" t="s">
        <v>1033</v>
      </c>
      <c r="R81" s="114"/>
      <c r="S81" s="114" t="s">
        <v>673</v>
      </c>
      <c r="T81" s="114">
        <v>130</v>
      </c>
      <c r="U81" s="114">
        <v>243</v>
      </c>
      <c r="V81" s="155">
        <f>(U81+T81)/2</f>
        <v>186.5</v>
      </c>
      <c r="W81" s="155">
        <v>2.6</v>
      </c>
      <c r="X81" s="124">
        <f>V81/W81</f>
        <v>71.730769230769226</v>
      </c>
      <c r="Y81" s="114" t="s">
        <v>1377</v>
      </c>
      <c r="Z81" s="114"/>
      <c r="AA81" s="114"/>
      <c r="AB81" s="114"/>
      <c r="AC81" s="10"/>
      <c r="AD81" s="114"/>
      <c r="AE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Aman"),IF(includeprebc,S81="Pre-BC"),IF(includesunwell,S81="Sunwell"))),MAX($AE$56:AE80)+1,"")</f>
        <v/>
      </c>
      <c r="AF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Aman"),IF(includeprebc,$S81="Pre-BC"),IF(includesunwell,$S81="Sunwell"))),MAX($AF$1:AF80)+1,"")</f>
        <v/>
      </c>
      <c r="AG81" s="114"/>
      <c r="AK81" s="48">
        <v>79</v>
      </c>
      <c r="AL81" s="151" t="str">
        <f>IF('Gear &amp; Buffs'!$Y$47="Dagger",IF(ISNA(INDEX($A$2:$A$54,MATCH(AK81,AE$2:AE$54,0))),"",INDEX($A$2:$A$54,MATCH(AK81,AE$2:AE$54,0))),"")&amp;
IF('Gear &amp; Buffs'!$Y$47="Sword",IF(ISNA(INDEX($A$56:$A$100,MATCH(AK81,AE$56:AE$100,0))),"",INDEX($A$56:$A$100,MATCH(AK81,AE$56:AE$100,0))),"")&amp;
IF('Gear &amp; Buffs'!$Y$47="Fist",IF(ISNA(INDEX($A$102:$A$119,MATCH(AK81,AE$102:AE$119,0))),"",INDEX($A$102:$A$119,MATCH(AK81,AE$102:AE$119,0))),"")&amp;
IF('Gear &amp; Buffs'!$Y$47="Mace",IF(ISNA(INDEX($A$121:$A$148,MATCH(AK81,AE$121:AE$148,0))),"",INDEX($A$121:$A$148,MATCH(AK81,AE$121:AE$148,0))),"")&amp;
IF('Gear &amp; Buffs'!$Y$47="All",IF(ISNA(INDEX($A$2:$A$148,MATCH(AK81,AF$2:AF$148,0))),"",INDEX($A$2:$A$148,MATCH(AK81,AF$2:AF$148,0))),"")</f>
        <v>High Warlord's Pummeler</v>
      </c>
      <c r="AM81" s="114"/>
      <c r="AN81" s="114"/>
      <c r="AO81" s="114"/>
      <c r="AP81" s="114"/>
      <c r="AQ81" s="114"/>
      <c r="AR81" s="114"/>
    </row>
    <row r="82" spans="1:48">
      <c r="A82" s="10" t="s">
        <v>1392</v>
      </c>
      <c r="B82" s="114">
        <v>28189</v>
      </c>
      <c r="C82" s="114">
        <v>1</v>
      </c>
      <c r="D82" s="114"/>
      <c r="E82" s="114">
        <v>15</v>
      </c>
      <c r="F82" s="114">
        <v>26</v>
      </c>
      <c r="G82" s="114"/>
      <c r="H82" s="114"/>
      <c r="I82" s="115"/>
      <c r="J82" s="114"/>
      <c r="K82" s="114">
        <v>14</v>
      </c>
      <c r="L82" s="114"/>
      <c r="M82" s="114"/>
      <c r="N82" s="114"/>
      <c r="O82" s="116"/>
      <c r="P82" s="10" t="s">
        <v>961</v>
      </c>
      <c r="Q82" s="114" t="s">
        <v>1033</v>
      </c>
      <c r="R82" s="114"/>
      <c r="S82" s="114" t="s">
        <v>673</v>
      </c>
      <c r="T82" s="114">
        <v>70</v>
      </c>
      <c r="U82" s="114">
        <v>131</v>
      </c>
      <c r="V82" s="155">
        <f t="shared" si="6"/>
        <v>100.5</v>
      </c>
      <c r="W82" s="155">
        <v>1.4</v>
      </c>
      <c r="X82" s="124">
        <f t="shared" si="7"/>
        <v>71.785714285714292</v>
      </c>
      <c r="Y82" s="114" t="s">
        <v>1377</v>
      </c>
      <c r="Z82" s="114"/>
      <c r="AA82" s="114"/>
      <c r="AB82" s="114"/>
      <c r="AC82" s="10"/>
      <c r="AD82" s="114"/>
      <c r="AE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Aman"),IF(includeprebc,S82="Pre-BC"),IF(includesunwell,S82="Sunwell"))),MAX($AE$56:AE81)+1,"")</f>
        <v>16</v>
      </c>
      <c r="AF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Aman"),IF(includeprebc,$S82="Pre-BC"),IF(includesunwell,$S82="Sunwell"))),MAX($AF$1:AF81)+1,"")</f>
        <v>49</v>
      </c>
      <c r="AG82" s="114"/>
      <c r="AK82" s="48">
        <v>80</v>
      </c>
      <c r="AL82" s="151" t="str">
        <f>IF('Gear &amp; Buffs'!$Y$47="Dagger",IF(ISNA(INDEX($A$2:$A$54,MATCH(AK82,AE$2:AE$54,0))),"",INDEX($A$2:$A$54,MATCH(AK82,AE$2:AE$54,0))),"")&amp;
IF('Gear &amp; Buffs'!$Y$47="Sword",IF(ISNA(INDEX($A$56:$A$100,MATCH(AK82,AE$56:AE$100,0))),"",INDEX($A$56:$A$100,MATCH(AK82,AE$56:AE$100,0))),"")&amp;
IF('Gear &amp; Buffs'!$Y$47="Fist",IF(ISNA(INDEX($A$102:$A$119,MATCH(AK82,AE$102:AE$119,0))),"",INDEX($A$102:$A$119,MATCH(AK82,AE$102:AE$119,0))),"")&amp;
IF('Gear &amp; Buffs'!$Y$47="Mace",IF(ISNA(INDEX($A$121:$A$148,MATCH(AK82,AE$121:AE$148,0))),"",INDEX($A$121:$A$148,MATCH(AK82,AE$121:AE$148,0))),"")&amp;
IF('Gear &amp; Buffs'!$Y$47="All",IF(ISNA(INDEX($A$2:$A$148,MATCH(AK82,AF$2:AF$148,0))),"",INDEX($A$2:$A$148,MATCH(AK82,AF$2:AF$148,0))),"")</f>
        <v>Runic Hammer</v>
      </c>
      <c r="AM82" s="114"/>
      <c r="AN82" s="114"/>
      <c r="AO82" s="114"/>
      <c r="AP82" s="114"/>
      <c r="AQ82" s="120"/>
      <c r="AR82" s="120"/>
      <c r="AS82" s="114"/>
      <c r="AT82" s="114"/>
      <c r="AU82" s="114"/>
      <c r="AV82" s="114"/>
    </row>
    <row r="83" spans="1:48">
      <c r="A83" s="10" t="s">
        <v>1391</v>
      </c>
      <c r="B83" s="116">
        <v>32052</v>
      </c>
      <c r="C83" s="116">
        <v>2</v>
      </c>
      <c r="D83" s="114"/>
      <c r="E83" s="114"/>
      <c r="F83" s="114">
        <v>30</v>
      </c>
      <c r="G83" s="115">
        <v>19</v>
      </c>
      <c r="H83" s="115">
        <v>10</v>
      </c>
      <c r="I83" s="115"/>
      <c r="J83" s="114"/>
      <c r="K83" s="116"/>
      <c r="L83" s="114">
        <v>27</v>
      </c>
      <c r="M83" s="116"/>
      <c r="N83" s="114">
        <v>12</v>
      </c>
      <c r="O83" s="116"/>
      <c r="P83" s="114"/>
      <c r="Q83" s="114" t="s">
        <v>1033</v>
      </c>
      <c r="R83" s="114"/>
      <c r="S83" s="114" t="s">
        <v>677</v>
      </c>
      <c r="T83" s="114">
        <v>203</v>
      </c>
      <c r="U83" s="116">
        <v>305</v>
      </c>
      <c r="V83" s="155">
        <f t="shared" si="6"/>
        <v>254</v>
      </c>
      <c r="W83" s="155">
        <v>2.6</v>
      </c>
      <c r="X83" s="124">
        <f t="shared" si="7"/>
        <v>97.692307692307693</v>
      </c>
      <c r="Y83" s="115" t="s">
        <v>1377</v>
      </c>
      <c r="Z83" s="114"/>
      <c r="AA83" s="114"/>
      <c r="AB83" s="114"/>
      <c r="AC83" s="289"/>
      <c r="AD83" s="115"/>
      <c r="AE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Aman"),IF(includeprebc,S83="Pre-BC"),IF(includesunwell,S83="Sunwell"))),MAX($AE$56:AE82)+1,"")</f>
        <v/>
      </c>
      <c r="AF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Aman"),IF(includeprebc,$S83="Pre-BC"),IF(includesunwell,$S83="Sunwell"))),MAX($AF$1:AF82)+1,"")</f>
        <v/>
      </c>
      <c r="AG83" s="114"/>
      <c r="AK83" s="48">
        <v>81</v>
      </c>
      <c r="AL83" s="151" t="str">
        <f>IF('Gear &amp; Buffs'!$Y$47="Dagger",IF(ISNA(INDEX($A$2:$A$54,MATCH(AK83,AE$2:AE$54,0))),"",INDEX($A$2:$A$54,MATCH(AK83,AE$2:AE$54,0))),"")&amp;
IF('Gear &amp; Buffs'!$Y$47="Sword",IF(ISNA(INDEX($A$56:$A$100,MATCH(AK83,AE$56:AE$100,0))),"",INDEX($A$56:$A$100,MATCH(AK83,AE$56:AE$100,0))),"")&amp;
IF('Gear &amp; Buffs'!$Y$47="Fist",IF(ISNA(INDEX($A$102:$A$119,MATCH(AK83,AE$102:AE$119,0))),"",INDEX($A$102:$A$119,MATCH(AK83,AE$102:AE$119,0))),"")&amp;
IF('Gear &amp; Buffs'!$Y$47="Mace",IF(ISNA(INDEX($A$121:$A$148,MATCH(AK83,AE$121:AE$148,0))),"",INDEX($A$121:$A$148,MATCH(AK83,AE$121:AE$148,0))),"")&amp;
IF('Gear &amp; Buffs'!$Y$47="All",IF(ISNA(INDEX($A$2:$A$148,MATCH(AK83,AF$2:AF$148,0))),"",INDEX($A$2:$A$148,MATCH(AK83,AF$2:AF$148,0))),"")</f>
        <v>Terokk's Nightmace</v>
      </c>
      <c r="AM83" s="114"/>
      <c r="AN83" s="114"/>
      <c r="AO83" s="114"/>
      <c r="AP83" s="114"/>
      <c r="AS83" s="120"/>
    </row>
    <row r="84" spans="1:48">
      <c r="A84" s="10" t="s">
        <v>985</v>
      </c>
      <c r="B84" s="114">
        <v>34214</v>
      </c>
      <c r="C84" s="114">
        <v>5</v>
      </c>
      <c r="D84" s="114"/>
      <c r="E84" s="114"/>
      <c r="F84" s="114"/>
      <c r="G84" s="114"/>
      <c r="H84" s="114">
        <v>17</v>
      </c>
      <c r="I84" s="115">
        <v>35</v>
      </c>
      <c r="J84" s="114"/>
      <c r="K84" s="114"/>
      <c r="L84" s="114">
        <v>27</v>
      </c>
      <c r="M84" s="114"/>
      <c r="N84" s="114"/>
      <c r="O84" s="114"/>
      <c r="P84" s="10"/>
      <c r="Q84" s="114" t="s">
        <v>1033</v>
      </c>
      <c r="R84" s="114"/>
      <c r="S84" s="114" t="s">
        <v>871</v>
      </c>
      <c r="T84" s="114">
        <v>196</v>
      </c>
      <c r="U84" s="114">
        <v>365</v>
      </c>
      <c r="V84" s="155">
        <f t="shared" si="6"/>
        <v>280.5</v>
      </c>
      <c r="W84" s="155">
        <v>2.6</v>
      </c>
      <c r="X84" s="124">
        <f t="shared" si="7"/>
        <v>107.88461538461539</v>
      </c>
      <c r="Y84" s="114" t="s">
        <v>1377</v>
      </c>
      <c r="Z84" s="114"/>
      <c r="AA84" s="114"/>
      <c r="AB84" s="114"/>
      <c r="AC84" s="10"/>
      <c r="AD84" s="114"/>
      <c r="AE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Aman"),IF(includeprebc,S84="Pre-BC"),IF(includesunwell,S84="Sunwell"))),MAX($AE$56:AE83)+1,"")</f>
        <v/>
      </c>
      <c r="AF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Aman"),IF(includeprebc,$S84="Pre-BC"),IF(includesunwell,$S84="Sunwell"))),MAX($AF$1:AF83)+1,"")</f>
        <v/>
      </c>
      <c r="AG84" s="114"/>
      <c r="AK84" s="48">
        <v>82</v>
      </c>
      <c r="AL84" s="151" t="str">
        <f>IF('Gear &amp; Buffs'!$Y$47="Dagger",IF(ISNA(INDEX($A$2:$A$54,MATCH(AK84,AE$2:AE$54,0))),"",INDEX($A$2:$A$54,MATCH(AK84,AE$2:AE$54,0))),"")&amp;
IF('Gear &amp; Buffs'!$Y$47="Sword",IF(ISNA(INDEX($A$56:$A$100,MATCH(AK84,AE$56:AE$100,0))),"",INDEX($A$56:$A$100,MATCH(AK84,AE$56:AE$100,0))),"")&amp;
IF('Gear &amp; Buffs'!$Y$47="Fist",IF(ISNA(INDEX($A$102:$A$119,MATCH(AK84,AE$102:AE$119,0))),"",INDEX($A$102:$A$119,MATCH(AK84,AE$102:AE$119,0))),"")&amp;
IF('Gear &amp; Buffs'!$Y$47="Mace",IF(ISNA(INDEX($A$121:$A$148,MATCH(AK84,AE$121:AE$148,0))),"",INDEX($A$121:$A$148,MATCH(AK84,AE$121:AE$148,0))),"")&amp;
IF('Gear &amp; Buffs'!$Y$47="All",IF(ISNA(INDEX($A$2:$A$148,MATCH(AK84,AF$2:AF$148,0))),"",INDEX($A$2:$A$148,MATCH(AK84,AF$2:AF$148,0))),"")</f>
        <v>Truncheon of Five Hells</v>
      </c>
    </row>
    <row r="85" spans="1:48">
      <c r="A85" s="10" t="s">
        <v>1393</v>
      </c>
      <c r="B85" s="114">
        <v>27673</v>
      </c>
      <c r="C85" s="114">
        <v>1</v>
      </c>
      <c r="D85" s="114"/>
      <c r="E85" s="114"/>
      <c r="F85" s="114">
        <v>40</v>
      </c>
      <c r="G85" s="116">
        <v>11</v>
      </c>
      <c r="H85" s="116"/>
      <c r="I85" s="115"/>
      <c r="J85" s="114"/>
      <c r="K85" s="114"/>
      <c r="L85" s="114">
        <v>12</v>
      </c>
      <c r="M85" s="114"/>
      <c r="N85" s="114"/>
      <c r="O85" s="116"/>
      <c r="P85" s="114"/>
      <c r="Q85" s="114" t="s">
        <v>1033</v>
      </c>
      <c r="R85" s="114"/>
      <c r="S85" s="114" t="s">
        <v>691</v>
      </c>
      <c r="T85" s="115">
        <v>120</v>
      </c>
      <c r="U85" s="114">
        <v>224</v>
      </c>
      <c r="V85" s="155">
        <f t="shared" si="6"/>
        <v>172</v>
      </c>
      <c r="W85" s="155">
        <v>2.4</v>
      </c>
      <c r="X85" s="124">
        <f t="shared" si="7"/>
        <v>71.666666666666671</v>
      </c>
      <c r="Y85" s="114" t="s">
        <v>1377</v>
      </c>
      <c r="Z85" s="114"/>
      <c r="AA85" s="114"/>
      <c r="AB85" s="114"/>
      <c r="AC85" s="289"/>
      <c r="AD85" s="114"/>
      <c r="AE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Aman"),IF(includeprebc,S85="Pre-BC"),IF(includesunwell,S85="Sunwell"))),MAX($AE$56:AE84)+1,"")</f>
        <v>17</v>
      </c>
      <c r="AF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Aman"),IF(includeprebc,$S85="Pre-BC"),IF(includesunwell,$S85="Sunwell"))),MAX($AF$1:AF84)+1,"")</f>
        <v>50</v>
      </c>
      <c r="AG85" s="114"/>
      <c r="AK85" s="48">
        <v>83</v>
      </c>
      <c r="AL85" s="151" t="str">
        <f>IF('Gear &amp; Buffs'!$Y$47="Dagger",IF(ISNA(INDEX($A$2:$A$54,MATCH(AK85,AE$2:AE$54,0))),"",INDEX($A$2:$A$54,MATCH(AK85,AE$2:AE$54,0))),"")&amp;
IF('Gear &amp; Buffs'!$Y$47="Sword",IF(ISNA(INDEX($A$56:$A$100,MATCH(AK85,AE$56:AE$100,0))),"",INDEX($A$56:$A$100,MATCH(AK85,AE$56:AE$100,0))),"")&amp;
IF('Gear &amp; Buffs'!$Y$47="Fist",IF(ISNA(INDEX($A$102:$A$119,MATCH(AK85,AE$102:AE$119,0))),"",INDEX($A$102:$A$119,MATCH(AK85,AE$102:AE$119,0))),"")&amp;
IF('Gear &amp; Buffs'!$Y$47="Mace",IF(ISNA(INDEX($A$121:$A$148,MATCH(AK85,AE$121:AE$148,0))),"",INDEX($A$121:$A$148,MATCH(AK85,AE$121:AE$148,0))),"")&amp;
IF('Gear &amp; Buffs'!$Y$47="All",IF(ISNA(INDEX($A$2:$A$148,MATCH(AK85,AF$2:AF$148,0))),"",INDEX($A$2:$A$148,MATCH(AK85,AF$2:AF$148,0))),"")</f>
        <v>(Unmodeled MH Mace)</v>
      </c>
    </row>
    <row r="86" spans="1:48">
      <c r="A86" s="10" t="s">
        <v>1636</v>
      </c>
      <c r="B86" s="114">
        <v>34609</v>
      </c>
      <c r="C86" s="114">
        <v>5</v>
      </c>
      <c r="D86" s="114"/>
      <c r="E86" s="114"/>
      <c r="F86" s="114">
        <v>38</v>
      </c>
      <c r="G86" s="114"/>
      <c r="H86" s="114"/>
      <c r="I86" s="115"/>
      <c r="J86" s="114">
        <v>126</v>
      </c>
      <c r="K86" s="114"/>
      <c r="L86" s="114">
        <v>27</v>
      </c>
      <c r="M86" s="114"/>
      <c r="N86" s="114"/>
      <c r="O86" s="116"/>
      <c r="P86" s="10"/>
      <c r="Q86" s="114" t="s">
        <v>1033</v>
      </c>
      <c r="R86" s="114"/>
      <c r="S86" s="114" t="s">
        <v>691</v>
      </c>
      <c r="T86" s="114">
        <v>96</v>
      </c>
      <c r="U86" s="114">
        <v>180</v>
      </c>
      <c r="V86" s="155">
        <f>(U86+T86)/2</f>
        <v>138</v>
      </c>
      <c r="W86" s="155">
        <v>1.5</v>
      </c>
      <c r="X86" s="124">
        <f>V86/W86</f>
        <v>92</v>
      </c>
      <c r="Y86" s="114" t="s">
        <v>1377</v>
      </c>
      <c r="Z86" s="114"/>
      <c r="AA86" s="114"/>
      <c r="AB86" s="114"/>
      <c r="AC86" s="10"/>
      <c r="AD86" s="114"/>
      <c r="AE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Aman"),IF(includeprebc,S86="Pre-BC"),IF(includesunwell,S86="Sunwell"))),MAX($AE$56:AE85)+1,"")</f>
        <v/>
      </c>
      <c r="AF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Aman"),IF(includeprebc,$S86="Pre-BC"),IF(includesunwell,$S86="Sunwell"))),MAX($AF$1:AF85)+1,"")</f>
        <v/>
      </c>
      <c r="AG86" s="114"/>
      <c r="AK86" s="48">
        <v>84</v>
      </c>
      <c r="AL86" s="151" t="str">
        <f>IF('Gear &amp; Buffs'!$Y$47="Dagger",IF(ISNA(INDEX($A$2:$A$54,MATCH(AK86,AE$2:AE$54,0))),"",INDEX($A$2:$A$54,MATCH(AK86,AE$2:AE$54,0))),"")&amp;
IF('Gear &amp; Buffs'!$Y$47="Sword",IF(ISNA(INDEX($A$56:$A$100,MATCH(AK86,AE$56:AE$100,0))),"",INDEX($A$56:$A$100,MATCH(AK86,AE$56:AE$100,0))),"")&amp;
IF('Gear &amp; Buffs'!$Y$47="Fist",IF(ISNA(INDEX($A$102:$A$119,MATCH(AK86,AE$102:AE$119,0))),"",INDEX($A$102:$A$119,MATCH(AK86,AE$102:AE$119,0))),"")&amp;
IF('Gear &amp; Buffs'!$Y$47="Mace",IF(ISNA(INDEX($A$121:$A$148,MATCH(AK86,AE$121:AE$148,0))),"",INDEX($A$121:$A$148,MATCH(AK86,AE$121:AE$148,0))),"")&amp;
IF('Gear &amp; Buffs'!$Y$47="All",IF(ISNA(INDEX($A$2:$A$148,MATCH(AK86,AF$2:AF$148,0))),"",INDEX($A$2:$A$148,MATCH(AK86,AF$2:AF$148,0))),"")</f>
        <v/>
      </c>
    </row>
    <row r="87" spans="1:48">
      <c r="A87" s="10" t="s">
        <v>1394</v>
      </c>
      <c r="B87" s="114">
        <v>28311</v>
      </c>
      <c r="C87" s="114">
        <v>1</v>
      </c>
      <c r="D87" s="114"/>
      <c r="E87" s="114"/>
      <c r="F87" s="114"/>
      <c r="G87" s="114"/>
      <c r="H87" s="114"/>
      <c r="I87" s="115"/>
      <c r="J87" s="114"/>
      <c r="K87" s="114"/>
      <c r="L87" s="114"/>
      <c r="M87" s="114"/>
      <c r="N87" s="114"/>
      <c r="O87" s="116"/>
      <c r="P87" s="10"/>
      <c r="Q87" s="114" t="s">
        <v>1033</v>
      </c>
      <c r="R87" s="114"/>
      <c r="S87" s="114" t="s">
        <v>673</v>
      </c>
      <c r="T87" s="114">
        <v>75</v>
      </c>
      <c r="U87" s="114">
        <v>140</v>
      </c>
      <c r="V87" s="155">
        <f t="shared" si="6"/>
        <v>107.5</v>
      </c>
      <c r="W87" s="155">
        <v>1.5</v>
      </c>
      <c r="X87" s="124">
        <f t="shared" si="7"/>
        <v>71.666666666666671</v>
      </c>
      <c r="Y87" s="114" t="s">
        <v>1377</v>
      </c>
      <c r="Z87" s="114">
        <v>115</v>
      </c>
      <c r="AA87" s="114">
        <v>1</v>
      </c>
      <c r="AB87" s="114">
        <v>3</v>
      </c>
      <c r="AC87" s="10" t="s">
        <v>1395</v>
      </c>
      <c r="AD87" s="114"/>
      <c r="AE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Aman"),IF(includeprebc,S87="Pre-BC"),IF(includesunwell,S87="Sunwell"))),MAX($AE$56:AE86)+1,"")</f>
        <v>18</v>
      </c>
      <c r="AF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Aman"),IF(includeprebc,$S87="Pre-BC"),IF(includesunwell,$S87="Sunwell"))),MAX($AF$1:AF86)+1,"")</f>
        <v>51</v>
      </c>
      <c r="AG87" s="114"/>
      <c r="AK87" s="48">
        <v>85</v>
      </c>
      <c r="AL87" s="151" t="str">
        <f>IF('Gear &amp; Buffs'!$Y$47="Dagger",IF(ISNA(INDEX($A$2:$A$54,MATCH(AK87,AE$2:AE$54,0))),"",INDEX($A$2:$A$54,MATCH(AK87,AE$2:AE$54,0))),"")&amp;
IF('Gear &amp; Buffs'!$Y$47="Sword",IF(ISNA(INDEX($A$56:$A$100,MATCH(AK87,AE$56:AE$100,0))),"",INDEX($A$56:$A$100,MATCH(AK87,AE$56:AE$100,0))),"")&amp;
IF('Gear &amp; Buffs'!$Y$47="Fist",IF(ISNA(INDEX($A$102:$A$119,MATCH(AK87,AE$102:AE$119,0))),"",INDEX($A$102:$A$119,MATCH(AK87,AE$102:AE$119,0))),"")&amp;
IF('Gear &amp; Buffs'!$Y$47="Mace",IF(ISNA(INDEX($A$121:$A$148,MATCH(AK87,AE$121:AE$148,0))),"",INDEX($A$121:$A$148,MATCH(AK87,AE$121:AE$148,0))),"")&amp;
IF('Gear &amp; Buffs'!$Y$47="All",IF(ISNA(INDEX($A$2:$A$148,MATCH(AK87,AF$2:AF$148,0))),"",INDEX($A$2:$A$148,MATCH(AK87,AF$2:AF$148,0))),"")</f>
        <v/>
      </c>
    </row>
    <row r="88" spans="1:48">
      <c r="A88" s="10" t="s">
        <v>1396</v>
      </c>
      <c r="B88" s="114">
        <v>28729</v>
      </c>
      <c r="C88" s="114">
        <v>1</v>
      </c>
      <c r="D88" s="114"/>
      <c r="E88" s="114">
        <v>14</v>
      </c>
      <c r="F88" s="114">
        <v>46</v>
      </c>
      <c r="G88" s="114"/>
      <c r="H88" s="114"/>
      <c r="I88" s="115"/>
      <c r="J88" s="114"/>
      <c r="K88" s="114"/>
      <c r="L88" s="114">
        <v>16</v>
      </c>
      <c r="M88" s="114"/>
      <c r="N88" s="114"/>
      <c r="O88" s="116"/>
      <c r="P88" s="10"/>
      <c r="Q88" s="114" t="s">
        <v>1033</v>
      </c>
      <c r="R88" s="114"/>
      <c r="S88" s="114" t="s">
        <v>672</v>
      </c>
      <c r="T88" s="114">
        <v>165</v>
      </c>
      <c r="U88" s="114">
        <v>308</v>
      </c>
      <c r="V88" s="155">
        <f t="shared" si="6"/>
        <v>236.5</v>
      </c>
      <c r="W88" s="155">
        <v>2.7</v>
      </c>
      <c r="X88" s="124">
        <f t="shared" si="7"/>
        <v>87.592592592592581</v>
      </c>
      <c r="Y88" s="114" t="s">
        <v>1377</v>
      </c>
      <c r="Z88" s="114"/>
      <c r="AA88" s="114"/>
      <c r="AB88" s="114"/>
      <c r="AC88" s="10"/>
      <c r="AD88" s="114"/>
      <c r="AE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Aman"),IF(includeprebc,S88="Pre-BC"),IF(includesunwell,S88="Sunwell"))),MAX($AE$56:AE87)+1,"")</f>
        <v>19</v>
      </c>
      <c r="AF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Aman"),IF(includeprebc,$S88="Pre-BC"),IF(includesunwell,$S88="Sunwell"))),MAX($AF$1:AF87)+1,"")</f>
        <v>52</v>
      </c>
      <c r="AG88" s="114"/>
      <c r="AK88" s="48">
        <v>86</v>
      </c>
      <c r="AL88" s="151" t="str">
        <f>IF('Gear &amp; Buffs'!$Y$47="Dagger",IF(ISNA(INDEX($A$2:$A$54,MATCH(AK88,AE$2:AE$54,0))),"",INDEX($A$2:$A$54,MATCH(AK88,AE$2:AE$54,0))),"")&amp;
IF('Gear &amp; Buffs'!$Y$47="Sword",IF(ISNA(INDEX($A$56:$A$100,MATCH(AK88,AE$56:AE$100,0))),"",INDEX($A$56:$A$100,MATCH(AK88,AE$56:AE$100,0))),"")&amp;
IF('Gear &amp; Buffs'!$Y$47="Fist",IF(ISNA(INDEX($A$102:$A$119,MATCH(AK88,AE$102:AE$119,0))),"",INDEX($A$102:$A$119,MATCH(AK88,AE$102:AE$119,0))),"")&amp;
IF('Gear &amp; Buffs'!$Y$47="Mace",IF(ISNA(INDEX($A$121:$A$148,MATCH(AK88,AE$121:AE$148,0))),"",INDEX($A$121:$A$148,MATCH(AK88,AE$121:AE$148,0))),"")&amp;
IF('Gear &amp; Buffs'!$Y$47="All",IF(ISNA(INDEX($A$2:$A$148,MATCH(AK88,AF$2:AF$148,0))),"",INDEX($A$2:$A$148,MATCH(AK88,AF$2:AF$148,0))),"")</f>
        <v/>
      </c>
    </row>
    <row r="89" spans="1:48">
      <c r="A89" s="10" t="s">
        <v>1227</v>
      </c>
      <c r="B89" s="116">
        <v>30082</v>
      </c>
      <c r="C89" s="116">
        <v>2</v>
      </c>
      <c r="D89" s="114"/>
      <c r="E89" s="114">
        <v>15</v>
      </c>
      <c r="F89" s="114">
        <v>40</v>
      </c>
      <c r="G89" s="115"/>
      <c r="H89" s="115">
        <v>20</v>
      </c>
      <c r="I89" s="115"/>
      <c r="J89" s="114"/>
      <c r="K89" s="116"/>
      <c r="L89" s="114"/>
      <c r="M89" s="116"/>
      <c r="N89" s="114"/>
      <c r="O89" s="116"/>
      <c r="P89" s="114"/>
      <c r="Q89" s="114" t="s">
        <v>1033</v>
      </c>
      <c r="R89" s="114"/>
      <c r="S89" s="114" t="s">
        <v>667</v>
      </c>
      <c r="T89" s="114">
        <v>182</v>
      </c>
      <c r="U89" s="116">
        <v>339</v>
      </c>
      <c r="V89" s="155">
        <f t="shared" si="6"/>
        <v>260.5</v>
      </c>
      <c r="W89" s="155">
        <v>2.7</v>
      </c>
      <c r="X89" s="124">
        <f t="shared" si="7"/>
        <v>96.481481481481481</v>
      </c>
      <c r="Y89" s="115" t="s">
        <v>1377</v>
      </c>
      <c r="Z89" s="114"/>
      <c r="AA89" s="114"/>
      <c r="AB89" s="114"/>
      <c r="AC89" s="289"/>
      <c r="AD89" s="115"/>
      <c r="AE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Aman"),IF(includeprebc,S89="Pre-BC"),IF(includesunwell,S89="Sunwell"))),MAX($AE$56:AE88)+1,"")</f>
        <v/>
      </c>
      <c r="AF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Aman"),IF(includeprebc,$S89="Pre-BC"),IF(includesunwell,$S89="Sunwell"))),MAX($AF$1:AF88)+1,"")</f>
        <v/>
      </c>
      <c r="AG89" s="114"/>
      <c r="AK89" s="48">
        <v>87</v>
      </c>
      <c r="AL89" s="151" t="str">
        <f>IF('Gear &amp; Buffs'!$Y$47="Dagger",IF(ISNA(INDEX($A$2:$A$54,MATCH(AK89,AE$2:AE$54,0))),"",INDEX($A$2:$A$54,MATCH(AK89,AE$2:AE$54,0))),"")&amp;
IF('Gear &amp; Buffs'!$Y$47="Sword",IF(ISNA(INDEX($A$56:$A$100,MATCH(AK89,AE$56:AE$100,0))),"",INDEX($A$56:$A$100,MATCH(AK89,AE$56:AE$100,0))),"")&amp;
IF('Gear &amp; Buffs'!$Y$47="Fist",IF(ISNA(INDEX($A$102:$A$119,MATCH(AK89,AE$102:AE$119,0))),"",INDEX($A$102:$A$119,MATCH(AK89,AE$102:AE$119,0))),"")&amp;
IF('Gear &amp; Buffs'!$Y$47="Mace",IF(ISNA(INDEX($A$121:$A$148,MATCH(AK89,AE$121:AE$148,0))),"",INDEX($A$121:$A$148,MATCH(AK89,AE$121:AE$148,0))),"")&amp;
IF('Gear &amp; Buffs'!$Y$47="All",IF(ISNA(INDEX($A$2:$A$148,MATCH(AK89,AF$2:AF$148,0))),"",INDEX($A$2:$A$148,MATCH(AK89,AF$2:AF$148,0))),"")</f>
        <v/>
      </c>
    </row>
    <row r="90" spans="1:48">
      <c r="A90" s="10" t="s">
        <v>1397</v>
      </c>
      <c r="B90" s="114">
        <v>23577</v>
      </c>
      <c r="C90" s="114">
        <v>1</v>
      </c>
      <c r="D90" s="114"/>
      <c r="E90" s="114"/>
      <c r="F90" s="114"/>
      <c r="G90" s="114"/>
      <c r="H90" s="114"/>
      <c r="I90" s="115"/>
      <c r="J90" s="114"/>
      <c r="K90" s="114">
        <v>14</v>
      </c>
      <c r="L90" s="114">
        <v>14</v>
      </c>
      <c r="M90" s="114"/>
      <c r="N90" s="114"/>
      <c r="O90" s="116"/>
      <c r="P90" s="10"/>
      <c r="Q90" s="114" t="s">
        <v>1033</v>
      </c>
      <c r="R90" s="114"/>
      <c r="S90" s="114" t="s">
        <v>668</v>
      </c>
      <c r="T90" s="114">
        <v>76</v>
      </c>
      <c r="U90" s="114">
        <v>143</v>
      </c>
      <c r="V90" s="155">
        <f t="shared" si="6"/>
        <v>109.5</v>
      </c>
      <c r="W90" s="155">
        <v>1.5</v>
      </c>
      <c r="X90" s="124">
        <f t="shared" si="7"/>
        <v>73</v>
      </c>
      <c r="Y90" s="114" t="s">
        <v>1377</v>
      </c>
      <c r="Z90" s="114"/>
      <c r="AA90" s="114"/>
      <c r="AB90" s="114"/>
      <c r="AC90" s="10"/>
      <c r="AD90" s="114"/>
      <c r="AE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Aman"),IF(includeprebc,S90="Pre-BC"),IF(includesunwell,S90="Sunwell"))),MAX($AE$56:AE89)+1,"")</f>
        <v>20</v>
      </c>
      <c r="AF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Aman"),IF(includeprebc,$S90="Pre-BC"),IF(includesunwell,$S90="Sunwell"))),MAX($AF$1:AF89)+1,"")</f>
        <v>53</v>
      </c>
      <c r="AG90" s="114"/>
      <c r="AK90" s="48">
        <v>88</v>
      </c>
      <c r="AL90" s="151" t="str">
        <f>IF('Gear &amp; Buffs'!$Y$47="Dagger",IF(ISNA(INDEX($A$2:$A$54,MATCH(AK90,AE$2:AE$54,0))),"",INDEX($A$2:$A$54,MATCH(AK90,AE$2:AE$54,0))),"")&amp;
IF('Gear &amp; Buffs'!$Y$47="Sword",IF(ISNA(INDEX($A$56:$A$100,MATCH(AK90,AE$56:AE$100,0))),"",INDEX($A$56:$A$100,MATCH(AK90,AE$56:AE$100,0))),"")&amp;
IF('Gear &amp; Buffs'!$Y$47="Fist",IF(ISNA(INDEX($A$102:$A$119,MATCH(AK90,AE$102:AE$119,0))),"",INDEX($A$102:$A$119,MATCH(AK90,AE$102:AE$119,0))),"")&amp;
IF('Gear &amp; Buffs'!$Y$47="Mace",IF(ISNA(INDEX($A$121:$A$148,MATCH(AK90,AE$121:AE$148,0))),"",INDEX($A$121:$A$148,MATCH(AK90,AE$121:AE$148,0))),"")&amp;
IF('Gear &amp; Buffs'!$Y$47="All",IF(ISNA(INDEX($A$2:$A$148,MATCH(AK90,AF$2:AF$148,0))),"",INDEX($A$2:$A$148,MATCH(AK90,AF$2:AF$148,0))),"")</f>
        <v/>
      </c>
    </row>
    <row r="91" spans="1:48">
      <c r="A91" s="10" t="s">
        <v>1398</v>
      </c>
      <c r="B91" s="114">
        <v>29362</v>
      </c>
      <c r="C91" s="114">
        <v>1</v>
      </c>
      <c r="D91" s="114"/>
      <c r="E91" s="114"/>
      <c r="F91" s="114"/>
      <c r="G91" s="114"/>
      <c r="H91" s="114"/>
      <c r="I91" s="115"/>
      <c r="J91" s="114"/>
      <c r="K91" s="114"/>
      <c r="L91" s="114">
        <v>22</v>
      </c>
      <c r="M91" s="114">
        <v>19</v>
      </c>
      <c r="N91" s="114"/>
      <c r="O91" s="114">
        <v>13</v>
      </c>
      <c r="P91" s="10"/>
      <c r="Q91" s="114" t="s">
        <v>1033</v>
      </c>
      <c r="R91" s="114"/>
      <c r="S91" s="114" t="s">
        <v>691</v>
      </c>
      <c r="T91" s="114">
        <v>93</v>
      </c>
      <c r="U91" s="114">
        <v>174</v>
      </c>
      <c r="V91" s="155">
        <f t="shared" si="6"/>
        <v>133.5</v>
      </c>
      <c r="W91" s="155">
        <v>1.6</v>
      </c>
      <c r="X91" s="124">
        <f t="shared" si="7"/>
        <v>83.4375</v>
      </c>
      <c r="Y91" s="114" t="s">
        <v>1377</v>
      </c>
      <c r="Z91" s="114"/>
      <c r="AA91" s="114"/>
      <c r="AB91" s="114"/>
      <c r="AC91" s="10"/>
      <c r="AD91" s="114"/>
      <c r="AE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Aman"),IF(includeprebc,S91="Pre-BC"),IF(includesunwell,S91="Sunwell"))),MAX($AE$56:AE90)+1,"")</f>
        <v>21</v>
      </c>
      <c r="AF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Aman"),IF(includeprebc,$S91="Pre-BC"),IF(includesunwell,$S91="Sunwell"))),MAX($AF$1:AF90)+1,"")</f>
        <v>54</v>
      </c>
      <c r="AG91" s="114"/>
      <c r="AK91" s="48">
        <v>89</v>
      </c>
      <c r="AL91" s="151" t="str">
        <f>IF('Gear &amp; Buffs'!$Y$47="Dagger",IF(ISNA(INDEX($A$2:$A$54,MATCH(AK91,AE$2:AE$54,0))),"",INDEX($A$2:$A$54,MATCH(AK91,AE$2:AE$54,0))),"")&amp;
IF('Gear &amp; Buffs'!$Y$47="Sword",IF(ISNA(INDEX($A$56:$A$100,MATCH(AK91,AE$56:AE$100,0))),"",INDEX($A$56:$A$100,MATCH(AK91,AE$56:AE$100,0))),"")&amp;
IF('Gear &amp; Buffs'!$Y$47="Fist",IF(ISNA(INDEX($A$102:$A$119,MATCH(AK91,AE$102:AE$119,0))),"",INDEX($A$102:$A$119,MATCH(AK91,AE$102:AE$119,0))),"")&amp;
IF('Gear &amp; Buffs'!$Y$47="Mace",IF(ISNA(INDEX($A$121:$A$148,MATCH(AK91,AE$121:AE$148,0))),"",INDEX($A$121:$A$148,MATCH(AK91,AE$121:AE$148,0))),"")&amp;
IF('Gear &amp; Buffs'!$Y$47="All",IF(ISNA(INDEX($A$2:$A$148,MATCH(AK91,AF$2:AF$148,0))),"",INDEX($A$2:$A$148,MATCH(AK91,AF$2:AF$148,0))),"")</f>
        <v/>
      </c>
    </row>
    <row r="92" spans="1:48">
      <c r="A92" s="10" t="s">
        <v>973</v>
      </c>
      <c r="B92" s="114">
        <v>34666</v>
      </c>
      <c r="C92" s="114">
        <v>5</v>
      </c>
      <c r="D92" s="114"/>
      <c r="E92" s="114">
        <v>14</v>
      </c>
      <c r="F92" s="114">
        <v>26</v>
      </c>
      <c r="G92" s="114"/>
      <c r="H92" s="114">
        <v>11</v>
      </c>
      <c r="I92" s="115"/>
      <c r="J92" s="114"/>
      <c r="K92" s="114"/>
      <c r="L92" s="114">
        <v>12</v>
      </c>
      <c r="M92" s="114"/>
      <c r="N92" s="114"/>
      <c r="O92" s="114"/>
      <c r="P92" s="10"/>
      <c r="Q92" s="114" t="s">
        <v>1033</v>
      </c>
      <c r="R92" s="114"/>
      <c r="S92" s="114" t="s">
        <v>676</v>
      </c>
      <c r="T92" s="114">
        <v>155</v>
      </c>
      <c r="U92" s="114">
        <v>233</v>
      </c>
      <c r="V92" s="155">
        <f t="shared" si="6"/>
        <v>194</v>
      </c>
      <c r="W92" s="155">
        <v>2.7</v>
      </c>
      <c r="X92" s="124">
        <f t="shared" si="7"/>
        <v>71.851851851851848</v>
      </c>
      <c r="Y92" s="114" t="s">
        <v>1377</v>
      </c>
      <c r="Z92" s="114"/>
      <c r="AA92" s="114"/>
      <c r="AB92" s="114"/>
      <c r="AC92" s="10"/>
      <c r="AD92" s="114"/>
      <c r="AE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Aman"),IF(includeprebc,S92="Pre-BC"),IF(includesunwell,S92="Sunwell"))),MAX($AE$56:AE91)+1,"")</f>
        <v/>
      </c>
      <c r="AF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Aman"),IF(includeprebc,$S92="Pre-BC"),IF(includesunwell,$S92="Sunwell"))),MAX($AF$1:AF91)+1,"")</f>
        <v/>
      </c>
      <c r="AG92" s="114"/>
      <c r="AK92" s="48">
        <v>90</v>
      </c>
      <c r="AL92" s="151" t="str">
        <f>IF('Gear &amp; Buffs'!$Y$47="Dagger",IF(ISNA(INDEX($A$2:$A$54,MATCH(AK92,AE$2:AE$54,0))),"",INDEX($A$2:$A$54,MATCH(AK92,AE$2:AE$54,0))),"")&amp;
IF('Gear &amp; Buffs'!$Y$47="Sword",IF(ISNA(INDEX($A$56:$A$100,MATCH(AK92,AE$56:AE$100,0))),"",INDEX($A$56:$A$100,MATCH(AK92,AE$56:AE$100,0))),"")&amp;
IF('Gear &amp; Buffs'!$Y$47="Fist",IF(ISNA(INDEX($A$102:$A$119,MATCH(AK92,AE$102:AE$119,0))),"",INDEX($A$102:$A$119,MATCH(AK92,AE$102:AE$119,0))),"")&amp;
IF('Gear &amp; Buffs'!$Y$47="Mace",IF(ISNA(INDEX($A$121:$A$148,MATCH(AK92,AE$121:AE$148,0))),"",INDEX($A$121:$A$148,MATCH(AK92,AE$121:AE$148,0))),"")&amp;
IF('Gear &amp; Buffs'!$Y$47="All",IF(ISNA(INDEX($A$2:$A$148,MATCH(AK92,AF$2:AF$148,0))),"",INDEX($A$2:$A$148,MATCH(AK92,AF$2:AF$148,0))),"")</f>
        <v/>
      </c>
    </row>
    <row r="93" spans="1:48">
      <c r="A93" s="10" t="s">
        <v>243</v>
      </c>
      <c r="B93" s="116">
        <v>30874</v>
      </c>
      <c r="C93" s="116">
        <v>3</v>
      </c>
      <c r="D93" s="114"/>
      <c r="E93" s="114"/>
      <c r="F93" s="114"/>
      <c r="G93" s="115"/>
      <c r="H93" s="115"/>
      <c r="I93" s="115"/>
      <c r="J93" s="114"/>
      <c r="K93" s="116"/>
      <c r="L93" s="114">
        <v>33</v>
      </c>
      <c r="M93" s="116"/>
      <c r="N93" s="114"/>
      <c r="O93" s="116">
        <v>21</v>
      </c>
      <c r="P93" s="114"/>
      <c r="Q93" s="114" t="s">
        <v>1033</v>
      </c>
      <c r="R93" s="114"/>
      <c r="S93" s="114" t="s">
        <v>684</v>
      </c>
      <c r="T93" s="114">
        <v>112</v>
      </c>
      <c r="U93" s="116">
        <v>209</v>
      </c>
      <c r="V93" s="155">
        <f t="shared" si="6"/>
        <v>160.5</v>
      </c>
      <c r="W93" s="155">
        <v>1.6</v>
      </c>
      <c r="X93" s="124">
        <f t="shared" si="7"/>
        <v>100.3125</v>
      </c>
      <c r="Y93" s="115" t="s">
        <v>1377</v>
      </c>
      <c r="Z93" s="114"/>
      <c r="AA93" s="114"/>
      <c r="AB93" s="114"/>
      <c r="AC93" s="289"/>
      <c r="AD93" s="115"/>
      <c r="AE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Aman"),IF(includeprebc,S93="Pre-BC"),IF(includesunwell,S93="Sunwell"))),MAX($AE$56:AE92)+1,"")</f>
        <v/>
      </c>
      <c r="AF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Aman"),IF(includeprebc,$S93="Pre-BC"),IF(includesunwell,$S93="Sunwell"))),MAX($AF$1:AF92)+1,"")</f>
        <v/>
      </c>
      <c r="AG93" s="114"/>
      <c r="AK93" s="48">
        <v>91</v>
      </c>
      <c r="AL93" s="151" t="str">
        <f>IF('Gear &amp; Buffs'!$Y$47="Dagger",IF(ISNA(INDEX($A$2:$A$54,MATCH(AK93,AE$2:AE$54,0))),"",INDEX($A$2:$A$54,MATCH(AK93,AE$2:AE$54,0))),"")&amp;
IF('Gear &amp; Buffs'!$Y$47="Sword",IF(ISNA(INDEX($A$56:$A$100,MATCH(AK93,AE$56:AE$100,0))),"",INDEX($A$56:$A$100,MATCH(AK93,AE$56:AE$100,0))),"")&amp;
IF('Gear &amp; Buffs'!$Y$47="Fist",IF(ISNA(INDEX($A$102:$A$119,MATCH(AK93,AE$102:AE$119,0))),"",INDEX($A$102:$A$119,MATCH(AK93,AE$102:AE$119,0))),"")&amp;
IF('Gear &amp; Buffs'!$Y$47="Mace",IF(ISNA(INDEX($A$121:$A$148,MATCH(AK93,AE$121:AE$148,0))),"",INDEX($A$121:$A$148,MATCH(AK93,AE$121:AE$148,0))),"")&amp;
IF('Gear &amp; Buffs'!$Y$47="All",IF(ISNA(INDEX($A$2:$A$148,MATCH(AK93,AF$2:AF$148,0))),"",INDEX($A$2:$A$148,MATCH(AK93,AF$2:AF$148,0))),"")</f>
        <v/>
      </c>
      <c r="AO93" s="114"/>
      <c r="AP93" s="114"/>
    </row>
    <row r="94" spans="1:48">
      <c r="A94" s="10" t="s">
        <v>1399</v>
      </c>
      <c r="B94" s="114">
        <v>19019</v>
      </c>
      <c r="C94" s="114">
        <v>1</v>
      </c>
      <c r="D94" s="114"/>
      <c r="E94" s="114">
        <v>5</v>
      </c>
      <c r="F94" s="114"/>
      <c r="G94" s="114"/>
      <c r="H94" s="114"/>
      <c r="I94" s="115"/>
      <c r="J94" s="114"/>
      <c r="K94" s="114"/>
      <c r="L94" s="114">
        <v>8</v>
      </c>
      <c r="M94" s="114"/>
      <c r="N94" s="114"/>
      <c r="O94" s="114"/>
      <c r="P94" s="10"/>
      <c r="Q94" s="114" t="s">
        <v>1033</v>
      </c>
      <c r="R94" s="114"/>
      <c r="S94" s="114" t="s">
        <v>668</v>
      </c>
      <c r="T94" s="114">
        <v>60</v>
      </c>
      <c r="U94" s="114">
        <v>145</v>
      </c>
      <c r="V94" s="155">
        <f t="shared" si="6"/>
        <v>102.5</v>
      </c>
      <c r="W94" s="155">
        <v>1.9</v>
      </c>
      <c r="X94" s="124">
        <f t="shared" si="7"/>
        <v>53.947368421052637</v>
      </c>
      <c r="Y94" s="114" t="s">
        <v>1377</v>
      </c>
      <c r="Z94" s="114">
        <v>300</v>
      </c>
      <c r="AA94" s="114">
        <v>6</v>
      </c>
      <c r="AB94" s="114">
        <v>5</v>
      </c>
      <c r="AC94" s="10"/>
      <c r="AD94" s="114"/>
      <c r="AE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Aman"),IF(includeprebc,S94="Pre-BC"),IF(includesunwell,S94="Sunwell"))),MAX($AE$56:AE93)+1,"")</f>
        <v>22</v>
      </c>
      <c r="AF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Aman"),IF(includeprebc,$S94="Pre-BC"),IF(includesunwell,$S94="Sunwell"))),MAX($AF$1:AF93)+1,"")</f>
        <v>55</v>
      </c>
      <c r="AG94" s="114"/>
      <c r="AK94" s="48">
        <v>92</v>
      </c>
      <c r="AL94" s="151" t="str">
        <f>IF('Gear &amp; Buffs'!$Y$47="Dagger",IF(ISNA(INDEX($A$2:$A$54,MATCH(AK94,AE$2:AE$54,0))),"",INDEX($A$2:$A$54,MATCH(AK94,AE$2:AE$54,0))),"")&amp;
IF('Gear &amp; Buffs'!$Y$47="Sword",IF(ISNA(INDEX($A$56:$A$100,MATCH(AK94,AE$56:AE$100,0))),"",INDEX($A$56:$A$100,MATCH(AK94,AE$56:AE$100,0))),"")&amp;
IF('Gear &amp; Buffs'!$Y$47="Fist",IF(ISNA(INDEX($A$102:$A$119,MATCH(AK94,AE$102:AE$119,0))),"",INDEX($A$102:$A$119,MATCH(AK94,AE$102:AE$119,0))),"")&amp;
IF('Gear &amp; Buffs'!$Y$47="Mace",IF(ISNA(INDEX($A$121:$A$148,MATCH(AK94,AE$121:AE$148,0))),"",INDEX($A$121:$A$148,MATCH(AK94,AE$121:AE$148,0))),"")&amp;
IF('Gear &amp; Buffs'!$Y$47="All",IF(ISNA(INDEX($A$2:$A$148,MATCH(AK94,AF$2:AF$148,0))),"",INDEX($A$2:$A$148,MATCH(AK94,AF$2:AF$148,0))),"")</f>
        <v/>
      </c>
      <c r="AO94" s="114"/>
      <c r="AP94" s="114"/>
    </row>
    <row r="95" spans="1:48">
      <c r="A95" s="10" t="s">
        <v>1768</v>
      </c>
      <c r="B95" s="116">
        <v>33762</v>
      </c>
      <c r="C95" s="116">
        <v>3</v>
      </c>
      <c r="D95" s="114"/>
      <c r="E95" s="114"/>
      <c r="F95" s="114">
        <v>34</v>
      </c>
      <c r="G95" s="115">
        <v>21</v>
      </c>
      <c r="H95" s="115">
        <v>8</v>
      </c>
      <c r="I95" s="847"/>
      <c r="J95" s="114">
        <v>49</v>
      </c>
      <c r="K95" s="116"/>
      <c r="L95" s="114">
        <v>30</v>
      </c>
      <c r="M95" s="116"/>
      <c r="N95" s="114">
        <v>12</v>
      </c>
      <c r="O95" s="116"/>
      <c r="P95" s="114"/>
      <c r="Q95" s="114" t="s">
        <v>1033</v>
      </c>
      <c r="R95" s="114"/>
      <c r="S95" s="114" t="s">
        <v>677</v>
      </c>
      <c r="T95" s="114">
        <v>214</v>
      </c>
      <c r="U95" s="116">
        <v>322</v>
      </c>
      <c r="V95" s="155">
        <f t="shared" si="6"/>
        <v>268</v>
      </c>
      <c r="W95" s="155">
        <v>2.6</v>
      </c>
      <c r="X95" s="124">
        <f t="shared" si="7"/>
        <v>103.07692307692308</v>
      </c>
      <c r="Y95" s="114" t="s">
        <v>1377</v>
      </c>
      <c r="Z95" s="114"/>
      <c r="AA95" s="114"/>
      <c r="AB95" s="114"/>
      <c r="AC95" s="289"/>
      <c r="AD95" s="791"/>
      <c r="AE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Aman"),IF(includeprebc,S95="Pre-BC"),IF(includesunwell,S95="Sunwell"))),MAX($AE$56:AE94)+1,"")</f>
        <v/>
      </c>
      <c r="AF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Aman"),IF(includeprebc,$S95="Pre-BC"),IF(includesunwell,$S95="Sunwell"))),MAX($AF$1:AF94)+1,"")</f>
        <v/>
      </c>
      <c r="AG95" s="114"/>
      <c r="AK95" s="48">
        <v>93</v>
      </c>
      <c r="AL95" s="151" t="str">
        <f>IF('Gear &amp; Buffs'!$Y$47="Dagger",IF(ISNA(INDEX($A$2:$A$54,MATCH(AK95,AE$2:AE$54,0))),"",INDEX($A$2:$A$54,MATCH(AK95,AE$2:AE$54,0))),"")&amp;
IF('Gear &amp; Buffs'!$Y$47="Sword",IF(ISNA(INDEX($A$56:$A$100,MATCH(AK95,AE$56:AE$100,0))),"",INDEX($A$56:$A$100,MATCH(AK95,AE$56:AE$100,0))),"")&amp;
IF('Gear &amp; Buffs'!$Y$47="Fist",IF(ISNA(INDEX($A$102:$A$119,MATCH(AK95,AE$102:AE$119,0))),"",INDEX($A$102:$A$119,MATCH(AK95,AE$102:AE$119,0))),"")&amp;
IF('Gear &amp; Buffs'!$Y$47="Mace",IF(ISNA(INDEX($A$121:$A$148,MATCH(AK95,AE$121:AE$148,0))),"",INDEX($A$121:$A$148,MATCH(AK95,AE$121:AE$148,0))),"")&amp;
IF('Gear &amp; Buffs'!$Y$47="All",IF(ISNA(INDEX($A$2:$A$148,MATCH(AK95,AF$2:AF$148,0))),"",INDEX($A$2:$A$148,MATCH(AK95,AF$2:AF$148,0))),"")</f>
        <v/>
      </c>
      <c r="AO95" s="114"/>
      <c r="AP95" s="114"/>
    </row>
    <row r="96" spans="1:48">
      <c r="A96" s="10" t="s">
        <v>0</v>
      </c>
      <c r="B96" s="116">
        <v>29124</v>
      </c>
      <c r="C96" s="116">
        <v>1</v>
      </c>
      <c r="D96" s="114"/>
      <c r="E96" s="114"/>
      <c r="F96" s="114">
        <v>38</v>
      </c>
      <c r="G96" s="115"/>
      <c r="H96" s="115">
        <v>19</v>
      </c>
      <c r="I96" s="115"/>
      <c r="J96" s="114"/>
      <c r="K96" s="116"/>
      <c r="L96" s="114"/>
      <c r="M96" s="116"/>
      <c r="N96" s="114"/>
      <c r="O96" s="116"/>
      <c r="P96" s="114"/>
      <c r="Q96" s="114" t="s">
        <v>1033</v>
      </c>
      <c r="R96" s="114"/>
      <c r="S96" s="114" t="s">
        <v>676</v>
      </c>
      <c r="T96" s="114">
        <v>147</v>
      </c>
      <c r="U96" s="116">
        <v>275</v>
      </c>
      <c r="V96" s="155">
        <f t="shared" si="6"/>
        <v>211</v>
      </c>
      <c r="W96" s="155">
        <v>2.6</v>
      </c>
      <c r="X96" s="124">
        <f t="shared" si="7"/>
        <v>81.153846153846146</v>
      </c>
      <c r="Y96" s="115" t="s">
        <v>1377</v>
      </c>
      <c r="Z96" s="114"/>
      <c r="AA96" s="114"/>
      <c r="AB96" s="114"/>
      <c r="AC96" s="289"/>
      <c r="AD96" s="115"/>
      <c r="AE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Aman"),IF(includeprebc,S96="Pre-BC"),IF(includesunwell,S96="Sunwell"))),MAX($AE$56:AE95)+1,"")</f>
        <v>23</v>
      </c>
      <c r="AF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Aman"),IF(includeprebc,$S96="Pre-BC"),IF(includesunwell,$S96="Sunwell"))),MAX($AF$1:AF95)+1,"")</f>
        <v>56</v>
      </c>
      <c r="AG96" s="114"/>
      <c r="AK96" s="48">
        <v>94</v>
      </c>
      <c r="AL96" s="151" t="str">
        <f>IF('Gear &amp; Buffs'!$Y$47="Dagger",IF(ISNA(INDEX($A$2:$A$54,MATCH(AK96,AE$2:AE$54,0))),"",INDEX($A$2:$A$54,MATCH(AK96,AE$2:AE$54,0))),"")&amp;
IF('Gear &amp; Buffs'!$Y$47="Sword",IF(ISNA(INDEX($A$56:$A$100,MATCH(AK96,AE$56:AE$100,0))),"",INDEX($A$56:$A$100,MATCH(AK96,AE$56:AE$100,0))),"")&amp;
IF('Gear &amp; Buffs'!$Y$47="Fist",IF(ISNA(INDEX($A$102:$A$119,MATCH(AK96,AE$102:AE$119,0))),"",INDEX($A$102:$A$119,MATCH(AK96,AE$102:AE$119,0))),"")&amp;
IF('Gear &amp; Buffs'!$Y$47="Mace",IF(ISNA(INDEX($A$121:$A$148,MATCH(AK96,AE$121:AE$148,0))),"",INDEX($A$121:$A$148,MATCH(AK96,AE$121:AE$148,0))),"")&amp;
IF('Gear &amp; Buffs'!$Y$47="All",IF(ISNA(INDEX($A$2:$A$148,MATCH(AK96,AF$2:AF$148,0))),"",INDEX($A$2:$A$148,MATCH(AK96,AF$2:AF$148,0))),"")</f>
        <v/>
      </c>
      <c r="AM96" s="154"/>
      <c r="AN96" s="154"/>
      <c r="AO96" s="156"/>
      <c r="AP96" s="114"/>
    </row>
    <row r="97" spans="1:48">
      <c r="A97" s="10" t="s">
        <v>1</v>
      </c>
      <c r="B97" s="114">
        <v>32837</v>
      </c>
      <c r="C97" s="114">
        <v>3</v>
      </c>
      <c r="D97" s="114"/>
      <c r="E97" s="114">
        <v>22</v>
      </c>
      <c r="F97" s="114">
        <f>44+IF(AND(SetTB2p,OR(mobtype="Any",mobtype="Demon")),200,0)</f>
        <v>44</v>
      </c>
      <c r="G97" s="114"/>
      <c r="H97" s="114">
        <v>21</v>
      </c>
      <c r="I97" s="115">
        <f>IF(SetTB2p,450*stTwinUP,0)</f>
        <v>0</v>
      </c>
      <c r="J97" s="114"/>
      <c r="K97" s="114"/>
      <c r="L97" s="114">
        <v>29</v>
      </c>
      <c r="M97" s="114"/>
      <c r="N97" s="114"/>
      <c r="O97" s="114"/>
      <c r="P97" s="10" t="s">
        <v>2</v>
      </c>
      <c r="Q97" s="114" t="s">
        <v>1033</v>
      </c>
      <c r="R97" s="114"/>
      <c r="S97" s="114" t="s">
        <v>683</v>
      </c>
      <c r="T97" s="114">
        <v>214</v>
      </c>
      <c r="U97" s="114">
        <v>398</v>
      </c>
      <c r="V97" s="155">
        <f t="shared" si="6"/>
        <v>306</v>
      </c>
      <c r="W97" s="155">
        <v>2.8</v>
      </c>
      <c r="X97" s="124">
        <f t="shared" si="7"/>
        <v>109.28571428571429</v>
      </c>
      <c r="Y97" s="114" t="s">
        <v>1377</v>
      </c>
      <c r="Z97" s="114"/>
      <c r="AA97" s="114"/>
      <c r="AB97" s="114"/>
      <c r="AC97" s="10"/>
      <c r="AD97" s="114"/>
      <c r="AE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Aman"),IF(includeprebc,S97="Pre-BC"),IF(includesunwell,S97="Sunwell"))),MAX($AE$56:AE96)+1,"")</f>
        <v/>
      </c>
      <c r="AF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Aman"),IF(includeprebc,$S97="Pre-BC"),IF(includesunwell,$S97="Sunwell"))),MAX($AF$1:AF96)+1,"")</f>
        <v/>
      </c>
      <c r="AG97" s="114"/>
      <c r="AH97" s="152"/>
      <c r="AK97" s="48">
        <v>95</v>
      </c>
      <c r="AL97" s="151" t="str">
        <f>IF('Gear &amp; Buffs'!$Y$47="Dagger",IF(ISNA(INDEX($A$2:$A$54,MATCH(AK97,AE$2:AE$54,0))),"",INDEX($A$2:$A$54,MATCH(AK97,AE$2:AE$54,0))),"")&amp;
IF('Gear &amp; Buffs'!$Y$47="Sword",IF(ISNA(INDEX($A$56:$A$100,MATCH(AK97,AE$56:AE$100,0))),"",INDEX($A$56:$A$100,MATCH(AK97,AE$56:AE$100,0))),"")&amp;
IF('Gear &amp; Buffs'!$Y$47="Fist",IF(ISNA(INDEX($A$102:$A$119,MATCH(AK97,AE$102:AE$119,0))),"",INDEX($A$102:$A$119,MATCH(AK97,AE$102:AE$119,0))),"")&amp;
IF('Gear &amp; Buffs'!$Y$47="Mace",IF(ISNA(INDEX($A$121:$A$148,MATCH(AK97,AE$121:AE$148,0))),"",INDEX($A$121:$A$148,MATCH(AK97,AE$121:AE$148,0))),"")&amp;
IF('Gear &amp; Buffs'!$Y$47="All",IF(ISNA(INDEX($A$2:$A$148,MATCH(AK97,AF$2:AF$148,0))),"",INDEX($A$2:$A$148,MATCH(AK97,AF$2:AF$148,0))),"")</f>
        <v/>
      </c>
      <c r="AO97" s="114"/>
      <c r="AP97" s="114"/>
    </row>
    <row r="98" spans="1:48">
      <c r="A98" s="10" t="s">
        <v>4</v>
      </c>
      <c r="B98" s="114">
        <v>30311</v>
      </c>
      <c r="C98" s="114">
        <v>2</v>
      </c>
      <c r="D98" s="114"/>
      <c r="E98" s="114"/>
      <c r="F98" s="114">
        <v>70</v>
      </c>
      <c r="G98" s="114">
        <v>25</v>
      </c>
      <c r="H98" s="114"/>
      <c r="I98" s="115">
        <f>hasterate*20</f>
        <v>315.38461538461536</v>
      </c>
      <c r="J98" s="114"/>
      <c r="K98" s="114"/>
      <c r="L98" s="114">
        <v>35</v>
      </c>
      <c r="M98" s="114"/>
      <c r="N98" s="114"/>
      <c r="O98" s="114"/>
      <c r="P98" s="10"/>
      <c r="Q98" s="114" t="s">
        <v>1033</v>
      </c>
      <c r="R98" s="114"/>
      <c r="S98" s="114" t="s">
        <v>680</v>
      </c>
      <c r="T98" s="114">
        <v>248</v>
      </c>
      <c r="U98" s="114">
        <v>461</v>
      </c>
      <c r="V98" s="155">
        <f t="shared" si="6"/>
        <v>354.5</v>
      </c>
      <c r="W98" s="155">
        <v>2.9</v>
      </c>
      <c r="X98" s="124">
        <f t="shared" si="7"/>
        <v>122.24137931034483</v>
      </c>
      <c r="Y98" s="114" t="s">
        <v>1377</v>
      </c>
      <c r="Z98" s="114"/>
      <c r="AA98" s="114"/>
      <c r="AB98" s="114"/>
      <c r="AC98" s="10" t="s">
        <v>562</v>
      </c>
      <c r="AD98" s="114"/>
      <c r="AE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Aman"),IF(includeprebc,S98="Pre-BC"),IF(includesunwell,S98="Sunwell"))),MAX($AE$56:AE97)+1,"")</f>
        <v/>
      </c>
      <c r="AF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Aman"),IF(includeprebc,$S98="Pre-BC"),IF(includesunwell,$S98="Sunwell"))),MAX($AF$1:AF97)+1,"")</f>
        <v/>
      </c>
      <c r="AG98" s="114"/>
      <c r="AK98" s="48">
        <v>96</v>
      </c>
      <c r="AL98" s="151" t="str">
        <f>IF('Gear &amp; Buffs'!$Y$47="Dagger",IF(ISNA(INDEX($A$2:$A$54,MATCH(AK98,AE$2:AE$54,0))),"",INDEX($A$2:$A$54,MATCH(AK98,AE$2:AE$54,0))),"")&amp;
IF('Gear &amp; Buffs'!$Y$47="Sword",IF(ISNA(INDEX($A$56:$A$100,MATCH(AK98,AE$56:AE$100,0))),"",INDEX($A$56:$A$100,MATCH(AK98,AE$56:AE$100,0))),"")&amp;
IF('Gear &amp; Buffs'!$Y$47="Fist",IF(ISNA(INDEX($A$102:$A$119,MATCH(AK98,AE$102:AE$119,0))),"",INDEX($A$102:$A$119,MATCH(AK98,AE$102:AE$119,0))),"")&amp;
IF('Gear &amp; Buffs'!$Y$47="Mace",IF(ISNA(INDEX($A$121:$A$148,MATCH(AK98,AE$121:AE$148,0))),"",INDEX($A$121:$A$148,MATCH(AK98,AE$121:AE$148,0))),"")&amp;
IF('Gear &amp; Buffs'!$Y$47="All",IF(ISNA(INDEX($A$2:$A$148,MATCH(AK98,AF$2:AF$148,0))),"",INDEX($A$2:$A$148,MATCH(AK98,AF$2:AF$148,0))),"")</f>
        <v/>
      </c>
      <c r="AO98" s="114"/>
      <c r="AP98" s="114"/>
    </row>
    <row r="99" spans="1:48">
      <c r="A99" s="10" t="s">
        <v>3</v>
      </c>
      <c r="B99" s="116">
        <v>28400</v>
      </c>
      <c r="C99" s="116">
        <v>1</v>
      </c>
      <c r="D99" s="114"/>
      <c r="E99" s="114"/>
      <c r="F99" s="114"/>
      <c r="G99" s="115"/>
      <c r="H99" s="115">
        <v>15</v>
      </c>
      <c r="I99" s="115"/>
      <c r="J99" s="114"/>
      <c r="K99" s="116"/>
      <c r="L99" s="114">
        <v>21</v>
      </c>
      <c r="M99" s="116"/>
      <c r="N99" s="114"/>
      <c r="O99" s="116">
        <v>13</v>
      </c>
      <c r="P99" s="114"/>
      <c r="Q99" s="114" t="s">
        <v>1033</v>
      </c>
      <c r="R99" s="114"/>
      <c r="S99" s="114" t="s">
        <v>691</v>
      </c>
      <c r="T99" s="114">
        <v>85</v>
      </c>
      <c r="U99" s="116">
        <v>159</v>
      </c>
      <c r="V99" s="155">
        <f>(U99+T99)/2</f>
        <v>122</v>
      </c>
      <c r="W99" s="155">
        <v>1.7</v>
      </c>
      <c r="X99" s="124">
        <f>V99/W99</f>
        <v>71.764705882352942</v>
      </c>
      <c r="Y99" s="115" t="s">
        <v>1377</v>
      </c>
      <c r="Z99" s="114"/>
      <c r="AA99" s="114"/>
      <c r="AB99" s="114"/>
      <c r="AC99" s="289"/>
      <c r="AD99" s="115"/>
      <c r="AE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Aman"),IF(includeprebc,S99="Pre-BC"),IF(includesunwell,S99="Sunwell"))),MAX($AE$56:AE98)+1,"")</f>
        <v>24</v>
      </c>
      <c r="AF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Aman"),IF(includeprebc,$S99="Pre-BC"),IF(includesunwell,$S99="Sunwell"))),MAX($AF$1:AF98)+1,"")</f>
        <v>57</v>
      </c>
      <c r="AG99" s="114"/>
      <c r="AK99" s="48">
        <v>97</v>
      </c>
      <c r="AL99" s="151" t="str">
        <f>IF('Gear &amp; Buffs'!$Y$47="Dagger",IF(ISNA(INDEX($A$2:$A$54,MATCH(AK99,AE$2:AE$54,0))),"",INDEX($A$2:$A$54,MATCH(AK99,AE$2:AE$54,0))),"")&amp;
IF('Gear &amp; Buffs'!$Y$47="Sword",IF(ISNA(INDEX($A$56:$A$100,MATCH(AK99,AE$56:AE$100,0))),"",INDEX($A$56:$A$100,MATCH(AK99,AE$56:AE$100,0))),"")&amp;
IF('Gear &amp; Buffs'!$Y$47="Fist",IF(ISNA(INDEX($A$102:$A$119,MATCH(AK99,AE$102:AE$119,0))),"",INDEX($A$102:$A$119,MATCH(AK99,AE$102:AE$119,0))),"")&amp;
IF('Gear &amp; Buffs'!$Y$47="Mace",IF(ISNA(INDEX($A$121:$A$148,MATCH(AK99,AE$121:AE$148,0))),"",INDEX($A$121:$A$148,MATCH(AK99,AE$121:AE$148,0))),"")&amp;
IF('Gear &amp; Buffs'!$Y$47="All",IF(ISNA(INDEX($A$2:$A$148,MATCH(AK99,AF$2:AF$148,0))),"",INDEX($A$2:$A$148,MATCH(AK99,AF$2:AF$148,0))),"")</f>
        <v/>
      </c>
      <c r="AM99" s="114"/>
      <c r="AN99" s="114"/>
      <c r="AO99" s="114"/>
      <c r="AP99" s="114"/>
    </row>
    <row r="100" spans="1:48">
      <c r="A100" s="10" t="str">
        <f>'Gear &amp; Buffs'!$B$153</f>
        <v>(Unmodeled MH Sword)</v>
      </c>
      <c r="B100" s="114"/>
      <c r="C100" s="114"/>
      <c r="D100" s="114">
        <f>'Gear &amp; Buffs'!$D$153</f>
        <v>0</v>
      </c>
      <c r="E100" s="114">
        <f>'Gear &amp; Buffs'!$E$153</f>
        <v>0</v>
      </c>
      <c r="F100" s="114">
        <f>'Gear &amp; Buffs'!$I$153</f>
        <v>0</v>
      </c>
      <c r="G100" s="115">
        <f>'Gear &amp; Buffs'!$G$153</f>
        <v>0</v>
      </c>
      <c r="H100" s="115">
        <f>'Gear &amp; Buffs'!$H$153</f>
        <v>0</v>
      </c>
      <c r="I100" s="115">
        <f>'Gear &amp; Buffs'!$P$153</f>
        <v>0</v>
      </c>
      <c r="J100" s="114">
        <f>'Gear &amp; Buffs'!$Q$153</f>
        <v>0</v>
      </c>
      <c r="K100" s="116">
        <f>'Gear &amp; Buffs'!$L$153</f>
        <v>0</v>
      </c>
      <c r="L100" s="114">
        <f>'Gear &amp; Buffs'!$F$153</f>
        <v>0</v>
      </c>
      <c r="M100" s="116">
        <f>'Gear &amp; Buffs'!$K$153</f>
        <v>0</v>
      </c>
      <c r="N100" s="114">
        <f>'Gear &amp; Buffs'!$J$153</f>
        <v>0</v>
      </c>
      <c r="O100" s="115">
        <f>'Gear &amp; Buffs'!M153</f>
        <v>0</v>
      </c>
      <c r="P100" s="114"/>
      <c r="Q100" s="114" t="str">
        <f>'Gear &amp; Buffs'!$R$153</f>
        <v>0 0 0</v>
      </c>
      <c r="R100" s="720">
        <f>'Gear &amp; Buffs'!$S$153</f>
        <v>0</v>
      </c>
      <c r="S100" s="114"/>
      <c r="T100" s="114">
        <f>'Gear &amp; Buffs'!$T$153</f>
        <v>1</v>
      </c>
      <c r="U100" s="116">
        <f>'Gear &amp; Buffs'!$U$153</f>
        <v>1</v>
      </c>
      <c r="V100" s="155">
        <f>(U100+T100)/2</f>
        <v>1</v>
      </c>
      <c r="W100" s="155">
        <f>'Gear &amp; Buffs'!$V$153</f>
        <v>2</v>
      </c>
      <c r="X100" s="124">
        <f>V100/W100</f>
        <v>0.5</v>
      </c>
      <c r="Y100" s="115" t="s">
        <v>1377</v>
      </c>
      <c r="Z100" s="114"/>
      <c r="AA100" s="114"/>
      <c r="AB100" s="114"/>
      <c r="AC100" s="289"/>
      <c r="AD100" s="115"/>
      <c r="AE100" s="114">
        <f>MAX($AE$56:AE99)+1</f>
        <v>25</v>
      </c>
      <c r="AF100" s="114">
        <f>MAX(AF$1:AF99)+1</f>
        <v>58</v>
      </c>
      <c r="AG100" s="114"/>
      <c r="AK100" s="48">
        <v>98</v>
      </c>
      <c r="AL100" s="151" t="str">
        <f>IF('Gear &amp; Buffs'!$Y$47="Dagger",IF(ISNA(INDEX($A$2:$A$54,MATCH(AK100,AE$2:AE$54,0))),"",INDEX($A$2:$A$54,MATCH(AK100,AE$2:AE$54,0))),"")&amp;
IF('Gear &amp; Buffs'!$Y$47="Sword",IF(ISNA(INDEX($A$56:$A$100,MATCH(AK100,AE$56:AE$100,0))),"",INDEX($A$56:$A$100,MATCH(AK100,AE$56:AE$100,0))),"")&amp;
IF('Gear &amp; Buffs'!$Y$47="Fist",IF(ISNA(INDEX($A$102:$A$119,MATCH(AK100,AE$102:AE$119,0))),"",INDEX($A$102:$A$119,MATCH(AK100,AE$102:AE$119,0))),"")&amp;
IF('Gear &amp; Buffs'!$Y$47="Mace",IF(ISNA(INDEX($A$121:$A$148,MATCH(AK100,AE$121:AE$148,0))),"",INDEX($A$121:$A$148,MATCH(AK100,AE$121:AE$148,0))),"")&amp;
IF('Gear &amp; Buffs'!$Y$47="All",IF(ISNA(INDEX($A$2:$A$148,MATCH(AK100,AF$2:AF$148,0))),"",INDEX($A$2:$A$148,MATCH(AK100,AF$2:AF$148,0))),"")</f>
        <v/>
      </c>
      <c r="AM100" s="120"/>
      <c r="AN100" s="120"/>
      <c r="AO100" s="114"/>
      <c r="AP100" s="114"/>
    </row>
    <row r="101" spans="1:48" s="114" customFormat="1">
      <c r="A101" s="827" t="str">
        <f>" "</f>
        <v xml:space="preserve"> </v>
      </c>
      <c r="B101" s="833"/>
      <c r="C101" s="833"/>
      <c r="D101" s="827"/>
      <c r="E101" s="827"/>
      <c r="F101" s="827"/>
      <c r="G101" s="827"/>
      <c r="H101" s="827"/>
      <c r="I101" s="834"/>
      <c r="J101" s="827"/>
      <c r="K101" s="833"/>
      <c r="L101" s="827"/>
      <c r="M101" s="833"/>
      <c r="N101" s="827"/>
      <c r="O101" s="833"/>
      <c r="P101" s="827"/>
      <c r="Q101" s="827" t="s">
        <v>1033</v>
      </c>
      <c r="R101" s="827"/>
      <c r="S101" s="827"/>
      <c r="T101" s="827"/>
      <c r="U101" s="833"/>
      <c r="V101" s="827"/>
      <c r="W101" s="827"/>
      <c r="X101" s="827"/>
      <c r="Y101" s="827"/>
      <c r="Z101" s="827"/>
      <c r="AA101" s="827"/>
      <c r="AB101" s="827"/>
      <c r="AC101" s="835"/>
      <c r="AD101" s="836"/>
      <c r="AE101" s="827" t="str">
        <f>IF(OR(IF(includeblacksmith,S101="Blacksmithing"),IF(includeleatherwork,S101="Leatherworking"),IF(includeengineer,S101="Engineering"),IF(includeboecrafted,S101="BoE Crafted"),IF(includeboe,S101="BoE"),IF(includepvp,S101="PvP"),IF(includequest,S101="Quest"),IF(includereputation,S101="Reputation"),IF(include5man,S101="5 Man"),IF(includeheroic,S101="Heroic"),IF(includekarahzan,S101="Karazhan"),IF(includedoomwalker,S101="Doomwalker"),IF(includekazzak,S101="Kazzak"),IF(includegruul,S101="Gruul's Lair"),IF(includemagtheridon,S101="Magtheridon"),IF(includessc,S101="SSC"),IF(includetheeye,S101="TK"),IF(includeblacktemple,S101="Black Temple"),IF(includemounthyjal,S101="Mount Hyjal"),IF(includeprebc,S101="Pre-BC")),MAX($AE$56:AE100)+1,"")</f>
        <v/>
      </c>
      <c r="AF101" s="114">
        <f>MAX(AF$1:AF100)+1</f>
        <v>59</v>
      </c>
      <c r="AI101" s="129"/>
      <c r="AJ101" s="129"/>
      <c r="AK101" s="48">
        <v>99</v>
      </c>
      <c r="AL101" s="151" t="str">
        <f>IF('Gear &amp; Buffs'!$Y$47="Dagger",IF(ISNA(INDEX($A$2:$A$54,MATCH(AK101,AE$2:AE$54,0))),"",INDEX($A$2:$A$54,MATCH(AK101,AE$2:AE$54,0))),"")&amp;
IF('Gear &amp; Buffs'!$Y$47="Sword",IF(ISNA(INDEX($A$56:$A$100,MATCH(AK101,AE$56:AE$100,0))),"",INDEX($A$56:$A$100,MATCH(AK101,AE$56:AE$100,0))),"")&amp;
IF('Gear &amp; Buffs'!$Y$47="Fist",IF(ISNA(INDEX($A$102:$A$119,MATCH(AK101,AE$102:AE$119,0))),"",INDEX($A$102:$A$119,MATCH(AK101,AE$102:AE$119,0))),"")&amp;
IF('Gear &amp; Buffs'!$Y$47="Mace",IF(ISNA(INDEX($A$121:$A$148,MATCH(AK101,AE$121:AE$148,0))),"",INDEX($A$121:$A$148,MATCH(AK101,AE$121:AE$148,0))),"")&amp;
IF('Gear &amp; Buffs'!$Y$47="All",IF(ISNA(INDEX($A$2:$A$148,MATCH(AK101,AF$2:AF$148,0))),"",INDEX($A$2:$A$148,MATCH(AK101,AF$2:AF$148,0))),"")</f>
        <v/>
      </c>
      <c r="AM101" s="152"/>
      <c r="AN101" s="129"/>
      <c r="AO101" s="124"/>
      <c r="AQ101" s="129"/>
      <c r="AR101" s="129"/>
      <c r="AS101" s="129"/>
      <c r="AT101" s="129"/>
      <c r="AU101" s="129"/>
      <c r="AV101" s="129"/>
    </row>
    <row r="102" spans="1:48" ht="12" thickBot="1">
      <c r="A102" s="837" t="s">
        <v>5</v>
      </c>
      <c r="B102" s="839"/>
      <c r="C102" s="839"/>
      <c r="D102" s="743"/>
      <c r="E102" s="743"/>
      <c r="F102" s="743"/>
      <c r="G102" s="838"/>
      <c r="H102" s="838"/>
      <c r="I102" s="838"/>
      <c r="J102" s="743"/>
      <c r="K102" s="839"/>
      <c r="L102" s="743"/>
      <c r="M102" s="839"/>
      <c r="N102" s="743"/>
      <c r="O102" s="839"/>
      <c r="P102" s="743"/>
      <c r="Q102" s="743" t="s">
        <v>1033</v>
      </c>
      <c r="R102" s="743"/>
      <c r="S102" s="743"/>
      <c r="T102" s="743"/>
      <c r="U102" s="839"/>
      <c r="V102" s="840"/>
      <c r="W102" s="743"/>
      <c r="X102" s="841"/>
      <c r="Y102" s="838" t="s">
        <v>6</v>
      </c>
      <c r="Z102" s="743"/>
      <c r="AA102" s="743"/>
      <c r="AB102" s="743"/>
      <c r="AC102" s="842"/>
      <c r="AD102" s="838"/>
      <c r="AE102" s="743">
        <v>1</v>
      </c>
      <c r="AF102" s="114">
        <f>MAX(AF$1:AF101)+1</f>
        <v>60</v>
      </c>
      <c r="AG102" s="114"/>
      <c r="AK102" s="48">
        <v>100</v>
      </c>
      <c r="AL102" s="151" t="str">
        <f>IF('Gear &amp; Buffs'!$Y$47="Dagger",IF(ISNA(INDEX($A$2:$A$54,MATCH(AK102,AE$2:AE$54,0))),"",INDEX($A$2:$A$54,MATCH(AK102,AE$2:AE$54,0))),"")&amp;
IF('Gear &amp; Buffs'!$Y$47="Sword",IF(ISNA(INDEX($A$56:$A$100,MATCH(AK102,AE$56:AE$100,0))),"",INDEX($A$56:$A$100,MATCH(AK102,AE$56:AE$100,0))),"")&amp;
IF('Gear &amp; Buffs'!$Y$47="Fist",IF(ISNA(INDEX($A$102:$A$119,MATCH(AK102,AE$102:AE$119,0))),"",INDEX($A$102:$A$119,MATCH(AK102,AE$102:AE$119,0))),"")&amp;
IF('Gear &amp; Buffs'!$Y$47="Mace",IF(ISNA(INDEX($A$121:$A$148,MATCH(AK102,AE$121:AE$148,0))),"",INDEX($A$121:$A$148,MATCH(AK102,AE$121:AE$148,0))),"")&amp;
IF('Gear &amp; Buffs'!$Y$47="All",IF(ISNA(INDEX($A$2:$A$148,MATCH(AK102,AF$2:AF$148,0))),"",INDEX($A$2:$A$148,MATCH(AK102,AF$2:AF$148,0))),"")</f>
        <v/>
      </c>
      <c r="AO102" s="114"/>
      <c r="AP102" s="114"/>
    </row>
    <row r="103" spans="1:48">
      <c r="A103" s="10" t="s">
        <v>898</v>
      </c>
      <c r="B103" s="116">
        <v>28584</v>
      </c>
      <c r="C103" s="116">
        <v>1</v>
      </c>
      <c r="D103" s="114"/>
      <c r="E103" s="114">
        <v>17</v>
      </c>
      <c r="F103" s="114"/>
      <c r="G103" s="115">
        <v>20</v>
      </c>
      <c r="H103" s="115"/>
      <c r="I103" s="115"/>
      <c r="J103" s="114"/>
      <c r="K103" s="116"/>
      <c r="L103" s="114">
        <v>18</v>
      </c>
      <c r="M103" s="116"/>
      <c r="N103" s="114"/>
      <c r="O103" s="116"/>
      <c r="P103" s="114"/>
      <c r="Q103" s="114" t="s">
        <v>1033</v>
      </c>
      <c r="R103" s="114"/>
      <c r="S103" s="114" t="s">
        <v>672</v>
      </c>
      <c r="T103" s="114">
        <v>153</v>
      </c>
      <c r="U103" s="116">
        <v>285</v>
      </c>
      <c r="V103" s="155">
        <f t="shared" ref="V103:V117" si="10">(U103+T103)/2</f>
        <v>219</v>
      </c>
      <c r="W103" s="155">
        <v>2.5</v>
      </c>
      <c r="X103" s="124">
        <f t="shared" ref="X103:X117" si="11">V103/W103</f>
        <v>87.6</v>
      </c>
      <c r="Y103" s="115" t="s">
        <v>6</v>
      </c>
      <c r="Z103" s="114"/>
      <c r="AA103" s="114"/>
      <c r="AB103" s="114"/>
      <c r="AC103" s="289"/>
      <c r="AD103" s="115"/>
      <c r="AE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Aman"),IF(includeprebc,S103="Pre-BC"),IF(includesunwell,S103="Sunwell"))),MAX($AE$102:AE102)+1,"")</f>
        <v>2</v>
      </c>
      <c r="AF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Aman"),IF(includeprebc,$S103="Pre-BC"),IF(includesunwell,$S103="Sunwell"))),MAX($AF$1:AF102)+1,"")</f>
        <v>61</v>
      </c>
      <c r="AG103" s="114"/>
      <c r="AK103" s="48">
        <v>101</v>
      </c>
      <c r="AL103" s="151" t="str">
        <f>IF('Gear &amp; Buffs'!$Y$47="Dagger",IF(ISNA(INDEX($A$2:$A$54,MATCH(AK103,AE$2:AE$54,0))),"",INDEX($A$2:$A$54,MATCH(AK103,AE$2:AE$54,0))),"")&amp;
IF('Gear &amp; Buffs'!$Y$47="Sword",IF(ISNA(INDEX($A$56:$A$100,MATCH(AK103,AE$56:AE$100,0))),"",INDEX($A$56:$A$100,MATCH(AK103,AE$56:AE$100,0))),"")&amp;
IF('Gear &amp; Buffs'!$Y$47="Fist",IF(ISNA(INDEX($A$102:$A$119,MATCH(AK103,AE$102:AE$119,0))),"",INDEX($A$102:$A$119,MATCH(AK103,AE$102:AE$119,0))),"")&amp;
IF('Gear &amp; Buffs'!$Y$47="Mace",IF(ISNA(INDEX($A$121:$A$148,MATCH(AK103,AE$121:AE$148,0))),"",INDEX($A$121:$A$148,MATCH(AK103,AE$121:AE$148,0))),"")&amp;
IF('Gear &amp; Buffs'!$Y$47="All",IF(ISNA(INDEX($A$2:$A$148,MATCH(AK103,AF$2:AF$148,0))),"",INDEX($A$2:$A$148,MATCH(AK103,AF$2:AF$148,0))),"")</f>
        <v/>
      </c>
      <c r="AO103" s="114"/>
      <c r="AP103" s="114"/>
    </row>
    <row r="104" spans="1:48">
      <c r="A104" s="10" t="s">
        <v>2003</v>
      </c>
      <c r="B104" s="116">
        <v>35076</v>
      </c>
      <c r="C104" s="116">
        <v>5</v>
      </c>
      <c r="D104" s="114"/>
      <c r="E104" s="114"/>
      <c r="F104" s="114">
        <v>38</v>
      </c>
      <c r="G104" s="115">
        <v>22</v>
      </c>
      <c r="H104" s="115">
        <v>9</v>
      </c>
      <c r="I104" s="847"/>
      <c r="J104" s="114">
        <v>49</v>
      </c>
      <c r="K104" s="116"/>
      <c r="L104" s="114">
        <v>31</v>
      </c>
      <c r="M104" s="116"/>
      <c r="N104" s="114">
        <v>12</v>
      </c>
      <c r="O104" s="116"/>
      <c r="P104" s="114"/>
      <c r="Q104" s="114" t="s">
        <v>1033</v>
      </c>
      <c r="R104" s="114"/>
      <c r="S104" s="114" t="s">
        <v>677</v>
      </c>
      <c r="T104" s="114">
        <v>196</v>
      </c>
      <c r="U104" s="116">
        <v>365</v>
      </c>
      <c r="V104" s="155">
        <f>(U104+T104)/2</f>
        <v>280.5</v>
      </c>
      <c r="W104" s="155">
        <v>2.6</v>
      </c>
      <c r="X104" s="124">
        <f>V104/W104</f>
        <v>107.88461538461539</v>
      </c>
      <c r="Y104" s="114" t="s">
        <v>6</v>
      </c>
      <c r="Z104" s="114"/>
      <c r="AA104" s="114"/>
      <c r="AB104" s="114"/>
      <c r="AC104" s="289"/>
      <c r="AD104" s="791"/>
      <c r="AE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Aman"),IF(includeprebc,S104="Pre-BC"),IF(includesunwell,S104="Sunwell"))),MAX($AE$102:AE103)+1,"")</f>
        <v/>
      </c>
      <c r="AF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Aman"),IF(includeprebc,$S104="Pre-BC"),IF(includesunwell,$S104="Sunwell"))),MAX($AF$1:AF103)+1,"")</f>
        <v/>
      </c>
      <c r="AG104" s="114"/>
      <c r="AK104" s="48">
        <v>102</v>
      </c>
      <c r="AL104" s="151" t="str">
        <f>IF('Gear &amp; Buffs'!$Y$47="Dagger",IF(ISNA(INDEX($A$2:$A$54,MATCH(AK104,AE$2:AE$54,0))),"",INDEX($A$2:$A$54,MATCH(AK104,AE$2:AE$54,0))),"")&amp;
IF('Gear &amp; Buffs'!$Y$47="Sword",IF(ISNA(INDEX($A$56:$A$100,MATCH(AK104,AE$56:AE$100,0))),"",INDEX($A$56:$A$100,MATCH(AK104,AE$56:AE$100,0))),"")&amp;
IF('Gear &amp; Buffs'!$Y$47="Fist",IF(ISNA(INDEX($A$102:$A$119,MATCH(AK104,AE$102:AE$119,0))),"",INDEX($A$102:$A$119,MATCH(AK104,AE$102:AE$119,0))),"")&amp;
IF('Gear &amp; Buffs'!$Y$47="Mace",IF(ISNA(INDEX($A$121:$A$148,MATCH(AK104,AE$121:AE$148,0))),"",INDEX($A$121:$A$148,MATCH(AK104,AE$121:AE$148,0))),"")&amp;
IF('Gear &amp; Buffs'!$Y$47="All",IF(ISNA(INDEX($A$2:$A$148,MATCH(AK104,AF$2:AF$148,0))),"",INDEX($A$2:$A$148,MATCH(AK104,AF$2:AF$148,0))),"")</f>
        <v/>
      </c>
      <c r="AM104" s="152"/>
      <c r="AO104" s="124"/>
      <c r="AP104" s="114"/>
    </row>
    <row r="105" spans="1:48">
      <c r="A105" s="10" t="s">
        <v>698</v>
      </c>
      <c r="B105" s="116">
        <v>32946</v>
      </c>
      <c r="C105" s="116">
        <v>3</v>
      </c>
      <c r="D105" s="114"/>
      <c r="E105" s="114">
        <v>20</v>
      </c>
      <c r="F105" s="114">
        <v>38</v>
      </c>
      <c r="G105" s="115"/>
      <c r="H105" s="115"/>
      <c r="I105" s="115"/>
      <c r="J105" s="114"/>
      <c r="K105" s="116"/>
      <c r="L105" s="114">
        <v>28</v>
      </c>
      <c r="M105" s="116"/>
      <c r="N105" s="114"/>
      <c r="O105" s="116"/>
      <c r="P105" s="114"/>
      <c r="Q105" s="114" t="s">
        <v>1033</v>
      </c>
      <c r="R105" s="114"/>
      <c r="S105" s="114" t="s">
        <v>684</v>
      </c>
      <c r="T105" s="114">
        <v>216</v>
      </c>
      <c r="U105" s="116">
        <v>325</v>
      </c>
      <c r="V105" s="155">
        <f>(U105+T105)/2</f>
        <v>270.5</v>
      </c>
      <c r="W105" s="155">
        <v>2.7</v>
      </c>
      <c r="X105" s="124">
        <f>V105/W105</f>
        <v>100.18518518518518</v>
      </c>
      <c r="Y105" s="115" t="s">
        <v>6</v>
      </c>
      <c r="Z105" s="114"/>
      <c r="AA105" s="114"/>
      <c r="AB105" s="114"/>
      <c r="AC105" s="289"/>
      <c r="AD105" s="115"/>
      <c r="AE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Aman"),IF(includeprebc,S105="Pre-BC"),IF(includesunwell,S105="Sunwell"))),MAX($AE$102:AE104)+1,"")</f>
        <v/>
      </c>
      <c r="AF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Aman"),IF(includeprebc,$S105="Pre-BC"),IF(includesunwell,$S105="Sunwell"))),MAX($AF$1:AF104)+1,"")</f>
        <v/>
      </c>
      <c r="AG105" s="114"/>
      <c r="AK105" s="48">
        <v>103</v>
      </c>
      <c r="AL105" s="151" t="str">
        <f>IF('Gear &amp; Buffs'!$Y$47="Dagger",IF(ISNA(INDEX($A$2:$A$54,MATCH(AK105,AE$2:AE$54,0))),"",INDEX($A$2:$A$54,MATCH(AK105,AE$2:AE$54,0))),"")&amp;
IF('Gear &amp; Buffs'!$Y$47="Sword",IF(ISNA(INDEX($A$56:$A$100,MATCH(AK105,AE$56:AE$100,0))),"",INDEX($A$56:$A$100,MATCH(AK105,AE$56:AE$100,0))),"")&amp;
IF('Gear &amp; Buffs'!$Y$47="Fist",IF(ISNA(INDEX($A$102:$A$119,MATCH(AK105,AE$102:AE$119,0))),"",INDEX($A$102:$A$119,MATCH(AK105,AE$102:AE$119,0))),"")&amp;
IF('Gear &amp; Buffs'!$Y$47="Mace",IF(ISNA(INDEX($A$121:$A$148,MATCH(AK105,AE$121:AE$148,0))),"",INDEX($A$121:$A$148,MATCH(AK105,AE$121:AE$148,0))),"")&amp;
IF('Gear &amp; Buffs'!$Y$47="All",IF(ISNA(INDEX($A$2:$A$148,MATCH(AK105,AF$2:AF$148,0))),"",INDEX($A$2:$A$148,MATCH(AK105,AF$2:AF$148,0))),"")</f>
        <v/>
      </c>
      <c r="AO105" s="114"/>
      <c r="AP105" s="114"/>
    </row>
    <row r="106" spans="1:48" ht="12.75">
      <c r="A106" s="10" t="s">
        <v>899</v>
      </c>
      <c r="B106" s="116">
        <v>27846</v>
      </c>
      <c r="C106" s="116">
        <v>1</v>
      </c>
      <c r="D106" s="114"/>
      <c r="E106" s="114"/>
      <c r="F106" s="114">
        <v>24</v>
      </c>
      <c r="G106" s="115">
        <v>12</v>
      </c>
      <c r="H106" s="115"/>
      <c r="I106" s="115"/>
      <c r="J106" s="114"/>
      <c r="K106" s="116"/>
      <c r="L106" s="114"/>
      <c r="M106" s="116"/>
      <c r="N106" s="114"/>
      <c r="O106" s="116"/>
      <c r="P106" s="114"/>
      <c r="Q106" s="114" t="s">
        <v>1037</v>
      </c>
      <c r="R106" s="114" t="s">
        <v>1449</v>
      </c>
      <c r="S106" s="114" t="s">
        <v>691</v>
      </c>
      <c r="T106" s="114">
        <v>125</v>
      </c>
      <c r="U106" s="116">
        <v>233</v>
      </c>
      <c r="V106" s="155">
        <f t="shared" si="10"/>
        <v>179</v>
      </c>
      <c r="W106" s="155">
        <v>2.5</v>
      </c>
      <c r="X106" s="124">
        <f t="shared" si="11"/>
        <v>71.599999999999994</v>
      </c>
      <c r="Y106" s="115" t="s">
        <v>6</v>
      </c>
      <c r="Z106" s="114"/>
      <c r="AA106" s="114"/>
      <c r="AB106" s="114"/>
      <c r="AC106" s="289"/>
      <c r="AD106" s="115"/>
      <c r="AE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Aman"),IF(includeprebc,S106="Pre-BC"),IF(includesunwell,S106="Sunwell"))),MAX($AE$102:AE105)+1,"")</f>
        <v>3</v>
      </c>
      <c r="AF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Aman"),IF(includeprebc,$S106="Pre-BC"),IF(includesunwell,$S106="Sunwell"))),MAX($AF$1:AF105)+1,"")</f>
        <v>62</v>
      </c>
      <c r="AG106" s="114"/>
      <c r="AK106" s="48">
        <v>104</v>
      </c>
      <c r="AL106" s="151" t="str">
        <f>IF('Gear &amp; Buffs'!$Y$47="Dagger",IF(ISNA(INDEX($A$2:$A$54,MATCH(AK106,AE$2:AE$54,0))),"",INDEX($A$2:$A$54,MATCH(AK106,AE$2:AE$54,0))),"")&amp;
IF('Gear &amp; Buffs'!$Y$47="Sword",IF(ISNA(INDEX($A$56:$A$100,MATCH(AK106,AE$56:AE$100,0))),"",INDEX($A$56:$A$100,MATCH(AK106,AE$56:AE$100,0))),"")&amp;
IF('Gear &amp; Buffs'!$Y$47="Fist",IF(ISNA(INDEX($A$102:$A$119,MATCH(AK106,AE$102:AE$119,0))),"",INDEX($A$102:$A$119,MATCH(AK106,AE$102:AE$119,0))),"")&amp;
IF('Gear &amp; Buffs'!$Y$47="Mace",IF(ISNA(INDEX($A$121:$A$148,MATCH(AK106,AE$121:AE$148,0))),"",INDEX($A$121:$A$148,MATCH(AK106,AE$121:AE$148,0))),"")&amp;
IF('Gear &amp; Buffs'!$Y$47="All",IF(ISNA(INDEX($A$2:$A$148,MATCH(AK106,AF$2:AF$148,0))),"",INDEX($A$2:$A$148,MATCH(AK106,AF$2:AF$148,0))),"")</f>
        <v/>
      </c>
      <c r="AO106" s="114"/>
      <c r="AP106" s="114"/>
      <c r="AQ106" s="28"/>
      <c r="AR106" s="28"/>
    </row>
    <row r="107" spans="1:48" ht="12.75">
      <c r="A107" s="10" t="s">
        <v>900</v>
      </c>
      <c r="B107" s="116">
        <v>27533</v>
      </c>
      <c r="C107" s="116">
        <v>1</v>
      </c>
      <c r="D107" s="114"/>
      <c r="E107" s="114"/>
      <c r="F107" s="114">
        <v>28</v>
      </c>
      <c r="G107" s="115"/>
      <c r="H107" s="115"/>
      <c r="I107" s="115"/>
      <c r="J107" s="114"/>
      <c r="K107" s="116">
        <v>17</v>
      </c>
      <c r="L107" s="114">
        <v>16</v>
      </c>
      <c r="M107" s="116"/>
      <c r="N107" s="114"/>
      <c r="O107" s="116"/>
      <c r="P107" s="114"/>
      <c r="Q107" s="114" t="s">
        <v>1033</v>
      </c>
      <c r="R107" s="114"/>
      <c r="S107" s="114" t="s">
        <v>673</v>
      </c>
      <c r="T107" s="114">
        <v>130</v>
      </c>
      <c r="U107" s="116">
        <v>243</v>
      </c>
      <c r="V107" s="155">
        <f t="shared" si="10"/>
        <v>186.5</v>
      </c>
      <c r="W107" s="155">
        <v>2.6</v>
      </c>
      <c r="X107" s="124">
        <f t="shared" si="11"/>
        <v>71.730769230769226</v>
      </c>
      <c r="Y107" s="115" t="s">
        <v>6</v>
      </c>
      <c r="Z107" s="114"/>
      <c r="AA107" s="114"/>
      <c r="AB107" s="114"/>
      <c r="AC107" s="289"/>
      <c r="AD107" s="115"/>
      <c r="AE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Aman"),IF(includeprebc,S107="Pre-BC"),IF(includesunwell,S107="Sunwell"))),MAX($AE$102:AE106)+1,"")</f>
        <v>4</v>
      </c>
      <c r="AF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Aman"),IF(includeprebc,$S107="Pre-BC"),IF(includesunwell,$S107="Sunwell"))),MAX($AF$1:AF106)+1,"")</f>
        <v>63</v>
      </c>
      <c r="AG107" s="114"/>
      <c r="AK107" s="48">
        <v>105</v>
      </c>
      <c r="AL107" s="151" t="str">
        <f>IF('Gear &amp; Buffs'!$Y$47="Dagger",IF(ISNA(INDEX($A$2:$A$54,MATCH(AK107,AE$2:AE$54,0))),"",INDEX($A$2:$A$54,MATCH(AK107,AE$2:AE$54,0))),"")&amp;
IF('Gear &amp; Buffs'!$Y$47="Sword",IF(ISNA(INDEX($A$56:$A$100,MATCH(AK107,AE$56:AE$100,0))),"",INDEX($A$56:$A$100,MATCH(AK107,AE$56:AE$100,0))),"")&amp;
IF('Gear &amp; Buffs'!$Y$47="Fist",IF(ISNA(INDEX($A$102:$A$119,MATCH(AK107,AE$102:AE$119,0))),"",INDEX($A$102:$A$119,MATCH(AK107,AE$102:AE$119,0))),"")&amp;
IF('Gear &amp; Buffs'!$Y$47="Mace",IF(ISNA(INDEX($A$121:$A$148,MATCH(AK107,AE$121:AE$148,0))),"",INDEX($A$121:$A$148,MATCH(AK107,AE$121:AE$148,0))),"")&amp;
IF('Gear &amp; Buffs'!$Y$47="All",IF(ISNA(INDEX($A$2:$A$148,MATCH(AK107,AF$2:AF$148,0))),"",INDEX($A$2:$A$148,MATCH(AK107,AF$2:AF$148,0))),"")</f>
        <v/>
      </c>
      <c r="AP107" s="114"/>
      <c r="AQ107" s="28"/>
      <c r="AR107" s="28"/>
      <c r="AS107" s="28"/>
    </row>
    <row r="108" spans="1:48" ht="12.75">
      <c r="A108" s="10" t="s">
        <v>901</v>
      </c>
      <c r="B108" s="116">
        <v>28313</v>
      </c>
      <c r="C108" s="116">
        <v>1</v>
      </c>
      <c r="D108" s="114"/>
      <c r="E108" s="114"/>
      <c r="F108" s="114">
        <v>28</v>
      </c>
      <c r="G108" s="115">
        <v>15</v>
      </c>
      <c r="H108" s="115">
        <v>9</v>
      </c>
      <c r="I108" s="115"/>
      <c r="J108" s="114"/>
      <c r="K108" s="116"/>
      <c r="L108" s="114">
        <v>21</v>
      </c>
      <c r="M108" s="116"/>
      <c r="N108" s="114">
        <v>10</v>
      </c>
      <c r="O108" s="116"/>
      <c r="P108" s="114"/>
      <c r="Q108" s="114" t="s">
        <v>1033</v>
      </c>
      <c r="R108" s="114"/>
      <c r="S108" s="114" t="s">
        <v>677</v>
      </c>
      <c r="T108" s="114">
        <v>166</v>
      </c>
      <c r="U108" s="116">
        <v>309</v>
      </c>
      <c r="V108" s="155">
        <f t="shared" si="10"/>
        <v>237.5</v>
      </c>
      <c r="W108" s="155">
        <v>2.6</v>
      </c>
      <c r="X108" s="124">
        <f t="shared" si="11"/>
        <v>91.34615384615384</v>
      </c>
      <c r="Y108" s="115" t="s">
        <v>6</v>
      </c>
      <c r="Z108" s="114"/>
      <c r="AA108" s="114"/>
      <c r="AB108" s="114"/>
      <c r="AC108" s="289"/>
      <c r="AD108" s="115"/>
      <c r="AE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Aman"),IF(includeprebc,S108="Pre-BC"),IF(includesunwell,S108="Sunwell"))),MAX($AE$102:AE107)+1,"")</f>
        <v>5</v>
      </c>
      <c r="AF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Aman"),IF(includeprebc,$S108="Pre-BC"),IF(includesunwell,$S108="Sunwell"))),MAX($AF$1:AF107)+1,"")</f>
        <v>64</v>
      </c>
      <c r="AG108" s="114"/>
      <c r="AK108" s="48">
        <v>106</v>
      </c>
      <c r="AL108" s="151" t="str">
        <f>IF('Gear &amp; Buffs'!$Y$47="Dagger",IF(ISNA(INDEX($A$2:$A$54,MATCH(AK108,AE$2:AE$54,0))),"",INDEX($A$2:$A$54,MATCH(AK108,AE$2:AE$54,0))),"")&amp;
IF('Gear &amp; Buffs'!$Y$47="Sword",IF(ISNA(INDEX($A$56:$A$100,MATCH(AK108,AE$56:AE$100,0))),"",INDEX($A$56:$A$100,MATCH(AK108,AE$56:AE$100,0))),"")&amp;
IF('Gear &amp; Buffs'!$Y$47="Fist",IF(ISNA(INDEX($A$102:$A$119,MATCH(AK108,AE$102:AE$119,0))),"",INDEX($A$102:$A$119,MATCH(AK108,AE$102:AE$119,0))),"")&amp;
IF('Gear &amp; Buffs'!$Y$47="Mace",IF(ISNA(INDEX($A$121:$A$148,MATCH(AK108,AE$121:AE$148,0))),"",INDEX($A$121:$A$148,MATCH(AK108,AE$121:AE$148,0))),"")&amp;
IF('Gear &amp; Buffs'!$Y$47="All",IF(ISNA(INDEX($A$2:$A$148,MATCH(AK108,AF$2:AF$148,0))),"",INDEX($A$2:$A$148,MATCH(AK108,AF$2:AF$148,0))),"")</f>
        <v/>
      </c>
      <c r="AQ108" s="28"/>
      <c r="AR108" s="28"/>
      <c r="AS108" s="28"/>
    </row>
    <row r="109" spans="1:48" ht="12.75">
      <c r="A109" s="10" t="s">
        <v>948</v>
      </c>
      <c r="B109" s="116">
        <v>28953</v>
      </c>
      <c r="C109" s="116">
        <v>1</v>
      </c>
      <c r="D109" s="114"/>
      <c r="E109" s="114"/>
      <c r="F109" s="114">
        <v>26</v>
      </c>
      <c r="G109" s="115">
        <v>13</v>
      </c>
      <c r="H109" s="115">
        <v>8</v>
      </c>
      <c r="I109" s="115"/>
      <c r="J109" s="114"/>
      <c r="K109" s="116"/>
      <c r="L109" s="114">
        <v>18</v>
      </c>
      <c r="M109" s="116"/>
      <c r="N109" s="114">
        <v>9</v>
      </c>
      <c r="O109" s="116"/>
      <c r="P109" s="114"/>
      <c r="Q109" s="114" t="s">
        <v>1033</v>
      </c>
      <c r="R109" s="114"/>
      <c r="S109" s="114" t="s">
        <v>677</v>
      </c>
      <c r="T109" s="114">
        <v>130</v>
      </c>
      <c r="U109" s="116">
        <v>243</v>
      </c>
      <c r="V109" s="155">
        <f t="shared" si="10"/>
        <v>186.5</v>
      </c>
      <c r="W109" s="155">
        <v>2.6</v>
      </c>
      <c r="X109" s="124">
        <f t="shared" si="11"/>
        <v>71.730769230769226</v>
      </c>
      <c r="Y109" s="115" t="s">
        <v>6</v>
      </c>
      <c r="Z109" s="114"/>
      <c r="AA109" s="114"/>
      <c r="AB109" s="114"/>
      <c r="AC109" s="289"/>
      <c r="AD109" s="115"/>
      <c r="AE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Aman"),IF(includeprebc,S109="Pre-BC"),IF(includesunwell,S109="Sunwell"))),MAX($AE$102:AE108)+1,"")</f>
        <v>6</v>
      </c>
      <c r="AF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Aman"),IF(includeprebc,$S109="Pre-BC"),IF(includesunwell,$S109="Sunwell"))),MAX($AF$1:AF108)+1,"")</f>
        <v>65</v>
      </c>
      <c r="AG109" s="114"/>
      <c r="AK109" s="48">
        <v>107</v>
      </c>
      <c r="AL109" s="151" t="str">
        <f>IF('Gear &amp; Buffs'!$Y$47="Dagger",IF(ISNA(INDEX($A$2:$A$54,MATCH(AK109,AE$2:AE$54,0))),"",INDEX($A$2:$A$54,MATCH(AK109,AE$2:AE$54,0))),"")&amp;
IF('Gear &amp; Buffs'!$Y$47="Sword",IF(ISNA(INDEX($A$56:$A$100,MATCH(AK109,AE$56:AE$100,0))),"",INDEX($A$56:$A$100,MATCH(AK109,AE$56:AE$100,0))),"")&amp;
IF('Gear &amp; Buffs'!$Y$47="Fist",IF(ISNA(INDEX($A$102:$A$119,MATCH(AK109,AE$102:AE$119,0))),"",INDEX($A$102:$A$119,MATCH(AK109,AE$102:AE$119,0))),"")&amp;
IF('Gear &amp; Buffs'!$Y$47="Mace",IF(ISNA(INDEX($A$121:$A$148,MATCH(AK109,AE$121:AE$148,0))),"",INDEX($A$121:$A$148,MATCH(AK109,AE$121:AE$148,0))),"")&amp;
IF('Gear &amp; Buffs'!$Y$47="All",IF(ISNA(INDEX($A$2:$A$148,MATCH(AK109,AF$2:AF$148,0))),"",INDEX($A$2:$A$148,MATCH(AK109,AF$2:AF$148,0))),"")</f>
        <v/>
      </c>
      <c r="AS109" s="28"/>
    </row>
    <row r="110" spans="1:48">
      <c r="A110" s="10" t="s">
        <v>1729</v>
      </c>
      <c r="B110" s="116"/>
      <c r="C110" s="116">
        <v>5</v>
      </c>
      <c r="D110" s="114"/>
      <c r="E110" s="114"/>
      <c r="F110" s="114">
        <v>54</v>
      </c>
      <c r="G110" s="115"/>
      <c r="H110" s="115"/>
      <c r="I110" s="115"/>
      <c r="J110" s="114">
        <v>196</v>
      </c>
      <c r="K110" s="116"/>
      <c r="L110" s="114">
        <v>28</v>
      </c>
      <c r="M110" s="114"/>
      <c r="N110" s="114"/>
      <c r="O110" s="116"/>
      <c r="P110" s="114"/>
      <c r="Q110" s="114" t="s">
        <v>1446</v>
      </c>
      <c r="R110" s="114" t="s">
        <v>1465</v>
      </c>
      <c r="S110" s="114" t="s">
        <v>871</v>
      </c>
      <c r="T110" s="115">
        <v>238</v>
      </c>
      <c r="U110" s="114">
        <v>357</v>
      </c>
      <c r="V110" s="155">
        <f>(U110+T110)/2</f>
        <v>297.5</v>
      </c>
      <c r="W110" s="155">
        <v>2.6</v>
      </c>
      <c r="X110" s="124">
        <f>V110/W110</f>
        <v>114.42307692307692</v>
      </c>
      <c r="Y110" s="114" t="s">
        <v>6</v>
      </c>
      <c r="Z110" s="114"/>
      <c r="AA110" s="114"/>
      <c r="AB110" s="114"/>
      <c r="AC110" s="289"/>
      <c r="AD110" s="116"/>
      <c r="AE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Aman"),IF(includeprebc,S110="Pre-BC"),IF(includesunwell,S110="Sunwell"))),MAX($AE$102:AE109)+1,"")</f>
        <v/>
      </c>
      <c r="AF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Aman"),IF(includeprebc,$S110="Pre-BC"),IF(includesunwell,$S110="Sunwell"))),MAX($AF$1:AF109)+1,"")</f>
        <v/>
      </c>
      <c r="AG110" s="114"/>
      <c r="AK110" s="48">
        <v>108</v>
      </c>
      <c r="AL110" s="151" t="str">
        <f>IF('Gear &amp; Buffs'!$Y$47="Dagger",IF(ISNA(INDEX($A$2:$A$54,MATCH(AK110,AE$2:AE$54,0))),"",INDEX($A$2:$A$54,MATCH(AK110,AE$2:AE$54,0))),"")&amp;
IF('Gear &amp; Buffs'!$Y$47="Sword",IF(ISNA(INDEX($A$56:$A$100,MATCH(AK110,AE$56:AE$100,0))),"",INDEX($A$56:$A$100,MATCH(AK110,AE$56:AE$100,0))),"")&amp;
IF('Gear &amp; Buffs'!$Y$47="Fist",IF(ISNA(INDEX($A$102:$A$119,MATCH(AK110,AE$102:AE$119,0))),"",INDEX($A$102:$A$119,MATCH(AK110,AE$102:AE$119,0))),"")&amp;
IF('Gear &amp; Buffs'!$Y$47="Mace",IF(ISNA(INDEX($A$121:$A$148,MATCH(AK110,AE$121:AE$148,0))),"",INDEX($A$121:$A$148,MATCH(AK110,AE$121:AE$148,0))),"")&amp;
IF('Gear &amp; Buffs'!$Y$47="All",IF(ISNA(INDEX($A$2:$A$148,MATCH(AK110,AF$2:AF$148,0))),"",INDEX($A$2:$A$148,MATCH(AK110,AF$2:AF$148,0))),"")</f>
        <v/>
      </c>
    </row>
    <row r="111" spans="1:48">
      <c r="A111" s="10" t="s">
        <v>949</v>
      </c>
      <c r="B111" s="116">
        <v>28928</v>
      </c>
      <c r="C111" s="116">
        <v>1</v>
      </c>
      <c r="D111" s="114"/>
      <c r="E111" s="114"/>
      <c r="F111" s="114">
        <v>26</v>
      </c>
      <c r="G111" s="115">
        <v>13</v>
      </c>
      <c r="H111" s="115">
        <v>8</v>
      </c>
      <c r="I111" s="115"/>
      <c r="J111" s="114"/>
      <c r="K111" s="116"/>
      <c r="L111" s="114">
        <v>18</v>
      </c>
      <c r="M111" s="116"/>
      <c r="N111" s="114">
        <v>9</v>
      </c>
      <c r="O111" s="116"/>
      <c r="P111" s="114"/>
      <c r="Q111" s="114" t="s">
        <v>1033</v>
      </c>
      <c r="R111" s="114"/>
      <c r="S111" s="114" t="s">
        <v>677</v>
      </c>
      <c r="T111" s="114">
        <v>130</v>
      </c>
      <c r="U111" s="116">
        <v>243</v>
      </c>
      <c r="V111" s="155">
        <f t="shared" si="10"/>
        <v>186.5</v>
      </c>
      <c r="W111" s="155">
        <v>2.6</v>
      </c>
      <c r="X111" s="124">
        <f t="shared" si="11"/>
        <v>71.730769230769226</v>
      </c>
      <c r="Y111" s="115" t="s">
        <v>6</v>
      </c>
      <c r="Z111" s="114"/>
      <c r="AA111" s="114"/>
      <c r="AB111" s="114"/>
      <c r="AC111" s="289"/>
      <c r="AD111" s="115"/>
      <c r="AE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Aman"),IF(includeprebc,S111="Pre-BC"),IF(includesunwell,S111="Sunwell"))),MAX($AE$102:AE110)+1,"")</f>
        <v>7</v>
      </c>
      <c r="AF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Aman"),IF(includeprebc,$S111="Pre-BC"),IF(includesunwell,$S111="Sunwell"))),MAX($AF$1:AF110)+1,"")</f>
        <v>66</v>
      </c>
      <c r="AG111" s="114"/>
      <c r="AK111" s="48">
        <v>109</v>
      </c>
      <c r="AL111" s="151" t="str">
        <f>IF('Gear &amp; Buffs'!$Y$47="Dagger",IF(ISNA(INDEX($A$2:$A$54,MATCH(AK111,AE$2:AE$54,0))),"",INDEX($A$2:$A$54,MATCH(AK111,AE$2:AE$54,0))),"")&amp;
IF('Gear &amp; Buffs'!$Y$47="Sword",IF(ISNA(INDEX($A$56:$A$100,MATCH(AK111,AE$56:AE$100,0))),"",INDEX($A$56:$A$100,MATCH(AK111,AE$56:AE$100,0))),"")&amp;
IF('Gear &amp; Buffs'!$Y$47="Fist",IF(ISNA(INDEX($A$102:$A$119,MATCH(AK111,AE$102:AE$119,0))),"",INDEX($A$102:$A$119,MATCH(AK111,AE$102:AE$119,0))),"")&amp;
IF('Gear &amp; Buffs'!$Y$47="Mace",IF(ISNA(INDEX($A$121:$A$148,MATCH(AK111,AE$121:AE$148,0))),"",INDEX($A$121:$A$148,MATCH(AK111,AE$121:AE$148,0))),"")&amp;
IF('Gear &amp; Buffs'!$Y$47="All",IF(ISNA(INDEX($A$2:$A$148,MATCH(AK111,AF$2:AF$148,0))),"",INDEX($A$2:$A$148,MATCH(AK111,AF$2:AF$148,0))),"")</f>
        <v/>
      </c>
    </row>
    <row r="112" spans="1:48">
      <c r="A112" s="10" t="s">
        <v>902</v>
      </c>
      <c r="B112" s="116">
        <v>32028</v>
      </c>
      <c r="C112" s="116">
        <v>2</v>
      </c>
      <c r="D112" s="114"/>
      <c r="E112" s="114"/>
      <c r="F112" s="114">
        <v>30</v>
      </c>
      <c r="G112" s="115">
        <v>19</v>
      </c>
      <c r="H112" s="115">
        <v>10</v>
      </c>
      <c r="I112" s="115"/>
      <c r="J112" s="114"/>
      <c r="K112" s="116"/>
      <c r="L112" s="114">
        <v>27</v>
      </c>
      <c r="M112" s="114"/>
      <c r="N112" s="114">
        <v>12</v>
      </c>
      <c r="O112" s="116"/>
      <c r="P112" s="114"/>
      <c r="Q112" s="114" t="s">
        <v>1033</v>
      </c>
      <c r="R112" s="114"/>
      <c r="S112" s="114" t="s">
        <v>677</v>
      </c>
      <c r="T112" s="115">
        <v>177</v>
      </c>
      <c r="U112" s="114">
        <v>330</v>
      </c>
      <c r="V112" s="155">
        <f t="shared" si="10"/>
        <v>253.5</v>
      </c>
      <c r="W112" s="155">
        <v>2.6</v>
      </c>
      <c r="X112" s="124">
        <f t="shared" si="11"/>
        <v>97.5</v>
      </c>
      <c r="Y112" s="114" t="s">
        <v>6</v>
      </c>
      <c r="Z112" s="114"/>
      <c r="AA112" s="114"/>
      <c r="AB112" s="114"/>
      <c r="AC112" s="289"/>
      <c r="AD112" s="116"/>
      <c r="AE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Aman"),IF(includeprebc,S112="Pre-BC"),IF(includesunwell,S112="Sunwell"))),MAX($AE$102:AE111)+1,"")</f>
        <v/>
      </c>
      <c r="AF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Aman"),IF(includeprebc,$S112="Pre-BC"),IF(includesunwell,$S112="Sunwell"))),MAX($AF$1:AF111)+1,"")</f>
        <v/>
      </c>
      <c r="AG112" s="114"/>
      <c r="AK112" s="48">
        <v>110</v>
      </c>
      <c r="AL112" s="151" t="str">
        <f>IF('Gear &amp; Buffs'!$Y$47="Dagger",IF(ISNA(INDEX($A$2:$A$54,MATCH(AK112,AE$2:AE$54,0))),"",INDEX($A$2:$A$54,MATCH(AK112,AE$2:AE$54,0))),"")&amp;
IF('Gear &amp; Buffs'!$Y$47="Sword",IF(ISNA(INDEX($A$56:$A$100,MATCH(AK112,AE$56:AE$100,0))),"",INDEX($A$56:$A$100,MATCH(AK112,AE$56:AE$100,0))),"")&amp;
IF('Gear &amp; Buffs'!$Y$47="Fist",IF(ISNA(INDEX($A$102:$A$119,MATCH(AK112,AE$102:AE$119,0))),"",INDEX($A$102:$A$119,MATCH(AK112,AE$102:AE$119,0))),"")&amp;
IF('Gear &amp; Buffs'!$Y$47="Mace",IF(ISNA(INDEX($A$121:$A$148,MATCH(AK112,AE$121:AE$148,0))),"",INDEX($A$121:$A$148,MATCH(AK112,AE$121:AE$148,0))),"")&amp;
IF('Gear &amp; Buffs'!$Y$47="All",IF(ISNA(INDEX($A$2:$A$148,MATCH(AK112,AF$2:AF$148,0))),"",INDEX($A$2:$A$148,MATCH(AK112,AF$2:AF$148,0))),"")</f>
        <v/>
      </c>
    </row>
    <row r="113" spans="1:40">
      <c r="A113" s="10" t="s">
        <v>279</v>
      </c>
      <c r="B113" s="116">
        <v>33495</v>
      </c>
      <c r="C113" s="116">
        <v>4</v>
      </c>
      <c r="D113" s="114"/>
      <c r="E113" s="114">
        <v>20</v>
      </c>
      <c r="F113" s="114"/>
      <c r="G113" s="115">
        <v>13</v>
      </c>
      <c r="H113" s="115"/>
      <c r="I113" s="115"/>
      <c r="J113" s="114"/>
      <c r="K113" s="116"/>
      <c r="L113" s="114">
        <v>18</v>
      </c>
      <c r="M113" s="114"/>
      <c r="N113" s="114"/>
      <c r="O113" s="116"/>
      <c r="P113" s="114"/>
      <c r="Q113" s="114" t="s">
        <v>1043</v>
      </c>
      <c r="R113" s="114" t="s">
        <v>1066</v>
      </c>
      <c r="S113" s="114" t="s">
        <v>664</v>
      </c>
      <c r="T113" s="115">
        <v>174</v>
      </c>
      <c r="U113" s="114">
        <v>323</v>
      </c>
      <c r="V113" s="155">
        <f t="shared" si="10"/>
        <v>248.5</v>
      </c>
      <c r="W113" s="155">
        <v>2.6</v>
      </c>
      <c r="X113" s="124">
        <f t="shared" si="11"/>
        <v>95.57692307692308</v>
      </c>
      <c r="Y113" s="114" t="s">
        <v>6</v>
      </c>
      <c r="Z113" s="114"/>
      <c r="AA113" s="114"/>
      <c r="AB113" s="114"/>
      <c r="AC113" s="289"/>
      <c r="AD113" s="116"/>
      <c r="AE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Aman"),IF(includeprebc,S113="Pre-BC"),IF(includesunwell,S113="Sunwell"))),MAX($AE$102:AE112)+1,"")</f>
        <v/>
      </c>
      <c r="AF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Aman"),IF(includeprebc,$S113="Pre-BC"),IF(includesunwell,$S113="Sunwell"))),MAX($AF$1:AF112)+1,"")</f>
        <v/>
      </c>
      <c r="AG113" s="114"/>
      <c r="AK113" s="48">
        <v>111</v>
      </c>
      <c r="AL113" s="151" t="str">
        <f>IF('Gear &amp; Buffs'!$Y$47="Dagger",IF(ISNA(INDEX($A$2:$A$54,MATCH(AK113,AE$2:AE$54,0))),"",INDEX($A$2:$A$54,MATCH(AK113,AE$2:AE$54,0))),"")&amp;
IF('Gear &amp; Buffs'!$Y$47="Sword",IF(ISNA(INDEX($A$56:$A$100,MATCH(AK113,AE$56:AE$100,0))),"",INDEX($A$56:$A$100,MATCH(AK113,AE$56:AE$100,0))),"")&amp;
IF('Gear &amp; Buffs'!$Y$47="Fist",IF(ISNA(INDEX($A$102:$A$119,MATCH(AK113,AE$102:AE$119,0))),"",INDEX($A$102:$A$119,MATCH(AK113,AE$102:AE$119,0))),"")&amp;
IF('Gear &amp; Buffs'!$Y$47="Mace",IF(ISNA(INDEX($A$121:$A$148,MATCH(AK113,AE$121:AE$148,0))),"",INDEX($A$121:$A$148,MATCH(AK113,AE$121:AE$148,0))),"")&amp;
IF('Gear &amp; Buffs'!$Y$47="All",IF(ISNA(INDEX($A$2:$A$148,MATCH(AK113,AF$2:AF$148,0))),"",INDEX($A$2:$A$148,MATCH(AK113,AF$2:AF$148,0))),"")</f>
        <v/>
      </c>
    </row>
    <row r="114" spans="1:40">
      <c r="A114" s="10" t="s">
        <v>903</v>
      </c>
      <c r="B114" s="116">
        <v>28392</v>
      </c>
      <c r="C114" s="116">
        <v>1</v>
      </c>
      <c r="D114" s="114"/>
      <c r="E114" s="114"/>
      <c r="F114" s="114">
        <v>32</v>
      </c>
      <c r="G114" s="115"/>
      <c r="H114" s="115">
        <v>16</v>
      </c>
      <c r="I114" s="115"/>
      <c r="J114" s="114"/>
      <c r="K114" s="116"/>
      <c r="L114" s="114">
        <v>13</v>
      </c>
      <c r="M114" s="116"/>
      <c r="N114" s="114"/>
      <c r="O114" s="116"/>
      <c r="P114" s="114"/>
      <c r="Q114" s="114" t="s">
        <v>1033</v>
      </c>
      <c r="R114" s="114"/>
      <c r="S114" s="114" t="s">
        <v>673</v>
      </c>
      <c r="T114" s="114">
        <v>135</v>
      </c>
      <c r="U114" s="116">
        <v>252</v>
      </c>
      <c r="V114" s="155">
        <f t="shared" si="10"/>
        <v>193.5</v>
      </c>
      <c r="W114" s="155">
        <v>2.7</v>
      </c>
      <c r="X114" s="124">
        <f t="shared" si="11"/>
        <v>71.666666666666657</v>
      </c>
      <c r="Y114" s="115" t="s">
        <v>6</v>
      </c>
      <c r="Z114" s="114"/>
      <c r="AA114" s="114"/>
      <c r="AB114" s="114"/>
      <c r="AC114" s="289"/>
      <c r="AD114" s="115"/>
      <c r="AE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Aman"),IF(includeprebc,S114="Pre-BC"),IF(includesunwell,S114="Sunwell"))),MAX($AE$102:AE113)+1,"")</f>
        <v>8</v>
      </c>
      <c r="AF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Aman"),IF(includeprebc,$S114="Pre-BC"),IF(includesunwell,$S114="Sunwell"))),MAX($AF$1:AF113)+1,"")</f>
        <v>67</v>
      </c>
      <c r="AG114" s="114"/>
      <c r="AK114" s="48">
        <v>112</v>
      </c>
      <c r="AL114" s="151" t="str">
        <f>IF('Gear &amp; Buffs'!$Y$47="Dagger",IF(ISNA(INDEX($A$2:$A$54,MATCH(AK114,AE$2:AE$54,0))),"",INDEX($A$2:$A$54,MATCH(AK114,AE$2:AE$54,0))),"")&amp;
IF('Gear &amp; Buffs'!$Y$47="Sword",IF(ISNA(INDEX($A$56:$A$100,MATCH(AK114,AE$56:AE$100,0))),"",INDEX($A$56:$A$100,MATCH(AK114,AE$56:AE$100,0))),"")&amp;
IF('Gear &amp; Buffs'!$Y$47="Fist",IF(ISNA(INDEX($A$102:$A$119,MATCH(AK114,AE$102:AE$119,0))),"",INDEX($A$102:$A$119,MATCH(AK114,AE$102:AE$119,0))),"")&amp;
IF('Gear &amp; Buffs'!$Y$47="Mace",IF(ISNA(INDEX($A$121:$A$148,MATCH(AK114,AE$121:AE$148,0))),"",INDEX($A$121:$A$148,MATCH(AK114,AE$121:AE$148,0))),"")&amp;
IF('Gear &amp; Buffs'!$Y$47="All",IF(ISNA(INDEX($A$2:$A$148,MATCH(AK114,AF$2:AF$148,0))),"",INDEX($A$2:$A$148,MATCH(AK114,AF$2:AF$148,0))),"")</f>
        <v/>
      </c>
    </row>
    <row r="115" spans="1:40">
      <c r="A115" s="10" t="s">
        <v>904</v>
      </c>
      <c r="B115" s="116">
        <v>32944</v>
      </c>
      <c r="C115" s="116">
        <v>2</v>
      </c>
      <c r="D115" s="114"/>
      <c r="E115" s="114"/>
      <c r="F115" s="114">
        <v>52</v>
      </c>
      <c r="G115" s="115">
        <v>19</v>
      </c>
      <c r="H115" s="115">
        <v>15</v>
      </c>
      <c r="I115" s="115"/>
      <c r="J115" s="114"/>
      <c r="K115" s="116"/>
      <c r="L115" s="114"/>
      <c r="M115" s="116"/>
      <c r="N115" s="114"/>
      <c r="O115" s="116"/>
      <c r="P115" s="114"/>
      <c r="Q115" s="114" t="s">
        <v>1033</v>
      </c>
      <c r="R115" s="114"/>
      <c r="S115" s="114" t="s">
        <v>680</v>
      </c>
      <c r="T115" s="114">
        <v>182</v>
      </c>
      <c r="U115" s="116">
        <v>339</v>
      </c>
      <c r="V115" s="155">
        <f t="shared" si="10"/>
        <v>260.5</v>
      </c>
      <c r="W115" s="155">
        <v>2.7</v>
      </c>
      <c r="X115" s="124">
        <f t="shared" si="11"/>
        <v>96.481481481481481</v>
      </c>
      <c r="Y115" s="115" t="s">
        <v>6</v>
      </c>
      <c r="Z115" s="114"/>
      <c r="AA115" s="114"/>
      <c r="AB115" s="114"/>
      <c r="AC115" s="289"/>
      <c r="AD115" s="115"/>
      <c r="AE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Aman"),IF(includeprebc,S115="Pre-BC"),IF(includesunwell,S115="Sunwell"))),MAX($AE$102:AE114)+1,"")</f>
        <v/>
      </c>
      <c r="AF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Aman"),IF(includeprebc,$S115="Pre-BC"),IF(includesunwell,$S115="Sunwell"))),MAX($AF$1:AF114)+1,"")</f>
        <v/>
      </c>
      <c r="AG115" s="114"/>
      <c r="AK115" s="48">
        <v>113</v>
      </c>
      <c r="AL115" s="151" t="str">
        <f>IF('Gear &amp; Buffs'!$Y$47="Dagger",IF(ISNA(INDEX($A$2:$A$54,MATCH(AK115,AE$2:AE$54,0))),"",INDEX($A$2:$A$54,MATCH(AK115,AE$2:AE$54,0))),"")&amp;
IF('Gear &amp; Buffs'!$Y$47="Sword",IF(ISNA(INDEX($A$56:$A$100,MATCH(AK115,AE$56:AE$100,0))),"",INDEX($A$56:$A$100,MATCH(AK115,AE$56:AE$100,0))),"")&amp;
IF('Gear &amp; Buffs'!$Y$47="Fist",IF(ISNA(INDEX($A$102:$A$119,MATCH(AK115,AE$102:AE$119,0))),"",INDEX($A$102:$A$119,MATCH(AK115,AE$102:AE$119,0))),"")&amp;
IF('Gear &amp; Buffs'!$Y$47="Mace",IF(ISNA(INDEX($A$121:$A$148,MATCH(AK115,AE$121:AE$148,0))),"",INDEX($A$121:$A$148,MATCH(AK115,AE$121:AE$148,0))),"")&amp;
IF('Gear &amp; Buffs'!$Y$47="All",IF(ISNA(INDEX($A$2:$A$148,MATCH(AK115,AF$2:AF$148,0))),"",INDEX($A$2:$A$148,MATCH(AK115,AF$2:AF$148,0))),"")</f>
        <v/>
      </c>
    </row>
    <row r="116" spans="1:40">
      <c r="A116" s="10" t="s">
        <v>905</v>
      </c>
      <c r="B116" s="116">
        <v>29348</v>
      </c>
      <c r="C116" s="116">
        <v>1</v>
      </c>
      <c r="D116" s="114"/>
      <c r="E116" s="114"/>
      <c r="F116" s="114"/>
      <c r="G116" s="115"/>
      <c r="H116" s="115"/>
      <c r="I116" s="115">
        <f>180*itTBFup</f>
        <v>28.584686841201592</v>
      </c>
      <c r="J116" s="114"/>
      <c r="K116" s="116"/>
      <c r="L116" s="114"/>
      <c r="M116" s="116"/>
      <c r="N116" s="114"/>
      <c r="O116" s="116"/>
      <c r="P116" s="114"/>
      <c r="Q116" s="114" t="s">
        <v>1033</v>
      </c>
      <c r="R116" s="114"/>
      <c r="S116" s="114" t="s">
        <v>691</v>
      </c>
      <c r="T116" s="114">
        <v>152</v>
      </c>
      <c r="U116" s="116">
        <v>283</v>
      </c>
      <c r="V116" s="155">
        <f t="shared" si="10"/>
        <v>217.5</v>
      </c>
      <c r="W116" s="155">
        <v>2.6</v>
      </c>
      <c r="X116" s="124">
        <f t="shared" si="11"/>
        <v>83.653846153846146</v>
      </c>
      <c r="Y116" s="115" t="s">
        <v>6</v>
      </c>
      <c r="Z116" s="114"/>
      <c r="AA116" s="114"/>
      <c r="AB116" s="114"/>
      <c r="AC116" s="289" t="s">
        <v>909</v>
      </c>
      <c r="AD116" s="115"/>
      <c r="AE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Aman"),IF(includeprebc,S116="Pre-BC"),IF(includesunwell,S116="Sunwell"))),MAX($AE$102:AE115)+1,"")</f>
        <v>9</v>
      </c>
      <c r="AF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Aman"),IF(includeprebc,$S116="Pre-BC"),IF(includesunwell,$S116="Sunwell"))),MAX($AF$1:AF115)+1,"")</f>
        <v>68</v>
      </c>
      <c r="AG116" s="114"/>
      <c r="AK116" s="48">
        <v>114</v>
      </c>
      <c r="AL116" s="151" t="str">
        <f>IF('Gear &amp; Buffs'!$Y$47="Dagger",IF(ISNA(INDEX($A$2:$A$54,MATCH(AK116,AE$2:AE$54,0))),"",INDEX($A$2:$A$54,MATCH(AK116,AE$2:AE$54,0))),"")&amp;
IF('Gear &amp; Buffs'!$Y$47="Sword",IF(ISNA(INDEX($A$56:$A$100,MATCH(AK116,AE$56:AE$100,0))),"",INDEX($A$56:$A$100,MATCH(AK116,AE$56:AE$100,0))),"")&amp;
IF('Gear &amp; Buffs'!$Y$47="Fist",IF(ISNA(INDEX($A$102:$A$119,MATCH(AK116,AE$102:AE$119,0))),"",INDEX($A$102:$A$119,MATCH(AK116,AE$102:AE$119,0))),"")&amp;
IF('Gear &amp; Buffs'!$Y$47="Mace",IF(ISNA(INDEX($A$121:$A$148,MATCH(AK116,AE$121:AE$148,0))),"",INDEX($A$121:$A$148,MATCH(AK116,AE$121:AE$148,0))),"")&amp;
IF('Gear &amp; Buffs'!$Y$47="All",IF(ISNA(INDEX($A$2:$A$148,MATCH(AK116,AF$2:AF$148,0))),"",INDEX($A$2:$A$148,MATCH(AK116,AF$2:AF$148,0))),"")</f>
        <v/>
      </c>
    </row>
    <row r="117" spans="1:40">
      <c r="A117" s="10" t="s">
        <v>1767</v>
      </c>
      <c r="B117" s="116">
        <v>33737</v>
      </c>
      <c r="C117" s="116">
        <v>3</v>
      </c>
      <c r="D117" s="114"/>
      <c r="E117" s="114"/>
      <c r="F117" s="114">
        <v>34</v>
      </c>
      <c r="G117" s="115">
        <v>21</v>
      </c>
      <c r="H117" s="115">
        <v>8</v>
      </c>
      <c r="I117" s="847"/>
      <c r="J117" s="114">
        <v>49</v>
      </c>
      <c r="K117" s="116"/>
      <c r="L117" s="114">
        <v>30</v>
      </c>
      <c r="M117" s="116"/>
      <c r="N117" s="114">
        <v>12</v>
      </c>
      <c r="O117" s="116"/>
      <c r="P117" s="114"/>
      <c r="Q117" s="114" t="s">
        <v>1033</v>
      </c>
      <c r="R117" s="114"/>
      <c r="S117" s="114" t="s">
        <v>677</v>
      </c>
      <c r="T117" s="114">
        <v>187</v>
      </c>
      <c r="U117" s="116">
        <v>349</v>
      </c>
      <c r="V117" s="155">
        <f t="shared" si="10"/>
        <v>268</v>
      </c>
      <c r="W117" s="155">
        <v>2.6</v>
      </c>
      <c r="X117" s="124">
        <f t="shared" si="11"/>
        <v>103.07692307692308</v>
      </c>
      <c r="Y117" s="114" t="s">
        <v>6</v>
      </c>
      <c r="Z117" s="114"/>
      <c r="AA117" s="114"/>
      <c r="AB117" s="114"/>
      <c r="AC117" s="289"/>
      <c r="AD117" s="791"/>
      <c r="AE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Aman"),IF(includeprebc,S117="Pre-BC"),IF(includesunwell,S117="Sunwell"))),MAX($AE$102:AE116)+1,"")</f>
        <v/>
      </c>
      <c r="AF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Aman"),IF(includeprebc,$S117="Pre-BC"),IF(includesunwell,$S117="Sunwell"))),MAX($AF$1:AF116)+1,"")</f>
        <v/>
      </c>
      <c r="AG117" s="114"/>
      <c r="AK117" s="48">
        <v>115</v>
      </c>
      <c r="AL117" s="151" t="str">
        <f>IF('Gear &amp; Buffs'!$Y$47="Dagger",IF(ISNA(INDEX($A$2:$A$54,MATCH(AK117,AE$2:AE$54,0))),"",INDEX($A$2:$A$54,MATCH(AK117,AE$2:AE$54,0))),"")&amp;
IF('Gear &amp; Buffs'!$Y$47="Sword",IF(ISNA(INDEX($A$56:$A$100,MATCH(AK117,AE$56:AE$100,0))),"",INDEX($A$56:$A$100,MATCH(AK117,AE$56:AE$100,0))),"")&amp;
IF('Gear &amp; Buffs'!$Y$47="Fist",IF(ISNA(INDEX($A$102:$A$119,MATCH(AK117,AE$102:AE$119,0))),"",INDEX($A$102:$A$119,MATCH(AK117,AE$102:AE$119,0))),"")&amp;
IF('Gear &amp; Buffs'!$Y$47="Mace",IF(ISNA(INDEX($A$121:$A$148,MATCH(AK117,AE$121:AE$148,0))),"",INDEX($A$121:$A$148,MATCH(AK117,AE$121:AE$148,0))),"")&amp;
IF('Gear &amp; Buffs'!$Y$47="All",IF(ISNA(INDEX($A$2:$A$148,MATCH(AK117,AF$2:AF$148,0))),"",INDEX($A$2:$A$148,MATCH(AK117,AF$2:AF$148,0))),"")</f>
        <v/>
      </c>
    </row>
    <row r="118" spans="1:40">
      <c r="A118" s="10" t="s">
        <v>1883</v>
      </c>
      <c r="B118" s="116">
        <v>34893</v>
      </c>
      <c r="C118" s="116">
        <v>5</v>
      </c>
      <c r="D118" s="114"/>
      <c r="E118" s="114">
        <v>23</v>
      </c>
      <c r="F118" s="114">
        <v>44</v>
      </c>
      <c r="G118" s="115"/>
      <c r="H118" s="115"/>
      <c r="I118" s="848">
        <v>21</v>
      </c>
      <c r="J118" s="114"/>
      <c r="K118" s="116"/>
      <c r="L118" s="114"/>
      <c r="M118" s="116"/>
      <c r="N118" s="114"/>
      <c r="O118" s="116"/>
      <c r="P118" s="114"/>
      <c r="Q118" s="114" t="s">
        <v>1033</v>
      </c>
      <c r="R118" s="114"/>
      <c r="S118" s="114" t="s">
        <v>691</v>
      </c>
      <c r="T118" s="114">
        <v>180</v>
      </c>
      <c r="U118" s="116">
        <v>335</v>
      </c>
      <c r="V118" s="155">
        <f>(U118+T118)/2</f>
        <v>257.5</v>
      </c>
      <c r="W118" s="155">
        <v>2.5</v>
      </c>
      <c r="X118" s="124">
        <f>V118/W118</f>
        <v>103</v>
      </c>
      <c r="Y118" s="114" t="s">
        <v>6</v>
      </c>
      <c r="Z118" s="114"/>
      <c r="AA118" s="114"/>
      <c r="AB118" s="114"/>
      <c r="AC118" s="289"/>
      <c r="AD118" s="791"/>
      <c r="AE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Aman"),IF(includeprebc,S118="Pre-BC"),IF(includesunwell,S118="Sunwell"))),MAX($AE$102:AE117)+1,"")</f>
        <v/>
      </c>
      <c r="AF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Aman"),IF(includeprebc,$S118="Pre-BC"),IF(includesunwell,$S118="Sunwell"))),MAX($AF$1:AF117)+1,"")</f>
        <v/>
      </c>
      <c r="AG118" s="114"/>
      <c r="AK118" s="48">
        <v>116</v>
      </c>
      <c r="AL118" s="151" t="str">
        <f>IF('Gear &amp; Buffs'!$Y$47="Dagger",IF(ISNA(INDEX($A$2:$A$54,MATCH(AK118,AE$2:AE$54,0))),"",INDEX($A$2:$A$54,MATCH(AK118,AE$2:AE$54,0))),"")&amp;
IF('Gear &amp; Buffs'!$Y$47="Sword",IF(ISNA(INDEX($A$56:$A$100,MATCH(AK118,AE$56:AE$100,0))),"",INDEX($A$56:$A$100,MATCH(AK118,AE$56:AE$100,0))),"")&amp;
IF('Gear &amp; Buffs'!$Y$47="Fist",IF(ISNA(INDEX($A$102:$A$119,MATCH(AK118,AE$102:AE$119,0))),"",INDEX($A$102:$A$119,MATCH(AK118,AE$102:AE$119,0))),"")&amp;
IF('Gear &amp; Buffs'!$Y$47="Mace",IF(ISNA(INDEX($A$121:$A$148,MATCH(AK118,AE$121:AE$148,0))),"",INDEX($A$121:$A$148,MATCH(AK118,AE$121:AE$148,0))),"")&amp;
IF('Gear &amp; Buffs'!$Y$47="All",IF(ISNA(INDEX($A$2:$A$148,MATCH(AK118,AF$2:AF$148,0))),"",INDEX($A$2:$A$148,MATCH(AK118,AF$2:AF$148,0))),"")</f>
        <v/>
      </c>
    </row>
    <row r="119" spans="1:40">
      <c r="A119" s="10" t="str">
        <f>'Gear &amp; Buffs'!$B$149</f>
        <v>(Unmodeled MH Fist)</v>
      </c>
      <c r="B119" s="114"/>
      <c r="C119" s="114"/>
      <c r="D119" s="114">
        <f>'Gear &amp; Buffs'!$D$149</f>
        <v>0</v>
      </c>
      <c r="E119" s="114">
        <f>'Gear &amp; Buffs'!$E$149</f>
        <v>0</v>
      </c>
      <c r="F119" s="114">
        <f>'Gear &amp; Buffs'!$I$149</f>
        <v>0</v>
      </c>
      <c r="G119" s="115">
        <f>'Gear &amp; Buffs'!$G$149</f>
        <v>0</v>
      </c>
      <c r="H119" s="115">
        <f>'Gear &amp; Buffs'!$H$149</f>
        <v>0</v>
      </c>
      <c r="I119" s="115">
        <f>'Gear &amp; Buffs'!$P$149</f>
        <v>0</v>
      </c>
      <c r="J119" s="114">
        <f>'Gear &amp; Buffs'!$Q$149</f>
        <v>0</v>
      </c>
      <c r="K119" s="116">
        <f>'Gear &amp; Buffs'!$L$149</f>
        <v>0</v>
      </c>
      <c r="L119" s="114">
        <f>'Gear &amp; Buffs'!$F$149</f>
        <v>0</v>
      </c>
      <c r="M119" s="116">
        <f>'Gear &amp; Buffs'!$K$149</f>
        <v>0</v>
      </c>
      <c r="N119" s="114">
        <f>'Gear &amp; Buffs'!$J$149</f>
        <v>0</v>
      </c>
      <c r="O119" s="115">
        <f>'Gear &amp; Buffs'!M149</f>
        <v>0</v>
      </c>
      <c r="P119" s="114"/>
      <c r="Q119" s="114" t="str">
        <f>'Gear &amp; Buffs'!$R$149</f>
        <v>0 0 0</v>
      </c>
      <c r="R119" s="720">
        <f>'Gear &amp; Buffs'!$S$149</f>
        <v>0</v>
      </c>
      <c r="S119" s="114"/>
      <c r="T119" s="114">
        <f>'Gear &amp; Buffs'!$T$149</f>
        <v>1</v>
      </c>
      <c r="U119" s="116">
        <f>'Gear &amp; Buffs'!$U$149</f>
        <v>1</v>
      </c>
      <c r="V119" s="155">
        <f>(U119+T119)/2</f>
        <v>1</v>
      </c>
      <c r="W119" s="155">
        <f>'Gear &amp; Buffs'!$V$149</f>
        <v>2</v>
      </c>
      <c r="X119" s="124">
        <f>V119/W119</f>
        <v>0.5</v>
      </c>
      <c r="Y119" s="114" t="s">
        <v>6</v>
      </c>
      <c r="Z119" s="114"/>
      <c r="AA119" s="114"/>
      <c r="AB119" s="114"/>
      <c r="AC119" s="289"/>
      <c r="AD119" s="791"/>
      <c r="AE119" s="114">
        <f>MAX($AE$102:AE118)+1</f>
        <v>10</v>
      </c>
      <c r="AF119" s="114">
        <f>MAX(AF$1:AF118)+1</f>
        <v>69</v>
      </c>
      <c r="AG119" s="114"/>
      <c r="AK119" s="48">
        <v>117</v>
      </c>
      <c r="AL119" s="151" t="str">
        <f>IF('Gear &amp; Buffs'!$Y$47="Dagger",IF(ISNA(INDEX($A$2:$A$54,MATCH(AK119,AE$2:AE$54,0))),"",INDEX($A$2:$A$54,MATCH(AK119,AE$2:AE$54,0))),"")&amp;
IF('Gear &amp; Buffs'!$Y$47="Sword",IF(ISNA(INDEX($A$56:$A$100,MATCH(AK119,AE$56:AE$100,0))),"",INDEX($A$56:$A$100,MATCH(AK119,AE$56:AE$100,0))),"")&amp;
IF('Gear &amp; Buffs'!$Y$47="Fist",IF(ISNA(INDEX($A$102:$A$119,MATCH(AK119,AE$102:AE$119,0))),"",INDEX($A$102:$A$119,MATCH(AK119,AE$102:AE$119,0))),"")&amp;
IF('Gear &amp; Buffs'!$Y$47="Mace",IF(ISNA(INDEX($A$121:$A$148,MATCH(AK119,AE$121:AE$148,0))),"",INDEX($A$121:$A$148,MATCH(AK119,AE$121:AE$148,0))),"")&amp;
IF('Gear &amp; Buffs'!$Y$47="All",IF(ISNA(INDEX($A$2:$A$148,MATCH(AK119,AF$2:AF$148,0))),"",INDEX($A$2:$A$148,MATCH(AK119,AF$2:AF$148,0))),"")</f>
        <v/>
      </c>
    </row>
    <row r="120" spans="1:40">
      <c r="A120" s="827" t="str">
        <f>" "</f>
        <v xml:space="preserve"> </v>
      </c>
      <c r="B120" s="833"/>
      <c r="C120" s="833"/>
      <c r="D120" s="827"/>
      <c r="E120" s="827"/>
      <c r="F120" s="827"/>
      <c r="G120" s="827"/>
      <c r="H120" s="827"/>
      <c r="I120" s="834"/>
      <c r="J120" s="827"/>
      <c r="K120" s="833"/>
      <c r="L120" s="827"/>
      <c r="M120" s="833"/>
      <c r="N120" s="827"/>
      <c r="O120" s="833"/>
      <c r="P120" s="827"/>
      <c r="Q120" s="827" t="s">
        <v>1033</v>
      </c>
      <c r="R120" s="827"/>
      <c r="S120" s="827"/>
      <c r="T120" s="827"/>
      <c r="U120" s="833"/>
      <c r="V120" s="827"/>
      <c r="W120" s="827"/>
      <c r="X120" s="827"/>
      <c r="Y120" s="827"/>
      <c r="Z120" s="827"/>
      <c r="AA120" s="827"/>
      <c r="AB120" s="827"/>
      <c r="AC120" s="835"/>
      <c r="AD120" s="836"/>
      <c r="AE120" s="827" t="str">
        <f>IF(OR(IF(includeblacksmith,S120="Blacksmithing"),IF(includeleatherwork,S120="Leatherworking"),IF(includeengineer,S120="Engineering"),IF(includeboecrafted,S120="BoE Crafted"),IF(includeboe,S120="BoE"),IF(includepvp,S120="PvP"),IF(includequest,S120="Quest"),IF(includereputation,S120="Reputation"),IF(include5man,S120="5 Man"),IF(includeheroic,S120="Heroic"),IF(includekarahzan,S120="Karazhan"),IF(includedoomwalker,S120="Doomwalker"),IF(includekazzak,S120="Kazzak"),IF(includegruul,S120="Gruul's Lair"),IF(includemagtheridon,S120="Magtheridon"),IF(includessc,S120="SSC"),IF(includetheeye,S120="TK"),IF(includeblacktemple,S120="Black Temple"),IF(includemounthyjal,S120="Mount Hyjal"),IF(includeprebc,S120="Pre-BC")),MAX($AE$102:AE119)+1,"")</f>
        <v/>
      </c>
      <c r="AF120" s="114">
        <f>MAX(AF$1:AF119)+1</f>
        <v>70</v>
      </c>
      <c r="AG120" s="114"/>
      <c r="AK120" s="48">
        <v>118</v>
      </c>
      <c r="AL120" s="151" t="str">
        <f>IF('Gear &amp; Buffs'!$Y$47="Dagger",IF(ISNA(INDEX($A$2:$A$54,MATCH(AK120,AE$2:AE$54,0))),"",INDEX($A$2:$A$54,MATCH(AK120,AE$2:AE$54,0))),"")&amp;
IF('Gear &amp; Buffs'!$Y$47="Sword",IF(ISNA(INDEX($A$56:$A$100,MATCH(AK120,AE$56:AE$100,0))),"",INDEX($A$56:$A$100,MATCH(AK120,AE$56:AE$100,0))),"")&amp;
IF('Gear &amp; Buffs'!$Y$47="Fist",IF(ISNA(INDEX($A$102:$A$119,MATCH(AK120,AE$102:AE$119,0))),"",INDEX($A$102:$A$119,MATCH(AK120,AE$102:AE$119,0))),"")&amp;
IF('Gear &amp; Buffs'!$Y$47="Mace",IF(ISNA(INDEX($A$121:$A$148,MATCH(AK120,AE$121:AE$148,0))),"",INDEX($A$121:$A$148,MATCH(AK120,AE$121:AE$148,0))),"")&amp;
IF('Gear &amp; Buffs'!$Y$47="All",IF(ISNA(INDEX($A$2:$A$148,MATCH(AK120,AF$2:AF$148,0))),"",INDEX($A$2:$A$148,MATCH(AK120,AF$2:AF$148,0))),"")</f>
        <v/>
      </c>
    </row>
    <row r="121" spans="1:40" ht="12" thickBot="1">
      <c r="A121" s="837" t="s">
        <v>910</v>
      </c>
      <c r="B121" s="839"/>
      <c r="C121" s="839"/>
      <c r="D121" s="743"/>
      <c r="E121" s="743"/>
      <c r="F121" s="743"/>
      <c r="G121" s="838"/>
      <c r="H121" s="838"/>
      <c r="I121" s="838"/>
      <c r="J121" s="743"/>
      <c r="K121" s="839"/>
      <c r="L121" s="743"/>
      <c r="M121" s="839"/>
      <c r="N121" s="743"/>
      <c r="O121" s="839"/>
      <c r="P121" s="743"/>
      <c r="Q121" s="743" t="s">
        <v>1033</v>
      </c>
      <c r="R121" s="743"/>
      <c r="S121" s="743"/>
      <c r="T121" s="743"/>
      <c r="U121" s="839"/>
      <c r="V121" s="840"/>
      <c r="W121" s="743"/>
      <c r="X121" s="841"/>
      <c r="Y121" s="838"/>
      <c r="Z121" s="743"/>
      <c r="AA121" s="743"/>
      <c r="AB121" s="743"/>
      <c r="AC121" s="842"/>
      <c r="AD121" s="838"/>
      <c r="AE121" s="743">
        <v>1</v>
      </c>
      <c r="AF121" s="114">
        <f>MAX(AF$1:AF120)+1</f>
        <v>71</v>
      </c>
      <c r="AG121" s="114"/>
      <c r="AK121" s="48">
        <v>119</v>
      </c>
      <c r="AL121" s="151" t="str">
        <f>IF('Gear &amp; Buffs'!$Y$47="Dagger",IF(ISNA(INDEX($A$2:$A$54,MATCH(AK121,AE$2:AE$54,0))),"",INDEX($A$2:$A$54,MATCH(AK121,AE$2:AE$54,0))),"")&amp;
IF('Gear &amp; Buffs'!$Y$47="Sword",IF(ISNA(INDEX($A$56:$A$100,MATCH(AK121,AE$56:AE$100,0))),"",INDEX($A$56:$A$100,MATCH(AK121,AE$56:AE$100,0))),"")&amp;
IF('Gear &amp; Buffs'!$Y$47="Fist",IF(ISNA(INDEX($A$102:$A$119,MATCH(AK121,AE$102:AE$119,0))),"",INDEX($A$102:$A$119,MATCH(AK121,AE$102:AE$119,0))),"")&amp;
IF('Gear &amp; Buffs'!$Y$47="Mace",IF(ISNA(INDEX($A$121:$A$148,MATCH(AK121,AE$121:AE$148,0))),"",INDEX($A$121:$A$148,MATCH(AK121,AE$121:AE$148,0))),"")&amp;
IF('Gear &amp; Buffs'!$Y$47="All",IF(ISNA(INDEX($A$2:$A$148,MATCH(AK121,AF$2:AF$148,0))),"",INDEX($A$2:$A$148,MATCH(AK121,AF$2:AF$148,0))),"")</f>
        <v/>
      </c>
    </row>
    <row r="122" spans="1:40">
      <c r="A122" s="10" t="s">
        <v>1207</v>
      </c>
      <c r="B122" s="116">
        <v>32661</v>
      </c>
      <c r="C122" s="116">
        <v>3</v>
      </c>
      <c r="D122" s="114"/>
      <c r="E122" s="114"/>
      <c r="F122" s="114">
        <v>22</v>
      </c>
      <c r="G122" s="115">
        <v>20</v>
      </c>
      <c r="H122" s="115">
        <v>8</v>
      </c>
      <c r="I122" s="115"/>
      <c r="J122" s="114"/>
      <c r="K122" s="116"/>
      <c r="L122" s="114"/>
      <c r="M122" s="116"/>
      <c r="N122" s="114"/>
      <c r="O122" s="116"/>
      <c r="P122" s="114"/>
      <c r="Q122" s="114" t="s">
        <v>1033</v>
      </c>
      <c r="R122" s="114"/>
      <c r="S122" s="114" t="s">
        <v>674</v>
      </c>
      <c r="T122" s="114">
        <v>90</v>
      </c>
      <c r="U122" s="116">
        <v>168</v>
      </c>
      <c r="V122" s="155">
        <f t="shared" ref="V122:V146" si="12">(U122+T122)/2</f>
        <v>129</v>
      </c>
      <c r="W122" s="155">
        <v>1.8</v>
      </c>
      <c r="X122" s="124">
        <f t="shared" ref="X122:X146" si="13">V122/W122</f>
        <v>71.666666666666671</v>
      </c>
      <c r="Y122" s="115" t="s">
        <v>911</v>
      </c>
      <c r="Z122" s="114"/>
      <c r="AA122" s="114"/>
      <c r="AB122" s="114"/>
      <c r="AC122" s="10"/>
      <c r="AD122" s="115"/>
      <c r="AE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Aman"),IF(includeprebc,S122="Pre-BC"),IF(includesunwell,S122="Sunwell"))),MAX($AE$121:AE121)+1,"")</f>
        <v/>
      </c>
      <c r="AF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Aman"),IF(includeprebc,$S122="Pre-BC"),IF(includesunwell,$S122="Sunwell"))),MAX($AF$1:AF121)+1,"")</f>
        <v/>
      </c>
      <c r="AG122" s="114"/>
      <c r="AK122" s="48">
        <v>120</v>
      </c>
      <c r="AL122" s="151" t="str">
        <f>IF('Gear &amp; Buffs'!$Y$47="Dagger",IF(ISNA(INDEX($A$2:$A$54,MATCH(AK122,AE$2:AE$54,0))),"",INDEX($A$2:$A$54,MATCH(AK122,AE$2:AE$54,0))),"")&amp;
IF('Gear &amp; Buffs'!$Y$47="Sword",IF(ISNA(INDEX($A$56:$A$100,MATCH(AK122,AE$56:AE$100,0))),"",INDEX($A$56:$A$100,MATCH(AK122,AE$56:AE$100,0))),"")&amp;
IF('Gear &amp; Buffs'!$Y$47="Fist",IF(ISNA(INDEX($A$102:$A$119,MATCH(AK122,AE$102:AE$119,0))),"",INDEX($A$102:$A$119,MATCH(AK122,AE$102:AE$119,0))),"")&amp;
IF('Gear &amp; Buffs'!$Y$47="Mace",IF(ISNA(INDEX($A$121:$A$148,MATCH(AK122,AE$121:AE$148,0))),"",INDEX($A$121:$A$148,MATCH(AK122,AE$121:AE$148,0))),"")&amp;
IF('Gear &amp; Buffs'!$Y$47="All",IF(ISNA(INDEX($A$2:$A$148,MATCH(AK122,AF$2:AF$148,0))),"",INDEX($A$2:$A$148,MATCH(AK122,AF$2:AF$148,0))),"")</f>
        <v/>
      </c>
    </row>
    <row r="123" spans="1:40">
      <c r="A123" s="10" t="s">
        <v>1917</v>
      </c>
      <c r="B123" s="116">
        <v>27901</v>
      </c>
      <c r="C123" s="116">
        <v>1</v>
      </c>
      <c r="D123" s="114"/>
      <c r="E123" s="114"/>
      <c r="F123" s="114"/>
      <c r="G123" s="115"/>
      <c r="H123" s="115"/>
      <c r="I123" s="115">
        <f>132*itGenProc10sMH</f>
        <v>56.168188662844742</v>
      </c>
      <c r="J123" s="114"/>
      <c r="K123" s="116"/>
      <c r="L123" s="114"/>
      <c r="M123" s="116"/>
      <c r="N123" s="114"/>
      <c r="O123" s="116"/>
      <c r="P123" s="114"/>
      <c r="Q123" s="114" t="s">
        <v>1045</v>
      </c>
      <c r="R123" s="114" t="s">
        <v>1465</v>
      </c>
      <c r="S123" s="114" t="s">
        <v>673</v>
      </c>
      <c r="T123" s="114">
        <v>73</v>
      </c>
      <c r="U123" s="116">
        <v>136</v>
      </c>
      <c r="V123" s="155">
        <f t="shared" si="12"/>
        <v>104.5</v>
      </c>
      <c r="W123" s="155">
        <v>1.5</v>
      </c>
      <c r="X123" s="124">
        <f t="shared" si="13"/>
        <v>69.666666666666671</v>
      </c>
      <c r="Y123" s="115" t="s">
        <v>911</v>
      </c>
      <c r="Z123" s="114"/>
      <c r="AA123" s="114"/>
      <c r="AB123" s="114"/>
      <c r="AC123" s="10" t="s">
        <v>617</v>
      </c>
      <c r="AD123" s="115"/>
      <c r="AE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Aman"),IF(includeprebc,S123="Pre-BC"),IF(includesunwell,S123="Sunwell"))),MAX($AE$121:AE122)+1,"")</f>
        <v>2</v>
      </c>
      <c r="AF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Aman"),IF(includeprebc,$S123="Pre-BC"),IF(includesunwell,$S123="Sunwell"))),MAX($AF$1:AF122)+1,"")</f>
        <v>72</v>
      </c>
      <c r="AG123" s="114"/>
      <c r="AK123" s="48">
        <v>121</v>
      </c>
      <c r="AL123" s="151" t="str">
        <f>IF('Gear &amp; Buffs'!$Y$47="Dagger",IF(ISNA(INDEX($A$2:$A$54,MATCH(AK123,AE$2:AE$54,0))),"",INDEX($A$2:$A$54,MATCH(AK123,AE$2:AE$54,0))),"")&amp;
IF('Gear &amp; Buffs'!$Y$47="Sword",IF(ISNA(INDEX($A$56:$A$100,MATCH(AK123,AE$56:AE$100,0))),"",INDEX($A$56:$A$100,MATCH(AK123,AE$56:AE$100,0))),"")&amp;
IF('Gear &amp; Buffs'!$Y$47="Fist",IF(ISNA(INDEX($A$102:$A$119,MATCH(AK123,AE$102:AE$119,0))),"",INDEX($A$102:$A$119,MATCH(AK123,AE$102:AE$119,0))),"")&amp;
IF('Gear &amp; Buffs'!$Y$47="Mace",IF(ISNA(INDEX($A$121:$A$148,MATCH(AK123,AE$121:AE$148,0))),"",INDEX($A$121:$A$148,MATCH(AK123,AE$121:AE$148,0))),"")&amp;
IF('Gear &amp; Buffs'!$Y$47="All",IF(ISNA(INDEX($A$2:$A$148,MATCH(AK123,AF$2:AF$148,0))),"",INDEX($A$2:$A$148,MATCH(AK123,AF$2:AF$148,0))),"")</f>
        <v/>
      </c>
    </row>
    <row r="124" spans="1:40">
      <c r="A124" s="10" t="s">
        <v>912</v>
      </c>
      <c r="B124" s="116">
        <v>28210</v>
      </c>
      <c r="C124" s="116">
        <v>1</v>
      </c>
      <c r="D124" s="114"/>
      <c r="E124" s="114"/>
      <c r="F124" s="114">
        <v>22</v>
      </c>
      <c r="G124" s="115">
        <v>21</v>
      </c>
      <c r="H124" s="115"/>
      <c r="I124" s="115"/>
      <c r="J124" s="114"/>
      <c r="K124" s="116"/>
      <c r="L124" s="114">
        <v>12</v>
      </c>
      <c r="M124" s="116"/>
      <c r="N124" s="114"/>
      <c r="O124" s="116"/>
      <c r="P124" s="114"/>
      <c r="Q124" s="114" t="s">
        <v>1033</v>
      </c>
      <c r="R124" s="114"/>
      <c r="S124" s="114" t="s">
        <v>691</v>
      </c>
      <c r="T124" s="114">
        <v>130</v>
      </c>
      <c r="U124" s="116">
        <v>243</v>
      </c>
      <c r="V124" s="155">
        <f t="shared" si="12"/>
        <v>186.5</v>
      </c>
      <c r="W124" s="155">
        <v>2.6</v>
      </c>
      <c r="X124" s="124">
        <f t="shared" si="13"/>
        <v>71.730769230769226</v>
      </c>
      <c r="Y124" s="115" t="s">
        <v>911</v>
      </c>
      <c r="Z124" s="114"/>
      <c r="AA124" s="114"/>
      <c r="AB124" s="114"/>
      <c r="AC124" s="10"/>
      <c r="AD124" s="115"/>
      <c r="AE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Aman"),IF(includeprebc,S124="Pre-BC"),IF(includesunwell,S124="Sunwell"))),MAX($AE$121:AE123)+1,"")</f>
        <v>3</v>
      </c>
      <c r="AF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Aman"),IF(includeprebc,$S124="Pre-BC"),IF(includesunwell,$S124="Sunwell"))),MAX($AF$1:AF123)+1,"")</f>
        <v>73</v>
      </c>
      <c r="AG124" s="114"/>
      <c r="AK124" s="48">
        <v>122</v>
      </c>
      <c r="AL124" s="151" t="str">
        <f>IF('Gear &amp; Buffs'!$Y$47="Dagger",IF(ISNA(INDEX($A$2:$A$54,MATCH(AK124,AE$2:AE$54,0))),"",INDEX($A$2:$A$54,MATCH(AK124,AE$2:AE$54,0))),"")&amp;
IF('Gear &amp; Buffs'!$Y$47="Sword",IF(ISNA(INDEX($A$56:$A$100,MATCH(AK124,AE$56:AE$100,0))),"",INDEX($A$56:$A$100,MATCH(AK124,AE$56:AE$100,0))),"")&amp;
IF('Gear &amp; Buffs'!$Y$47="Fist",IF(ISNA(INDEX($A$102:$A$119,MATCH(AK124,AE$102:AE$119,0))),"",INDEX($A$102:$A$119,MATCH(AK124,AE$102:AE$119,0))),"")&amp;
IF('Gear &amp; Buffs'!$Y$47="Mace",IF(ISNA(INDEX($A$121:$A$148,MATCH(AK124,AE$121:AE$148,0))),"",INDEX($A$121:$A$148,MATCH(AK124,AE$121:AE$148,0))),"")&amp;
IF('Gear &amp; Buffs'!$Y$47="All",IF(ISNA(INDEX($A$2:$A$148,MATCH(AK124,AF$2:AF$148,0))),"",INDEX($A$2:$A$148,MATCH(AK124,AF$2:AF$148,0))),"")</f>
        <v/>
      </c>
    </row>
    <row r="125" spans="1:40">
      <c r="A125" s="10" t="s">
        <v>2000</v>
      </c>
      <c r="B125" s="116">
        <v>35071</v>
      </c>
      <c r="C125" s="116">
        <v>5</v>
      </c>
      <c r="D125" s="114"/>
      <c r="E125" s="114"/>
      <c r="F125" s="114">
        <v>38</v>
      </c>
      <c r="G125" s="115">
        <v>21</v>
      </c>
      <c r="H125" s="115">
        <v>9</v>
      </c>
      <c r="I125" s="847"/>
      <c r="J125" s="114">
        <v>49</v>
      </c>
      <c r="K125" s="116"/>
      <c r="L125" s="114">
        <v>31</v>
      </c>
      <c r="M125" s="116"/>
      <c r="N125" s="114">
        <v>12</v>
      </c>
      <c r="O125" s="116"/>
      <c r="P125" s="114"/>
      <c r="Q125" s="114" t="s">
        <v>1033</v>
      </c>
      <c r="R125" s="114"/>
      <c r="S125" s="114" t="s">
        <v>677</v>
      </c>
      <c r="T125" s="114">
        <v>196</v>
      </c>
      <c r="U125" s="116">
        <v>365</v>
      </c>
      <c r="V125" s="155">
        <f>(U125+T125)/2</f>
        <v>280.5</v>
      </c>
      <c r="W125" s="155">
        <v>2.6</v>
      </c>
      <c r="X125" s="124">
        <f>V125/W125</f>
        <v>107.88461538461539</v>
      </c>
      <c r="Y125" s="114" t="s">
        <v>911</v>
      </c>
      <c r="Z125" s="114"/>
      <c r="AA125" s="114"/>
      <c r="AB125" s="114"/>
      <c r="AC125" s="10"/>
      <c r="AD125" s="791"/>
      <c r="AE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Aman"),IF(includeprebc,S125="Pre-BC"),IF(includesunwell,S125="Sunwell"))),MAX($AE$121:AE124)+1,"")</f>
        <v/>
      </c>
      <c r="AF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Aman"),IF(includeprebc,$S125="Pre-BC"),IF(includesunwell,$S125="Sunwell"))),MAX($AF$1:AF124)+1,"")</f>
        <v/>
      </c>
      <c r="AG125" s="114"/>
      <c r="AK125" s="48">
        <v>123</v>
      </c>
      <c r="AL125" s="151" t="str">
        <f>IF('Gear &amp; Buffs'!$Y$47="Dagger",IF(ISNA(INDEX($A$2:$A$54,MATCH(AK125,AE$2:AE$54,0))),"",INDEX($A$2:$A$54,MATCH(AK125,AE$2:AE$54,0))),"")&amp;
IF('Gear &amp; Buffs'!$Y$47="Sword",IF(ISNA(INDEX($A$56:$A$100,MATCH(AK125,AE$56:AE$100,0))),"",INDEX($A$56:$A$100,MATCH(AK125,AE$56:AE$100,0))),"")&amp;
IF('Gear &amp; Buffs'!$Y$47="Fist",IF(ISNA(INDEX($A$102:$A$119,MATCH(AK125,AE$102:AE$119,0))),"",INDEX($A$102:$A$119,MATCH(AK125,AE$102:AE$119,0))),"")&amp;
IF('Gear &amp; Buffs'!$Y$47="Mace",IF(ISNA(INDEX($A$121:$A$148,MATCH(AK125,AE$121:AE$148,0))),"",INDEX($A$121:$A$148,MATCH(AK125,AE$121:AE$148,0))),"")&amp;
IF('Gear &amp; Buffs'!$Y$47="All",IF(ISNA(INDEX($A$2:$A$148,MATCH(AK125,AF$2:AF$148,0))),"",INDEX($A$2:$A$148,MATCH(AK125,AF$2:AF$148,0))),"")</f>
        <v/>
      </c>
    </row>
    <row r="126" spans="1:40">
      <c r="A126" s="10" t="s">
        <v>913</v>
      </c>
      <c r="B126" s="116">
        <v>28438</v>
      </c>
      <c r="C126" s="116">
        <v>1</v>
      </c>
      <c r="D126" s="114"/>
      <c r="E126" s="114"/>
      <c r="F126" s="114"/>
      <c r="G126" s="115"/>
      <c r="H126" s="115"/>
      <c r="I126" s="115">
        <f>212*itGenProc10sMH</f>
        <v>90.209515125174889</v>
      </c>
      <c r="J126" s="114"/>
      <c r="K126" s="116"/>
      <c r="L126" s="114">
        <v>9</v>
      </c>
      <c r="M126" s="116"/>
      <c r="N126" s="114"/>
      <c r="O126" s="116"/>
      <c r="P126" s="114"/>
      <c r="Q126" s="114" t="s">
        <v>1033</v>
      </c>
      <c r="R126" s="114"/>
      <c r="S126" s="114" t="s">
        <v>686</v>
      </c>
      <c r="T126" s="114">
        <v>172</v>
      </c>
      <c r="U126" s="116">
        <v>320</v>
      </c>
      <c r="V126" s="155">
        <f t="shared" si="12"/>
        <v>246</v>
      </c>
      <c r="W126" s="155">
        <v>2.7</v>
      </c>
      <c r="X126" s="124">
        <f t="shared" si="13"/>
        <v>91.1111111111111</v>
      </c>
      <c r="Y126" s="115" t="s">
        <v>911</v>
      </c>
      <c r="Z126" s="114"/>
      <c r="AA126" s="114"/>
      <c r="AB126" s="114"/>
      <c r="AC126" s="10" t="s">
        <v>1290</v>
      </c>
      <c r="AD126" s="115"/>
      <c r="AE126" s="114" t="str">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Aman"),IF(includeprebc,S126="Pre-BC"),IF(includesunwell,S126="Sunwell"))),MAX($AE$121:AE125)+1,"")</f>
        <v/>
      </c>
      <c r="AF126" s="114" t="str">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Aman"),IF(includeprebc,$S126="Pre-BC"),IF(includesunwell,$S126="Sunwell"))),MAX($AF$1:AF125)+1,"")</f>
        <v/>
      </c>
      <c r="AG126" s="114"/>
      <c r="AK126" s="48">
        <v>124</v>
      </c>
      <c r="AL126" s="151" t="str">
        <f>IF('Gear &amp; Buffs'!$Y$47="Dagger",IF(ISNA(INDEX($A$2:$A$54,MATCH(AK126,AE$2:AE$54,0))),"",INDEX($A$2:$A$54,MATCH(AK126,AE$2:AE$54,0))),"")&amp;
IF('Gear &amp; Buffs'!$Y$47="Sword",IF(ISNA(INDEX($A$56:$A$100,MATCH(AK126,AE$56:AE$100,0))),"",INDEX($A$56:$A$100,MATCH(AK126,AE$56:AE$100,0))),"")&amp;
IF('Gear &amp; Buffs'!$Y$47="Fist",IF(ISNA(INDEX($A$102:$A$119,MATCH(AK126,AE$102:AE$119,0))),"",INDEX($A$102:$A$119,MATCH(AK126,AE$102:AE$119,0))),"")&amp;
IF('Gear &amp; Buffs'!$Y$47="Mace",IF(ISNA(INDEX($A$121:$A$148,MATCH(AK126,AE$121:AE$148,0))),"",INDEX($A$121:$A$148,MATCH(AK126,AE$121:AE$148,0))),"")&amp;
IF('Gear &amp; Buffs'!$Y$47="All",IF(ISNA(INDEX($A$2:$A$148,MATCH(AK126,AF$2:AF$148,0))),"",INDEX($A$2:$A$148,MATCH(AK126,AF$2:AF$148,0))),"")</f>
        <v/>
      </c>
    </row>
    <row r="127" spans="1:40">
      <c r="A127" s="10" t="s">
        <v>914</v>
      </c>
      <c r="B127" s="116">
        <v>28439</v>
      </c>
      <c r="C127" s="116">
        <v>3</v>
      </c>
      <c r="D127" s="114"/>
      <c r="E127" s="114"/>
      <c r="F127" s="114"/>
      <c r="G127" s="115"/>
      <c r="H127" s="115"/>
      <c r="I127" s="115">
        <f>212*itGenProc10sMH</f>
        <v>90.209515125174889</v>
      </c>
      <c r="J127" s="114"/>
      <c r="K127" s="116"/>
      <c r="L127" s="114">
        <v>19</v>
      </c>
      <c r="M127" s="116"/>
      <c r="N127" s="114"/>
      <c r="O127" s="116"/>
      <c r="P127" s="114"/>
      <c r="Q127" s="114" t="s">
        <v>1033</v>
      </c>
      <c r="R127" s="114"/>
      <c r="S127" s="114" t="s">
        <v>686</v>
      </c>
      <c r="T127" s="114">
        <v>184</v>
      </c>
      <c r="U127" s="116">
        <v>343</v>
      </c>
      <c r="V127" s="155">
        <f t="shared" si="12"/>
        <v>263.5</v>
      </c>
      <c r="W127" s="155">
        <v>2.7</v>
      </c>
      <c r="X127" s="124">
        <f t="shared" si="13"/>
        <v>97.592592592592581</v>
      </c>
      <c r="Y127" s="115" t="s">
        <v>911</v>
      </c>
      <c r="Z127" s="114"/>
      <c r="AA127" s="114"/>
      <c r="AB127" s="114"/>
      <c r="AC127" s="10" t="s">
        <v>1290</v>
      </c>
      <c r="AD127" s="115"/>
      <c r="AE127" s="114" t="str">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Aman"),IF(includeprebc,S127="Pre-BC"),IF(includesunwell,S127="Sunwell"))),MAX($AE$121:AE126)+1,"")</f>
        <v/>
      </c>
      <c r="AF127" s="114" t="str">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Aman"),IF(includeprebc,$S127="Pre-BC"),IF(includesunwell,$S127="Sunwell"))),MAX($AF$1:AF126)+1,"")</f>
        <v/>
      </c>
      <c r="AG127" s="114"/>
      <c r="AK127" s="48">
        <v>125</v>
      </c>
      <c r="AL127" s="151" t="str">
        <f>IF('Gear &amp; Buffs'!$Y$47="Dagger",IF(ISNA(INDEX($A$2:$A$54,MATCH(AK127,AE$2:AE$54,0))),"",INDEX($A$2:$A$54,MATCH(AK127,AE$2:AE$54,0))),"")&amp;
IF('Gear &amp; Buffs'!$Y$47="Sword",IF(ISNA(INDEX($A$56:$A$100,MATCH(AK127,AE$56:AE$100,0))),"",INDEX($A$56:$A$100,MATCH(AK127,AE$56:AE$100,0))),"")&amp;
IF('Gear &amp; Buffs'!$Y$47="Fist",IF(ISNA(INDEX($A$102:$A$119,MATCH(AK127,AE$102:AE$119,0))),"",INDEX($A$102:$A$119,MATCH(AK127,AE$102:AE$119,0))),"")&amp;
IF('Gear &amp; Buffs'!$Y$47="Mace",IF(ISNA(INDEX($A$121:$A$148,MATCH(AK127,AE$121:AE$148,0))),"",INDEX($A$121:$A$148,MATCH(AK127,AE$121:AE$148,0))),"")&amp;
IF('Gear &amp; Buffs'!$Y$47="All",IF(ISNA(INDEX($A$2:$A$148,MATCH(AK127,AF$2:AF$148,0))),"",INDEX($A$2:$A$148,MATCH(AK127,AF$2:AF$148,0))),"")</f>
        <v/>
      </c>
      <c r="AN127" s="151"/>
    </row>
    <row r="128" spans="1:40">
      <c r="A128" s="10" t="s">
        <v>915</v>
      </c>
      <c r="B128" s="116">
        <v>28437</v>
      </c>
      <c r="C128" s="116">
        <v>1</v>
      </c>
      <c r="D128" s="114"/>
      <c r="E128" s="114"/>
      <c r="F128" s="114"/>
      <c r="G128" s="115"/>
      <c r="H128" s="115"/>
      <c r="I128" s="115">
        <f>212*itGenProc10sMH</f>
        <v>90.209515125174889</v>
      </c>
      <c r="J128" s="114"/>
      <c r="K128" s="116"/>
      <c r="L128" s="114"/>
      <c r="M128" s="116"/>
      <c r="N128" s="114"/>
      <c r="O128" s="116"/>
      <c r="P128" s="114"/>
      <c r="Q128" s="114" t="s">
        <v>1033</v>
      </c>
      <c r="R128" s="114"/>
      <c r="S128" s="114" t="s">
        <v>686</v>
      </c>
      <c r="T128" s="114">
        <v>159</v>
      </c>
      <c r="U128" s="116">
        <v>296</v>
      </c>
      <c r="V128" s="155">
        <f t="shared" si="12"/>
        <v>227.5</v>
      </c>
      <c r="W128" s="155">
        <v>2.7</v>
      </c>
      <c r="X128" s="124">
        <f t="shared" si="13"/>
        <v>84.259259259259252</v>
      </c>
      <c r="Y128" s="115" t="s">
        <v>911</v>
      </c>
      <c r="Z128" s="114"/>
      <c r="AA128" s="114"/>
      <c r="AB128" s="114"/>
      <c r="AC128" s="10" t="s">
        <v>1290</v>
      </c>
      <c r="AD128" s="115"/>
      <c r="AE128" s="114" t="str">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Aman"),IF(includeprebc,S128="Pre-BC"),IF(includesunwell,S128="Sunwell"))),MAX($AE$121:AE127)+1,"")</f>
        <v/>
      </c>
      <c r="AF128" s="114" t="str">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Aman"),IF(includeprebc,$S128="Pre-BC"),IF(includesunwell,$S128="Sunwell"))),MAX($AF$1:AF127)+1,"")</f>
        <v/>
      </c>
      <c r="AG128" s="114"/>
      <c r="AK128" s="48">
        <v>126</v>
      </c>
      <c r="AL128" s="151" t="str">
        <f>IF('Gear &amp; Buffs'!$Y$47="Dagger",IF(ISNA(INDEX($A$2:$A$54,MATCH(AK128,AE$2:AE$54,0))),"",INDEX($A$2:$A$54,MATCH(AK128,AE$2:AE$54,0))),"")&amp;
IF('Gear &amp; Buffs'!$Y$47="Sword",IF(ISNA(INDEX($A$56:$A$100,MATCH(AK128,AE$56:AE$100,0))),"",INDEX($A$56:$A$100,MATCH(AK128,AE$56:AE$100,0))),"")&amp;
IF('Gear &amp; Buffs'!$Y$47="Fist",IF(ISNA(INDEX($A$102:$A$119,MATCH(AK128,AE$102:AE$119,0))),"",INDEX($A$102:$A$119,MATCH(AK128,AE$102:AE$119,0))),"")&amp;
IF('Gear &amp; Buffs'!$Y$47="Mace",IF(ISNA(INDEX($A$121:$A$148,MATCH(AK128,AE$121:AE$148,0))),"",INDEX($A$121:$A$148,MATCH(AK128,AE$121:AE$148,0))),"")&amp;
IF('Gear &amp; Buffs'!$Y$47="All",IF(ISNA(INDEX($A$2:$A$148,MATCH(AK128,AF$2:AF$148,0))),"",INDEX($A$2:$A$148,MATCH(AK128,AF$2:AF$148,0))),"")</f>
        <v/>
      </c>
    </row>
    <row r="129" spans="1:42">
      <c r="A129" s="10" t="s">
        <v>231</v>
      </c>
      <c r="B129" s="116">
        <v>28657</v>
      </c>
      <c r="C129" s="116">
        <v>1</v>
      </c>
      <c r="D129" s="114"/>
      <c r="E129" s="114"/>
      <c r="F129" s="114">
        <v>30</v>
      </c>
      <c r="G129" s="115">
        <v>24</v>
      </c>
      <c r="H129" s="115"/>
      <c r="I129" s="847"/>
      <c r="J129" s="114"/>
      <c r="K129" s="116"/>
      <c r="L129" s="114"/>
      <c r="M129" s="116"/>
      <c r="N129" s="114"/>
      <c r="O129" s="116"/>
      <c r="P129" s="114"/>
      <c r="Q129" s="114" t="s">
        <v>1043</v>
      </c>
      <c r="R129" s="114" t="s">
        <v>1338</v>
      </c>
      <c r="S129" s="114" t="s">
        <v>672</v>
      </c>
      <c r="T129" s="114">
        <v>159</v>
      </c>
      <c r="U129" s="116">
        <v>296</v>
      </c>
      <c r="V129" s="155">
        <f t="shared" si="12"/>
        <v>227.5</v>
      </c>
      <c r="W129" s="155">
        <v>2.6</v>
      </c>
      <c r="X129" s="124">
        <f t="shared" si="13"/>
        <v>87.5</v>
      </c>
      <c r="Y129" s="114" t="s">
        <v>911</v>
      </c>
      <c r="Z129" s="114"/>
      <c r="AA129" s="114"/>
      <c r="AB129" s="114"/>
      <c r="AC129" s="10"/>
      <c r="AD129" s="791"/>
      <c r="AE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Aman"),IF(includeprebc,S129="Pre-BC"),IF(includesunwell,S129="Sunwell"))),MAX($AE$121:AE128)+1,"")</f>
        <v>4</v>
      </c>
      <c r="AF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Aman"),IF(includeprebc,$S129="Pre-BC"),IF(includesunwell,$S129="Sunwell"))),MAX($AF$1:AF128)+1,"")</f>
        <v>74</v>
      </c>
      <c r="AG129" s="114"/>
      <c r="AK129" s="48">
        <v>127</v>
      </c>
      <c r="AL129" s="151" t="str">
        <f>IF('Gear &amp; Buffs'!$Y$47="Dagger",IF(ISNA(INDEX($A$2:$A$54,MATCH(AK129,AE$2:AE$54,0))),"",INDEX($A$2:$A$54,MATCH(AK129,AE$2:AE$54,0))),"")&amp;
IF('Gear &amp; Buffs'!$Y$47="Sword",IF(ISNA(INDEX($A$56:$A$100,MATCH(AK129,AE$56:AE$100,0))),"",INDEX($A$56:$A$100,MATCH(AK129,AE$56:AE$100,0))),"")&amp;
IF('Gear &amp; Buffs'!$Y$47="Fist",IF(ISNA(INDEX($A$102:$A$119,MATCH(AK129,AE$102:AE$119,0))),"",INDEX($A$102:$A$119,MATCH(AK129,AE$102:AE$119,0))),"")&amp;
IF('Gear &amp; Buffs'!$Y$47="Mace",IF(ISNA(INDEX($A$121:$A$148,MATCH(AK129,AE$121:AE$148,0))),"",INDEX($A$121:$A$148,MATCH(AK129,AE$121:AE$148,0))),"")&amp;
IF('Gear &amp; Buffs'!$Y$47="All",IF(ISNA(INDEX($A$2:$A$148,MATCH(AK129,AF$2:AF$148,0))),"",INDEX($A$2:$A$148,MATCH(AK129,AF$2:AF$148,0))),"")</f>
        <v/>
      </c>
    </row>
    <row r="130" spans="1:42">
      <c r="A130" s="10" t="s">
        <v>232</v>
      </c>
      <c r="B130" s="116">
        <v>28305</v>
      </c>
      <c r="C130" s="116">
        <v>1</v>
      </c>
      <c r="D130" s="114"/>
      <c r="E130" s="114"/>
      <c r="F130" s="114">
        <v>28</v>
      </c>
      <c r="G130" s="115">
        <v>15</v>
      </c>
      <c r="H130" s="115">
        <v>9</v>
      </c>
      <c r="I130" s="847"/>
      <c r="J130" s="114"/>
      <c r="K130" s="116"/>
      <c r="L130" s="114">
        <v>21</v>
      </c>
      <c r="M130" s="116"/>
      <c r="N130" s="114">
        <v>10</v>
      </c>
      <c r="O130" s="116"/>
      <c r="P130" s="114"/>
      <c r="Q130" s="114" t="s">
        <v>1033</v>
      </c>
      <c r="R130" s="114"/>
      <c r="S130" s="114" t="s">
        <v>677</v>
      </c>
      <c r="T130" s="114">
        <v>189</v>
      </c>
      <c r="U130" s="116">
        <v>285</v>
      </c>
      <c r="V130" s="155">
        <f t="shared" si="12"/>
        <v>237</v>
      </c>
      <c r="W130" s="155">
        <v>2.6</v>
      </c>
      <c r="X130" s="124">
        <f t="shared" si="13"/>
        <v>91.153846153846146</v>
      </c>
      <c r="Y130" s="114" t="s">
        <v>911</v>
      </c>
      <c r="Z130" s="114"/>
      <c r="AA130" s="114"/>
      <c r="AB130" s="114"/>
      <c r="AC130" s="10"/>
      <c r="AD130" s="791"/>
      <c r="AE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Aman"),IF(includeprebc,S130="Pre-BC"),IF(includesunwell,S130="Sunwell"))),MAX($AE$121:AE129)+1,"")</f>
        <v>5</v>
      </c>
      <c r="AF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Aman"),IF(includeprebc,$S130="Pre-BC"),IF(includesunwell,$S130="Sunwell"))),MAX($AF$1:AF129)+1,"")</f>
        <v>75</v>
      </c>
      <c r="AG130" s="114"/>
      <c r="AK130" s="48">
        <v>128</v>
      </c>
      <c r="AL130" s="151" t="str">
        <f>IF('Gear &amp; Buffs'!$Y$47="Dagger",IF(ISNA(INDEX($A$2:$A$54,MATCH(AK130,AE$2:AE$54,0))),"",INDEX($A$2:$A$54,MATCH(AK130,AE$2:AE$54,0))),"")&amp;
IF('Gear &amp; Buffs'!$Y$47="Sword",IF(ISNA(INDEX($A$56:$A$100,MATCH(AK130,AE$56:AE$100,0))),"",INDEX($A$56:$A$100,MATCH(AK130,AE$56:AE$100,0))),"")&amp;
IF('Gear &amp; Buffs'!$Y$47="Fist",IF(ISNA(INDEX($A$102:$A$119,MATCH(AK130,AE$102:AE$119,0))),"",INDEX($A$102:$A$119,MATCH(AK130,AE$102:AE$119,0))),"")&amp;
IF('Gear &amp; Buffs'!$Y$47="Mace",IF(ISNA(INDEX($A$121:$A$148,MATCH(AK130,AE$121:AE$148,0))),"",INDEX($A$121:$A$148,MATCH(AK130,AE$121:AE$148,0))),"")&amp;
IF('Gear &amp; Buffs'!$Y$47="All",IF(ISNA(INDEX($A$2:$A$148,MATCH(AK130,AF$2:AF$148,0))),"",INDEX($A$2:$A$148,MATCH(AK130,AF$2:AF$148,0))),"")</f>
        <v/>
      </c>
    </row>
    <row r="131" spans="1:42">
      <c r="A131" s="10" t="s">
        <v>952</v>
      </c>
      <c r="B131" s="116">
        <v>28950</v>
      </c>
      <c r="C131" s="116">
        <v>1</v>
      </c>
      <c r="D131" s="114"/>
      <c r="E131" s="114"/>
      <c r="F131" s="114">
        <v>26</v>
      </c>
      <c r="G131" s="115">
        <v>13</v>
      </c>
      <c r="H131" s="115">
        <v>8</v>
      </c>
      <c r="I131" s="847"/>
      <c r="J131" s="114"/>
      <c r="K131" s="116"/>
      <c r="L131" s="114">
        <v>18</v>
      </c>
      <c r="M131" s="116"/>
      <c r="N131" s="114">
        <v>9</v>
      </c>
      <c r="O131" s="116"/>
      <c r="P131" s="114"/>
      <c r="Q131" s="114" t="s">
        <v>1033</v>
      </c>
      <c r="R131" s="114"/>
      <c r="S131" s="114" t="s">
        <v>677</v>
      </c>
      <c r="T131" s="114">
        <v>103</v>
      </c>
      <c r="U131" s="116">
        <v>155</v>
      </c>
      <c r="V131" s="155">
        <f t="shared" si="12"/>
        <v>129</v>
      </c>
      <c r="W131" s="155">
        <v>1.8</v>
      </c>
      <c r="X131" s="124">
        <f t="shared" si="13"/>
        <v>71.666666666666671</v>
      </c>
      <c r="Y131" s="114" t="s">
        <v>911</v>
      </c>
      <c r="Z131" s="114"/>
      <c r="AA131" s="114"/>
      <c r="AB131" s="114"/>
      <c r="AC131" s="10"/>
      <c r="AD131" s="791"/>
      <c r="AE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Aman"),IF(includeprebc,S131="Pre-BC"),IF(includesunwell,S131="Sunwell"))),MAX($AE$121:AE130)+1,"")</f>
        <v>6</v>
      </c>
      <c r="AF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Aman"),IF(includeprebc,$S131="Pre-BC"),IF(includesunwell,$S131="Sunwell"))),MAX($AF$1:AF130)+1,"")</f>
        <v>76</v>
      </c>
      <c r="AG131" s="114"/>
      <c r="AK131" s="48">
        <v>129</v>
      </c>
      <c r="AL131" s="151" t="str">
        <f>IF('Gear &amp; Buffs'!$Y$47="Dagger",IF(ISNA(INDEX($A$2:$A$54,MATCH(AK131,AE$2:AE$54,0))),"",INDEX($A$2:$A$54,MATCH(AK131,AE$2:AE$54,0))),"")&amp;
IF('Gear &amp; Buffs'!$Y$47="Sword",IF(ISNA(INDEX($A$56:$A$100,MATCH(AK131,AE$56:AE$100,0))),"",INDEX($A$56:$A$100,MATCH(AK131,AE$56:AE$100,0))),"")&amp;
IF('Gear &amp; Buffs'!$Y$47="Fist",IF(ISNA(INDEX($A$102:$A$119,MATCH(AK131,AE$102:AE$119,0))),"",INDEX($A$102:$A$119,MATCH(AK131,AE$102:AE$119,0))),"")&amp;
IF('Gear &amp; Buffs'!$Y$47="Mace",IF(ISNA(INDEX($A$121:$A$148,MATCH(AK131,AE$121:AE$148,0))),"",INDEX($A$121:$A$148,MATCH(AK131,AE$121:AE$148,0))),"")&amp;
IF('Gear &amp; Buffs'!$Y$47="All",IF(ISNA(INDEX($A$2:$A$148,MATCH(AK131,AF$2:AF$148,0))),"",INDEX($A$2:$A$148,MATCH(AK131,AF$2:AF$148,0))),"")</f>
        <v/>
      </c>
    </row>
    <row r="132" spans="1:42">
      <c r="A132" s="10" t="s">
        <v>953</v>
      </c>
      <c r="B132" s="116">
        <v>28951</v>
      </c>
      <c r="C132" s="116">
        <v>1</v>
      </c>
      <c r="D132" s="114"/>
      <c r="E132" s="114"/>
      <c r="F132" s="114">
        <v>26</v>
      </c>
      <c r="G132" s="115">
        <v>13</v>
      </c>
      <c r="H132" s="115">
        <v>8</v>
      </c>
      <c r="I132" s="847"/>
      <c r="J132" s="114"/>
      <c r="K132" s="116"/>
      <c r="L132" s="114">
        <v>18</v>
      </c>
      <c r="M132" s="116"/>
      <c r="N132" s="114">
        <v>9</v>
      </c>
      <c r="O132" s="116"/>
      <c r="P132" s="114"/>
      <c r="Q132" s="114" t="s">
        <v>1033</v>
      </c>
      <c r="R132" s="114"/>
      <c r="S132" s="114" t="s">
        <v>677</v>
      </c>
      <c r="T132" s="114">
        <v>149</v>
      </c>
      <c r="U132" s="116">
        <v>224</v>
      </c>
      <c r="V132" s="155">
        <f t="shared" si="12"/>
        <v>186.5</v>
      </c>
      <c r="W132" s="155">
        <v>2.6</v>
      </c>
      <c r="X132" s="124">
        <f t="shared" si="13"/>
        <v>71.730769230769226</v>
      </c>
      <c r="Y132" s="114" t="s">
        <v>911</v>
      </c>
      <c r="Z132" s="114"/>
      <c r="AA132" s="114"/>
      <c r="AB132" s="114"/>
      <c r="AC132" s="10"/>
      <c r="AD132" s="791"/>
      <c r="AE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Aman"),IF(includeprebc,S132="Pre-BC"),IF(includesunwell,S132="Sunwell"))),MAX($AE$121:AE131)+1,"")</f>
        <v>7</v>
      </c>
      <c r="AF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Aman"),IF(includeprebc,$S132="Pre-BC"),IF(includesunwell,$S132="Sunwell"))),MAX($AF$1:AF131)+1,"")</f>
        <v>77</v>
      </c>
      <c r="AG132" s="114"/>
      <c r="AK132" s="48">
        <v>130</v>
      </c>
      <c r="AL132" s="151" t="str">
        <f>IF('Gear &amp; Buffs'!$Y$47="Dagger",IF(ISNA(INDEX($A$2:$A$54,MATCH(AK132,AE$2:AE$54,0))),"",INDEX($A$2:$A$54,MATCH(AK132,AE$2:AE$54,0))),"")&amp;
IF('Gear &amp; Buffs'!$Y$47="Sword",IF(ISNA(INDEX($A$56:$A$100,MATCH(AK132,AE$56:AE$100,0))),"",INDEX($A$56:$A$100,MATCH(AK132,AE$56:AE$100,0))),"")&amp;
IF('Gear &amp; Buffs'!$Y$47="Fist",IF(ISNA(INDEX($A$102:$A$119,MATCH(AK132,AE$102:AE$119,0))),"",INDEX($A$102:$A$119,MATCH(AK132,AE$102:AE$119,0))),"")&amp;
IF('Gear &amp; Buffs'!$Y$47="Mace",IF(ISNA(INDEX($A$121:$A$148,MATCH(AK132,AE$121:AE$148,0))),"",INDEX($A$121:$A$148,MATCH(AK132,AE$121:AE$148,0))),"")&amp;
IF('Gear &amp; Buffs'!$Y$47="All",IF(ISNA(INDEX($A$2:$A$148,MATCH(AK132,AF$2:AF$148,0))),"",INDEX($A$2:$A$148,MATCH(AK132,AF$2:AF$148,0))),"")</f>
        <v/>
      </c>
    </row>
    <row r="133" spans="1:42">
      <c r="A133" s="10" t="s">
        <v>954</v>
      </c>
      <c r="B133" s="116">
        <v>28924</v>
      </c>
      <c r="C133" s="116">
        <v>1</v>
      </c>
      <c r="D133" s="114"/>
      <c r="E133" s="114"/>
      <c r="F133" s="114">
        <v>26</v>
      </c>
      <c r="G133" s="115">
        <v>13</v>
      </c>
      <c r="H133" s="115">
        <v>8</v>
      </c>
      <c r="I133" s="847"/>
      <c r="J133" s="114"/>
      <c r="K133" s="116"/>
      <c r="L133" s="114">
        <v>18</v>
      </c>
      <c r="M133" s="116"/>
      <c r="N133" s="114">
        <v>9</v>
      </c>
      <c r="O133" s="116"/>
      <c r="P133" s="114"/>
      <c r="Q133" s="114" t="s">
        <v>1033</v>
      </c>
      <c r="R133" s="114"/>
      <c r="S133" s="114" t="s">
        <v>677</v>
      </c>
      <c r="T133" s="114">
        <v>103</v>
      </c>
      <c r="U133" s="116">
        <v>155</v>
      </c>
      <c r="V133" s="155">
        <f t="shared" si="12"/>
        <v>129</v>
      </c>
      <c r="W133" s="155">
        <v>1.8</v>
      </c>
      <c r="X133" s="124">
        <f t="shared" si="13"/>
        <v>71.666666666666671</v>
      </c>
      <c r="Y133" s="114" t="s">
        <v>911</v>
      </c>
      <c r="Z133" s="114"/>
      <c r="AA133" s="114"/>
      <c r="AB133" s="114"/>
      <c r="AC133" s="10"/>
      <c r="AD133" s="791"/>
      <c r="AE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Aman"),IF(includeprebc,S133="Pre-BC"),IF(includesunwell,S133="Sunwell"))),MAX($AE$121:AE132)+1,"")</f>
        <v>8</v>
      </c>
      <c r="AF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Aman"),IF(includeprebc,$S133="Pre-BC"),IF(includesunwell,$S133="Sunwell"))),MAX($AF$1:AF132)+1,"")</f>
        <v>78</v>
      </c>
      <c r="AG133" s="114"/>
      <c r="AK133" s="48">
        <v>131</v>
      </c>
      <c r="AL133" s="151" t="str">
        <f>IF('Gear &amp; Buffs'!$Y$47="Dagger",IF(ISNA(INDEX($A$2:$A$54,MATCH(AK133,AE$2:AE$54,0))),"",INDEX($A$2:$A$54,MATCH(AK133,AE$2:AE$54,0))),"")&amp;
IF('Gear &amp; Buffs'!$Y$47="Sword",IF(ISNA(INDEX($A$56:$A$100,MATCH(AK133,AE$56:AE$100,0))),"",INDEX($A$56:$A$100,MATCH(AK133,AE$56:AE$100,0))),"")&amp;
IF('Gear &amp; Buffs'!$Y$47="Fist",IF(ISNA(INDEX($A$102:$A$119,MATCH(AK133,AE$102:AE$119,0))),"",INDEX($A$102:$A$119,MATCH(AK133,AE$102:AE$119,0))),"")&amp;
IF('Gear &amp; Buffs'!$Y$47="Mace",IF(ISNA(INDEX($A$121:$A$148,MATCH(AK133,AE$121:AE$148,0))),"",INDEX($A$121:$A$148,MATCH(AK133,AE$121:AE$148,0))),"")&amp;
IF('Gear &amp; Buffs'!$Y$47="All",IF(ISNA(INDEX($A$2:$A$148,MATCH(AK133,AF$2:AF$148,0))),"",INDEX($A$2:$A$148,MATCH(AK133,AF$2:AF$148,0))),"")</f>
        <v/>
      </c>
    </row>
    <row r="134" spans="1:42">
      <c r="A134" s="10" t="s">
        <v>855</v>
      </c>
      <c r="B134" s="116">
        <v>28925</v>
      </c>
      <c r="C134" s="116">
        <v>1</v>
      </c>
      <c r="D134" s="114"/>
      <c r="E134" s="114"/>
      <c r="F134" s="114">
        <v>26</v>
      </c>
      <c r="G134" s="115">
        <v>13</v>
      </c>
      <c r="H134" s="115">
        <v>8</v>
      </c>
      <c r="I134" s="847"/>
      <c r="J134" s="114"/>
      <c r="K134" s="116"/>
      <c r="L134" s="114">
        <v>18</v>
      </c>
      <c r="M134" s="116"/>
      <c r="N134" s="114">
        <v>9</v>
      </c>
      <c r="O134" s="116"/>
      <c r="P134" s="114"/>
      <c r="Q134" s="114" t="s">
        <v>1033</v>
      </c>
      <c r="R134" s="114"/>
      <c r="S134" s="114" t="s">
        <v>677</v>
      </c>
      <c r="T134" s="114">
        <v>149</v>
      </c>
      <c r="U134" s="116">
        <v>224</v>
      </c>
      <c r="V134" s="155">
        <f t="shared" si="12"/>
        <v>186.5</v>
      </c>
      <c r="W134" s="155">
        <v>2.6</v>
      </c>
      <c r="X134" s="124">
        <f t="shared" si="13"/>
        <v>71.730769230769226</v>
      </c>
      <c r="Y134" s="114" t="s">
        <v>911</v>
      </c>
      <c r="Z134" s="114"/>
      <c r="AA134" s="114"/>
      <c r="AB134" s="114"/>
      <c r="AC134" s="10"/>
      <c r="AD134" s="791"/>
      <c r="AE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Aman"),IF(includeprebc,S134="Pre-BC"),IF(includesunwell,S134="Sunwell"))),MAX($AE$121:AE133)+1,"")</f>
        <v>9</v>
      </c>
      <c r="AF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Aman"),IF(includeprebc,$S134="Pre-BC"),IF(includesunwell,$S134="Sunwell"))),MAX($AF$1:AF133)+1,"")</f>
        <v>79</v>
      </c>
      <c r="AG134" s="114"/>
      <c r="AK134" s="48">
        <v>132</v>
      </c>
      <c r="AL134" s="151" t="str">
        <f>IF('Gear &amp; Buffs'!$Y$47="Dagger",IF(ISNA(INDEX($A$2:$A$54,MATCH(AK134,AE$2:AE$54,0))),"",INDEX($A$2:$A$54,MATCH(AK134,AE$2:AE$54,0))),"")&amp;
IF('Gear &amp; Buffs'!$Y$47="Sword",IF(ISNA(INDEX($A$56:$A$100,MATCH(AK134,AE$56:AE$100,0))),"",INDEX($A$56:$A$100,MATCH(AK134,AE$56:AE$100,0))),"")&amp;
IF('Gear &amp; Buffs'!$Y$47="Fist",IF(ISNA(INDEX($A$102:$A$119,MATCH(AK134,AE$102:AE$119,0))),"",INDEX($A$102:$A$119,MATCH(AK134,AE$102:AE$119,0))),"")&amp;
IF('Gear &amp; Buffs'!$Y$47="Mace",IF(ISNA(INDEX($A$121:$A$148,MATCH(AK134,AE$121:AE$148,0))),"",INDEX($A$121:$A$148,MATCH(AK134,AE$121:AE$148,0))),"")&amp;
IF('Gear &amp; Buffs'!$Y$47="All",IF(ISNA(INDEX($A$2:$A$148,MATCH(AK134,AF$2:AF$148,0))),"",INDEX($A$2:$A$148,MATCH(AK134,AF$2:AF$148,0))),"")</f>
        <v/>
      </c>
    </row>
    <row r="135" spans="1:42">
      <c r="A135" s="10" t="s">
        <v>618</v>
      </c>
      <c r="B135" s="116">
        <v>30058</v>
      </c>
      <c r="C135" s="116">
        <v>2</v>
      </c>
      <c r="D135" s="114"/>
      <c r="E135" s="114"/>
      <c r="F135" s="114"/>
      <c r="G135" s="115"/>
      <c r="H135" s="115"/>
      <c r="I135" s="847"/>
      <c r="J135" s="114"/>
      <c r="K135" s="116">
        <v>14</v>
      </c>
      <c r="L135" s="114">
        <v>34</v>
      </c>
      <c r="M135" s="116"/>
      <c r="N135" s="114"/>
      <c r="O135" s="116">
        <v>16</v>
      </c>
      <c r="P135" s="114"/>
      <c r="Q135" s="114" t="s">
        <v>1033</v>
      </c>
      <c r="R135" s="114"/>
      <c r="S135" s="114" t="s">
        <v>667</v>
      </c>
      <c r="T135" s="114">
        <v>115</v>
      </c>
      <c r="U135" s="116">
        <v>214</v>
      </c>
      <c r="V135" s="155">
        <f t="shared" si="12"/>
        <v>164.5</v>
      </c>
      <c r="W135" s="155">
        <v>1.7</v>
      </c>
      <c r="X135" s="124">
        <f t="shared" si="13"/>
        <v>96.764705882352942</v>
      </c>
      <c r="Y135" s="114" t="s">
        <v>911</v>
      </c>
      <c r="Z135" s="114"/>
      <c r="AA135" s="114"/>
      <c r="AB135" s="114"/>
      <c r="AC135" s="10"/>
      <c r="AD135" s="791"/>
      <c r="AE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Aman"),IF(includeprebc,S135="Pre-BC"),IF(includesunwell,S135="Sunwell"))),MAX($AE$121:AE134)+1,"")</f>
        <v/>
      </c>
      <c r="AF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Aman"),IF(includeprebc,$S135="Pre-BC"),IF(includesunwell,$S135="Sunwell"))),MAX($AF$1:AF134)+1,"")</f>
        <v/>
      </c>
      <c r="AG135" s="114"/>
      <c r="AK135" s="48">
        <v>133</v>
      </c>
      <c r="AL135" s="151" t="str">
        <f>IF('Gear &amp; Buffs'!$Y$47="Dagger",IF(ISNA(INDEX($A$2:$A$54,MATCH(AK135,AE$2:AE$54,0))),"",INDEX($A$2:$A$54,MATCH(AK135,AE$2:AE$54,0))),"")&amp;
IF('Gear &amp; Buffs'!$Y$47="Sword",IF(ISNA(INDEX($A$56:$A$100,MATCH(AK135,AE$56:AE$100,0))),"",INDEX($A$56:$A$100,MATCH(AK135,AE$56:AE$100,0))),"")&amp;
IF('Gear &amp; Buffs'!$Y$47="Fist",IF(ISNA(INDEX($A$102:$A$119,MATCH(AK135,AE$102:AE$119,0))),"",INDEX($A$102:$A$119,MATCH(AK135,AE$102:AE$119,0))),"")&amp;
IF('Gear &amp; Buffs'!$Y$47="Mace",IF(ISNA(INDEX($A$121:$A$148,MATCH(AK135,AE$121:AE$148,0))),"",INDEX($A$121:$A$148,MATCH(AK135,AE$121:AE$148,0))),"")&amp;
IF('Gear &amp; Buffs'!$Y$47="All",IF(ISNA(INDEX($A$2:$A$148,MATCH(AK135,AF$2:AF$148,0))),"",INDEX($A$2:$A$148,MATCH(AK135,AF$2:AF$148,0))),"")</f>
        <v/>
      </c>
    </row>
    <row r="136" spans="1:42">
      <c r="A136" s="10" t="s">
        <v>233</v>
      </c>
      <c r="B136" s="116">
        <v>32026</v>
      </c>
      <c r="C136" s="116">
        <v>2</v>
      </c>
      <c r="D136" s="114"/>
      <c r="E136" s="114"/>
      <c r="F136" s="114">
        <v>30</v>
      </c>
      <c r="G136" s="115">
        <v>19</v>
      </c>
      <c r="H136" s="115">
        <v>10</v>
      </c>
      <c r="I136" s="115"/>
      <c r="J136" s="114"/>
      <c r="K136" s="116"/>
      <c r="L136" s="114">
        <v>27</v>
      </c>
      <c r="M136" s="114"/>
      <c r="N136" s="114">
        <v>12</v>
      </c>
      <c r="O136" s="116"/>
      <c r="P136" s="114"/>
      <c r="Q136" s="114" t="s">
        <v>1033</v>
      </c>
      <c r="R136" s="114"/>
      <c r="S136" s="114" t="s">
        <v>677</v>
      </c>
      <c r="T136" s="115">
        <v>177</v>
      </c>
      <c r="U136" s="114">
        <v>330</v>
      </c>
      <c r="V136" s="155">
        <f t="shared" si="12"/>
        <v>253.5</v>
      </c>
      <c r="W136" s="155">
        <v>2.6</v>
      </c>
      <c r="X136" s="124">
        <f t="shared" si="13"/>
        <v>97.5</v>
      </c>
      <c r="Y136" s="114" t="s">
        <v>911</v>
      </c>
      <c r="Z136" s="114"/>
      <c r="AA136" s="114"/>
      <c r="AB136" s="114"/>
      <c r="AC136" s="10"/>
      <c r="AD136" s="116"/>
      <c r="AE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Aman"),IF(includeprebc,S136="Pre-BC"),IF(includesunwell,S136="Sunwell"))),MAX($AE$121:AE135)+1,"")</f>
        <v/>
      </c>
      <c r="AF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Aman"),IF(includeprebc,$S136="Pre-BC"),IF(includesunwell,$S136="Sunwell"))),MAX($AF$1:AF135)+1,"")</f>
        <v/>
      </c>
      <c r="AG136" s="114"/>
      <c r="AK136" s="48">
        <v>134</v>
      </c>
      <c r="AL136" s="151" t="str">
        <f>IF('Gear &amp; Buffs'!$Y$47="Dagger",IF(ISNA(INDEX($A$2:$A$54,MATCH(AK136,AE$2:AE$54,0))),"",INDEX($A$2:$A$54,MATCH(AK136,AE$2:AE$54,0))),"")&amp;
IF('Gear &amp; Buffs'!$Y$47="Sword",IF(ISNA(INDEX($A$56:$A$100,MATCH(AK136,AE$56:AE$100,0))),"",INDEX($A$56:$A$100,MATCH(AK136,AE$56:AE$100,0))),"")&amp;
IF('Gear &amp; Buffs'!$Y$47="Fist",IF(ISNA(INDEX($A$102:$A$119,MATCH(AK136,AE$102:AE$119,0))),"",INDEX($A$102:$A$119,MATCH(AK136,AE$102:AE$119,0))),"")&amp;
IF('Gear &amp; Buffs'!$Y$47="Mace",IF(ISNA(INDEX($A$121:$A$148,MATCH(AK136,AE$121:AE$148,0))),"",INDEX($A$121:$A$148,MATCH(AK136,AE$121:AE$148,0))),"")&amp;
IF('Gear &amp; Buffs'!$Y$47="All",IF(ISNA(INDEX($A$2:$A$148,MATCH(AK136,AF$2:AF$148,0))),"",INDEX($A$2:$A$148,MATCH(AK136,AF$2:AF$148,0))),"")</f>
        <v/>
      </c>
    </row>
    <row r="137" spans="1:42">
      <c r="A137" s="10" t="s">
        <v>813</v>
      </c>
      <c r="B137" s="116">
        <v>29996</v>
      </c>
      <c r="C137" s="116">
        <v>2</v>
      </c>
      <c r="D137" s="114"/>
      <c r="E137" s="114"/>
      <c r="F137" s="114">
        <v>52</v>
      </c>
      <c r="G137" s="115"/>
      <c r="H137" s="115"/>
      <c r="I137" s="115"/>
      <c r="J137" s="114"/>
      <c r="K137" s="116"/>
      <c r="L137" s="114"/>
      <c r="M137" s="116"/>
      <c r="N137" s="114"/>
      <c r="O137" s="116"/>
      <c r="P137" s="114"/>
      <c r="Q137" s="114" t="s">
        <v>1033</v>
      </c>
      <c r="R137" s="114"/>
      <c r="S137" s="114" t="s">
        <v>680</v>
      </c>
      <c r="T137" s="114">
        <v>189</v>
      </c>
      <c r="U137" s="116">
        <v>352</v>
      </c>
      <c r="V137" s="155">
        <f t="shared" si="12"/>
        <v>270.5</v>
      </c>
      <c r="W137" s="155">
        <v>2.7</v>
      </c>
      <c r="X137" s="124">
        <f t="shared" si="13"/>
        <v>100.18518518518518</v>
      </c>
      <c r="Y137" s="115" t="s">
        <v>911</v>
      </c>
      <c r="Z137" s="114"/>
      <c r="AA137" s="114"/>
      <c r="AB137" s="114"/>
      <c r="AC137" s="10" t="s">
        <v>615</v>
      </c>
      <c r="AD137" s="115"/>
      <c r="AE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Aman"),IF(includeprebc,S137="Pre-BC"),IF(includesunwell,S137="Sunwell"))),MAX($AE$121:AE136)+1,"")</f>
        <v/>
      </c>
      <c r="AF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Aman"),IF(includeprebc,$S137="Pre-BC"),IF(includesunwell,$S137="Sunwell"))),MAX($AF$1:AF136)+1,"")</f>
        <v/>
      </c>
      <c r="AG137" s="114"/>
      <c r="AK137" s="48">
        <v>135</v>
      </c>
      <c r="AL137" s="151" t="str">
        <f>IF('Gear &amp; Buffs'!$Y$47="Dagger",IF(ISNA(INDEX($A$2:$A$54,MATCH(AK137,AE$2:AE$54,0))),"",INDEX($A$2:$A$54,MATCH(AK137,AE$2:AE$54,0))),"")&amp;
IF('Gear &amp; Buffs'!$Y$47="Sword",IF(ISNA(INDEX($A$56:$A$100,MATCH(AK137,AE$56:AE$100,0))),"",INDEX($A$56:$A$100,MATCH(AK137,AE$56:AE$100,0))),"")&amp;
IF('Gear &amp; Buffs'!$Y$47="Fist",IF(ISNA(INDEX($A$102:$A$119,MATCH(AK137,AE$102:AE$119,0))),"",INDEX($A$102:$A$119,MATCH(AK137,AE$102:AE$119,0))),"")&amp;
IF('Gear &amp; Buffs'!$Y$47="Mace",IF(ISNA(INDEX($A$121:$A$148,MATCH(AK137,AE$121:AE$148,0))),"",INDEX($A$121:$A$148,MATCH(AK137,AE$121:AE$148,0))),"")&amp;
IF('Gear &amp; Buffs'!$Y$47="All",IF(ISNA(INDEX($A$2:$A$148,MATCH(AK137,AF$2:AF$148,0))),"",INDEX($A$2:$A$148,MATCH(AK137,AF$2:AF$148,0))),"")</f>
        <v/>
      </c>
    </row>
    <row r="138" spans="1:42">
      <c r="A138" s="10" t="s">
        <v>234</v>
      </c>
      <c r="B138" s="116">
        <v>23544</v>
      </c>
      <c r="C138" s="116">
        <v>1</v>
      </c>
      <c r="D138" s="114"/>
      <c r="E138" s="114"/>
      <c r="F138" s="114">
        <v>50</v>
      </c>
      <c r="G138" s="115"/>
      <c r="H138" s="115"/>
      <c r="I138" s="847"/>
      <c r="J138" s="114"/>
      <c r="K138" s="116"/>
      <c r="L138" s="114">
        <v>16</v>
      </c>
      <c r="M138" s="116"/>
      <c r="N138" s="114"/>
      <c r="O138" s="116"/>
      <c r="P138" s="114"/>
      <c r="Q138" s="114" t="s">
        <v>1033</v>
      </c>
      <c r="R138" s="114"/>
      <c r="S138" s="114" t="s">
        <v>685</v>
      </c>
      <c r="T138" s="114">
        <v>140</v>
      </c>
      <c r="U138" s="116">
        <v>261</v>
      </c>
      <c r="V138" s="155">
        <f t="shared" si="12"/>
        <v>200.5</v>
      </c>
      <c r="W138" s="155">
        <v>2.4</v>
      </c>
      <c r="X138" s="124">
        <f t="shared" si="13"/>
        <v>83.541666666666671</v>
      </c>
      <c r="Y138" s="114" t="s">
        <v>911</v>
      </c>
      <c r="Z138" s="114"/>
      <c r="AA138" s="114"/>
      <c r="AB138" s="114"/>
      <c r="AC138" s="10"/>
      <c r="AD138" s="791"/>
      <c r="AE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Aman"),IF(includeprebc,S138="Pre-BC"),IF(includesunwell,S138="Sunwell"))),MAX($AE$121:AE137)+1,"")</f>
        <v>10</v>
      </c>
      <c r="AF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Aman"),IF(includeprebc,$S138="Pre-BC"),IF(includesunwell,$S138="Sunwell"))),MAX($AF$1:AF137)+1,"")</f>
        <v>80</v>
      </c>
      <c r="AG138" s="114"/>
      <c r="AK138" s="48">
        <v>136</v>
      </c>
      <c r="AL138" s="151" t="str">
        <f>IF('Gear &amp; Buffs'!$Y$47="Dagger",IF(ISNA(INDEX($A$2:$A$54,MATCH(AK138,AE$2:AE$54,0))),"",INDEX($A$2:$A$54,MATCH(AK138,AE$2:AE$54,0))),"")&amp;
IF('Gear &amp; Buffs'!$Y$47="Sword",IF(ISNA(INDEX($A$56:$A$100,MATCH(AK138,AE$56:AE$100,0))),"",INDEX($A$56:$A$100,MATCH(AK138,AE$56:AE$100,0))),"")&amp;
IF('Gear &amp; Buffs'!$Y$47="Fist",IF(ISNA(INDEX($A$102:$A$119,MATCH(AK138,AE$102:AE$119,0))),"",INDEX($A$102:$A$119,MATCH(AK138,AE$102:AE$119,0))),"")&amp;
IF('Gear &amp; Buffs'!$Y$47="Mace",IF(ISNA(INDEX($A$121:$A$148,MATCH(AK138,AE$121:AE$148,0))),"",INDEX($A$121:$A$148,MATCH(AK138,AE$121:AE$148,0))),"")&amp;
IF('Gear &amp; Buffs'!$Y$47="All",IF(ISNA(INDEX($A$2:$A$148,MATCH(AK138,AF$2:AF$148,0))),"",INDEX($A$2:$A$148,MATCH(AK138,AF$2:AF$148,0))),"")</f>
        <v/>
      </c>
    </row>
    <row r="139" spans="1:42">
      <c r="A139" s="10" t="s">
        <v>1627</v>
      </c>
      <c r="B139" s="116">
        <v>32943</v>
      </c>
      <c r="C139" s="116">
        <v>3</v>
      </c>
      <c r="D139" s="114"/>
      <c r="E139" s="114"/>
      <c r="F139" s="114">
        <v>40</v>
      </c>
      <c r="G139" s="115"/>
      <c r="H139" s="115">
        <v>19</v>
      </c>
      <c r="I139" s="115">
        <v>27</v>
      </c>
      <c r="J139" s="114"/>
      <c r="K139" s="116"/>
      <c r="L139" s="114"/>
      <c r="M139" s="116"/>
      <c r="N139" s="114"/>
      <c r="O139" s="116"/>
      <c r="P139" s="114"/>
      <c r="Q139" s="114" t="s">
        <v>1033</v>
      </c>
      <c r="R139" s="114"/>
      <c r="S139" s="114" t="s">
        <v>683</v>
      </c>
      <c r="T139" s="114">
        <v>105</v>
      </c>
      <c r="U139" s="116">
        <v>196</v>
      </c>
      <c r="V139" s="155">
        <f t="shared" si="12"/>
        <v>150.5</v>
      </c>
      <c r="W139" s="155">
        <v>1.5</v>
      </c>
      <c r="X139" s="124">
        <f t="shared" si="13"/>
        <v>100.33333333333333</v>
      </c>
      <c r="Y139" s="114" t="s">
        <v>911</v>
      </c>
      <c r="Z139" s="114"/>
      <c r="AA139" s="114"/>
      <c r="AB139" s="114"/>
      <c r="AC139" s="10"/>
      <c r="AD139" s="791"/>
      <c r="AE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Aman"),IF(includeprebc,S139="Pre-BC"),IF(includesunwell,S139="Sunwell"))),MAX($AE$121:AE138)+1,"")</f>
        <v/>
      </c>
      <c r="AF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Aman"),IF(includeprebc,$S139="Pre-BC"),IF(includesunwell,$S139="Sunwell"))),MAX($AF$1:AF138)+1,"")</f>
        <v/>
      </c>
      <c r="AG139" s="114"/>
      <c r="AK139" s="48">
        <v>137</v>
      </c>
      <c r="AL139" s="151" t="str">
        <f>IF('Gear &amp; Buffs'!$Y$47="Dagger",IF(ISNA(INDEX($A$2:$A$54,MATCH(AK139,AE$2:AE$54,0))),"",INDEX($A$2:$A$54,MATCH(AK139,AE$2:AE$54,0))),"")&amp;
IF('Gear &amp; Buffs'!$Y$47="Sword",IF(ISNA(INDEX($A$56:$A$100,MATCH(AK139,AE$56:AE$100,0))),"",INDEX($A$56:$A$100,MATCH(AK139,AE$56:AE$100,0))),"")&amp;
IF('Gear &amp; Buffs'!$Y$47="Fist",IF(ISNA(INDEX($A$102:$A$119,MATCH(AK139,AE$102:AE$119,0))),"",INDEX($A$102:$A$119,MATCH(AK139,AE$102:AE$119,0))),"")&amp;
IF('Gear &amp; Buffs'!$Y$47="Mace",IF(ISNA(INDEX($A$121:$A$148,MATCH(AK139,AE$121:AE$148,0))),"",INDEX($A$121:$A$148,MATCH(AK139,AE$121:AE$148,0))),"")&amp;
IF('Gear &amp; Buffs'!$Y$47="All",IF(ISNA(INDEX($A$2:$A$148,MATCH(AK139,AF$2:AF$148,0))),"",INDEX($A$2:$A$148,MATCH(AK139,AF$2:AF$148,0))),"")</f>
        <v/>
      </c>
    </row>
    <row r="140" spans="1:42">
      <c r="A140" s="10" t="s">
        <v>529</v>
      </c>
      <c r="B140" s="116">
        <v>32262</v>
      </c>
      <c r="C140" s="116">
        <v>3</v>
      </c>
      <c r="D140" s="114"/>
      <c r="E140" s="114"/>
      <c r="F140" s="114">
        <v>50</v>
      </c>
      <c r="G140" s="115"/>
      <c r="H140" s="115"/>
      <c r="I140" s="847"/>
      <c r="J140" s="114"/>
      <c r="K140" s="116"/>
      <c r="L140" s="114"/>
      <c r="M140" s="116"/>
      <c r="N140" s="114"/>
      <c r="O140" s="116"/>
      <c r="P140" s="114"/>
      <c r="Q140" s="114" t="s">
        <v>1033</v>
      </c>
      <c r="R140" s="114"/>
      <c r="S140" s="114" t="s">
        <v>683</v>
      </c>
      <c r="T140" s="114">
        <v>196</v>
      </c>
      <c r="U140" s="116">
        <v>365</v>
      </c>
      <c r="V140" s="155">
        <f t="shared" si="12"/>
        <v>280.5</v>
      </c>
      <c r="W140" s="155">
        <v>2.8</v>
      </c>
      <c r="X140" s="124">
        <f t="shared" si="13"/>
        <v>100.17857142857143</v>
      </c>
      <c r="Y140" s="114" t="s">
        <v>911</v>
      </c>
      <c r="Z140" s="114"/>
      <c r="AA140" s="114"/>
      <c r="AB140" s="114"/>
      <c r="AC140" s="10" t="s">
        <v>616</v>
      </c>
      <c r="AD140" s="791"/>
      <c r="AE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Aman"),IF(includeprebc,S140="Pre-BC"),IF(includesunwell,S140="Sunwell"))),MAX($AE$121:AE139)+1,"")</f>
        <v/>
      </c>
      <c r="AF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Aman"),IF(includeprebc,$S140="Pre-BC"),IF(includesunwell,$S140="Sunwell"))),MAX($AF$1:AF139)+1,"")</f>
        <v/>
      </c>
      <c r="AG140" s="114"/>
      <c r="AK140" s="48">
        <v>138</v>
      </c>
      <c r="AL140" s="151" t="str">
        <f>IF('Gear &amp; Buffs'!$Y$47="Dagger",IF(ISNA(INDEX($A$2:$A$54,MATCH(AK140,AE$2:AE$54,0))),"",INDEX($A$2:$A$54,MATCH(AK140,AE$2:AE$54,0))),"")&amp;
IF('Gear &amp; Buffs'!$Y$47="Sword",IF(ISNA(INDEX($A$56:$A$100,MATCH(AK140,AE$56:AE$100,0))),"",INDEX($A$56:$A$100,MATCH(AK140,AE$56:AE$100,0))),"")&amp;
IF('Gear &amp; Buffs'!$Y$47="Fist",IF(ISNA(INDEX($A$102:$A$119,MATCH(AK140,AE$102:AE$119,0))),"",INDEX($A$102:$A$119,MATCH(AK140,AE$102:AE$119,0))),"")&amp;
IF('Gear &amp; Buffs'!$Y$47="Mace",IF(ISNA(INDEX($A$121:$A$148,MATCH(AK140,AE$121:AE$148,0))),"",INDEX($A$121:$A$148,MATCH(AK140,AE$121:AE$148,0))),"")&amp;
IF('Gear &amp; Buffs'!$Y$47="All",IF(ISNA(INDEX($A$2:$A$148,MATCH(AK140,AF$2:AF$148,0))),"",INDEX($A$2:$A$148,MATCH(AK140,AF$2:AF$148,0))),"")</f>
        <v/>
      </c>
      <c r="AM140" s="114"/>
      <c r="AN140" s="114"/>
      <c r="AO140" s="114"/>
    </row>
    <row r="141" spans="1:42">
      <c r="A141" s="10" t="s">
        <v>1233</v>
      </c>
      <c r="B141" s="116">
        <v>32536</v>
      </c>
      <c r="C141" s="116">
        <v>3</v>
      </c>
      <c r="D141" s="114"/>
      <c r="E141" s="114">
        <v>14</v>
      </c>
      <c r="F141" s="114">
        <v>28</v>
      </c>
      <c r="G141" s="115"/>
      <c r="H141" s="115"/>
      <c r="I141" s="847"/>
      <c r="J141" s="114"/>
      <c r="K141" s="116"/>
      <c r="L141" s="114">
        <v>21</v>
      </c>
      <c r="M141" s="116"/>
      <c r="N141" s="114"/>
      <c r="O141" s="116"/>
      <c r="P141" s="114"/>
      <c r="Q141" s="114" t="s">
        <v>1033</v>
      </c>
      <c r="R141" s="114"/>
      <c r="S141" s="114" t="s">
        <v>675</v>
      </c>
      <c r="T141" s="114">
        <v>125</v>
      </c>
      <c r="U141" s="116">
        <v>233</v>
      </c>
      <c r="V141" s="155">
        <f t="shared" si="12"/>
        <v>179</v>
      </c>
      <c r="W141" s="155">
        <v>2.5</v>
      </c>
      <c r="X141" s="124">
        <f t="shared" si="13"/>
        <v>71.599999999999994</v>
      </c>
      <c r="Y141" s="114" t="s">
        <v>911</v>
      </c>
      <c r="Z141" s="114"/>
      <c r="AA141" s="114"/>
      <c r="AB141" s="114"/>
      <c r="AC141" s="10"/>
      <c r="AD141" s="791"/>
      <c r="AE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Aman"),IF(includeprebc,S141="Pre-BC"),IF(includesunwell,S141="Sunwell"))),MAX($AE$121:AE140)+1,"")</f>
        <v/>
      </c>
      <c r="AF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Aman"),IF(includeprebc,$S141="Pre-BC"),IF(includesunwell,$S141="Sunwell"))),MAX($AF$1:AF140)+1,"")</f>
        <v/>
      </c>
      <c r="AG141" s="114"/>
      <c r="AK141" s="48">
        <v>139</v>
      </c>
      <c r="AL141" s="151" t="str">
        <f>IF('Gear &amp; Buffs'!$Y$47="Dagger",IF(ISNA(INDEX($A$2:$A$54,MATCH(AK141,AE$2:AE$54,0))),"",INDEX($A$2:$A$54,MATCH(AK141,AE$2:AE$54,0))),"")&amp;
IF('Gear &amp; Buffs'!$Y$47="Sword",IF(ISNA(INDEX($A$56:$A$100,MATCH(AK141,AE$56:AE$100,0))),"",INDEX($A$56:$A$100,MATCH(AK141,AE$56:AE$100,0))),"")&amp;
IF('Gear &amp; Buffs'!$Y$47="Fist",IF(ISNA(INDEX($A$102:$A$119,MATCH(AK141,AE$102:AE$119,0))),"",INDEX($A$102:$A$119,MATCH(AK141,AE$102:AE$119,0))),"")&amp;
IF('Gear &amp; Buffs'!$Y$47="Mace",IF(ISNA(INDEX($A$121:$A$148,MATCH(AK141,AE$121:AE$148,0))),"",INDEX($A$121:$A$148,MATCH(AK141,AE$121:AE$148,0))),"")&amp;
IF('Gear &amp; Buffs'!$Y$47="All",IF(ISNA(INDEX($A$2:$A$148,MATCH(AK141,AF$2:AF$148,0))),"",INDEX($A$2:$A$148,MATCH(AK141,AF$2:AF$148,0))),"")</f>
        <v/>
      </c>
      <c r="AP141" s="114"/>
    </row>
    <row r="142" spans="1:42">
      <c r="A142" s="10" t="s">
        <v>1234</v>
      </c>
      <c r="B142" s="116">
        <v>32536</v>
      </c>
      <c r="C142" s="116">
        <v>3</v>
      </c>
      <c r="D142" s="114">
        <v>14</v>
      </c>
      <c r="E142" s="114">
        <v>14</v>
      </c>
      <c r="F142" s="114"/>
      <c r="G142" s="115"/>
      <c r="H142" s="115"/>
      <c r="I142" s="847"/>
      <c r="J142" s="114"/>
      <c r="K142" s="116"/>
      <c r="L142" s="114">
        <v>21</v>
      </c>
      <c r="M142" s="116"/>
      <c r="N142" s="114"/>
      <c r="O142" s="116"/>
      <c r="P142" s="114"/>
      <c r="Q142" s="114" t="s">
        <v>1033</v>
      </c>
      <c r="R142" s="114"/>
      <c r="S142" s="114" t="s">
        <v>675</v>
      </c>
      <c r="T142" s="114">
        <v>125</v>
      </c>
      <c r="U142" s="116">
        <v>233</v>
      </c>
      <c r="V142" s="155">
        <f t="shared" si="12"/>
        <v>179</v>
      </c>
      <c r="W142" s="155">
        <v>2.5</v>
      </c>
      <c r="X142" s="124">
        <f t="shared" si="13"/>
        <v>71.599999999999994</v>
      </c>
      <c r="Y142" s="114" t="s">
        <v>911</v>
      </c>
      <c r="Z142" s="114"/>
      <c r="AA142" s="114"/>
      <c r="AB142" s="114"/>
      <c r="AC142" s="10"/>
      <c r="AD142" s="791"/>
      <c r="AE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Aman"),IF(includeprebc,S142="Pre-BC"),IF(includesunwell,S142="Sunwell"))),MAX($AE$121:AE141)+1,"")</f>
        <v/>
      </c>
      <c r="AF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Aman"),IF(includeprebc,$S142="Pre-BC"),IF(includesunwell,$S142="Sunwell"))),MAX($AF$1:AF141)+1,"")</f>
        <v/>
      </c>
      <c r="AG142" s="114"/>
      <c r="AK142" s="48">
        <v>140</v>
      </c>
      <c r="AL142" s="151" t="str">
        <f>IF('Gear &amp; Buffs'!$Y$47="Dagger",IF(ISNA(INDEX($A$2:$A$54,MATCH(AK142,AE$2:AE$54,0))),"",INDEX($A$2:$A$54,MATCH(AK142,AE$2:AE$54,0))),"")&amp;
IF('Gear &amp; Buffs'!$Y$47="Sword",IF(ISNA(INDEX($A$56:$A$100,MATCH(AK142,AE$56:AE$100,0))),"",INDEX($A$56:$A$100,MATCH(AK142,AE$56:AE$100,0))),"")&amp;
IF('Gear &amp; Buffs'!$Y$47="Fist",IF(ISNA(INDEX($A$102:$A$119,MATCH(AK142,AE$102:AE$119,0))),"",INDEX($A$102:$A$119,MATCH(AK142,AE$102:AE$119,0))),"")&amp;
IF('Gear &amp; Buffs'!$Y$47="Mace",IF(ISNA(INDEX($A$121:$A$148,MATCH(AK142,AE$121:AE$148,0))),"",INDEX($A$121:$A$148,MATCH(AK142,AE$121:AE$148,0))),"")&amp;
IF('Gear &amp; Buffs'!$Y$47="All",IF(ISNA(INDEX($A$2:$A$148,MATCH(AK142,AF$2:AF$148,0))),"",INDEX($A$2:$A$148,MATCH(AK142,AF$2:AF$148,0))),"")</f>
        <v/>
      </c>
    </row>
    <row r="143" spans="1:42">
      <c r="A143" s="10" t="s">
        <v>1235</v>
      </c>
      <c r="B143" s="116">
        <v>32536</v>
      </c>
      <c r="C143" s="116">
        <v>3</v>
      </c>
      <c r="D143" s="114">
        <v>14</v>
      </c>
      <c r="E143" s="114"/>
      <c r="F143" s="114"/>
      <c r="G143" s="115"/>
      <c r="H143" s="115"/>
      <c r="I143" s="847"/>
      <c r="J143" s="114"/>
      <c r="K143" s="116"/>
      <c r="L143" s="114">
        <v>21</v>
      </c>
      <c r="M143" s="116"/>
      <c r="N143" s="114"/>
      <c r="O143" s="116">
        <v>14</v>
      </c>
      <c r="P143" s="114"/>
      <c r="Q143" s="114" t="s">
        <v>1033</v>
      </c>
      <c r="R143" s="114"/>
      <c r="S143" s="114" t="s">
        <v>675</v>
      </c>
      <c r="T143" s="114">
        <v>125</v>
      </c>
      <c r="U143" s="116">
        <v>233</v>
      </c>
      <c r="V143" s="155">
        <f t="shared" si="12"/>
        <v>179</v>
      </c>
      <c r="W143" s="155">
        <v>2.5</v>
      </c>
      <c r="X143" s="124">
        <f t="shared" si="13"/>
        <v>71.599999999999994</v>
      </c>
      <c r="Y143" s="114" t="s">
        <v>911</v>
      </c>
      <c r="Z143" s="114"/>
      <c r="AA143" s="114"/>
      <c r="AB143" s="114"/>
      <c r="AC143" s="10"/>
      <c r="AD143" s="791"/>
      <c r="AE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Aman"),IF(includeprebc,S143="Pre-BC"),IF(includesunwell,S143="Sunwell"))),MAX($AE$121:AE142)+1,"")</f>
        <v/>
      </c>
      <c r="AF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Aman"),IF(includeprebc,$S143="Pre-BC"),IF(includesunwell,$S143="Sunwell"))),MAX($AF$1:AF142)+1,"")</f>
        <v/>
      </c>
      <c r="AG143" s="114"/>
      <c r="AK143" s="48">
        <v>141</v>
      </c>
      <c r="AL143" s="151" t="str">
        <f>IF('Gear &amp; Buffs'!$Y$47="Dagger",IF(ISNA(INDEX($A$2:$A$54,MATCH(AK143,AE$2:AE$54,0))),"",INDEX($A$2:$A$54,MATCH(AK143,AE$2:AE$54,0))),"")&amp;
IF('Gear &amp; Buffs'!$Y$47="Sword",IF(ISNA(INDEX($A$56:$A$100,MATCH(AK143,AE$56:AE$100,0))),"",INDEX($A$56:$A$100,MATCH(AK143,AE$56:AE$100,0))),"")&amp;
IF('Gear &amp; Buffs'!$Y$47="Fist",IF(ISNA(INDEX($A$102:$A$119,MATCH(AK143,AE$102:AE$119,0))),"",INDEX($A$102:$A$119,MATCH(AK143,AE$102:AE$119,0))),"")&amp;
IF('Gear &amp; Buffs'!$Y$47="Mace",IF(ISNA(INDEX($A$121:$A$148,MATCH(AK143,AE$121:AE$148,0))),"",INDEX($A$121:$A$148,MATCH(AK143,AE$121:AE$148,0))),"")&amp;
IF('Gear &amp; Buffs'!$Y$47="All",IF(ISNA(INDEX($A$2:$A$148,MATCH(AK143,AF$2:AF$148,0))),"",INDEX($A$2:$A$148,MATCH(AK143,AF$2:AF$148,0))),"")</f>
        <v/>
      </c>
    </row>
    <row r="144" spans="1:42">
      <c r="A144" s="10" t="s">
        <v>1236</v>
      </c>
      <c r="B144" s="116">
        <v>32536</v>
      </c>
      <c r="C144" s="116">
        <v>3</v>
      </c>
      <c r="D144" s="114">
        <v>14</v>
      </c>
      <c r="E144" s="114"/>
      <c r="F144" s="114"/>
      <c r="G144" s="115">
        <v>14</v>
      </c>
      <c r="H144" s="115"/>
      <c r="I144" s="847"/>
      <c r="J144" s="114"/>
      <c r="K144" s="116"/>
      <c r="L144" s="114">
        <v>21</v>
      </c>
      <c r="M144" s="116"/>
      <c r="N144" s="114"/>
      <c r="O144" s="116"/>
      <c r="P144" s="114"/>
      <c r="Q144" s="114" t="s">
        <v>1033</v>
      </c>
      <c r="R144" s="114"/>
      <c r="S144" s="114" t="s">
        <v>675</v>
      </c>
      <c r="T144" s="114">
        <v>125</v>
      </c>
      <c r="U144" s="116">
        <v>233</v>
      </c>
      <c r="V144" s="155">
        <f t="shared" si="12"/>
        <v>179</v>
      </c>
      <c r="W144" s="155">
        <v>2.5</v>
      </c>
      <c r="X144" s="124">
        <f t="shared" si="13"/>
        <v>71.599999999999994</v>
      </c>
      <c r="Y144" s="114" t="s">
        <v>911</v>
      </c>
      <c r="Z144" s="114"/>
      <c r="AA144" s="114"/>
      <c r="AB144" s="114"/>
      <c r="AC144" s="10"/>
      <c r="AD144" s="791"/>
      <c r="AE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Aman"),IF(includeprebc,S144="Pre-BC"),IF(includesunwell,S144="Sunwell"))),MAX($AE$121:AE143)+1,"")</f>
        <v/>
      </c>
      <c r="AF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Aman"),IF(includeprebc,$S144="Pre-BC"),IF(includesunwell,$S144="Sunwell"))),MAX($AF$1:AF143)+1,"")</f>
        <v/>
      </c>
      <c r="AG144" s="114"/>
      <c r="AH144" s="154"/>
      <c r="AK144" s="48">
        <v>142</v>
      </c>
      <c r="AL144" s="151" t="str">
        <f>IF('Gear &amp; Buffs'!$Y$47="Dagger",IF(ISNA(INDEX($A$2:$A$54,MATCH(AK144,AE$2:AE$54,0))),"",INDEX($A$2:$A$54,MATCH(AK144,AE$2:AE$54,0))),"")&amp;
IF('Gear &amp; Buffs'!$Y$47="Sword",IF(ISNA(INDEX($A$56:$A$100,MATCH(AK144,AE$56:AE$100,0))),"",INDEX($A$56:$A$100,MATCH(AK144,AE$56:AE$100,0))),"")&amp;
IF('Gear &amp; Buffs'!$Y$47="Fist",IF(ISNA(INDEX($A$102:$A$119,MATCH(AK144,AE$102:AE$119,0))),"",INDEX($A$102:$A$119,MATCH(AK144,AE$102:AE$119,0))),"")&amp;
IF('Gear &amp; Buffs'!$Y$47="Mace",IF(ISNA(INDEX($A$121:$A$148,MATCH(AK144,AE$121:AE$148,0))),"",INDEX($A$121:$A$148,MATCH(AK144,AE$121:AE$148,0))),"")&amp;
IF('Gear &amp; Buffs'!$Y$47="All",IF(ISNA(INDEX($A$2:$A$148,MATCH(AK144,AF$2:AF$148,0))),"",INDEX($A$2:$A$148,MATCH(AK144,AF$2:AF$148,0))),"")</f>
        <v/>
      </c>
    </row>
    <row r="145" spans="1:48">
      <c r="A145" s="10" t="s">
        <v>235</v>
      </c>
      <c r="B145" s="116">
        <v>27980</v>
      </c>
      <c r="C145" s="116">
        <v>1</v>
      </c>
      <c r="D145" s="114"/>
      <c r="E145" s="114"/>
      <c r="F145" s="114"/>
      <c r="G145" s="115"/>
      <c r="H145" s="115"/>
      <c r="I145" s="847"/>
      <c r="J145" s="114"/>
      <c r="K145" s="116">
        <v>19</v>
      </c>
      <c r="L145" s="114">
        <v>25</v>
      </c>
      <c r="M145" s="116"/>
      <c r="N145" s="114"/>
      <c r="O145" s="116"/>
      <c r="P145" s="114"/>
      <c r="Q145" s="114" t="s">
        <v>1033</v>
      </c>
      <c r="R145" s="114"/>
      <c r="S145" s="114" t="s">
        <v>673</v>
      </c>
      <c r="T145" s="114">
        <v>100</v>
      </c>
      <c r="U145" s="116">
        <v>187</v>
      </c>
      <c r="V145" s="155">
        <f t="shared" si="12"/>
        <v>143.5</v>
      </c>
      <c r="W145" s="155">
        <v>2</v>
      </c>
      <c r="X145" s="124">
        <f t="shared" si="13"/>
        <v>71.75</v>
      </c>
      <c r="Y145" s="114" t="s">
        <v>911</v>
      </c>
      <c r="Z145" s="114"/>
      <c r="AA145" s="114"/>
      <c r="AB145" s="114"/>
      <c r="AC145" s="10"/>
      <c r="AD145" s="791"/>
      <c r="AE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Aman"),IF(includeprebc,S145="Pre-BC"),IF(includesunwell,S145="Sunwell"))),MAX($AE$121:AE144)+1,"")</f>
        <v>11</v>
      </c>
      <c r="AF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Aman"),IF(includeprebc,$S145="Pre-BC"),IF(includesunwell,$S145="Sunwell"))),MAX($AF$1:AF144)+1,"")</f>
        <v>81</v>
      </c>
      <c r="AG145" s="114"/>
      <c r="AK145" s="48">
        <v>143</v>
      </c>
      <c r="AL145" s="151" t="str">
        <f>IF('Gear &amp; Buffs'!$Y$47="Dagger",IF(ISNA(INDEX($A$2:$A$54,MATCH(AK145,AE$2:AE$54,0))),"",INDEX($A$2:$A$54,MATCH(AK145,AE$2:AE$54,0))),"")&amp;
IF('Gear &amp; Buffs'!$Y$47="Sword",IF(ISNA(INDEX($A$56:$A$100,MATCH(AK145,AE$56:AE$100,0))),"",INDEX($A$56:$A$100,MATCH(AK145,AE$56:AE$100,0))),"")&amp;
IF('Gear &amp; Buffs'!$Y$47="Fist",IF(ISNA(INDEX($A$102:$A$119,MATCH(AK145,AE$102:AE$119,0))),"",INDEX($A$102:$A$119,MATCH(AK145,AE$102:AE$119,0))),"")&amp;
IF('Gear &amp; Buffs'!$Y$47="Mace",IF(ISNA(INDEX($A$121:$A$148,MATCH(AK145,AE$121:AE$148,0))),"",INDEX($A$121:$A$148,MATCH(AK145,AE$121:AE$148,0))),"")&amp;
IF('Gear &amp; Buffs'!$Y$47="All",IF(ISNA(INDEX($A$2:$A$148,MATCH(AK145,AF$2:AF$148,0))),"",INDEX($A$2:$A$148,MATCH(AK145,AF$2:AF$148,0))),"")</f>
        <v/>
      </c>
    </row>
    <row r="146" spans="1:48">
      <c r="A146" s="10" t="s">
        <v>236</v>
      </c>
      <c r="B146" s="116">
        <v>27476</v>
      </c>
      <c r="C146" s="116">
        <v>1</v>
      </c>
      <c r="D146" s="114"/>
      <c r="E146" s="114"/>
      <c r="F146" s="114"/>
      <c r="G146" s="115"/>
      <c r="H146" s="115">
        <v>14</v>
      </c>
      <c r="I146" s="847"/>
      <c r="J146" s="114"/>
      <c r="K146" s="116"/>
      <c r="L146" s="114">
        <v>19</v>
      </c>
      <c r="M146" s="116"/>
      <c r="N146" s="114"/>
      <c r="O146" s="116">
        <v>15</v>
      </c>
      <c r="P146" s="114"/>
      <c r="Q146" s="114" t="s">
        <v>1033</v>
      </c>
      <c r="R146" s="114"/>
      <c r="S146" s="114" t="s">
        <v>691</v>
      </c>
      <c r="T146" s="114">
        <v>90</v>
      </c>
      <c r="U146" s="116">
        <v>168</v>
      </c>
      <c r="V146" s="155">
        <f t="shared" si="12"/>
        <v>129</v>
      </c>
      <c r="W146" s="155">
        <v>1.8</v>
      </c>
      <c r="X146" s="124">
        <f t="shared" si="13"/>
        <v>71.666666666666671</v>
      </c>
      <c r="Y146" s="114" t="s">
        <v>911</v>
      </c>
      <c r="Z146" s="114"/>
      <c r="AA146" s="114"/>
      <c r="AB146" s="114"/>
      <c r="AC146" s="10"/>
      <c r="AD146" s="791"/>
      <c r="AE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Aman"),IF(includeprebc,S146="Pre-BC"),IF(includesunwell,S146="Sunwell"))),MAX($AE$121:AE145)+1,"")</f>
        <v>12</v>
      </c>
      <c r="AF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Aman"),IF(includeprebc,$S146="Pre-BC"),IF(includesunwell,$S146="Sunwell"))),MAX($AF$1:AF145)+1,"")</f>
        <v>82</v>
      </c>
      <c r="AG146" s="114"/>
      <c r="AK146" s="48">
        <v>144</v>
      </c>
      <c r="AL146" s="151" t="str">
        <f>IF('Gear &amp; Buffs'!$Y$47="Dagger",IF(ISNA(INDEX($A$2:$A$54,MATCH(AK146,AE$2:AE$54,0))),"",INDEX($A$2:$A$54,MATCH(AK146,AE$2:AE$54,0))),"")&amp;
IF('Gear &amp; Buffs'!$Y$47="Sword",IF(ISNA(INDEX($A$56:$A$100,MATCH(AK146,AE$56:AE$100,0))),"",INDEX($A$56:$A$100,MATCH(AK146,AE$56:AE$100,0))),"")&amp;
IF('Gear &amp; Buffs'!$Y$47="Fist",IF(ISNA(INDEX($A$102:$A$119,MATCH(AK146,AE$102:AE$119,0))),"",INDEX($A$102:$A$119,MATCH(AK146,AE$102:AE$119,0))),"")&amp;
IF('Gear &amp; Buffs'!$Y$47="Mace",IF(ISNA(INDEX($A$121:$A$148,MATCH(AK146,AE$121:AE$148,0))),"",INDEX($A$121:$A$148,MATCH(AK146,AE$121:AE$148,0))),"")&amp;
IF('Gear &amp; Buffs'!$Y$47="All",IF(ISNA(INDEX($A$2:$A$148,MATCH(AK146,AF$2:AF$148,0))),"",INDEX($A$2:$A$148,MATCH(AK146,AF$2:AF$148,0))),"")</f>
        <v/>
      </c>
    </row>
    <row r="147" spans="1:48">
      <c r="A147" s="10" t="s">
        <v>1766</v>
      </c>
      <c r="B147" s="116">
        <v>33733</v>
      </c>
      <c r="C147" s="116">
        <v>3</v>
      </c>
      <c r="D147" s="114"/>
      <c r="E147" s="114"/>
      <c r="F147" s="114">
        <v>34</v>
      </c>
      <c r="G147" s="115">
        <v>21</v>
      </c>
      <c r="H147" s="115">
        <v>8</v>
      </c>
      <c r="I147" s="847"/>
      <c r="J147" s="114">
        <v>49</v>
      </c>
      <c r="K147" s="116"/>
      <c r="L147" s="114">
        <v>30</v>
      </c>
      <c r="M147" s="116"/>
      <c r="N147" s="114">
        <v>12</v>
      </c>
      <c r="O147" s="116"/>
      <c r="P147" s="114"/>
      <c r="Q147" s="114" t="s">
        <v>1033</v>
      </c>
      <c r="R147" s="114"/>
      <c r="S147" s="114" t="s">
        <v>677</v>
      </c>
      <c r="T147" s="114">
        <v>187</v>
      </c>
      <c r="U147" s="116">
        <v>349</v>
      </c>
      <c r="V147" s="155">
        <f>(U147+T147)/2</f>
        <v>268</v>
      </c>
      <c r="W147" s="155">
        <v>2.6</v>
      </c>
      <c r="X147" s="124">
        <f>V147/W147</f>
        <v>103.07692307692308</v>
      </c>
      <c r="Y147" s="114" t="s">
        <v>911</v>
      </c>
      <c r="Z147" s="114"/>
      <c r="AA147" s="114"/>
      <c r="AB147" s="114"/>
      <c r="AC147" s="10"/>
      <c r="AD147" s="791"/>
      <c r="AE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Aman"),IF(includeprebc,S147="Pre-BC"),IF(includesunwell,S147="Sunwell"))),MAX($AE$121:AE146)+1,"")</f>
        <v/>
      </c>
      <c r="AF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Aman"),IF(includeprebc,$S147="Pre-BC"),IF(includesunwell,$S147="Sunwell"))),MAX($AF$1:AF146)+1,"")</f>
        <v/>
      </c>
      <c r="AG147" s="114"/>
      <c r="AK147" s="48">
        <v>145</v>
      </c>
      <c r="AL147" s="151" t="str">
        <f>IF('Gear &amp; Buffs'!$Y$47="Dagger",IF(ISNA(INDEX($A$2:$A$54,MATCH(AK147,AE$2:AE$54,0))),"",INDEX($A$2:$A$54,MATCH(AK147,AE$2:AE$54,0))),"")&amp;
IF('Gear &amp; Buffs'!$Y$47="Sword",IF(ISNA(INDEX($A$56:$A$100,MATCH(AK147,AE$56:AE$100,0))),"",INDEX($A$56:$A$100,MATCH(AK147,AE$56:AE$100,0))),"")&amp;
IF('Gear &amp; Buffs'!$Y$47="Fist",IF(ISNA(INDEX($A$102:$A$119,MATCH(AK147,AE$102:AE$119,0))),"",INDEX($A$102:$A$119,MATCH(AK147,AE$102:AE$119,0))),"")&amp;
IF('Gear &amp; Buffs'!$Y$47="Mace",IF(ISNA(INDEX($A$121:$A$148,MATCH(AK147,AE$121:AE$148,0))),"",INDEX($A$121:$A$148,MATCH(AK147,AE$121:AE$148,0))),"")&amp;
IF('Gear &amp; Buffs'!$Y$47="All",IF(ISNA(INDEX($A$2:$A$148,MATCH(AK147,AF$2:AF$148,0))),"",INDEX($A$2:$A$148,MATCH(AK147,AF$2:AF$148,0))),"")</f>
        <v/>
      </c>
      <c r="AQ147" s="114"/>
      <c r="AR147" s="114"/>
    </row>
    <row r="148" spans="1:48">
      <c r="A148" s="10" t="str">
        <f>'Gear &amp; Buffs'!$B$151</f>
        <v>(Unmodeled MH Mace)</v>
      </c>
      <c r="B148" s="114"/>
      <c r="C148" s="114"/>
      <c r="D148" s="114">
        <f>'Gear &amp; Buffs'!$D$151</f>
        <v>0</v>
      </c>
      <c r="E148" s="114">
        <f>'Gear &amp; Buffs'!$E$151</f>
        <v>0</v>
      </c>
      <c r="F148" s="114">
        <f>'Gear &amp; Buffs'!$I$151</f>
        <v>0</v>
      </c>
      <c r="G148" s="115">
        <f>'Gear &amp; Buffs'!$G$151</f>
        <v>0</v>
      </c>
      <c r="H148" s="115">
        <f>'Gear &amp; Buffs'!$H$151</f>
        <v>0</v>
      </c>
      <c r="I148" s="115">
        <f>'Gear &amp; Buffs'!$P$151</f>
        <v>0</v>
      </c>
      <c r="J148" s="114">
        <f>'Gear &amp; Buffs'!$Q$151</f>
        <v>0</v>
      </c>
      <c r="K148" s="116">
        <f>'Gear &amp; Buffs'!$L$151</f>
        <v>0</v>
      </c>
      <c r="L148" s="114">
        <f>'Gear &amp; Buffs'!$F$151</f>
        <v>0</v>
      </c>
      <c r="M148" s="116">
        <f>'Gear &amp; Buffs'!$K$151</f>
        <v>0</v>
      </c>
      <c r="N148" s="114">
        <f>'Gear &amp; Buffs'!$J$151</f>
        <v>0</v>
      </c>
      <c r="O148" s="115">
        <f>'Gear &amp; Buffs'!M151</f>
        <v>0</v>
      </c>
      <c r="P148" s="114"/>
      <c r="Q148" s="114" t="str">
        <f>'Gear &amp; Buffs'!$R$151</f>
        <v>0 0 0</v>
      </c>
      <c r="R148" s="720">
        <f>'Gear &amp; Buffs'!$S$151</f>
        <v>0</v>
      </c>
      <c r="S148" s="114"/>
      <c r="T148" s="114">
        <f>'Gear &amp; Buffs'!$T$151</f>
        <v>1</v>
      </c>
      <c r="U148" s="116">
        <f>'Gear &amp; Buffs'!$U$151</f>
        <v>1</v>
      </c>
      <c r="V148" s="155">
        <f>(U148+T148)/2</f>
        <v>1</v>
      </c>
      <c r="W148" s="155">
        <f>'Gear &amp; Buffs'!$V$151</f>
        <v>2</v>
      </c>
      <c r="X148" s="124">
        <f>V148/W148</f>
        <v>0.5</v>
      </c>
      <c r="Y148" s="114" t="s">
        <v>911</v>
      </c>
      <c r="Z148" s="114"/>
      <c r="AA148" s="114"/>
      <c r="AB148" s="114"/>
      <c r="AC148" s="10"/>
      <c r="AD148" s="791"/>
      <c r="AE148" s="114">
        <f>MAX($AE$121:AE147)+1</f>
        <v>13</v>
      </c>
      <c r="AF148" s="114">
        <f>MAX(AF$1:AF147)+1</f>
        <v>83</v>
      </c>
      <c r="AG148" s="114"/>
      <c r="AK148" s="48">
        <v>146</v>
      </c>
      <c r="AL148" s="151" t="str">
        <f>IF('Gear &amp; Buffs'!$Y$47="Dagger",IF(ISNA(INDEX($A$2:$A$54,MATCH(AK148,AE$2:AE$54,0))),"",INDEX($A$2:$A$54,MATCH(AK148,AE$2:AE$54,0))),"")&amp;
IF('Gear &amp; Buffs'!$Y$47="Sword",IF(ISNA(INDEX($A$56:$A$100,MATCH(AK148,AE$56:AE$100,0))),"",INDEX($A$56:$A$100,MATCH(AK148,AE$56:AE$100,0))),"")&amp;
IF('Gear &amp; Buffs'!$Y$47="Fist",IF(ISNA(INDEX($A$102:$A$119,MATCH(AK148,AE$102:AE$119,0))),"",INDEX($A$102:$A$119,MATCH(AK148,AE$102:AE$119,0))),"")&amp;
IF('Gear &amp; Buffs'!$Y$47="Mace",IF(ISNA(INDEX($A$121:$A$148,MATCH(AK148,AE$121:AE$148,0))),"",INDEX($A$121:$A$148,MATCH(AK148,AE$121:AE$148,0))),"")&amp;
IF('Gear &amp; Buffs'!$Y$47="All",IF(ISNA(INDEX($A$2:$A$148,MATCH(AK148,AF$2:AF$148,0))),"",INDEX($A$2:$A$148,MATCH(AK148,AF$2:AF$148,0))),"")</f>
        <v/>
      </c>
      <c r="AQ148" s="114"/>
      <c r="AR148" s="114"/>
      <c r="AS148" s="114"/>
      <c r="AT148" s="114"/>
      <c r="AU148" s="114"/>
      <c r="AV148" s="114"/>
    </row>
    <row r="149" spans="1:48">
      <c r="A149" s="827" t="str">
        <f>" "</f>
        <v xml:space="preserve"> </v>
      </c>
      <c r="B149" s="833"/>
      <c r="C149" s="833"/>
      <c r="D149" s="827"/>
      <c r="E149" s="827"/>
      <c r="F149" s="827"/>
      <c r="G149" s="843"/>
      <c r="H149" s="843"/>
      <c r="I149" s="834"/>
      <c r="J149" s="827"/>
      <c r="K149" s="833"/>
      <c r="L149" s="827"/>
      <c r="M149" s="833"/>
      <c r="N149" s="827"/>
      <c r="O149" s="833"/>
      <c r="P149" s="827"/>
      <c r="Q149" s="827"/>
      <c r="R149" s="827"/>
      <c r="S149" s="827"/>
      <c r="T149" s="827"/>
      <c r="U149" s="833"/>
      <c r="V149" s="827"/>
      <c r="W149" s="827"/>
      <c r="X149" s="827"/>
      <c r="Y149" s="827"/>
      <c r="Z149" s="827"/>
      <c r="AA149" s="827"/>
      <c r="AB149" s="827"/>
      <c r="AC149" s="835"/>
      <c r="AD149" s="836"/>
      <c r="AE149" s="827"/>
      <c r="AF149" s="827"/>
      <c r="AG149" s="114"/>
      <c r="AK149" s="48">
        <v>147</v>
      </c>
      <c r="AL149" s="151" t="str">
        <f>IF('Gear &amp; Buffs'!$Y$47="Dagger",IF(ISNA(INDEX($A$2:$A$54,MATCH(AK149,AE$2:AE$54,0))),"",INDEX($A$2:$A$54,MATCH(AK149,AE$2:AE$54,0))),"")&amp;
IF('Gear &amp; Buffs'!$Y$47="Sword",IF(ISNA(INDEX($A$56:$A$100,MATCH(AK149,AE$56:AE$100,0))),"",INDEX($A$56:$A$100,MATCH(AK149,AE$56:AE$100,0))),"")&amp;
IF('Gear &amp; Buffs'!$Y$47="Fist",IF(ISNA(INDEX($A$102:$A$119,MATCH(AK149,AE$102:AE$119,0))),"",INDEX($A$102:$A$119,MATCH(AK149,AE$102:AE$119,0))),"")&amp;
IF('Gear &amp; Buffs'!$Y$47="Mace",IF(ISNA(INDEX($A$121:$A$148,MATCH(AK149,AE$121:AE$148,0))),"",INDEX($A$121:$A$148,MATCH(AK149,AE$121:AE$148,0))),"")&amp;
IF('Gear &amp; Buffs'!$Y$47="All",IF(ISNA(INDEX($A$2:$A$148,MATCH(AK149,AF$2:AF$148,0))),"",INDEX($A$2:$A$148,MATCH(AK149,AF$2:AF$148,0))),"")</f>
        <v/>
      </c>
      <c r="AS149" s="114"/>
      <c r="AT149" s="114"/>
      <c r="AU149" s="114"/>
      <c r="AV149" s="114"/>
    </row>
    <row r="150" spans="1:48" ht="23.25" thickBot="1">
      <c r="A150" s="753" t="s">
        <v>1740</v>
      </c>
      <c r="B150" s="753" t="s">
        <v>1934</v>
      </c>
      <c r="C150" s="753" t="s">
        <v>2798</v>
      </c>
      <c r="D150" s="753" t="s">
        <v>1214</v>
      </c>
      <c r="E150" s="753" t="s">
        <v>1215</v>
      </c>
      <c r="F150" s="753" t="s">
        <v>768</v>
      </c>
      <c r="G150" s="754" t="s">
        <v>2140</v>
      </c>
      <c r="H150" s="754" t="s">
        <v>2139</v>
      </c>
      <c r="I150" s="817" t="s">
        <v>771</v>
      </c>
      <c r="J150" s="818" t="s">
        <v>1739</v>
      </c>
      <c r="K150" s="754" t="s">
        <v>760</v>
      </c>
      <c r="L150" s="753" t="s">
        <v>1216</v>
      </c>
      <c r="M150" s="754" t="s">
        <v>264</v>
      </c>
      <c r="N150" s="754" t="s">
        <v>1217</v>
      </c>
      <c r="O150" s="754" t="s">
        <v>1287</v>
      </c>
      <c r="P150" s="753" t="s">
        <v>1221</v>
      </c>
      <c r="Q150" s="731" t="s">
        <v>1032</v>
      </c>
      <c r="R150" s="731" t="s">
        <v>1941</v>
      </c>
      <c r="S150" s="753" t="s">
        <v>666</v>
      </c>
      <c r="T150" s="819" t="s">
        <v>1222</v>
      </c>
      <c r="U150" s="754" t="s">
        <v>1223</v>
      </c>
      <c r="V150" s="819" t="s">
        <v>1705</v>
      </c>
      <c r="W150" s="819" t="s">
        <v>146</v>
      </c>
      <c r="X150" s="753" t="s">
        <v>1538</v>
      </c>
      <c r="Y150" s="753" t="s">
        <v>1225</v>
      </c>
      <c r="Z150" s="753" t="s">
        <v>564</v>
      </c>
      <c r="AA150" s="753" t="s">
        <v>565</v>
      </c>
      <c r="AB150" s="753" t="s">
        <v>566</v>
      </c>
      <c r="AC150" s="740" t="s">
        <v>567</v>
      </c>
      <c r="AD150" s="819"/>
      <c r="AE150" s="744">
        <v>0</v>
      </c>
      <c r="AF150" s="744">
        <v>0</v>
      </c>
      <c r="AG150" s="114"/>
    </row>
    <row r="151" spans="1:48" ht="12" thickBot="1">
      <c r="A151" s="837" t="s">
        <v>2057</v>
      </c>
      <c r="B151" s="839"/>
      <c r="C151" s="839"/>
      <c r="D151" s="743"/>
      <c r="E151" s="743"/>
      <c r="F151" s="743"/>
      <c r="G151" s="743"/>
      <c r="H151" s="743"/>
      <c r="I151" s="838"/>
      <c r="J151" s="743"/>
      <c r="K151" s="839"/>
      <c r="L151" s="743"/>
      <c r="M151" s="839"/>
      <c r="N151" s="743"/>
      <c r="O151" s="839"/>
      <c r="P151" s="743"/>
      <c r="Q151" s="743" t="s">
        <v>1033</v>
      </c>
      <c r="R151" s="743"/>
      <c r="S151" s="743"/>
      <c r="T151" s="841"/>
      <c r="U151" s="839"/>
      <c r="V151" s="841"/>
      <c r="W151" s="841"/>
      <c r="X151" s="743"/>
      <c r="Y151" s="743"/>
      <c r="Z151" s="743"/>
      <c r="AA151" s="743"/>
      <c r="AB151" s="743"/>
      <c r="AC151" s="842"/>
      <c r="AD151" s="841"/>
      <c r="AE151" s="743">
        <v>1</v>
      </c>
      <c r="AF151" s="114">
        <f>MAX(AF$150:AF150)+1</f>
        <v>1</v>
      </c>
      <c r="AG151" s="114"/>
    </row>
    <row r="152" spans="1:48">
      <c r="A152" s="10" t="s">
        <v>2844</v>
      </c>
      <c r="B152" s="114">
        <v>30999</v>
      </c>
      <c r="C152" s="114">
        <v>1</v>
      </c>
      <c r="D152" s="114"/>
      <c r="E152" s="114">
        <v>11</v>
      </c>
      <c r="F152" s="114">
        <v>40</v>
      </c>
      <c r="G152" s="115"/>
      <c r="H152" s="115"/>
      <c r="I152" s="115"/>
      <c r="J152" s="114"/>
      <c r="K152" s="116"/>
      <c r="L152" s="114">
        <v>10</v>
      </c>
      <c r="M152" s="116"/>
      <c r="N152" s="114"/>
      <c r="O152" s="116"/>
      <c r="P152" s="114"/>
      <c r="Q152" s="114" t="s">
        <v>1033</v>
      </c>
      <c r="R152" s="114"/>
      <c r="S152" s="114" t="s">
        <v>675</v>
      </c>
      <c r="T152" s="114">
        <v>65</v>
      </c>
      <c r="U152" s="116">
        <v>122</v>
      </c>
      <c r="V152" s="155">
        <f>(U152+T152)/2</f>
        <v>93.5</v>
      </c>
      <c r="W152" s="155">
        <v>1.4</v>
      </c>
      <c r="X152" s="124">
        <f>V152/W152</f>
        <v>66.785714285714292</v>
      </c>
      <c r="Y152" s="114" t="s">
        <v>2269</v>
      </c>
      <c r="Z152" s="114"/>
      <c r="AA152" s="114"/>
      <c r="AB152" s="114"/>
      <c r="AC152" s="289"/>
      <c r="AD152" s="114"/>
      <c r="AE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Aman"),IF(includeprebc,$S152="Pre-BC"),IF(includesunwell,$S152="Sunwell"))),MAX($AE$151:AE151)+1,"")</f>
        <v>2</v>
      </c>
      <c r="AF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Aman"),IF(includeprebc,$S152="Pre-BC"),IF(includesunwell,$S152="Sunwell"))),MAX($AF$150:AF151)+1,"")</f>
        <v>2</v>
      </c>
      <c r="AG152" s="114"/>
      <c r="AM152" s="114"/>
      <c r="AN152" s="114"/>
      <c r="AO152" s="114"/>
    </row>
    <row r="153" spans="1:48">
      <c r="A153" s="10" t="s">
        <v>425</v>
      </c>
      <c r="B153" s="114">
        <v>34894</v>
      </c>
      <c r="C153" s="114">
        <v>5</v>
      </c>
      <c r="D153" s="114"/>
      <c r="E153" s="114"/>
      <c r="F153" s="114">
        <v>44</v>
      </c>
      <c r="G153" s="115">
        <v>24</v>
      </c>
      <c r="H153" s="115"/>
      <c r="I153" s="115"/>
      <c r="J153" s="114"/>
      <c r="K153" s="116"/>
      <c r="L153" s="114">
        <v>30</v>
      </c>
      <c r="M153" s="116"/>
      <c r="N153" s="114"/>
      <c r="O153" s="116"/>
      <c r="P153" s="114"/>
      <c r="Q153" s="114" t="s">
        <v>1033</v>
      </c>
      <c r="R153" s="114"/>
      <c r="S153" s="114" t="s">
        <v>691</v>
      </c>
      <c r="T153" s="114">
        <v>130</v>
      </c>
      <c r="U153" s="116">
        <v>241</v>
      </c>
      <c r="V153" s="155">
        <f>(U153+T153)/2</f>
        <v>185.5</v>
      </c>
      <c r="W153" s="155">
        <v>1.8</v>
      </c>
      <c r="X153" s="124">
        <f>V153/W153</f>
        <v>103.05555555555556</v>
      </c>
      <c r="Y153" s="114" t="s">
        <v>2269</v>
      </c>
      <c r="Z153" s="114"/>
      <c r="AA153" s="114"/>
      <c r="AB153" s="114"/>
      <c r="AC153" s="289"/>
      <c r="AD153" s="114"/>
      <c r="AE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Aman"),IF(includeprebc,$S153="Pre-BC"),IF(includesunwell,$S153="Sunwell"))),MAX($AE$151:AE152)+1,"")</f>
        <v/>
      </c>
      <c r="AF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Aman"),IF(includeprebc,$S153="Pre-BC"),IF(includesunwell,$S153="Sunwell"))),MAX($AF$150:AF152)+1,"")</f>
        <v/>
      </c>
      <c r="AG153" s="114"/>
      <c r="AK153" s="48"/>
      <c r="AL153" s="137" t="s">
        <v>1935</v>
      </c>
      <c r="AP153" s="114"/>
    </row>
    <row r="154" spans="1:48">
      <c r="A154" s="10" t="s">
        <v>2271</v>
      </c>
      <c r="B154" s="114">
        <v>28572</v>
      </c>
      <c r="C154" s="114">
        <v>1</v>
      </c>
      <c r="D154" s="114"/>
      <c r="E154" s="114"/>
      <c r="F154" s="114">
        <v>18</v>
      </c>
      <c r="G154" s="115">
        <v>9</v>
      </c>
      <c r="H154" s="115"/>
      <c r="I154" s="115"/>
      <c r="J154" s="114"/>
      <c r="K154" s="116"/>
      <c r="L154" s="114">
        <v>13</v>
      </c>
      <c r="M154" s="116"/>
      <c r="N154" s="114"/>
      <c r="O154" s="116"/>
      <c r="P154" s="114"/>
      <c r="Q154" s="114" t="s">
        <v>2093</v>
      </c>
      <c r="R154" s="114" t="s">
        <v>1065</v>
      </c>
      <c r="S154" s="114" t="s">
        <v>672</v>
      </c>
      <c r="T154" s="114">
        <v>112</v>
      </c>
      <c r="U154" s="116">
        <v>168</v>
      </c>
      <c r="V154" s="155">
        <f t="shared" ref="V154:V208" si="14">(U154+T154)/2</f>
        <v>140</v>
      </c>
      <c r="W154" s="155">
        <v>1.6</v>
      </c>
      <c r="X154" s="124">
        <f t="shared" ref="X154:X208" si="15">V154/W154</f>
        <v>87.5</v>
      </c>
      <c r="Y154" s="114" t="s">
        <v>2269</v>
      </c>
      <c r="Z154" s="114"/>
      <c r="AA154" s="114"/>
      <c r="AB154" s="114"/>
      <c r="AC154" s="289"/>
      <c r="AD154" s="114"/>
      <c r="AE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Aman"),IF(includeprebc,$S154="Pre-BC"),IF(includesunwell,$S154="Sunwell"))),MAX($AE$151:AE153)+1,"")</f>
        <v>3</v>
      </c>
      <c r="AF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Aman"),IF(includeprebc,$S154="Pre-BC"),IF(includesunwell,$S154="Sunwell"))),MAX($AF$150:AF153)+1,"")</f>
        <v>3</v>
      </c>
      <c r="AG154" s="114"/>
      <c r="AK154" s="48">
        <v>1</v>
      </c>
      <c r="AL154" s="151" t="str">
        <f>IF('Gear &amp; Buffs'!$Y$48="Dagger",IF(ISNA(INDEX($A$151:$A$210,MATCH(AK154,AE$151:AE$210,0))),"",INDEX($A$151:$A$210,MATCH(AK154,AE$151:AE$210,0))),"")&amp;
IF('Gear &amp; Buffs'!$Y$48="Sword",IF(ISNA(INDEX($A$212:$A$260,MATCH(AK154,AE$212:AE$260,0))),"",INDEX($A$212:$A$260,MATCH(AK154,AE$212:AE$260,0))),"")&amp;
IF('Gear &amp; Buffs'!$Y$48="Fist",IF(ISNA(INDEX($A$262:$A$281,MATCH(AK154,AE$262:AE$281,0))),"",INDEX($A$262:$A$281,MATCH(AK154,AE$262:AE$281,0))),"")&amp;
IF('Gear &amp; Buffs'!$Y$48="Mace",IF(ISNA(INDEX($A$283:$A$310,MATCH(AK154,AE$283:AE$310,0))),"",INDEX($A$283:$A$310,MATCH(AK154,AE$283:AE$310,0))),"")&amp;
IF('Gear &amp; Buffs'!$Y$48="All",IF(ISNA(INDEX($A$151:$A$310,MATCH(AK154,AF$151:AF$310,0))),"",INDEX($A$151:$A$310,MATCH(AK154,AF$151:AF$310,0))),"")</f>
        <v>(Daggers)</v>
      </c>
    </row>
    <row r="155" spans="1:48">
      <c r="A155" s="10" t="s">
        <v>971</v>
      </c>
      <c r="B155" s="114">
        <v>34665</v>
      </c>
      <c r="C155" s="114">
        <v>5</v>
      </c>
      <c r="D155" s="114"/>
      <c r="E155" s="114">
        <v>14</v>
      </c>
      <c r="F155" s="114">
        <v>26</v>
      </c>
      <c r="G155" s="114"/>
      <c r="H155" s="114">
        <v>11</v>
      </c>
      <c r="I155" s="847"/>
      <c r="J155" s="114"/>
      <c r="K155" s="116"/>
      <c r="L155" s="114">
        <v>12</v>
      </c>
      <c r="M155" s="116"/>
      <c r="N155" s="114"/>
      <c r="O155" s="116"/>
      <c r="P155" s="114"/>
      <c r="Q155" s="114" t="s">
        <v>1033</v>
      </c>
      <c r="R155" s="114"/>
      <c r="S155" s="114" t="s">
        <v>676</v>
      </c>
      <c r="T155" s="114">
        <v>90</v>
      </c>
      <c r="U155" s="116">
        <v>168</v>
      </c>
      <c r="V155" s="155">
        <f t="shared" si="14"/>
        <v>129</v>
      </c>
      <c r="W155" s="155">
        <v>1.8</v>
      </c>
      <c r="X155" s="124">
        <f t="shared" si="15"/>
        <v>71.666666666666671</v>
      </c>
      <c r="Y155" s="124" t="s">
        <v>2269</v>
      </c>
      <c r="Z155" s="114"/>
      <c r="AA155" s="114"/>
      <c r="AB155" s="114"/>
      <c r="AC155" s="289"/>
      <c r="AD155" s="791"/>
      <c r="AE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Aman"),IF(includeprebc,$S155="Pre-BC"),IF(includesunwell,$S155="Sunwell"))),MAX($AE$151:AE154)+1,"")</f>
        <v/>
      </c>
      <c r="AF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Aman"),IF(includeprebc,$S155="Pre-BC"),IF(includesunwell,$S155="Sunwell"))),MAX($AF$150:AF154)+1,"")</f>
        <v/>
      </c>
      <c r="AG155" s="114"/>
      <c r="AK155" s="48">
        <v>2</v>
      </c>
      <c r="AL155" s="151" t="str">
        <f>IF('Gear &amp; Buffs'!$Y$48="Dagger",IF(ISNA(INDEX($A$151:$A$210,MATCH(AK155,AE$151:AE$210,0))),"",INDEX($A$151:$A$210,MATCH(AK155,AE$151:AE$210,0))),"")&amp;
IF('Gear &amp; Buffs'!$Y$48="Sword",IF(ISNA(INDEX($A$212:$A$260,MATCH(AK155,AE$212:AE$260,0))),"",INDEX($A$212:$A$260,MATCH(AK155,AE$212:AE$260,0))),"")&amp;
IF('Gear &amp; Buffs'!$Y$48="Fist",IF(ISNA(INDEX($A$262:$A$281,MATCH(AK155,AE$262:AE$281,0))),"",INDEX($A$262:$A$281,MATCH(AK155,AE$262:AE$281,0))),"")&amp;
IF('Gear &amp; Buffs'!$Y$48="Mace",IF(ISNA(INDEX($A$283:$A$310,MATCH(AK155,AE$283:AE$310,0))),"",INDEX($A$283:$A$310,MATCH(AK155,AE$283:AE$310,0))),"")&amp;
IF('Gear &amp; Buffs'!$Y$48="All",IF(ISNA(INDEX($A$151:$A$310,MATCH(AK155,AF$151:AF$310,0))),"",INDEX($A$151:$A$310,MATCH(AK155,AF$151:AF$310,0))),"")</f>
        <v>Ashtongue Blade</v>
      </c>
    </row>
    <row r="156" spans="1:48">
      <c r="A156" s="10" t="s">
        <v>2845</v>
      </c>
      <c r="B156" s="114">
        <v>31073</v>
      </c>
      <c r="C156" s="114">
        <v>1</v>
      </c>
      <c r="D156" s="114"/>
      <c r="E156" s="114">
        <v>11</v>
      </c>
      <c r="F156" s="114">
        <v>40</v>
      </c>
      <c r="G156" s="114"/>
      <c r="H156" s="114">
        <v>7</v>
      </c>
      <c r="I156" s="847"/>
      <c r="J156" s="114"/>
      <c r="K156" s="116"/>
      <c r="L156" s="114"/>
      <c r="M156" s="116"/>
      <c r="N156" s="114"/>
      <c r="O156" s="116"/>
      <c r="P156" s="114"/>
      <c r="Q156" s="114" t="s">
        <v>1033</v>
      </c>
      <c r="R156" s="114"/>
      <c r="S156" s="114" t="s">
        <v>675</v>
      </c>
      <c r="T156" s="114">
        <v>84</v>
      </c>
      <c r="U156" s="116">
        <v>157</v>
      </c>
      <c r="V156" s="155">
        <f t="shared" si="14"/>
        <v>120.5</v>
      </c>
      <c r="W156" s="155">
        <v>1.8</v>
      </c>
      <c r="X156" s="124">
        <f t="shared" si="15"/>
        <v>66.944444444444443</v>
      </c>
      <c r="Y156" s="124" t="s">
        <v>2269</v>
      </c>
      <c r="Z156" s="114"/>
      <c r="AA156" s="114"/>
      <c r="AB156" s="114"/>
      <c r="AC156" s="289"/>
      <c r="AD156" s="791"/>
      <c r="AE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Aman"),IF(includeprebc,$S156="Pre-BC"),IF(includesunwell,$S156="Sunwell"))),MAX($AE$151:AE155)+1,"")</f>
        <v>4</v>
      </c>
      <c r="AF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Aman"),IF(includeprebc,$S156="Pre-BC"),IF(includesunwell,$S156="Sunwell"))),MAX($AF$150:AF155)+1,"")</f>
        <v>4</v>
      </c>
      <c r="AG156" s="114"/>
      <c r="AK156" s="48">
        <v>3</v>
      </c>
      <c r="AL156" s="151" t="str">
        <f>IF('Gear &amp; Buffs'!$Y$48="Dagger",IF(ISNA(INDEX($A$151:$A$210,MATCH(AK156,AE$151:AE$210,0))),"",INDEX($A$151:$A$210,MATCH(AK156,AE$151:AE$210,0))),"")&amp;
IF('Gear &amp; Buffs'!$Y$48="Sword",IF(ISNA(INDEX($A$212:$A$260,MATCH(AK156,AE$212:AE$260,0))),"",INDEX($A$212:$A$260,MATCH(AK156,AE$212:AE$260,0))),"")&amp;
IF('Gear &amp; Buffs'!$Y$48="Fist",IF(ISNA(INDEX($A$262:$A$281,MATCH(AK156,AE$262:AE$281,0))),"",INDEX($A$262:$A$281,MATCH(AK156,AE$262:AE$281,0))),"")&amp;
IF('Gear &amp; Buffs'!$Y$48="Mace",IF(ISNA(INDEX($A$283:$A$310,MATCH(AK156,AE$283:AE$310,0))),"",INDEX($A$283:$A$310,MATCH(AK156,AE$283:AE$310,0))),"")&amp;
IF('Gear &amp; Buffs'!$Y$48="All",IF(ISNA(INDEX($A$151:$A$310,MATCH(AK156,AF$151:AF$310,0))),"",INDEX($A$151:$A$310,MATCH(AK156,AF$151:AF$310,0))),"")</f>
        <v>Blade of the Unrequited</v>
      </c>
    </row>
    <row r="157" spans="1:48">
      <c r="A157" s="10" t="s">
        <v>2279</v>
      </c>
      <c r="B157" s="114">
        <v>30901</v>
      </c>
      <c r="C157" s="114">
        <v>3</v>
      </c>
      <c r="D157" s="114"/>
      <c r="E157" s="114"/>
      <c r="F157" s="114"/>
      <c r="G157" s="114">
        <v>24</v>
      </c>
      <c r="H157" s="114"/>
      <c r="I157" s="847"/>
      <c r="J157" s="114">
        <v>210</v>
      </c>
      <c r="K157" s="116"/>
      <c r="L157" s="114"/>
      <c r="M157" s="116"/>
      <c r="N157" s="114"/>
      <c r="O157" s="116"/>
      <c r="P157" s="114"/>
      <c r="Q157" s="114" t="s">
        <v>1033</v>
      </c>
      <c r="R157" s="114"/>
      <c r="S157" s="114" t="s">
        <v>684</v>
      </c>
      <c r="T157" s="114">
        <v>144</v>
      </c>
      <c r="U157" s="116">
        <v>217</v>
      </c>
      <c r="V157" s="155">
        <f t="shared" si="14"/>
        <v>180.5</v>
      </c>
      <c r="W157" s="155">
        <v>1.8</v>
      </c>
      <c r="X157" s="124">
        <f t="shared" si="15"/>
        <v>100.27777777777777</v>
      </c>
      <c r="Y157" s="124" t="s">
        <v>2269</v>
      </c>
      <c r="Z157" s="114"/>
      <c r="AA157" s="114"/>
      <c r="AB157" s="114"/>
      <c r="AC157" s="289"/>
      <c r="AD157" s="791"/>
      <c r="AE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Aman"),IF(includeprebc,$S157="Pre-BC"),IF(includesunwell,$S157="Sunwell"))),MAX($AE$151:AE156)+1,"")</f>
        <v/>
      </c>
      <c r="AF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Aman"),IF(includeprebc,$S157="Pre-BC"),IF(includesunwell,$S157="Sunwell"))),MAX($AF$150:AF156)+1,"")</f>
        <v/>
      </c>
      <c r="AG157" s="114"/>
      <c r="AK157" s="48">
        <v>4</v>
      </c>
      <c r="AL157" s="151" t="str">
        <f>IF('Gear &amp; Buffs'!$Y$48="Dagger",IF(ISNA(INDEX($A$151:$A$210,MATCH(AK157,AE$151:AE$210,0))),"",INDEX($A$151:$A$210,MATCH(AK157,AE$151:AE$210,0))),"")&amp;
IF('Gear &amp; Buffs'!$Y$48="Sword",IF(ISNA(INDEX($A$212:$A$260,MATCH(AK157,AE$212:AE$260,0))),"",INDEX($A$212:$A$260,MATCH(AK157,AE$212:AE$260,0))),"")&amp;
IF('Gear &amp; Buffs'!$Y$48="Fist",IF(ISNA(INDEX($A$262:$A$281,MATCH(AK157,AE$262:AE$281,0))),"",INDEX($A$262:$A$281,MATCH(AK157,AE$262:AE$281,0))),"")&amp;
IF('Gear &amp; Buffs'!$Y$48="Mace",IF(ISNA(INDEX($A$283:$A$310,MATCH(AK157,AE$283:AE$310,0))),"",INDEX($A$283:$A$310,MATCH(AK157,AE$283:AE$310,0))),"")&amp;
IF('Gear &amp; Buffs'!$Y$48="All",IF(ISNA(INDEX($A$151:$A$310,MATCH(AK157,AF$151:AF$310,0))),"",INDEX($A$151:$A$310,MATCH(AK157,AF$151:AF$310,0))),"")</f>
        <v>Borak's Reminder</v>
      </c>
    </row>
    <row r="158" spans="1:48">
      <c r="A158" s="10" t="s">
        <v>1997</v>
      </c>
      <c r="B158" s="114">
        <v>35058</v>
      </c>
      <c r="C158" s="114">
        <v>5</v>
      </c>
      <c r="D158" s="114"/>
      <c r="E158" s="114"/>
      <c r="F158" s="114">
        <v>38</v>
      </c>
      <c r="G158" s="115">
        <v>22</v>
      </c>
      <c r="H158" s="115">
        <v>9</v>
      </c>
      <c r="I158" s="847"/>
      <c r="J158" s="114">
        <v>49</v>
      </c>
      <c r="K158" s="116"/>
      <c r="L158" s="114">
        <v>31</v>
      </c>
      <c r="M158" s="116"/>
      <c r="N158" s="114">
        <v>12</v>
      </c>
      <c r="O158" s="116"/>
      <c r="P158" s="114"/>
      <c r="Q158" s="114" t="s">
        <v>1033</v>
      </c>
      <c r="R158" s="114"/>
      <c r="S158" s="114" t="s">
        <v>677</v>
      </c>
      <c r="T158" s="114">
        <v>136</v>
      </c>
      <c r="U158" s="116">
        <v>253</v>
      </c>
      <c r="V158" s="155">
        <f>(U158+T158)/2</f>
        <v>194.5</v>
      </c>
      <c r="W158" s="155">
        <v>1.8</v>
      </c>
      <c r="X158" s="124">
        <f>V158/W158</f>
        <v>108.05555555555556</v>
      </c>
      <c r="Y158" s="114" t="s">
        <v>2269</v>
      </c>
      <c r="Z158" s="114"/>
      <c r="AA158" s="114"/>
      <c r="AB158" s="114"/>
      <c r="AC158" s="289"/>
      <c r="AD158" s="791"/>
      <c r="AE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Aman"),IF(includeprebc,$S158="Pre-BC"),IF(includesunwell,$S158="Sunwell"))),MAX($AE$151:AE157)+1,"")</f>
        <v/>
      </c>
      <c r="AF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Aman"),IF(includeprebc,$S158="Pre-BC"),IF(includesunwell,$S158="Sunwell"))),MAX($AF$150:AF157)+1,"")</f>
        <v/>
      </c>
      <c r="AG158" s="114"/>
      <c r="AK158" s="48">
        <v>5</v>
      </c>
      <c r="AL158" s="151" t="str">
        <f>IF('Gear &amp; Buffs'!$Y$48="Dagger",IF(ISNA(INDEX($A$151:$A$210,MATCH(AK158,AE$151:AE$210,0))),"",INDEX($A$151:$A$210,MATCH(AK158,AE$151:AE$210,0))),"")&amp;
IF('Gear &amp; Buffs'!$Y$48="Sword",IF(ISNA(INDEX($A$212:$A$260,MATCH(AK158,AE$212:AE$260,0))),"",INDEX($A$212:$A$260,MATCH(AK158,AE$212:AE$260,0))),"")&amp;
IF('Gear &amp; Buffs'!$Y$48="Fist",IF(ISNA(INDEX($A$262:$A$281,MATCH(AK158,AE$262:AE$281,0))),"",INDEX($A$262:$A$281,MATCH(AK158,AE$262:AE$281,0))),"")&amp;
IF('Gear &amp; Buffs'!$Y$48="Mace",IF(ISNA(INDEX($A$283:$A$310,MATCH(AK158,AE$283:AE$310,0))),"",INDEX($A$283:$A$310,MATCH(AK158,AE$283:AE$310,0))),"")&amp;
IF('Gear &amp; Buffs'!$Y$48="All",IF(ISNA(INDEX($A$151:$A$310,MATCH(AK158,AF$151:AF$310,0))),"",INDEX($A$151:$A$310,MATCH(AK158,AF$151:AF$310,0))),"")</f>
        <v>Ced's Carver</v>
      </c>
      <c r="AM158" s="124"/>
      <c r="AN158" s="114"/>
      <c r="AO158" s="124"/>
    </row>
    <row r="159" spans="1:48">
      <c r="A159" s="10" t="s">
        <v>1998</v>
      </c>
      <c r="B159" s="114">
        <v>35093</v>
      </c>
      <c r="C159" s="114">
        <v>5</v>
      </c>
      <c r="D159" s="114"/>
      <c r="E159" s="114"/>
      <c r="F159" s="114">
        <v>38</v>
      </c>
      <c r="G159" s="115">
        <v>22</v>
      </c>
      <c r="H159" s="115">
        <v>9</v>
      </c>
      <c r="I159" s="847"/>
      <c r="J159" s="114">
        <v>49</v>
      </c>
      <c r="K159" s="116"/>
      <c r="L159" s="114">
        <v>31</v>
      </c>
      <c r="M159" s="116"/>
      <c r="N159" s="114">
        <v>12</v>
      </c>
      <c r="O159" s="116"/>
      <c r="P159" s="114"/>
      <c r="Q159" s="114" t="s">
        <v>1033</v>
      </c>
      <c r="R159" s="114"/>
      <c r="S159" s="114" t="s">
        <v>677</v>
      </c>
      <c r="T159" s="114">
        <v>155</v>
      </c>
      <c r="U159" s="116">
        <v>233</v>
      </c>
      <c r="V159" s="155">
        <f>(U159+T159)/2</f>
        <v>194</v>
      </c>
      <c r="W159" s="155">
        <v>1.8</v>
      </c>
      <c r="X159" s="124">
        <f>V159/W159</f>
        <v>107.77777777777777</v>
      </c>
      <c r="Y159" s="114" t="s">
        <v>2269</v>
      </c>
      <c r="Z159" s="114"/>
      <c r="AA159" s="114"/>
      <c r="AB159" s="114"/>
      <c r="AC159" s="289"/>
      <c r="AD159" s="791"/>
      <c r="AE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Aman"),IF(includeprebc,$S159="Pre-BC"),IF(includesunwell,$S159="Sunwell"))),MAX($AE$151:AE158)+1,"")</f>
        <v/>
      </c>
      <c r="AF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Aman"),IF(includeprebc,$S159="Pre-BC"),IF(includesunwell,$S159="Sunwell"))),MAX($AF$150:AF158)+1,"")</f>
        <v/>
      </c>
      <c r="AG159" s="114"/>
      <c r="AK159" s="48">
        <v>6</v>
      </c>
      <c r="AL159" s="151" t="str">
        <f>IF('Gear &amp; Buffs'!$Y$48="Dagger",IF(ISNA(INDEX($A$151:$A$210,MATCH(AK159,AE$151:AE$210,0))),"",INDEX($A$151:$A$210,MATCH(AK159,AE$151:AE$210,0))),"")&amp;
IF('Gear &amp; Buffs'!$Y$48="Sword",IF(ISNA(INDEX($A$212:$A$260,MATCH(AK159,AE$212:AE$260,0))),"",INDEX($A$212:$A$260,MATCH(AK159,AE$212:AE$260,0))),"")&amp;
IF('Gear &amp; Buffs'!$Y$48="Fist",IF(ISNA(INDEX($A$262:$A$281,MATCH(AK159,AE$262:AE$281,0))),"",INDEX($A$262:$A$281,MATCH(AK159,AE$262:AE$281,0))),"")&amp;
IF('Gear &amp; Buffs'!$Y$48="Mace",IF(ISNA(INDEX($A$283:$A$310,MATCH(AK159,AE$283:AE$310,0))),"",INDEX($A$283:$A$310,MATCH(AK159,AE$283:AE$310,0))),"")&amp;
IF('Gear &amp; Buffs'!$Y$48="All",IF(ISNA(INDEX($A$151:$A$310,MATCH(AK159,AF$151:AF$310,0))),"",INDEX($A$151:$A$310,MATCH(AK159,AF$151:AF$310,0))),"")</f>
        <v>Ceremonial Warmaul Blood-blade</v>
      </c>
      <c r="AP159" s="114"/>
    </row>
    <row r="160" spans="1:48">
      <c r="A160" s="10" t="s">
        <v>1999</v>
      </c>
      <c r="B160" s="114">
        <v>35095</v>
      </c>
      <c r="C160" s="114">
        <v>5</v>
      </c>
      <c r="D160" s="114"/>
      <c r="E160" s="114"/>
      <c r="F160" s="114">
        <v>38</v>
      </c>
      <c r="G160" s="115">
        <v>22</v>
      </c>
      <c r="H160" s="115">
        <v>9</v>
      </c>
      <c r="I160" s="847"/>
      <c r="J160" s="114">
        <v>49</v>
      </c>
      <c r="K160" s="116"/>
      <c r="L160" s="114">
        <v>31</v>
      </c>
      <c r="M160" s="116"/>
      <c r="N160" s="114">
        <v>12</v>
      </c>
      <c r="O160" s="116"/>
      <c r="P160" s="114"/>
      <c r="Q160" s="114" t="s">
        <v>1033</v>
      </c>
      <c r="R160" s="114"/>
      <c r="S160" s="114" t="s">
        <v>677</v>
      </c>
      <c r="T160" s="114">
        <v>105</v>
      </c>
      <c r="U160" s="116">
        <v>197</v>
      </c>
      <c r="V160" s="155">
        <f>(U160+T160)/2</f>
        <v>151</v>
      </c>
      <c r="W160" s="155">
        <v>1.4</v>
      </c>
      <c r="X160" s="124">
        <f>V160/W160</f>
        <v>107.85714285714286</v>
      </c>
      <c r="Y160" s="114" t="s">
        <v>2269</v>
      </c>
      <c r="Z160" s="114"/>
      <c r="AA160" s="114"/>
      <c r="AB160" s="114"/>
      <c r="AC160" s="289"/>
      <c r="AD160" s="791"/>
      <c r="AE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Aman"),IF(includeprebc,$S160="Pre-BC"),IF(includesunwell,$S160="Sunwell"))),MAX($AE$151:AE159)+1,"")</f>
        <v/>
      </c>
      <c r="AF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Aman"),IF(includeprebc,$S160="Pre-BC"),IF(includesunwell,$S160="Sunwell"))),MAX($AF$150:AF159)+1,"")</f>
        <v/>
      </c>
      <c r="AG160" s="114"/>
      <c r="AK160" s="48">
        <v>7</v>
      </c>
      <c r="AL160" s="151" t="str">
        <f>IF('Gear &amp; Buffs'!$Y$48="Dagger",IF(ISNA(INDEX($A$151:$A$210,MATCH(AK160,AE$151:AE$210,0))),"",INDEX($A$151:$A$210,MATCH(AK160,AE$151:AE$210,0))),"")&amp;
IF('Gear &amp; Buffs'!$Y$48="Sword",IF(ISNA(INDEX($A$212:$A$260,MATCH(AK160,AE$212:AE$260,0))),"",INDEX($A$212:$A$260,MATCH(AK160,AE$212:AE$260,0))),"")&amp;
IF('Gear &amp; Buffs'!$Y$48="Fist",IF(ISNA(INDEX($A$262:$A$281,MATCH(AK160,AE$262:AE$281,0))),"",INDEX($A$262:$A$281,MATCH(AK160,AE$262:AE$281,0))),"")&amp;
IF('Gear &amp; Buffs'!$Y$48="Mace",IF(ISNA(INDEX($A$283:$A$310,MATCH(AK160,AE$283:AE$310,0))),"",INDEX($A$283:$A$310,MATCH(AK160,AE$283:AE$310,0))),"")&amp;
IF('Gear &amp; Buffs'!$Y$48="All",IF(ISNA(INDEX($A$151:$A$310,MATCH(AK160,AF$151:AF$310,0))),"",INDEX($A$151:$A$310,MATCH(AK160,AF$151:AF$310,0))),"")</f>
        <v>Claw of the Netherwing Flight</v>
      </c>
    </row>
    <row r="161" spans="1:48">
      <c r="A161" s="10" t="s">
        <v>2281</v>
      </c>
      <c r="B161" s="114">
        <v>31305</v>
      </c>
      <c r="C161" s="114">
        <v>1</v>
      </c>
      <c r="D161" s="114"/>
      <c r="E161" s="114"/>
      <c r="F161" s="114">
        <v>30</v>
      </c>
      <c r="G161" s="115">
        <v>16</v>
      </c>
      <c r="H161" s="115"/>
      <c r="I161" s="115"/>
      <c r="J161" s="114"/>
      <c r="K161" s="116"/>
      <c r="L161" s="114">
        <v>13</v>
      </c>
      <c r="M161" s="116"/>
      <c r="N161" s="114"/>
      <c r="O161" s="116"/>
      <c r="P161" s="114"/>
      <c r="Q161" s="114" t="s">
        <v>1033</v>
      </c>
      <c r="R161" s="114"/>
      <c r="S161" s="114" t="s">
        <v>674</v>
      </c>
      <c r="T161" s="114">
        <v>103</v>
      </c>
      <c r="U161" s="116">
        <v>155</v>
      </c>
      <c r="V161" s="155">
        <f t="shared" ref="V161:V163" si="16">(U161+T161)/2</f>
        <v>129</v>
      </c>
      <c r="W161" s="155">
        <v>1.8</v>
      </c>
      <c r="X161" s="124">
        <f t="shared" ref="X161:X163" si="17">V161/W161</f>
        <v>71.666666666666671</v>
      </c>
      <c r="Y161" s="114" t="s">
        <v>2269</v>
      </c>
      <c r="Z161" s="114"/>
      <c r="AA161" s="114"/>
      <c r="AB161" s="114"/>
      <c r="AC161" s="289"/>
      <c r="AD161" s="114"/>
      <c r="AE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Aman"),IF(includeprebc,$S161="Pre-BC"),IF(includesunwell,$S161="Sunwell"))),MAX($AE$151:AE160)+1,"")</f>
        <v>5</v>
      </c>
      <c r="AF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Aman"),IF(includeprebc,$S161="Pre-BC"),IF(includesunwell,$S161="Sunwell"))),MAX($AF$150:AF160)+1,"")</f>
        <v>5</v>
      </c>
      <c r="AG161" s="114"/>
      <c r="AK161" s="48">
        <v>8</v>
      </c>
      <c r="AL161" s="151" t="str">
        <f>IF('Gear &amp; Buffs'!$Y$48="Dagger",IF(ISNA(INDEX($A$151:$A$210,MATCH(AK161,AE$151:AE$210,0))),"",INDEX($A$151:$A$210,MATCH(AK161,AE$151:AE$210,0))),"")&amp;
IF('Gear &amp; Buffs'!$Y$48="Sword",IF(ISNA(INDEX($A$212:$A$260,MATCH(AK161,AE$212:AE$260,0))),"",INDEX($A$212:$A$260,MATCH(AK161,AE$212:AE$260,0))),"")&amp;
IF('Gear &amp; Buffs'!$Y$48="Fist",IF(ISNA(INDEX($A$262:$A$281,MATCH(AK161,AE$262:AE$281,0))),"",INDEX($A$262:$A$281,MATCH(AK161,AE$262:AE$281,0))),"")&amp;
IF('Gear &amp; Buffs'!$Y$48="Mace",IF(ISNA(INDEX($A$283:$A$310,MATCH(AK161,AE$283:AE$310,0))),"",INDEX($A$283:$A$310,MATCH(AK161,AE$283:AE$310,0))),"")&amp;
IF('Gear &amp; Buffs'!$Y$48="All",IF(ISNA(INDEX($A$151:$A$310,MATCH(AK161,AF$151:AF$310,0))),"",INDEX($A$151:$A$310,MATCH(AK161,AF$151:AF$310,0))),"")</f>
        <v>Death's Sting</v>
      </c>
    </row>
    <row r="162" spans="1:48">
      <c r="A162" s="10" t="s">
        <v>2847</v>
      </c>
      <c r="B162" s="114">
        <v>25763</v>
      </c>
      <c r="C162" s="114">
        <v>1</v>
      </c>
      <c r="D162" s="114"/>
      <c r="E162" s="114">
        <v>13</v>
      </c>
      <c r="F162" s="114">
        <v>26</v>
      </c>
      <c r="G162" s="115"/>
      <c r="H162" s="115"/>
      <c r="I162" s="115"/>
      <c r="J162" s="114"/>
      <c r="K162" s="116"/>
      <c r="L162" s="114">
        <v>19</v>
      </c>
      <c r="M162" s="116"/>
      <c r="N162" s="114"/>
      <c r="O162" s="116"/>
      <c r="P162" s="114"/>
      <c r="Q162" s="114" t="s">
        <v>1033</v>
      </c>
      <c r="R162" s="114"/>
      <c r="S162" s="114" t="s">
        <v>675</v>
      </c>
      <c r="T162" s="114">
        <v>74</v>
      </c>
      <c r="U162" s="116">
        <v>139</v>
      </c>
      <c r="V162" s="155">
        <f t="shared" si="16"/>
        <v>106.5</v>
      </c>
      <c r="W162" s="155">
        <v>1.7</v>
      </c>
      <c r="X162" s="124">
        <f t="shared" si="17"/>
        <v>62.647058823529413</v>
      </c>
      <c r="Y162" s="114" t="s">
        <v>2269</v>
      </c>
      <c r="Z162" s="114"/>
      <c r="AA162" s="114"/>
      <c r="AB162" s="114"/>
      <c r="AC162" s="289"/>
      <c r="AD162" s="114"/>
      <c r="AE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Aman"),IF(includeprebc,$S162="Pre-BC"),IF(includesunwell,$S162="Sunwell"))),MAX($AE$151:AE161)+1,"")</f>
        <v>6</v>
      </c>
      <c r="AF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Aman"),IF(includeprebc,$S162="Pre-BC"),IF(includesunwell,$S162="Sunwell"))),MAX($AF$150:AF161)+1,"")</f>
        <v>6</v>
      </c>
      <c r="AG162" s="114"/>
      <c r="AK162" s="48">
        <v>9</v>
      </c>
      <c r="AL162" s="151" t="str">
        <f>IF('Gear &amp; Buffs'!$Y$48="Dagger",IF(ISNA(INDEX($A$151:$A$210,MATCH(AK162,AE$151:AE$210,0))),"",INDEX($A$151:$A$210,MATCH(AK162,AE$151:AE$210,0))),"")&amp;
IF('Gear &amp; Buffs'!$Y$48="Sword",IF(ISNA(INDEX($A$212:$A$260,MATCH(AK162,AE$212:AE$260,0))),"",INDEX($A$212:$A$260,MATCH(AK162,AE$212:AE$260,0))),"")&amp;
IF('Gear &amp; Buffs'!$Y$48="Fist",IF(ISNA(INDEX($A$262:$A$281,MATCH(AK162,AE$262:AE$281,0))),"",INDEX($A$262:$A$281,MATCH(AK162,AE$262:AE$281,0))),"")&amp;
IF('Gear &amp; Buffs'!$Y$48="Mace",IF(ISNA(INDEX($A$283:$A$310,MATCH(AK162,AE$283:AE$310,0))),"",INDEX($A$283:$A$310,MATCH(AK162,AE$283:AE$310,0))),"")&amp;
IF('Gear &amp; Buffs'!$Y$48="All",IF(ISNA(INDEX($A$151:$A$310,MATCH(AK162,AF$151:AF$310,0))),"",INDEX($A$151:$A$310,MATCH(AK162,AF$151:AF$310,0))),"")</f>
        <v>Dirge</v>
      </c>
    </row>
    <row r="163" spans="1:48">
      <c r="A163" s="10" t="s">
        <v>2846</v>
      </c>
      <c r="B163" s="114">
        <v>31492</v>
      </c>
      <c r="C163" s="114">
        <v>1</v>
      </c>
      <c r="D163" s="114"/>
      <c r="E163" s="114">
        <v>15</v>
      </c>
      <c r="F163" s="114">
        <v>30</v>
      </c>
      <c r="G163" s="115">
        <v>15</v>
      </c>
      <c r="H163" s="115"/>
      <c r="I163" s="115"/>
      <c r="J163" s="114"/>
      <c r="K163" s="116">
        <v>15</v>
      </c>
      <c r="L163" s="114"/>
      <c r="M163" s="116"/>
      <c r="N163" s="114"/>
      <c r="O163" s="116"/>
      <c r="P163" s="114"/>
      <c r="Q163" s="114" t="s">
        <v>1033</v>
      </c>
      <c r="R163" s="114"/>
      <c r="S163" s="114" t="s">
        <v>675</v>
      </c>
      <c r="T163" s="114">
        <v>83</v>
      </c>
      <c r="U163" s="116">
        <v>156</v>
      </c>
      <c r="V163" s="155">
        <f t="shared" si="16"/>
        <v>119.5</v>
      </c>
      <c r="W163" s="155">
        <v>1.8</v>
      </c>
      <c r="X163" s="124">
        <f t="shared" si="17"/>
        <v>66.388888888888886</v>
      </c>
      <c r="Y163" s="114" t="s">
        <v>2269</v>
      </c>
      <c r="Z163" s="114"/>
      <c r="AA163" s="114"/>
      <c r="AB163" s="114"/>
      <c r="AC163" s="289"/>
      <c r="AD163" s="114"/>
      <c r="AE163" s="114">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Aman"),IF(includeprebc,$S163="Pre-BC"),IF(includesunwell,$S163="Sunwell"))),MAX($AE$151:AE162)+1,"")</f>
        <v>7</v>
      </c>
      <c r="AF163" s="114">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Aman"),IF(includeprebc,$S163="Pre-BC"),IF(includesunwell,$S163="Sunwell"))),MAX($AF$150:AF162)+1,"")</f>
        <v>7</v>
      </c>
      <c r="AG163" s="114"/>
      <c r="AK163" s="48">
        <v>10</v>
      </c>
      <c r="AL163" s="151" t="str">
        <f>IF('Gear &amp; Buffs'!$Y$48="Dagger",IF(ISNA(INDEX($A$151:$A$210,MATCH(AK163,AE$151:AE$210,0))),"",INDEX($A$151:$A$210,MATCH(AK163,AE$151:AE$210,0))),"")&amp;
IF('Gear &amp; Buffs'!$Y$48="Sword",IF(ISNA(INDEX($A$212:$A$260,MATCH(AK163,AE$212:AE$260,0))),"",INDEX($A$212:$A$260,MATCH(AK163,AE$212:AE$260,0))),"")&amp;
IF('Gear &amp; Buffs'!$Y$48="Fist",IF(ISNA(INDEX($A$262:$A$281,MATCH(AK163,AE$262:AE$281,0))),"",INDEX($A$262:$A$281,MATCH(AK163,AE$262:AE$281,0))),"")&amp;
IF('Gear &amp; Buffs'!$Y$48="Mace",IF(ISNA(INDEX($A$283:$A$310,MATCH(AK163,AE$283:AE$310,0))),"",INDEX($A$283:$A$310,MATCH(AK163,AE$283:AE$310,0))),"")&amp;
IF('Gear &amp; Buffs'!$Y$48="All",IF(ISNA(INDEX($A$151:$A$310,MATCH(AK163,AF$151:AF$310,0))),"",INDEX($A$151:$A$310,MATCH(AK163,AF$151:AF$310,0))),"")</f>
        <v>Emerald Ripper</v>
      </c>
    </row>
    <row r="164" spans="1:48">
      <c r="A164" s="10" t="s">
        <v>988</v>
      </c>
      <c r="B164" s="114">
        <v>34329</v>
      </c>
      <c r="C164" s="114">
        <v>5</v>
      </c>
      <c r="D164" s="114"/>
      <c r="E164" s="114">
        <v>18</v>
      </c>
      <c r="F164" s="114">
        <v>56</v>
      </c>
      <c r="G164" s="115"/>
      <c r="H164" s="115"/>
      <c r="I164" s="115">
        <v>27</v>
      </c>
      <c r="J164" s="114"/>
      <c r="K164" s="116"/>
      <c r="L164" s="114">
        <v>15</v>
      </c>
      <c r="M164" s="116"/>
      <c r="N164" s="114"/>
      <c r="O164" s="116"/>
      <c r="P164" s="114"/>
      <c r="Q164" s="114" t="s">
        <v>1035</v>
      </c>
      <c r="R164" s="114" t="s">
        <v>1066</v>
      </c>
      <c r="S164" s="114" t="s">
        <v>871</v>
      </c>
      <c r="T164" s="114">
        <v>164</v>
      </c>
      <c r="U164" s="116">
        <v>247</v>
      </c>
      <c r="V164" s="155">
        <f t="shared" si="14"/>
        <v>205.5</v>
      </c>
      <c r="W164" s="155">
        <v>1.8</v>
      </c>
      <c r="X164" s="124">
        <f t="shared" si="15"/>
        <v>114.16666666666666</v>
      </c>
      <c r="Y164" s="114" t="s">
        <v>2269</v>
      </c>
      <c r="Z164" s="114"/>
      <c r="AA164" s="114"/>
      <c r="AB164" s="114"/>
      <c r="AC164" s="289"/>
      <c r="AD164" s="114"/>
      <c r="AE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Aman"),IF(includeprebc,$S164="Pre-BC"),IF(includesunwell,$S164="Sunwell"))),MAX($AE$151:AE163)+1,"")</f>
        <v/>
      </c>
      <c r="AF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Aman"),IF(includeprebc,$S164="Pre-BC"),IF(includesunwell,$S164="Sunwell"))),MAX($AF$150:AF163)+1,"")</f>
        <v/>
      </c>
      <c r="AG164" s="114"/>
      <c r="AK164" s="48">
        <v>11</v>
      </c>
      <c r="AL164" s="151" t="str">
        <f>IF('Gear &amp; Buffs'!$Y$48="Dagger",IF(ISNA(INDEX($A$151:$A$210,MATCH(AK164,AE$151:AE$210,0))),"",INDEX($A$151:$A$210,MATCH(AK164,AE$151:AE$210,0))),"")&amp;
IF('Gear &amp; Buffs'!$Y$48="Sword",IF(ISNA(INDEX($A$212:$A$260,MATCH(AK164,AE$212:AE$260,0))),"",INDEX($A$212:$A$260,MATCH(AK164,AE$212:AE$260,0))),"")&amp;
IF('Gear &amp; Buffs'!$Y$48="Fist",IF(ISNA(INDEX($A$262:$A$281,MATCH(AK164,AE$262:AE$281,0))),"",INDEX($A$262:$A$281,MATCH(AK164,AE$262:AE$281,0))),"")&amp;
IF('Gear &amp; Buffs'!$Y$48="Mace",IF(ISNA(INDEX($A$283:$A$310,MATCH(AK164,AE$283:AE$310,0))),"",INDEX($A$283:$A$310,MATCH(AK164,AE$283:AE$310,0))),"")&amp;
IF('Gear &amp; Buffs'!$Y$48="All",IF(ISNA(INDEX($A$151:$A$310,MATCH(AK164,AF$151:AF$310,0))),"",INDEX($A$151:$A$310,MATCH(AK164,AF$151:AF$310,0))),"")</f>
        <v>Feltooth Eviscerator</v>
      </c>
    </row>
    <row r="165" spans="1:48">
      <c r="A165" s="10" t="s">
        <v>646</v>
      </c>
      <c r="B165" s="114">
        <v>32659</v>
      </c>
      <c r="C165" s="114">
        <v>3</v>
      </c>
      <c r="D165" s="114"/>
      <c r="E165" s="114">
        <v>11</v>
      </c>
      <c r="F165" s="114">
        <v>40</v>
      </c>
      <c r="G165" s="115"/>
      <c r="H165" s="115"/>
      <c r="I165" s="115"/>
      <c r="J165" s="114"/>
      <c r="K165" s="116"/>
      <c r="L165" s="114">
        <v>12</v>
      </c>
      <c r="M165" s="116"/>
      <c r="N165" s="114"/>
      <c r="O165" s="116"/>
      <c r="P165" s="114"/>
      <c r="Q165" s="114" t="s">
        <v>1033</v>
      </c>
      <c r="R165" s="114"/>
      <c r="S165" s="114" t="s">
        <v>674</v>
      </c>
      <c r="T165" s="114">
        <v>103</v>
      </c>
      <c r="U165" s="116">
        <v>155</v>
      </c>
      <c r="V165" s="155">
        <f t="shared" si="14"/>
        <v>129</v>
      </c>
      <c r="W165" s="155">
        <v>1.8</v>
      </c>
      <c r="X165" s="124">
        <f t="shared" si="15"/>
        <v>71.666666666666671</v>
      </c>
      <c r="Y165" s="114" t="s">
        <v>2269</v>
      </c>
      <c r="Z165" s="114"/>
      <c r="AA165" s="114"/>
      <c r="AB165" s="114"/>
      <c r="AC165" s="289"/>
      <c r="AD165" s="114"/>
      <c r="AE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Aman"),IF(includeprebc,$S165="Pre-BC"),IF(includesunwell,$S165="Sunwell"))),MAX($AE$151:AE164)+1,"")</f>
        <v/>
      </c>
      <c r="AF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Aman"),IF(includeprebc,$S165="Pre-BC"),IF(includesunwell,$S165="Sunwell"))),MAX($AF$150:AF164)+1,"")</f>
        <v/>
      </c>
      <c r="AG165" s="114"/>
      <c r="AK165" s="48">
        <v>12</v>
      </c>
      <c r="AL165" s="151" t="str">
        <f>IF('Gear &amp; Buffs'!$Y$48="Dagger",IF(ISNA(INDEX($A$151:$A$210,MATCH(AK165,AE$151:AE$210,0))),"",INDEX($A$151:$A$210,MATCH(AK165,AE$151:AE$210,0))),"")&amp;
IF('Gear &amp; Buffs'!$Y$48="Sword",IF(ISNA(INDEX($A$212:$A$260,MATCH(AK165,AE$212:AE$260,0))),"",INDEX($A$212:$A$260,MATCH(AK165,AE$212:AE$260,0))),"")&amp;
IF('Gear &amp; Buffs'!$Y$48="Fist",IF(ISNA(INDEX($A$262:$A$281,MATCH(AK165,AE$262:AE$281,0))),"",INDEX($A$262:$A$281,MATCH(AK165,AE$262:AE$281,0))),"")&amp;
IF('Gear &amp; Buffs'!$Y$48="Mace",IF(ISNA(INDEX($A$283:$A$310,MATCH(AK165,AE$283:AE$310,0))),"",INDEX($A$283:$A$310,MATCH(AK165,AE$283:AE$310,0))),"")&amp;
IF('Gear &amp; Buffs'!$Y$48="All",IF(ISNA(INDEX($A$151:$A$310,MATCH(AK165,AF$151:AF$310,0))),"",INDEX($A$151:$A$310,MATCH(AK165,AF$151:AF$310,0))),"")</f>
        <v>Gladiator's Shanker</v>
      </c>
      <c r="AM165" s="114"/>
      <c r="AN165" s="114"/>
      <c r="AO165" s="114"/>
    </row>
    <row r="166" spans="1:48">
      <c r="A166" s="10" t="s">
        <v>1663</v>
      </c>
      <c r="B166" s="114">
        <v>33389</v>
      </c>
      <c r="C166" s="114">
        <v>4</v>
      </c>
      <c r="D166" s="114"/>
      <c r="E166" s="114">
        <v>21</v>
      </c>
      <c r="F166" s="114">
        <v>40</v>
      </c>
      <c r="G166" s="115"/>
      <c r="H166" s="115"/>
      <c r="I166" s="115"/>
      <c r="J166" s="114">
        <v>140</v>
      </c>
      <c r="K166" s="116"/>
      <c r="L166" s="114"/>
      <c r="M166" s="116"/>
      <c r="N166" s="114"/>
      <c r="O166" s="116"/>
      <c r="P166" s="114"/>
      <c r="Q166" s="114" t="s">
        <v>1033</v>
      </c>
      <c r="R166" s="114"/>
      <c r="S166" s="114" t="s">
        <v>664</v>
      </c>
      <c r="T166" s="114">
        <v>137</v>
      </c>
      <c r="U166" s="116">
        <v>207</v>
      </c>
      <c r="V166" s="155">
        <f t="shared" si="14"/>
        <v>172</v>
      </c>
      <c r="W166" s="155">
        <v>1.8</v>
      </c>
      <c r="X166" s="124">
        <f t="shared" si="15"/>
        <v>95.555555555555557</v>
      </c>
      <c r="Y166" s="114" t="s">
        <v>2269</v>
      </c>
      <c r="Z166" s="114"/>
      <c r="AA166" s="114"/>
      <c r="AB166" s="114"/>
      <c r="AC166" s="289"/>
      <c r="AD166" s="114"/>
      <c r="AE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Aman"),IF(includeprebc,$S166="Pre-BC"),IF(includesunwell,$S166="Sunwell"))),MAX($AE$151:AE165)+1,"")</f>
        <v/>
      </c>
      <c r="AF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Aman"),IF(includeprebc,$S166="Pre-BC"),IF(includesunwell,$S166="Sunwell"))),MAX($AF$150:AF165)+1,"")</f>
        <v/>
      </c>
      <c r="AG166" s="114"/>
      <c r="AK166" s="48">
        <v>13</v>
      </c>
      <c r="AL166" s="151" t="str">
        <f>IF('Gear &amp; Buffs'!$Y$48="Dagger",IF(ISNA(INDEX($A$151:$A$210,MATCH(AK166,AE$151:AE$210,0))),"",INDEX($A$151:$A$210,MATCH(AK166,AE$151:AE$210,0))),"")&amp;
IF('Gear &amp; Buffs'!$Y$48="Sword",IF(ISNA(INDEX($A$212:$A$260,MATCH(AK166,AE$212:AE$260,0))),"",INDEX($A$212:$A$260,MATCH(AK166,AE$212:AE$260,0))),"")&amp;
IF('Gear &amp; Buffs'!$Y$48="Fist",IF(ISNA(INDEX($A$262:$A$281,MATCH(AK166,AE$262:AE$281,0))),"",INDEX($A$262:$A$281,MATCH(AK166,AE$262:AE$281,0))),"")&amp;
IF('Gear &amp; Buffs'!$Y$48="Mace",IF(ISNA(INDEX($A$283:$A$310,MATCH(AK166,AE$283:AE$310,0))),"",INDEX($A$283:$A$310,MATCH(AK166,AE$283:AE$310,0))),"")&amp;
IF('Gear &amp; Buffs'!$Y$48="All",IF(ISNA(INDEX($A$151:$A$310,MATCH(AK166,AF$151:AF$310,0))),"",INDEX($A$151:$A$310,MATCH(AK166,AF$151:AF$310,0))),"")</f>
        <v>Gladiator's Shiv</v>
      </c>
      <c r="AM166" s="114"/>
      <c r="AN166" s="114"/>
      <c r="AO166" s="114"/>
      <c r="AP166" s="114"/>
    </row>
    <row r="167" spans="1:48" s="114" customFormat="1">
      <c r="A167" s="10" t="s">
        <v>2405</v>
      </c>
      <c r="B167" s="114">
        <v>21126</v>
      </c>
      <c r="C167" s="114">
        <v>1</v>
      </c>
      <c r="F167" s="114">
        <v>38</v>
      </c>
      <c r="G167" s="115"/>
      <c r="H167" s="115"/>
      <c r="I167" s="115"/>
      <c r="K167" s="116">
        <v>7</v>
      </c>
      <c r="L167" s="114">
        <v>10</v>
      </c>
      <c r="M167" s="116"/>
      <c r="O167" s="116"/>
      <c r="Q167" s="114" t="s">
        <v>1033</v>
      </c>
      <c r="S167" s="114" t="s">
        <v>668</v>
      </c>
      <c r="T167" s="114">
        <v>95</v>
      </c>
      <c r="U167" s="116">
        <v>144</v>
      </c>
      <c r="V167" s="155">
        <f t="shared" si="14"/>
        <v>119.5</v>
      </c>
      <c r="W167" s="155">
        <v>1.8</v>
      </c>
      <c r="X167" s="124">
        <f t="shared" si="15"/>
        <v>66.388888888888886</v>
      </c>
      <c r="Y167" s="114" t="s">
        <v>2269</v>
      </c>
      <c r="AC167" s="289"/>
      <c r="AE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Aman"),IF(includeprebc,$S167="Pre-BC"),IF(includesunwell,$S167="Sunwell"))),MAX($AE$151:AE166)+1,"")</f>
        <v>8</v>
      </c>
      <c r="AF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Aman"),IF(includeprebc,$S167="Pre-BC"),IF(includesunwell,$S167="Sunwell"))),MAX($AF$150:AF166)+1,"")</f>
        <v>8</v>
      </c>
      <c r="AI167" s="129"/>
      <c r="AJ167" s="129"/>
      <c r="AK167" s="48">
        <v>14</v>
      </c>
      <c r="AL167" s="151" t="str">
        <f>IF('Gear &amp; Buffs'!$Y$48="Dagger",IF(ISNA(INDEX($A$151:$A$210,MATCH(AK167,AE$151:AE$210,0))),"",INDEX($A$151:$A$210,MATCH(AK167,AE$151:AE$210,0))),"")&amp;
IF('Gear &amp; Buffs'!$Y$48="Sword",IF(ISNA(INDEX($A$212:$A$260,MATCH(AK167,AE$212:AE$260,0))),"",INDEX($A$212:$A$260,MATCH(AK167,AE$212:AE$260,0))),"")&amp;
IF('Gear &amp; Buffs'!$Y$48="Fist",IF(ISNA(INDEX($A$262:$A$281,MATCH(AK167,AE$262:AE$281,0))),"",INDEX($A$262:$A$281,MATCH(AK167,AE$262:AE$281,0))),"")&amp;
IF('Gear &amp; Buffs'!$Y$48="Mace",IF(ISNA(INDEX($A$283:$A$310,MATCH(AK167,AE$283:AE$310,0))),"",INDEX($A$283:$A$310,MATCH(AK167,AE$283:AE$310,0))),"")&amp;
IF('Gear &amp; Buffs'!$Y$48="All",IF(ISNA(INDEX($A$151:$A$310,MATCH(AK167,AF$151:AF$310,0))),"",INDEX($A$151:$A$310,MATCH(AK167,AF$151:AF$310,0))),"")</f>
        <v>Grand Marshal's Shanker</v>
      </c>
      <c r="AM167" s="129"/>
      <c r="AN167" s="129"/>
      <c r="AO167" s="129"/>
      <c r="AQ167" s="129"/>
      <c r="AR167" s="129"/>
      <c r="AS167" s="129"/>
      <c r="AT167" s="129"/>
      <c r="AU167" s="129"/>
      <c r="AV167" s="129"/>
    </row>
    <row r="168" spans="1:48" s="114" customFormat="1">
      <c r="A168" s="10" t="s">
        <v>444</v>
      </c>
      <c r="B168" s="114">
        <v>23555</v>
      </c>
      <c r="C168" s="114">
        <v>1</v>
      </c>
      <c r="F168" s="114">
        <v>40</v>
      </c>
      <c r="G168" s="115">
        <v>20</v>
      </c>
      <c r="H168" s="115"/>
      <c r="I168" s="115"/>
      <c r="K168" s="116"/>
      <c r="M168" s="116"/>
      <c r="O168" s="116"/>
      <c r="Q168" s="114" t="s">
        <v>1033</v>
      </c>
      <c r="S168" s="114" t="s">
        <v>685</v>
      </c>
      <c r="T168" s="114">
        <v>81</v>
      </c>
      <c r="U168" s="116">
        <v>152</v>
      </c>
      <c r="V168" s="155">
        <f t="shared" si="14"/>
        <v>116.5</v>
      </c>
      <c r="W168" s="155">
        <v>1.4</v>
      </c>
      <c r="X168" s="124">
        <f t="shared" si="15"/>
        <v>83.214285714285722</v>
      </c>
      <c r="Y168" s="114" t="s">
        <v>2269</v>
      </c>
      <c r="AC168" s="289"/>
      <c r="AE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Aman"),IF(includeprebc,$S168="Pre-BC"),IF(includesunwell,$S168="Sunwell"))),MAX($AE$151:AE167)+1,"")</f>
        <v>9</v>
      </c>
      <c r="AF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Aman"),IF(includeprebc,$S168="Pre-BC"),IF(includesunwell,$S168="Sunwell"))),MAX($AF$150:AF167)+1,"")</f>
        <v>9</v>
      </c>
      <c r="AI168" s="129"/>
      <c r="AJ168" s="129"/>
      <c r="AK168" s="48">
        <v>15</v>
      </c>
      <c r="AL168" s="151" t="str">
        <f>IF('Gear &amp; Buffs'!$Y$48="Dagger",IF(ISNA(INDEX($A$151:$A$210,MATCH(AK168,AE$151:AE$210,0))),"",INDEX($A$151:$A$210,MATCH(AK168,AE$151:AE$210,0))),"")&amp;
IF('Gear &amp; Buffs'!$Y$48="Sword",IF(ISNA(INDEX($A$212:$A$260,MATCH(AK168,AE$212:AE$260,0))),"",INDEX($A$212:$A$260,MATCH(AK168,AE$212:AE$260,0))),"")&amp;
IF('Gear &amp; Buffs'!$Y$48="Fist",IF(ISNA(INDEX($A$262:$A$281,MATCH(AK168,AE$262:AE$281,0))),"",INDEX($A$262:$A$281,MATCH(AK168,AE$262:AE$281,0))),"")&amp;
IF('Gear &amp; Buffs'!$Y$48="Mace",IF(ISNA(INDEX($A$283:$A$310,MATCH(AK168,AE$283:AE$310,0))),"",INDEX($A$283:$A$310,MATCH(AK168,AE$283:AE$310,0))),"")&amp;
IF('Gear &amp; Buffs'!$Y$48="All",IF(ISNA(INDEX($A$151:$A$310,MATCH(AK168,AF$151:AF$310,0))),"",INDEX($A$151:$A$310,MATCH(AK168,AF$151:AF$310,0))),"")</f>
        <v>Grand Marshal's Shiv</v>
      </c>
      <c r="AM168" s="129"/>
      <c r="AN168" s="129"/>
      <c r="AO168" s="129"/>
      <c r="AP168" s="129"/>
      <c r="AQ168" s="129"/>
      <c r="AR168" s="129"/>
      <c r="AS168" s="129"/>
      <c r="AT168" s="129"/>
      <c r="AU168" s="129"/>
      <c r="AV168" s="129"/>
    </row>
    <row r="169" spans="1:48">
      <c r="A169" s="10" t="s">
        <v>1142</v>
      </c>
      <c r="B169" s="114">
        <v>34606</v>
      </c>
      <c r="C169" s="114">
        <v>5</v>
      </c>
      <c r="D169" s="114"/>
      <c r="E169" s="114"/>
      <c r="F169" s="114">
        <v>36</v>
      </c>
      <c r="G169" s="115"/>
      <c r="H169" s="115"/>
      <c r="I169" s="115">
        <v>17</v>
      </c>
      <c r="J169" s="114"/>
      <c r="K169" s="116"/>
      <c r="L169" s="114">
        <v>25</v>
      </c>
      <c r="M169" s="116"/>
      <c r="N169" s="114"/>
      <c r="O169" s="116"/>
      <c r="P169" s="114"/>
      <c r="Q169" s="114" t="s">
        <v>1033</v>
      </c>
      <c r="R169" s="114"/>
      <c r="S169" s="114" t="s">
        <v>691</v>
      </c>
      <c r="T169" s="114">
        <v>79</v>
      </c>
      <c r="U169" s="116">
        <v>148</v>
      </c>
      <c r="V169" s="155">
        <f t="shared" si="14"/>
        <v>113.5</v>
      </c>
      <c r="W169" s="155">
        <v>1.3</v>
      </c>
      <c r="X169" s="124">
        <f t="shared" si="15"/>
        <v>87.307692307692307</v>
      </c>
      <c r="Y169" s="114" t="s">
        <v>2269</v>
      </c>
      <c r="Z169" s="114"/>
      <c r="AA169" s="114"/>
      <c r="AB169" s="114"/>
      <c r="AC169" s="289"/>
      <c r="AD169" s="114"/>
      <c r="AE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Aman"),IF(includeprebc,$S169="Pre-BC"),IF(includesunwell,$S169="Sunwell"))),MAX($AE$151:AE168)+1,"")</f>
        <v/>
      </c>
      <c r="AF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Aman"),IF(includeprebc,$S169="Pre-BC"),IF(includesunwell,$S169="Sunwell"))),MAX($AF$150:AF168)+1,"")</f>
        <v/>
      </c>
      <c r="AG169" s="114"/>
      <c r="AK169" s="48">
        <v>16</v>
      </c>
      <c r="AL169" s="151" t="str">
        <f>IF('Gear &amp; Buffs'!$Y$48="Dagger",IF(ISNA(INDEX($A$151:$A$210,MATCH(AK169,AE$151:AE$210,0))),"",INDEX($A$151:$A$210,MATCH(AK169,AE$151:AE$210,0))),"")&amp;
IF('Gear &amp; Buffs'!$Y$48="Sword",IF(ISNA(INDEX($A$212:$A$260,MATCH(AK169,AE$212:AE$260,0))),"",INDEX($A$212:$A$260,MATCH(AK169,AE$212:AE$260,0))),"")&amp;
IF('Gear &amp; Buffs'!$Y$48="Fist",IF(ISNA(INDEX($A$262:$A$281,MATCH(AK169,AE$262:AE$281,0))),"",INDEX($A$262:$A$281,MATCH(AK169,AE$262:AE$281,0))),"")&amp;
IF('Gear &amp; Buffs'!$Y$48="Mace",IF(ISNA(INDEX($A$283:$A$310,MATCH(AK169,AE$283:AE$310,0))),"",INDEX($A$283:$A$310,MATCH(AK169,AE$283:AE$310,0))),"")&amp;
IF('Gear &amp; Buffs'!$Y$48="All",IF(ISNA(INDEX($A$151:$A$310,MATCH(AK169,AF$151:AF$310,0))),"",INDEX($A$151:$A$310,MATCH(AK169,AF$151:AF$310,0))),"")</f>
        <v>Guile of Khoraazi</v>
      </c>
    </row>
    <row r="170" spans="1:48">
      <c r="A170" s="10" t="s">
        <v>446</v>
      </c>
      <c r="B170" s="114">
        <v>28524</v>
      </c>
      <c r="C170" s="114">
        <v>1</v>
      </c>
      <c r="D170" s="114"/>
      <c r="E170" s="114">
        <v>19</v>
      </c>
      <c r="F170" s="114">
        <v>36</v>
      </c>
      <c r="G170" s="115"/>
      <c r="H170" s="115"/>
      <c r="I170" s="115"/>
      <c r="J170" s="114"/>
      <c r="K170" s="116"/>
      <c r="L170" s="114">
        <v>18</v>
      </c>
      <c r="M170" s="116"/>
      <c r="N170" s="114"/>
      <c r="O170" s="116"/>
      <c r="P170" s="114"/>
      <c r="Q170" s="114" t="s">
        <v>1033</v>
      </c>
      <c r="R170" s="114"/>
      <c r="S170" s="114" t="s">
        <v>672</v>
      </c>
      <c r="T170" s="114">
        <v>126</v>
      </c>
      <c r="U170" s="116">
        <v>189</v>
      </c>
      <c r="V170" s="155">
        <f t="shared" si="14"/>
        <v>157.5</v>
      </c>
      <c r="W170" s="155">
        <v>1.8</v>
      </c>
      <c r="X170" s="124">
        <f t="shared" si="15"/>
        <v>87.5</v>
      </c>
      <c r="Y170" s="114" t="s">
        <v>2269</v>
      </c>
      <c r="Z170" s="114"/>
      <c r="AA170" s="114"/>
      <c r="AB170" s="114"/>
      <c r="AC170" s="289"/>
      <c r="AD170" s="114"/>
      <c r="AE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Aman"),IF(includeprebc,$S170="Pre-BC"),IF(includesunwell,$S170="Sunwell"))),MAX($AE$151:AE169)+1,"")</f>
        <v>10</v>
      </c>
      <c r="AF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Aman"),IF(includeprebc,$S170="Pre-BC"),IF(includesunwell,$S170="Sunwell"))),MAX($AF$150:AF169)+1,"")</f>
        <v>10</v>
      </c>
      <c r="AG170" s="114"/>
      <c r="AK170" s="48">
        <v>17</v>
      </c>
      <c r="AL170" s="151" t="str">
        <f>IF('Gear &amp; Buffs'!$Y$48="Dagger",IF(ISNA(INDEX($A$151:$A$210,MATCH(AK170,AE$151:AE$210,0))),"",INDEX($A$151:$A$210,MATCH(AK170,AE$151:AE$210,0))),"")&amp;
IF('Gear &amp; Buffs'!$Y$48="Sword",IF(ISNA(INDEX($A$212:$A$260,MATCH(AK170,AE$212:AE$260,0))),"",INDEX($A$212:$A$260,MATCH(AK170,AE$212:AE$260,0))),"")&amp;
IF('Gear &amp; Buffs'!$Y$48="Fist",IF(ISNA(INDEX($A$262:$A$281,MATCH(AK170,AE$262:AE$281,0))),"",INDEX($A$262:$A$281,MATCH(AK170,AE$262:AE$281,0))),"")&amp;
IF('Gear &amp; Buffs'!$Y$48="Mace",IF(ISNA(INDEX($A$283:$A$310,MATCH(AK170,AE$283:AE$310,0))),"",INDEX($A$283:$A$310,MATCH(AK170,AE$283:AE$310,0))),"")&amp;
IF('Gear &amp; Buffs'!$Y$48="All",IF(ISNA(INDEX($A$151:$A$310,MATCH(AK170,AF$151:AF$310,0))),"",INDEX($A$151:$A$310,MATCH(AK170,AF$151:AF$310,0))),"")</f>
        <v>Harbinger of Doom</v>
      </c>
    </row>
    <row r="171" spans="1:48">
      <c r="A171" s="10" t="s">
        <v>987</v>
      </c>
      <c r="B171" s="114">
        <v>34165</v>
      </c>
      <c r="C171" s="114">
        <v>5</v>
      </c>
      <c r="D171" s="114"/>
      <c r="E171" s="114">
        <v>25</v>
      </c>
      <c r="F171" s="114">
        <v>48</v>
      </c>
      <c r="G171" s="115"/>
      <c r="H171" s="115"/>
      <c r="I171" s="115">
        <v>25</v>
      </c>
      <c r="J171" s="114"/>
      <c r="K171" s="116"/>
      <c r="L171" s="114"/>
      <c r="M171" s="116"/>
      <c r="N171" s="114"/>
      <c r="O171" s="116"/>
      <c r="P171" s="114"/>
      <c r="Q171" s="114" t="s">
        <v>1033</v>
      </c>
      <c r="R171" s="114"/>
      <c r="S171" s="114" t="s">
        <v>871</v>
      </c>
      <c r="T171" s="114">
        <v>113</v>
      </c>
      <c r="U171" s="116">
        <v>211</v>
      </c>
      <c r="V171" s="155">
        <f t="shared" si="14"/>
        <v>162</v>
      </c>
      <c r="W171" s="155">
        <v>1.5</v>
      </c>
      <c r="X171" s="124">
        <f t="shared" si="15"/>
        <v>108</v>
      </c>
      <c r="Y171" s="114" t="s">
        <v>2269</v>
      </c>
      <c r="Z171" s="114"/>
      <c r="AA171" s="114"/>
      <c r="AB171" s="114"/>
      <c r="AC171" s="289"/>
      <c r="AD171" s="114"/>
      <c r="AE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Aman"),IF(includeprebc,$S171="Pre-BC"),IF(includesunwell,$S171="Sunwell"))),MAX($AE$151:AE170)+1,"")</f>
        <v/>
      </c>
      <c r="AF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Aman"),IF(includeprebc,$S171="Pre-BC"),IF(includesunwell,$S171="Sunwell"))),MAX($AF$150:AF170)+1,"")</f>
        <v/>
      </c>
      <c r="AG171" s="114"/>
      <c r="AK171" s="48">
        <v>18</v>
      </c>
      <c r="AL171" s="151" t="str">
        <f>IF('Gear &amp; Buffs'!$Y$48="Dagger",IF(ISNA(INDEX($A$151:$A$210,MATCH(AK171,AE$151:AE$210,0))),"",INDEX($A$151:$A$210,MATCH(AK171,AE$151:AE$210,0))),"")&amp;
IF('Gear &amp; Buffs'!$Y$48="Sword",IF(ISNA(INDEX($A$212:$A$260,MATCH(AK171,AE$212:AE$260,0))),"",INDEX($A$212:$A$260,MATCH(AK171,AE$212:AE$260,0))),"")&amp;
IF('Gear &amp; Buffs'!$Y$48="Fist",IF(ISNA(INDEX($A$262:$A$281,MATCH(AK171,AE$262:AE$281,0))),"",INDEX($A$262:$A$281,MATCH(AK171,AE$262:AE$281,0))),"")&amp;
IF('Gear &amp; Buffs'!$Y$48="Mace",IF(ISNA(INDEX($A$283:$A$310,MATCH(AK171,AE$283:AE$310,0))),"",INDEX($A$283:$A$310,MATCH(AK171,AE$283:AE$310,0))),"")&amp;
IF('Gear &amp; Buffs'!$Y$48="All",IF(ISNA(INDEX($A$151:$A$310,MATCH(AK171,AF$151:AF$310,0))),"",INDEX($A$151:$A$310,MATCH(AK171,AF$151:AF$310,0))),"")</f>
        <v>High Warlord's Shanker</v>
      </c>
    </row>
    <row r="172" spans="1:48">
      <c r="A172" s="10" t="s">
        <v>447</v>
      </c>
      <c r="B172" s="114">
        <v>30103</v>
      </c>
      <c r="C172" s="114">
        <v>2</v>
      </c>
      <c r="D172" s="114"/>
      <c r="E172" s="114"/>
      <c r="F172" s="114">
        <v>56</v>
      </c>
      <c r="G172" s="115"/>
      <c r="H172" s="115"/>
      <c r="I172" s="115"/>
      <c r="J172" s="114"/>
      <c r="K172" s="116">
        <v>21</v>
      </c>
      <c r="L172" s="114">
        <v>19</v>
      </c>
      <c r="M172" s="116"/>
      <c r="N172" s="114"/>
      <c r="O172" s="116"/>
      <c r="P172" s="114"/>
      <c r="Q172" s="114" t="s">
        <v>1033</v>
      </c>
      <c r="R172" s="114"/>
      <c r="S172" s="114" t="s">
        <v>667</v>
      </c>
      <c r="T172" s="114">
        <v>144</v>
      </c>
      <c r="U172" s="116">
        <v>217</v>
      </c>
      <c r="V172" s="155">
        <f t="shared" si="14"/>
        <v>180.5</v>
      </c>
      <c r="W172" s="155">
        <v>1.8</v>
      </c>
      <c r="X172" s="124">
        <f t="shared" si="15"/>
        <v>100.27777777777777</v>
      </c>
      <c r="Y172" s="114" t="s">
        <v>2269</v>
      </c>
      <c r="Z172" s="114"/>
      <c r="AA172" s="114"/>
      <c r="AB172" s="114"/>
      <c r="AC172" s="289"/>
      <c r="AD172" s="114"/>
      <c r="AE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Aman"),IF(includeprebc,$S172="Pre-BC"),IF(includesunwell,$S172="Sunwell"))),MAX($AE$151:AE171)+1,"")</f>
        <v/>
      </c>
      <c r="AF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Aman"),IF(includeprebc,$S172="Pre-BC"),IF(includesunwell,$S172="Sunwell"))),MAX($AF$150:AF171)+1,"")</f>
        <v/>
      </c>
      <c r="AG172" s="114"/>
      <c r="AK172" s="48">
        <v>19</v>
      </c>
      <c r="AL172" s="151" t="str">
        <f>IF('Gear &amp; Buffs'!$Y$48="Dagger",IF(ISNA(INDEX($A$151:$A$210,MATCH(AK172,AE$151:AE$210,0))),"",INDEX($A$151:$A$210,MATCH(AK172,AE$151:AE$210,0))),"")&amp;
IF('Gear &amp; Buffs'!$Y$48="Sword",IF(ISNA(INDEX($A$212:$A$260,MATCH(AK172,AE$212:AE$260,0))),"",INDEX($A$212:$A$260,MATCH(AK172,AE$212:AE$260,0))),"")&amp;
IF('Gear &amp; Buffs'!$Y$48="Fist",IF(ISNA(INDEX($A$262:$A$281,MATCH(AK172,AE$262:AE$281,0))),"",INDEX($A$262:$A$281,MATCH(AK172,AE$262:AE$281,0))),"")&amp;
IF('Gear &amp; Buffs'!$Y$48="Mace",IF(ISNA(INDEX($A$283:$A$310,MATCH(AK172,AE$283:AE$310,0))),"",INDEX($A$283:$A$310,MATCH(AK172,AE$283:AE$310,0))),"")&amp;
IF('Gear &amp; Buffs'!$Y$48="All",IF(ISNA(INDEX($A$151:$A$310,MATCH(AK172,AF$151:AF$310,0))),"",INDEX($A$151:$A$310,MATCH(AK172,AF$151:AF$310,0))),"")</f>
        <v>High Warlord's Shiv</v>
      </c>
    </row>
    <row r="173" spans="1:48">
      <c r="A173" s="10" t="s">
        <v>1735</v>
      </c>
      <c r="B173" s="114">
        <v>29346</v>
      </c>
      <c r="C173" s="114">
        <v>1</v>
      </c>
      <c r="D173" s="114"/>
      <c r="E173" s="114"/>
      <c r="F173" s="114">
        <v>34</v>
      </c>
      <c r="G173" s="115">
        <v>22</v>
      </c>
      <c r="H173" s="115"/>
      <c r="I173" s="115"/>
      <c r="J173" s="114"/>
      <c r="K173" s="116"/>
      <c r="L173" s="114"/>
      <c r="M173" s="116"/>
      <c r="N173" s="114"/>
      <c r="O173" s="116"/>
      <c r="P173" s="114"/>
      <c r="Q173" s="114" t="s">
        <v>1033</v>
      </c>
      <c r="R173" s="114"/>
      <c r="S173" s="114" t="s">
        <v>691</v>
      </c>
      <c r="T173" s="114">
        <v>83</v>
      </c>
      <c r="U173" s="116">
        <v>156</v>
      </c>
      <c r="V173" s="155">
        <f t="shared" si="14"/>
        <v>119.5</v>
      </c>
      <c r="W173" s="155">
        <v>1.4</v>
      </c>
      <c r="X173" s="124">
        <f t="shared" si="15"/>
        <v>85.357142857142861</v>
      </c>
      <c r="Y173" s="114" t="s">
        <v>2269</v>
      </c>
      <c r="Z173" s="114"/>
      <c r="AA173" s="114"/>
      <c r="AB173" s="114"/>
      <c r="AC173" s="289"/>
      <c r="AD173" s="114"/>
      <c r="AE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Aman"),IF(includeprebc,$S173="Pre-BC"),IF(includesunwell,$S173="Sunwell"))),MAX($AE$151:AE172)+1,"")</f>
        <v>11</v>
      </c>
      <c r="AF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Aman"),IF(includeprebc,$S173="Pre-BC"),IF(includesunwell,$S173="Sunwell"))),MAX($AF$150:AF172)+1,"")</f>
        <v>11</v>
      </c>
      <c r="AG173" s="114"/>
      <c r="AK173" s="48">
        <v>20</v>
      </c>
      <c r="AL173" s="151" t="str">
        <f>IF('Gear &amp; Buffs'!$Y$48="Dagger",IF(ISNA(INDEX($A$151:$A$210,MATCH(AK173,AE$151:AE$210,0))),"",INDEX($A$151:$A$210,MATCH(AK173,AE$151:AE$210,0))),"")&amp;
IF('Gear &amp; Buffs'!$Y$48="Sword",IF(ISNA(INDEX($A$212:$A$260,MATCH(AK173,AE$212:AE$260,0))),"",INDEX($A$212:$A$260,MATCH(AK173,AE$212:AE$260,0))),"")&amp;
IF('Gear &amp; Buffs'!$Y$48="Fist",IF(ISNA(INDEX($A$262:$A$281,MATCH(AK173,AE$262:AE$281,0))),"",INDEX($A$262:$A$281,MATCH(AK173,AE$262:AE$281,0))),"")&amp;
IF('Gear &amp; Buffs'!$Y$48="Mace",IF(ISNA(INDEX($A$283:$A$310,MATCH(AK173,AE$283:AE$310,0))),"",INDEX($A$283:$A$310,MATCH(AK173,AE$283:AE$310,0))),"")&amp;
IF('Gear &amp; Buffs'!$Y$48="All",IF(ISNA(INDEX($A$151:$A$310,MATCH(AK173,AF$151:AF$310,0))),"",INDEX($A$151:$A$310,MATCH(AK173,AF$151:AF$310,0))),"")</f>
        <v>Hungering Spineripper</v>
      </c>
    </row>
    <row r="174" spans="1:48">
      <c r="A174" s="10" t="s">
        <v>1737</v>
      </c>
      <c r="B174" s="114">
        <v>28312</v>
      </c>
      <c r="C174" s="114">
        <v>1</v>
      </c>
      <c r="D174" s="114"/>
      <c r="E174" s="114"/>
      <c r="F174" s="114">
        <v>28</v>
      </c>
      <c r="G174" s="115">
        <v>15</v>
      </c>
      <c r="H174" s="115">
        <v>9</v>
      </c>
      <c r="I174" s="115"/>
      <c r="J174" s="114"/>
      <c r="K174" s="116"/>
      <c r="L174" s="114">
        <v>21</v>
      </c>
      <c r="M174" s="116"/>
      <c r="N174" s="114">
        <v>10</v>
      </c>
      <c r="O174" s="116"/>
      <c r="P174" s="114"/>
      <c r="Q174" s="114" t="s">
        <v>1033</v>
      </c>
      <c r="R174" s="114"/>
      <c r="S174" s="114" t="s">
        <v>677</v>
      </c>
      <c r="T174" s="114">
        <v>131</v>
      </c>
      <c r="U174" s="116">
        <v>197</v>
      </c>
      <c r="V174" s="155">
        <f t="shared" si="14"/>
        <v>164</v>
      </c>
      <c r="W174" s="155">
        <v>1.8</v>
      </c>
      <c r="X174" s="124">
        <f t="shared" si="15"/>
        <v>91.111111111111114</v>
      </c>
      <c r="Y174" s="114" t="s">
        <v>2269</v>
      </c>
      <c r="Z174" s="114"/>
      <c r="AA174" s="114"/>
      <c r="AB174" s="114"/>
      <c r="AC174" s="289"/>
      <c r="AD174" s="114"/>
      <c r="AE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Aman"),IF(includeprebc,$S174="Pre-BC"),IF(includesunwell,$S174="Sunwell"))),MAX($AE$151:AE173)+1,"")</f>
        <v>12</v>
      </c>
      <c r="AF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Aman"),IF(includeprebc,$S174="Pre-BC"),IF(includesunwell,$S174="Sunwell"))),MAX($AF$150:AF173)+1,"")</f>
        <v>12</v>
      </c>
      <c r="AG174" s="114"/>
      <c r="AK174" s="48">
        <v>21</v>
      </c>
      <c r="AL174" s="151" t="str">
        <f>IF('Gear &amp; Buffs'!$Y$48="Dagger",IF(ISNA(INDEX($A$151:$A$210,MATCH(AK174,AE$151:AE$210,0))),"",INDEX($A$151:$A$210,MATCH(AK174,AE$151:AE$210,0))),"")&amp;
IF('Gear &amp; Buffs'!$Y$48="Sword",IF(ISNA(INDEX($A$212:$A$260,MATCH(AK174,AE$212:AE$260,0))),"",INDEX($A$212:$A$260,MATCH(AK174,AE$212:AE$260,0))),"")&amp;
IF('Gear &amp; Buffs'!$Y$48="Fist",IF(ISNA(INDEX($A$262:$A$281,MATCH(AK174,AE$262:AE$281,0))),"",INDEX($A$262:$A$281,MATCH(AK174,AE$262:AE$281,0))),"")&amp;
IF('Gear &amp; Buffs'!$Y$48="Mace",IF(ISNA(INDEX($A$283:$A$310,MATCH(AK174,AE$283:AE$310,0))),"",INDEX($A$283:$A$310,MATCH(AK174,AE$283:AE$310,0))),"")&amp;
IF('Gear &amp; Buffs'!$Y$48="All",IF(ISNA(INDEX($A$151:$A$310,MATCH(AK174,AF$151:AF$310,0))),"",INDEX($A$151:$A$310,MATCH(AK174,AF$151:AF$310,0))),"")</f>
        <v>Kingsfall</v>
      </c>
    </row>
    <row r="175" spans="1:48">
      <c r="A175" s="10" t="s">
        <v>237</v>
      </c>
      <c r="B175" s="114">
        <v>28310</v>
      </c>
      <c r="C175" s="114">
        <v>1</v>
      </c>
      <c r="D175" s="114"/>
      <c r="E175" s="114"/>
      <c r="F175" s="114">
        <v>28</v>
      </c>
      <c r="G175" s="115">
        <v>15</v>
      </c>
      <c r="H175" s="115">
        <v>9</v>
      </c>
      <c r="I175" s="115"/>
      <c r="J175" s="114"/>
      <c r="K175" s="116"/>
      <c r="L175" s="114">
        <v>21</v>
      </c>
      <c r="M175" s="116"/>
      <c r="N175" s="114">
        <v>10</v>
      </c>
      <c r="O175" s="116"/>
      <c r="P175" s="114"/>
      <c r="Q175" s="114" t="s">
        <v>1033</v>
      </c>
      <c r="R175" s="114"/>
      <c r="S175" s="114" t="s">
        <v>677</v>
      </c>
      <c r="T175" s="114">
        <v>89</v>
      </c>
      <c r="U175" s="116">
        <v>166</v>
      </c>
      <c r="V175" s="155">
        <f t="shared" si="14"/>
        <v>127.5</v>
      </c>
      <c r="W175" s="155">
        <v>1.4</v>
      </c>
      <c r="X175" s="124">
        <f t="shared" si="15"/>
        <v>91.071428571428584</v>
      </c>
      <c r="Y175" s="114" t="s">
        <v>2269</v>
      </c>
      <c r="Z175" s="114"/>
      <c r="AA175" s="114"/>
      <c r="AB175" s="114"/>
      <c r="AC175" s="289"/>
      <c r="AD175" s="114"/>
      <c r="AE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Aman"),IF(includeprebc,$S175="Pre-BC"),IF(includesunwell,$S175="Sunwell"))),MAX($AE$151:AE174)+1,"")</f>
        <v>13</v>
      </c>
      <c r="AF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Aman"),IF(includeprebc,$S175="Pre-BC"),IF(includesunwell,$S175="Sunwell"))),MAX($AF$150:AF174)+1,"")</f>
        <v>13</v>
      </c>
      <c r="AG175" s="114"/>
      <c r="AK175" s="48">
        <v>22</v>
      </c>
      <c r="AL175" s="151" t="str">
        <f>IF('Gear &amp; Buffs'!$Y$48="Dagger",IF(ISNA(INDEX($A$151:$A$210,MATCH(AK175,AE$151:AE$210,0))),"",INDEX($A$151:$A$210,MATCH(AK175,AE$151:AE$210,0))),"")&amp;
IF('Gear &amp; Buffs'!$Y$48="Sword",IF(ISNA(INDEX($A$212:$A$260,MATCH(AK175,AE$212:AE$260,0))),"",INDEX($A$212:$A$260,MATCH(AK175,AE$212:AE$260,0))),"")&amp;
IF('Gear &amp; Buffs'!$Y$48="Fist",IF(ISNA(INDEX($A$262:$A$281,MATCH(AK175,AE$262:AE$281,0))),"",INDEX($A$262:$A$281,MATCH(AK175,AE$262:AE$281,0))),"")&amp;
IF('Gear &amp; Buffs'!$Y$48="Mace",IF(ISNA(INDEX($A$283:$A$310,MATCH(AK175,AE$283:AE$310,0))),"",INDEX($A$283:$A$310,MATCH(AK175,AE$283:AE$310,0))),"")&amp;
IF('Gear &amp; Buffs'!$Y$48="All",IF(ISNA(INDEX($A$151:$A$310,MATCH(AK175,AF$151:AF$310,0))),"",INDEX($A$151:$A$310,MATCH(AK175,AF$151:AF$310,0))),"")</f>
        <v>Malchazeen</v>
      </c>
    </row>
    <row r="176" spans="1:48">
      <c r="A176" s="10" t="s">
        <v>940</v>
      </c>
      <c r="B176" s="114">
        <v>28954</v>
      </c>
      <c r="C176" s="114">
        <v>1</v>
      </c>
      <c r="D176" s="114"/>
      <c r="E176" s="114"/>
      <c r="F176" s="114">
        <v>26</v>
      </c>
      <c r="G176" s="115">
        <v>13</v>
      </c>
      <c r="H176" s="115">
        <v>8</v>
      </c>
      <c r="I176" s="115"/>
      <c r="J176" s="114"/>
      <c r="K176" s="116"/>
      <c r="L176" s="114">
        <v>18</v>
      </c>
      <c r="M176" s="116"/>
      <c r="N176" s="114">
        <v>9</v>
      </c>
      <c r="O176" s="116"/>
      <c r="P176" s="114"/>
      <c r="Q176" s="114" t="s">
        <v>1033</v>
      </c>
      <c r="R176" s="114"/>
      <c r="S176" s="114" t="s">
        <v>677</v>
      </c>
      <c r="T176" s="114">
        <v>103</v>
      </c>
      <c r="U176" s="116">
        <v>155</v>
      </c>
      <c r="V176" s="155">
        <f t="shared" si="14"/>
        <v>129</v>
      </c>
      <c r="W176" s="155">
        <v>1.8</v>
      </c>
      <c r="X176" s="124">
        <f t="shared" si="15"/>
        <v>71.666666666666671</v>
      </c>
      <c r="Y176" s="114" t="s">
        <v>2269</v>
      </c>
      <c r="Z176" s="114"/>
      <c r="AA176" s="114"/>
      <c r="AB176" s="114"/>
      <c r="AC176" s="289"/>
      <c r="AD176" s="114"/>
      <c r="AE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Aman"),IF(includeprebc,$S176="Pre-BC"),IF(includesunwell,$S176="Sunwell"))),MAX($AE$151:AE175)+1,"")</f>
        <v>14</v>
      </c>
      <c r="AF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Aman"),IF(includeprebc,$S176="Pre-BC"),IF(includesunwell,$S176="Sunwell"))),MAX($AF$150:AF175)+1,"")</f>
        <v>14</v>
      </c>
      <c r="AG176" s="114"/>
      <c r="AK176" s="48">
        <v>23</v>
      </c>
      <c r="AL176" s="151" t="str">
        <f>IF('Gear &amp; Buffs'!$Y$48="Dagger",IF(ISNA(INDEX($A$151:$A$210,MATCH(AK176,AE$151:AE$210,0))),"",INDEX($A$151:$A$210,MATCH(AK176,AE$151:AE$210,0))),"")&amp;
IF('Gear &amp; Buffs'!$Y$48="Sword",IF(ISNA(INDEX($A$212:$A$260,MATCH(AK176,AE$212:AE$260,0))),"",INDEX($A$212:$A$260,MATCH(AK176,AE$212:AE$260,0))),"")&amp;
IF('Gear &amp; Buffs'!$Y$48="Fist",IF(ISNA(INDEX($A$262:$A$281,MATCH(AK176,AE$262:AE$281,0))),"",INDEX($A$262:$A$281,MATCH(AK176,AE$262:AE$281,0))),"")&amp;
IF('Gear &amp; Buffs'!$Y$48="Mace",IF(ISNA(INDEX($A$283:$A$310,MATCH(AK176,AE$283:AE$310,0))),"",INDEX($A$283:$A$310,MATCH(AK176,AE$283:AE$310,0))),"")&amp;
IF('Gear &amp; Buffs'!$Y$48="All",IF(ISNA(INDEX($A$151:$A$310,MATCH(AK176,AF$151:AF$310,0))),"",INDEX($A$151:$A$310,MATCH(AK176,AF$151:AF$310,0))),"")</f>
        <v>Retainer's Blade</v>
      </c>
    </row>
    <row r="177" spans="1:38">
      <c r="A177" s="10" t="s">
        <v>941</v>
      </c>
      <c r="B177" s="114">
        <v>28955</v>
      </c>
      <c r="C177" s="114">
        <v>1</v>
      </c>
      <c r="D177" s="114"/>
      <c r="E177" s="114"/>
      <c r="F177" s="114">
        <v>26</v>
      </c>
      <c r="G177" s="116">
        <v>13</v>
      </c>
      <c r="H177" s="116">
        <v>8</v>
      </c>
      <c r="I177" s="115"/>
      <c r="J177" s="114"/>
      <c r="K177" s="116"/>
      <c r="L177" s="114">
        <v>18</v>
      </c>
      <c r="M177" s="114"/>
      <c r="N177" s="114">
        <v>9</v>
      </c>
      <c r="O177" s="116"/>
      <c r="P177" s="114"/>
      <c r="Q177" s="114" t="s">
        <v>1033</v>
      </c>
      <c r="R177" s="114"/>
      <c r="S177" s="114" t="s">
        <v>677</v>
      </c>
      <c r="T177" s="116">
        <v>80</v>
      </c>
      <c r="U177" s="116">
        <v>121</v>
      </c>
      <c r="V177" s="155">
        <f t="shared" si="14"/>
        <v>100.5</v>
      </c>
      <c r="W177" s="155">
        <v>1.4</v>
      </c>
      <c r="X177" s="124">
        <f t="shared" si="15"/>
        <v>71.785714285714292</v>
      </c>
      <c r="Y177" s="124" t="s">
        <v>2269</v>
      </c>
      <c r="Z177" s="124"/>
      <c r="AA177" s="124"/>
      <c r="AB177" s="124"/>
      <c r="AC177" s="289"/>
      <c r="AD177" s="116"/>
      <c r="AE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Aman"),IF(includeprebc,$S177="Pre-BC"),IF(includesunwell,$S177="Sunwell"))),MAX($AE$151:AE176)+1,"")</f>
        <v>15</v>
      </c>
      <c r="AF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Aman"),IF(includeprebc,$S177="Pre-BC"),IF(includesunwell,$S177="Sunwell"))),MAX($AF$150:AF176)+1,"")</f>
        <v>15</v>
      </c>
      <c r="AG177" s="114"/>
      <c r="AK177" s="48">
        <v>24</v>
      </c>
      <c r="AL177" s="151" t="str">
        <f>IF('Gear &amp; Buffs'!$Y$48="Dagger",IF(ISNA(INDEX($A$151:$A$210,MATCH(AK177,AE$151:AE$210,0))),"",INDEX($A$151:$A$210,MATCH(AK177,AE$151:AE$210,0))),"")&amp;
IF('Gear &amp; Buffs'!$Y$48="Sword",IF(ISNA(INDEX($A$212:$A$260,MATCH(AK177,AE$212:AE$260,0))),"",INDEX($A$212:$A$260,MATCH(AK177,AE$212:AE$260,0))),"")&amp;
IF('Gear &amp; Buffs'!$Y$48="Fist",IF(ISNA(INDEX($A$262:$A$281,MATCH(AK177,AE$262:AE$281,0))),"",INDEX($A$262:$A$281,MATCH(AK177,AE$262:AE$281,0))),"")&amp;
IF('Gear &amp; Buffs'!$Y$48="Mace",IF(ISNA(INDEX($A$283:$A$310,MATCH(AK177,AE$283:AE$310,0))),"",INDEX($A$283:$A$310,MATCH(AK177,AE$283:AE$310,0))),"")&amp;
IF('Gear &amp; Buffs'!$Y$48="All",IF(ISNA(INDEX($A$151:$A$310,MATCH(AK177,AF$151:AF$310,0))),"",INDEX($A$151:$A$310,MATCH(AK177,AF$151:AF$310,0))),"")</f>
        <v>Riftmaker</v>
      </c>
    </row>
    <row r="178" spans="1:38">
      <c r="A178" s="10" t="s">
        <v>1738</v>
      </c>
      <c r="B178" s="114">
        <v>29121</v>
      </c>
      <c r="C178" s="114">
        <v>1</v>
      </c>
      <c r="D178" s="114"/>
      <c r="E178" s="114">
        <v>19</v>
      </c>
      <c r="F178" s="114">
        <v>38</v>
      </c>
      <c r="G178" s="115"/>
      <c r="H178" s="115"/>
      <c r="I178" s="115"/>
      <c r="J178" s="114"/>
      <c r="K178" s="116"/>
      <c r="L178" s="114"/>
      <c r="M178" s="116"/>
      <c r="N178" s="114"/>
      <c r="O178" s="116"/>
      <c r="P178" s="114"/>
      <c r="Q178" s="114" t="s">
        <v>1033</v>
      </c>
      <c r="R178" s="114"/>
      <c r="S178" s="114" t="s">
        <v>676</v>
      </c>
      <c r="T178" s="114">
        <v>104</v>
      </c>
      <c r="U178" s="116">
        <v>156</v>
      </c>
      <c r="V178" s="155">
        <f t="shared" si="14"/>
        <v>130</v>
      </c>
      <c r="W178" s="155">
        <v>1.6</v>
      </c>
      <c r="X178" s="124">
        <f t="shared" si="15"/>
        <v>81.25</v>
      </c>
      <c r="Y178" s="114" t="s">
        <v>2269</v>
      </c>
      <c r="Z178" s="114"/>
      <c r="AA178" s="114"/>
      <c r="AB178" s="114"/>
      <c r="AC178" s="289"/>
      <c r="AD178" s="114"/>
      <c r="AE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Aman"),IF(includeprebc,$S178="Pre-BC"),IF(includesunwell,$S178="Sunwell"))),MAX($AE$151:AE177)+1,"")</f>
        <v>16</v>
      </c>
      <c r="AF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Aman"),IF(includeprebc,$S178="Pre-BC"),IF(includesunwell,$S178="Sunwell"))),MAX($AF$150:AF177)+1,"")</f>
        <v>16</v>
      </c>
      <c r="AG178" s="114"/>
      <c r="AK178" s="48">
        <v>25</v>
      </c>
      <c r="AL178" s="151" t="str">
        <f>IF('Gear &amp; Buffs'!$Y$48="Dagger",IF(ISNA(INDEX($A$151:$A$210,MATCH(AK178,AE$151:AE$210,0))),"",INDEX($A$151:$A$210,MATCH(AK178,AE$151:AE$210,0))),"")&amp;
IF('Gear &amp; Buffs'!$Y$48="Sword",IF(ISNA(INDEX($A$212:$A$260,MATCH(AK178,AE$212:AE$260,0))),"",INDEX($A$212:$A$260,MATCH(AK178,AE$212:AE$260,0))),"")&amp;
IF('Gear &amp; Buffs'!$Y$48="Fist",IF(ISNA(INDEX($A$262:$A$281,MATCH(AK178,AE$262:AE$281,0))),"",INDEX($A$262:$A$281,MATCH(AK178,AE$262:AE$281,0))),"")&amp;
IF('Gear &amp; Buffs'!$Y$48="Mace",IF(ISNA(INDEX($A$283:$A$310,MATCH(AK178,AE$283:AE$310,0))),"",INDEX($A$283:$A$310,MATCH(AK178,AE$283:AE$310,0))),"")&amp;
IF('Gear &amp; Buffs'!$Y$48="All",IF(ISNA(INDEX($A$151:$A$310,MATCH(AK178,AF$151:AF$310,0))),"",INDEX($A$151:$A$310,MATCH(AK178,AF$151:AF$310,0))),"")</f>
        <v>Terror Flame Dagger</v>
      </c>
    </row>
    <row r="179" spans="1:38">
      <c r="A179" s="10" t="s">
        <v>2414</v>
      </c>
      <c r="B179" s="114">
        <v>23044</v>
      </c>
      <c r="C179" s="114">
        <v>1</v>
      </c>
      <c r="D179" s="114"/>
      <c r="E179" s="114">
        <v>8</v>
      </c>
      <c r="F179" s="114"/>
      <c r="G179" s="115">
        <v>14</v>
      </c>
      <c r="H179" s="115">
        <v>10</v>
      </c>
      <c r="I179" s="115"/>
      <c r="J179" s="114"/>
      <c r="K179" s="116"/>
      <c r="L179" s="114">
        <v>8</v>
      </c>
      <c r="M179" s="116"/>
      <c r="N179" s="114"/>
      <c r="O179" s="116"/>
      <c r="P179" s="114"/>
      <c r="Q179" s="114" t="s">
        <v>1033</v>
      </c>
      <c r="R179" s="114"/>
      <c r="S179" s="114" t="s">
        <v>668</v>
      </c>
      <c r="T179" s="114">
        <v>83</v>
      </c>
      <c r="U179" s="116">
        <v>126</v>
      </c>
      <c r="V179" s="155">
        <f t="shared" si="14"/>
        <v>104.5</v>
      </c>
      <c r="W179" s="155">
        <v>1.6</v>
      </c>
      <c r="X179" s="124">
        <f t="shared" si="15"/>
        <v>65.3125</v>
      </c>
      <c r="Y179" s="114" t="s">
        <v>2269</v>
      </c>
      <c r="Z179" s="114"/>
      <c r="AA179" s="114"/>
      <c r="AB179" s="114"/>
      <c r="AC179" s="289"/>
      <c r="AD179" s="114"/>
      <c r="AE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Aman"),IF(includeprebc,$S179="Pre-BC"),IF(includesunwell,$S179="Sunwell"))),MAX($AE$151:AE178)+1,"")</f>
        <v>17</v>
      </c>
      <c r="AF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Aman"),IF(includeprebc,$S179="Pre-BC"),IF(includesunwell,$S179="Sunwell"))),MAX($AF$150:AF178)+1,"")</f>
        <v>17</v>
      </c>
      <c r="AG179" s="114"/>
      <c r="AK179" s="48">
        <v>26</v>
      </c>
      <c r="AL179" s="151" t="str">
        <f>IF('Gear &amp; Buffs'!$Y$48="Dagger",IF(ISNA(INDEX($A$151:$A$210,MATCH(AK179,AE$151:AE$210,0))),"",INDEX($A$151:$A$210,MATCH(AK179,AE$151:AE$210,0))),"")&amp;
IF('Gear &amp; Buffs'!$Y$48="Sword",IF(ISNA(INDEX($A$212:$A$260,MATCH(AK179,AE$212:AE$260,0))),"",INDEX($A$212:$A$260,MATCH(AK179,AE$212:AE$260,0))),"")&amp;
IF('Gear &amp; Buffs'!$Y$48="Fist",IF(ISNA(INDEX($A$262:$A$281,MATCH(AK179,AE$262:AE$281,0))),"",INDEX($A$262:$A$281,MATCH(AK179,AE$262:AE$281,0))),"")&amp;
IF('Gear &amp; Buffs'!$Y$48="Mace",IF(ISNA(INDEX($A$283:$A$310,MATCH(AK179,AE$283:AE$310,0))),"",INDEX($A$283:$A$310,MATCH(AK179,AE$283:AE$310,0))),"")&amp;
IF('Gear &amp; Buffs'!$Y$48="All",IF(ISNA(INDEX($A$151:$A$310,MATCH(AK179,AF$151:AF$310,0))),"",INDEX($A$151:$A$310,MATCH(AK179,AF$151:AF$310,0))),"")</f>
        <v>The Night Blade</v>
      </c>
    </row>
    <row r="180" spans="1:38">
      <c r="A180" s="10" t="s">
        <v>648</v>
      </c>
      <c r="B180" s="114">
        <v>29962</v>
      </c>
      <c r="C180" s="114">
        <v>2</v>
      </c>
      <c r="D180" s="114"/>
      <c r="E180" s="114">
        <v>20</v>
      </c>
      <c r="F180" s="124">
        <f>270*itHRohUP</f>
        <v>59.093230300858075</v>
      </c>
      <c r="G180" s="115"/>
      <c r="H180" s="115"/>
      <c r="I180" s="115"/>
      <c r="J180" s="114"/>
      <c r="K180" s="116"/>
      <c r="L180" s="114">
        <v>30</v>
      </c>
      <c r="M180" s="116"/>
      <c r="N180" s="114"/>
      <c r="O180" s="116"/>
      <c r="P180" s="114"/>
      <c r="Q180" s="114" t="s">
        <v>1033</v>
      </c>
      <c r="R180" s="114"/>
      <c r="S180" s="114" t="s">
        <v>680</v>
      </c>
      <c r="T180" s="114">
        <v>121</v>
      </c>
      <c r="U180" s="116">
        <v>226</v>
      </c>
      <c r="V180" s="155">
        <f t="shared" si="14"/>
        <v>173.5</v>
      </c>
      <c r="W180" s="155">
        <v>1.8</v>
      </c>
      <c r="X180" s="124">
        <f t="shared" si="15"/>
        <v>96.388888888888886</v>
      </c>
      <c r="Y180" s="114" t="s">
        <v>2269</v>
      </c>
      <c r="Z180" s="114"/>
      <c r="AA180" s="114"/>
      <c r="AB180" s="114"/>
      <c r="AC180" s="289" t="s">
        <v>644</v>
      </c>
      <c r="AD180" s="114"/>
      <c r="AE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Aman"),IF(includeprebc,$S180="Pre-BC"),IF(includesunwell,$S180="Sunwell"))),MAX($AE$151:AE179)+1,"")</f>
        <v/>
      </c>
      <c r="AF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Aman"),IF(includeprebc,$S180="Pre-BC"),IF(includesunwell,$S180="Sunwell"))),MAX($AF$150:AF179)+1,"")</f>
        <v/>
      </c>
      <c r="AG180" s="114"/>
      <c r="AK180" s="48">
        <v>27</v>
      </c>
      <c r="AL180" s="151" t="str">
        <f>IF('Gear &amp; Buffs'!$Y$48="Dagger",IF(ISNA(INDEX($A$151:$A$210,MATCH(AK180,AE$151:AE$210,0))),"",INDEX($A$151:$A$210,MATCH(AK180,AE$151:AE$210,0))),"")&amp;
IF('Gear &amp; Buffs'!$Y$48="Sword",IF(ISNA(INDEX($A$212:$A$260,MATCH(AK180,AE$212:AE$260,0))),"",INDEX($A$212:$A$260,MATCH(AK180,AE$212:AE$260,0))),"")&amp;
IF('Gear &amp; Buffs'!$Y$48="Fist",IF(ISNA(INDEX($A$262:$A$281,MATCH(AK180,AE$262:AE$281,0))),"",INDEX($A$262:$A$281,MATCH(AK180,AE$262:AE$281,0))),"")&amp;
IF('Gear &amp; Buffs'!$Y$48="Mace",IF(ISNA(INDEX($A$283:$A$310,MATCH(AK180,AE$283:AE$310,0))),"",INDEX($A$283:$A$310,MATCH(AK180,AE$283:AE$310,0))),"")&amp;
IF('Gear &amp; Buffs'!$Y$48="All",IF(ISNA(INDEX($A$151:$A$310,MATCH(AK180,AF$151:AF$310,0))),"",INDEX($A$151:$A$310,MATCH(AK180,AF$151:AF$310,0))),"")</f>
        <v>Timeslicer</v>
      </c>
    </row>
    <row r="181" spans="1:38">
      <c r="A181" s="10" t="s">
        <v>942</v>
      </c>
      <c r="B181" s="114">
        <v>28929</v>
      </c>
      <c r="C181" s="114">
        <v>1</v>
      </c>
      <c r="D181" s="114"/>
      <c r="E181" s="114"/>
      <c r="F181" s="114">
        <v>26</v>
      </c>
      <c r="G181" s="115">
        <v>13</v>
      </c>
      <c r="H181" s="115">
        <v>8</v>
      </c>
      <c r="I181" s="115"/>
      <c r="J181" s="114"/>
      <c r="K181" s="116"/>
      <c r="L181" s="114">
        <v>18</v>
      </c>
      <c r="M181" s="116"/>
      <c r="N181" s="114">
        <v>9</v>
      </c>
      <c r="O181" s="116"/>
      <c r="P181" s="114"/>
      <c r="Q181" s="114" t="s">
        <v>1033</v>
      </c>
      <c r="R181" s="114"/>
      <c r="S181" s="114" t="s">
        <v>677</v>
      </c>
      <c r="T181" s="114">
        <v>103</v>
      </c>
      <c r="U181" s="116">
        <v>155</v>
      </c>
      <c r="V181" s="155">
        <f t="shared" si="14"/>
        <v>129</v>
      </c>
      <c r="W181" s="155">
        <v>1.8</v>
      </c>
      <c r="X181" s="124">
        <f t="shared" si="15"/>
        <v>71.666666666666671</v>
      </c>
      <c r="Y181" s="114" t="s">
        <v>2269</v>
      </c>
      <c r="Z181" s="114"/>
      <c r="AA181" s="114"/>
      <c r="AB181" s="114"/>
      <c r="AC181" s="289"/>
      <c r="AD181" s="114"/>
      <c r="AE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Aman"),IF(includeprebc,$S181="Pre-BC"),IF(includesunwell,$S181="Sunwell"))),MAX($AE$151:AE180)+1,"")</f>
        <v>18</v>
      </c>
      <c r="AF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Aman"),IF(includeprebc,$S181="Pre-BC"),IF(includesunwell,$S181="Sunwell"))),MAX($AF$150:AF180)+1,"")</f>
        <v>18</v>
      </c>
      <c r="AG181" s="114"/>
      <c r="AK181" s="48">
        <v>28</v>
      </c>
      <c r="AL181" s="151" t="str">
        <f>IF('Gear &amp; Buffs'!$Y$48="Dagger",IF(ISNA(INDEX($A$151:$A$210,MATCH(AK181,AE$151:AE$210,0))),"",INDEX($A$151:$A$210,MATCH(AK181,AE$151:AE$210,0))),"")&amp;
IF('Gear &amp; Buffs'!$Y$48="Sword",IF(ISNA(INDEX($A$212:$A$260,MATCH(AK181,AE$212:AE$260,0))),"",INDEX($A$212:$A$260,MATCH(AK181,AE$212:AE$260,0))),"")&amp;
IF('Gear &amp; Buffs'!$Y$48="Fist",IF(ISNA(INDEX($A$262:$A$281,MATCH(AK181,AE$262:AE$281,0))),"",INDEX($A$262:$A$281,MATCH(AK181,AE$262:AE$281,0))),"")&amp;
IF('Gear &amp; Buffs'!$Y$48="Mace",IF(ISNA(INDEX($A$283:$A$310,MATCH(AK181,AE$283:AE$310,0))),"",INDEX($A$283:$A$310,MATCH(AK181,AE$283:AE$310,0))),"")&amp;
IF('Gear &amp; Buffs'!$Y$48="All",IF(ISNA(INDEX($A$151:$A$310,MATCH(AK181,AF$151:AF$310,0))),"",INDEX($A$151:$A$310,MATCH(AK181,AF$151:AF$310,0))),"")</f>
        <v>Twinblade of Mastery</v>
      </c>
    </row>
    <row r="182" spans="1:38">
      <c r="A182" s="10" t="s">
        <v>943</v>
      </c>
      <c r="B182" s="114">
        <v>28930</v>
      </c>
      <c r="C182" s="114">
        <v>1</v>
      </c>
      <c r="D182" s="114"/>
      <c r="E182" s="114"/>
      <c r="F182" s="114">
        <v>26</v>
      </c>
      <c r="G182" s="116">
        <v>13</v>
      </c>
      <c r="H182" s="116">
        <v>8</v>
      </c>
      <c r="I182" s="115"/>
      <c r="J182" s="114"/>
      <c r="K182" s="116"/>
      <c r="L182" s="114">
        <v>18</v>
      </c>
      <c r="M182" s="114"/>
      <c r="N182" s="114">
        <v>9</v>
      </c>
      <c r="O182" s="116"/>
      <c r="P182" s="114"/>
      <c r="Q182" s="114" t="s">
        <v>1033</v>
      </c>
      <c r="R182" s="114"/>
      <c r="S182" s="114" t="s">
        <v>677</v>
      </c>
      <c r="T182" s="116">
        <v>80</v>
      </c>
      <c r="U182" s="116">
        <v>121</v>
      </c>
      <c r="V182" s="155">
        <f t="shared" si="14"/>
        <v>100.5</v>
      </c>
      <c r="W182" s="155">
        <v>1.4</v>
      </c>
      <c r="X182" s="124">
        <f t="shared" si="15"/>
        <v>71.785714285714292</v>
      </c>
      <c r="Y182" s="124" t="s">
        <v>2269</v>
      </c>
      <c r="Z182" s="124"/>
      <c r="AA182" s="124"/>
      <c r="AB182" s="124"/>
      <c r="AC182" s="289"/>
      <c r="AD182" s="116"/>
      <c r="AE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Aman"),IF(includeprebc,$S182="Pre-BC"),IF(includesunwell,$S182="Sunwell"))),MAX($AE$151:AE181)+1,"")</f>
        <v>19</v>
      </c>
      <c r="AF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Aman"),IF(includeprebc,$S182="Pre-BC"),IF(includesunwell,$S182="Sunwell"))),MAX($AF$150:AF181)+1,"")</f>
        <v>19</v>
      </c>
      <c r="AG182" s="114"/>
      <c r="AK182" s="48">
        <v>29</v>
      </c>
      <c r="AL182" s="151" t="str">
        <f>IF('Gear &amp; Buffs'!$Y$48="Dagger",IF(ISNA(INDEX($A$151:$A$210,MATCH(AK182,AE$151:AE$210,0))),"",INDEX($A$151:$A$210,MATCH(AK182,AE$151:AE$210,0))),"")&amp;
IF('Gear &amp; Buffs'!$Y$48="Sword",IF(ISNA(INDEX($A$212:$A$260,MATCH(AK182,AE$212:AE$260,0))),"",INDEX($A$212:$A$260,MATCH(AK182,AE$212:AE$260,0))),"")&amp;
IF('Gear &amp; Buffs'!$Y$48="Fist",IF(ISNA(INDEX($A$262:$A$281,MATCH(AK182,AE$262:AE$281,0))),"",INDEX($A$262:$A$281,MATCH(AK182,AE$262:AE$281,0))),"")&amp;
IF('Gear &amp; Buffs'!$Y$48="Mace",IF(ISNA(INDEX($A$283:$A$310,MATCH(AK182,AE$283:AE$310,0))),"",INDEX($A$283:$A$310,MATCH(AK182,AE$283:AE$310,0))),"")&amp;
IF('Gear &amp; Buffs'!$Y$48="All",IF(ISNA(INDEX($A$151:$A$310,MATCH(AK182,AF$151:AF$310,0))),"",INDEX($A$151:$A$310,MATCH(AK182,AF$151:AF$310,0))),"")</f>
        <v>Vileblade of the Betrayer</v>
      </c>
    </row>
    <row r="183" spans="1:38">
      <c r="A183" s="10" t="s">
        <v>649</v>
      </c>
      <c r="B183" s="114">
        <v>28416</v>
      </c>
      <c r="C183" s="114">
        <v>1</v>
      </c>
      <c r="D183" s="114"/>
      <c r="E183" s="114"/>
      <c r="F183" s="114">
        <v>30</v>
      </c>
      <c r="G183" s="115">
        <v>16</v>
      </c>
      <c r="H183" s="115"/>
      <c r="I183" s="115"/>
      <c r="J183" s="114"/>
      <c r="K183" s="116"/>
      <c r="L183" s="114">
        <v>13</v>
      </c>
      <c r="M183" s="116"/>
      <c r="N183" s="114"/>
      <c r="O183" s="116"/>
      <c r="P183" s="114"/>
      <c r="Q183" s="114" t="s">
        <v>1033</v>
      </c>
      <c r="R183" s="114"/>
      <c r="S183" s="114" t="s">
        <v>673</v>
      </c>
      <c r="T183" s="114">
        <v>103</v>
      </c>
      <c r="U183" s="116">
        <v>155</v>
      </c>
      <c r="V183" s="155">
        <f t="shared" si="14"/>
        <v>129</v>
      </c>
      <c r="W183" s="155">
        <v>1.8</v>
      </c>
      <c r="X183" s="124">
        <f t="shared" si="15"/>
        <v>71.666666666666671</v>
      </c>
      <c r="Y183" s="114" t="s">
        <v>2269</v>
      </c>
      <c r="Z183" s="114"/>
      <c r="AA183" s="114"/>
      <c r="AB183" s="114"/>
      <c r="AC183" s="289"/>
      <c r="AD183" s="114"/>
      <c r="AE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Aman"),IF(includeprebc,$S183="Pre-BC"),IF(includesunwell,$S183="Sunwell"))),MAX($AE$151:AE182)+1,"")</f>
        <v>20</v>
      </c>
      <c r="AF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Aman"),IF(includeprebc,$S183="Pre-BC"),IF(includesunwell,$S183="Sunwell"))),MAX($AF$150:AF182)+1,"")</f>
        <v>20</v>
      </c>
      <c r="AG183" s="114"/>
      <c r="AK183" s="48">
        <v>30</v>
      </c>
      <c r="AL183" s="151" t="str">
        <f>IF('Gear &amp; Buffs'!$Y$48="Dagger",IF(ISNA(INDEX($A$151:$A$210,MATCH(AK183,AE$151:AE$210,0))),"",INDEX($A$151:$A$210,MATCH(AK183,AE$151:AE$210,0))),"")&amp;
IF('Gear &amp; Buffs'!$Y$48="Sword",IF(ISNA(INDEX($A$212:$A$260,MATCH(AK183,AE$212:AE$260,0))),"",INDEX($A$212:$A$260,MATCH(AK183,AE$212:AE$260,0))),"")&amp;
IF('Gear &amp; Buffs'!$Y$48="Fist",IF(ISNA(INDEX($A$262:$A$281,MATCH(AK183,AE$262:AE$281,0))),"",INDEX($A$262:$A$281,MATCH(AK183,AE$262:AE$281,0))),"")&amp;
IF('Gear &amp; Buffs'!$Y$48="Mace",IF(ISNA(INDEX($A$283:$A$310,MATCH(AK183,AE$283:AE$310,0))),"",INDEX($A$283:$A$310,MATCH(AK183,AE$283:AE$310,0))),"")&amp;
IF('Gear &amp; Buffs'!$Y$48="All",IF(ISNA(INDEX($A$151:$A$310,MATCH(AK183,AF$151:AF$310,0))),"",INDEX($A$151:$A$310,MATCH(AK183,AF$151:AF$310,0))),"")</f>
        <v>Warp Splinter's Thorn</v>
      </c>
    </row>
    <row r="184" spans="1:38">
      <c r="A184" s="10" t="s">
        <v>651</v>
      </c>
      <c r="B184" s="114">
        <v>30312</v>
      </c>
      <c r="C184" s="114">
        <v>2</v>
      </c>
      <c r="D184" s="114"/>
      <c r="E184" s="114"/>
      <c r="F184" s="114">
        <v>70</v>
      </c>
      <c r="G184" s="116">
        <v>25</v>
      </c>
      <c r="H184" s="116"/>
      <c r="I184" s="115"/>
      <c r="J184" s="114"/>
      <c r="K184" s="116"/>
      <c r="L184" s="114">
        <v>35</v>
      </c>
      <c r="M184" s="114"/>
      <c r="N184" s="114"/>
      <c r="O184" s="116"/>
      <c r="P184" s="114"/>
      <c r="Q184" s="114" t="s">
        <v>1033</v>
      </c>
      <c r="R184" s="114"/>
      <c r="S184" s="114" t="s">
        <v>680</v>
      </c>
      <c r="T184" s="116">
        <v>171</v>
      </c>
      <c r="U184" s="116">
        <v>318</v>
      </c>
      <c r="V184" s="155">
        <f t="shared" si="14"/>
        <v>244.5</v>
      </c>
      <c r="W184" s="155">
        <v>2</v>
      </c>
      <c r="X184" s="124">
        <f t="shared" si="15"/>
        <v>122.25</v>
      </c>
      <c r="Y184" s="124" t="s">
        <v>2269</v>
      </c>
      <c r="Z184" s="124"/>
      <c r="AA184" s="124"/>
      <c r="AB184" s="124"/>
      <c r="AC184" s="289" t="s">
        <v>449</v>
      </c>
      <c r="AD184" s="116"/>
      <c r="AE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Aman"),IF(includeprebc,$S184="Pre-BC"),IF(includesunwell,$S184="Sunwell"))),MAX($AE$151:AE183)+1,"")</f>
        <v/>
      </c>
      <c r="AF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Aman"),IF(includeprebc,$S184="Pre-BC"),IF(includesunwell,$S184="Sunwell"))),MAX($AF$150:AF183)+1,"")</f>
        <v/>
      </c>
      <c r="AG184" s="114"/>
      <c r="AK184" s="48">
        <v>31</v>
      </c>
      <c r="AL184" s="151" t="str">
        <f>IF('Gear &amp; Buffs'!$Y$48="Dagger",IF(ISNA(INDEX($A$151:$A$210,MATCH(AK184,AE$151:AE$210,0))),"",INDEX($A$151:$A$210,MATCH(AK184,AE$151:AE$210,0))),"")&amp;
IF('Gear &amp; Buffs'!$Y$48="Sword",IF(ISNA(INDEX($A$212:$A$260,MATCH(AK184,AE$212:AE$260,0))),"",INDEX($A$212:$A$260,MATCH(AK184,AE$212:AE$260,0))),"")&amp;
IF('Gear &amp; Buffs'!$Y$48="Fist",IF(ISNA(INDEX($A$262:$A$281,MATCH(AK184,AE$262:AE$281,0))),"",INDEX($A$262:$A$281,MATCH(AK184,AE$262:AE$281,0))),"")&amp;
IF('Gear &amp; Buffs'!$Y$48="Mace",IF(ISNA(INDEX($A$283:$A$310,MATCH(AK184,AE$283:AE$310,0))),"",INDEX($A$283:$A$310,MATCH(AK184,AE$283:AE$310,0))),"")&amp;
IF('Gear &amp; Buffs'!$Y$48="All",IF(ISNA(INDEX($A$151:$A$310,MATCH(AK184,AF$151:AF$310,0))),"",INDEX($A$151:$A$310,MATCH(AK184,AF$151:AF$310,0))),"")</f>
        <v>Whispering Blade of Slaying</v>
      </c>
    </row>
    <row r="185" spans="1:38">
      <c r="A185" s="10" t="s">
        <v>652</v>
      </c>
      <c r="B185" s="114">
        <v>22802</v>
      </c>
      <c r="C185" s="114">
        <v>1</v>
      </c>
      <c r="D185" s="114"/>
      <c r="E185" s="114">
        <v>16</v>
      </c>
      <c r="F185" s="114"/>
      <c r="G185" s="115">
        <v>14</v>
      </c>
      <c r="H185" s="115">
        <v>10</v>
      </c>
      <c r="I185" s="115"/>
      <c r="J185" s="114"/>
      <c r="K185" s="116"/>
      <c r="L185" s="114"/>
      <c r="M185" s="116"/>
      <c r="N185" s="114"/>
      <c r="O185" s="116"/>
      <c r="P185" s="114"/>
      <c r="Q185" s="114" t="s">
        <v>1033</v>
      </c>
      <c r="R185" s="114"/>
      <c r="S185" s="114" t="s">
        <v>668</v>
      </c>
      <c r="T185" s="114">
        <v>105</v>
      </c>
      <c r="U185" s="116">
        <v>158</v>
      </c>
      <c r="V185" s="155">
        <f t="shared" si="14"/>
        <v>131.5</v>
      </c>
      <c r="W185" s="155">
        <v>1.8</v>
      </c>
      <c r="X185" s="124">
        <f t="shared" si="15"/>
        <v>73.055555555555557</v>
      </c>
      <c r="Y185" s="114" t="s">
        <v>2269</v>
      </c>
      <c r="Z185" s="114"/>
      <c r="AA185" s="114"/>
      <c r="AB185" s="114"/>
      <c r="AC185" s="289"/>
      <c r="AD185" s="114"/>
      <c r="AE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Aman"),IF(includeprebc,$S185="Pre-BC"),IF(includesunwell,$S185="Sunwell"))),MAX($AE$151:AE184)+1,"")</f>
        <v>21</v>
      </c>
      <c r="AF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Aman"),IF(includeprebc,$S185="Pre-BC"),IF(includesunwell,$S185="Sunwell"))),MAX($AF$150:AF184)+1,"")</f>
        <v>21</v>
      </c>
      <c r="AG185" s="114"/>
      <c r="AK185" s="48">
        <v>32</v>
      </c>
      <c r="AL185" s="151" t="str">
        <f>IF('Gear &amp; Buffs'!$Y$48="Dagger",IF(ISNA(INDEX($A$151:$A$210,MATCH(AK185,AE$151:AE$210,0))),"",INDEX($A$151:$A$210,MATCH(AK185,AE$151:AE$210,0))),"")&amp;
IF('Gear &amp; Buffs'!$Y$48="Sword",IF(ISNA(INDEX($A$212:$A$260,MATCH(AK185,AE$212:AE$260,0))),"",INDEX($A$212:$A$260,MATCH(AK185,AE$212:AE$260,0))),"")&amp;
IF('Gear &amp; Buffs'!$Y$48="Fist",IF(ISNA(INDEX($A$262:$A$281,MATCH(AK185,AE$262:AE$281,0))),"",INDEX($A$262:$A$281,MATCH(AK185,AE$262:AE$281,0))),"")&amp;
IF('Gear &amp; Buffs'!$Y$48="Mace",IF(ISNA(INDEX($A$283:$A$310,MATCH(AK185,AE$283:AE$310,0))),"",INDEX($A$283:$A$310,MATCH(AK185,AE$283:AE$310,0))),"")&amp;
IF('Gear &amp; Buffs'!$Y$48="All",IF(ISNA(INDEX($A$151:$A$310,MATCH(AK185,AF$151:AF$310,0))),"",INDEX($A$151:$A$310,MATCH(AK185,AF$151:AF$310,0))),"")</f>
        <v>(Unmodeled OH Dagger)</v>
      </c>
    </row>
    <row r="186" spans="1:38">
      <c r="A186" s="10" t="s">
        <v>653</v>
      </c>
      <c r="B186" s="114">
        <v>28768</v>
      </c>
      <c r="C186" s="114">
        <v>1</v>
      </c>
      <c r="D186" s="114"/>
      <c r="E186" s="114"/>
      <c r="F186" s="114">
        <v>50</v>
      </c>
      <c r="G186" s="115"/>
      <c r="H186" s="115">
        <v>15</v>
      </c>
      <c r="I186" s="115"/>
      <c r="J186" s="114"/>
      <c r="K186" s="116"/>
      <c r="L186" s="114">
        <v>16</v>
      </c>
      <c r="M186" s="116"/>
      <c r="N186" s="114"/>
      <c r="O186" s="116"/>
      <c r="P186" s="114"/>
      <c r="Q186" s="114" t="s">
        <v>1033</v>
      </c>
      <c r="R186" s="114"/>
      <c r="S186" s="114" t="s">
        <v>672</v>
      </c>
      <c r="T186" s="114">
        <v>132</v>
      </c>
      <c r="U186" s="116">
        <v>199</v>
      </c>
      <c r="V186" s="155">
        <f t="shared" si="14"/>
        <v>165.5</v>
      </c>
      <c r="W186" s="155">
        <v>1.8</v>
      </c>
      <c r="X186" s="124">
        <f t="shared" si="15"/>
        <v>91.944444444444443</v>
      </c>
      <c r="Y186" s="114" t="s">
        <v>2269</v>
      </c>
      <c r="Z186" s="114"/>
      <c r="AA186" s="114"/>
      <c r="AB186" s="114"/>
      <c r="AC186" s="289"/>
      <c r="AD186" s="114"/>
      <c r="AE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Aman"),IF(includeprebc,$S186="Pre-BC"),IF(includesunwell,$S186="Sunwell"))),MAX($AE$151:AE185)+1,"")</f>
        <v>22</v>
      </c>
      <c r="AF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Aman"),IF(includeprebc,$S186="Pre-BC"),IF(includesunwell,$S186="Sunwell"))),MAX($AF$150:AF185)+1,"")</f>
        <v>22</v>
      </c>
      <c r="AG186" s="114"/>
      <c r="AK186" s="48">
        <v>33</v>
      </c>
      <c r="AL186" s="151" t="str">
        <f>IF('Gear &amp; Buffs'!$Y$48="Dagger",IF(ISNA(INDEX($A$151:$A$210,MATCH(AK186,AE$151:AE$210,0))),"",INDEX($A$151:$A$210,MATCH(AK186,AE$151:AE$210,0))),"")&amp;
IF('Gear &amp; Buffs'!$Y$48="Sword",IF(ISNA(INDEX($A$212:$A$260,MATCH(AK186,AE$212:AE$260,0))),"",INDEX($A$212:$A$260,MATCH(AK186,AE$212:AE$260,0))),"")&amp;
IF('Gear &amp; Buffs'!$Y$48="Fist",IF(ISNA(INDEX($A$262:$A$281,MATCH(AK186,AE$262:AE$281,0))),"",INDEX($A$262:$A$281,MATCH(AK186,AE$262:AE$281,0))),"")&amp;
IF('Gear &amp; Buffs'!$Y$48="Mace",IF(ISNA(INDEX($A$283:$A$310,MATCH(AK186,AE$283:AE$310,0))),"",INDEX($A$283:$A$310,MATCH(AK186,AE$283:AE$310,0))),"")&amp;
IF('Gear &amp; Buffs'!$Y$48="All",IF(ISNA(INDEX($A$151:$A$310,MATCH(AK186,AF$151:AF$310,0))),"",INDEX($A$151:$A$310,MATCH(AK186,AF$151:AF$310,0))),"")</f>
        <v xml:space="preserve"> </v>
      </c>
    </row>
    <row r="187" spans="1:38">
      <c r="A187" s="10" t="s">
        <v>654</v>
      </c>
      <c r="B187" s="114">
        <v>32044</v>
      </c>
      <c r="C187" s="114">
        <v>2</v>
      </c>
      <c r="D187" s="114"/>
      <c r="E187" s="114"/>
      <c r="F187" s="114">
        <v>30</v>
      </c>
      <c r="G187" s="115">
        <v>19</v>
      </c>
      <c r="H187" s="115">
        <v>10</v>
      </c>
      <c r="I187" s="115"/>
      <c r="J187" s="114"/>
      <c r="K187" s="116"/>
      <c r="L187" s="114">
        <v>27</v>
      </c>
      <c r="M187" s="116"/>
      <c r="N187" s="114">
        <v>12</v>
      </c>
      <c r="O187" s="116"/>
      <c r="P187" s="114"/>
      <c r="Q187" s="114" t="s">
        <v>1033</v>
      </c>
      <c r="R187" s="114"/>
      <c r="S187" s="114" t="s">
        <v>677</v>
      </c>
      <c r="T187" s="114">
        <v>140</v>
      </c>
      <c r="U187" s="116">
        <v>211</v>
      </c>
      <c r="V187" s="155">
        <f t="shared" si="14"/>
        <v>175.5</v>
      </c>
      <c r="W187" s="155">
        <v>1.8</v>
      </c>
      <c r="X187" s="124">
        <f t="shared" si="15"/>
        <v>97.5</v>
      </c>
      <c r="Y187" s="114" t="s">
        <v>2269</v>
      </c>
      <c r="Z187" s="114"/>
      <c r="AA187" s="114"/>
      <c r="AB187" s="114"/>
      <c r="AC187" s="289"/>
      <c r="AD187" s="114"/>
      <c r="AE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Aman"),IF(includeprebc,$S187="Pre-BC"),IF(includesunwell,$S187="Sunwell"))),MAX($AE$151:AE186)+1,"")</f>
        <v/>
      </c>
      <c r="AF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Aman"),IF(includeprebc,$S187="Pre-BC"),IF(includesunwell,$S187="Sunwell"))),MAX($AF$150:AF186)+1,"")</f>
        <v/>
      </c>
      <c r="AG187" s="114"/>
      <c r="AK187" s="48">
        <v>34</v>
      </c>
      <c r="AL187" s="151" t="str">
        <f>IF('Gear &amp; Buffs'!$Y$48="Dagger",IF(ISNA(INDEX($A$151:$A$210,MATCH(AK187,AE$151:AE$210,0))),"",INDEX($A$151:$A$210,MATCH(AK187,AE$151:AE$210,0))),"")&amp;
IF('Gear &amp; Buffs'!$Y$48="Sword",IF(ISNA(INDEX($A$212:$A$260,MATCH(AK187,AE$212:AE$260,0))),"",INDEX($A$212:$A$260,MATCH(AK187,AE$212:AE$260,0))),"")&amp;
IF('Gear &amp; Buffs'!$Y$48="Fist",IF(ISNA(INDEX($A$262:$A$281,MATCH(AK187,AE$262:AE$281,0))),"",INDEX($A$262:$A$281,MATCH(AK187,AE$262:AE$281,0))),"")&amp;
IF('Gear &amp; Buffs'!$Y$48="Mace",IF(ISNA(INDEX($A$283:$A$310,MATCH(AK187,AE$283:AE$310,0))),"",INDEX($A$283:$A$310,MATCH(AK187,AE$283:AE$310,0))),"")&amp;
IF('Gear &amp; Buffs'!$Y$48="All",IF(ISNA(INDEX($A$151:$A$310,MATCH(AK187,AF$151:AF$310,0))),"",INDEX($A$151:$A$310,MATCH(AK187,AF$151:AF$310,0))),"")</f>
        <v>(Swords)</v>
      </c>
    </row>
    <row r="188" spans="1:38">
      <c r="A188" s="10" t="s">
        <v>238</v>
      </c>
      <c r="B188" s="114">
        <v>32046</v>
      </c>
      <c r="C188" s="114">
        <v>2</v>
      </c>
      <c r="D188" s="114"/>
      <c r="E188" s="114"/>
      <c r="F188" s="114">
        <v>30</v>
      </c>
      <c r="G188" s="115">
        <v>19</v>
      </c>
      <c r="H188" s="115">
        <v>10</v>
      </c>
      <c r="I188" s="115"/>
      <c r="J188" s="114"/>
      <c r="K188" s="116"/>
      <c r="L188" s="114">
        <v>27</v>
      </c>
      <c r="M188" s="116"/>
      <c r="N188" s="114">
        <v>12</v>
      </c>
      <c r="O188" s="116"/>
      <c r="P188" s="114"/>
      <c r="Q188" s="114" t="s">
        <v>1033</v>
      </c>
      <c r="R188" s="114"/>
      <c r="S188" s="114" t="s">
        <v>677</v>
      </c>
      <c r="T188" s="114">
        <v>95</v>
      </c>
      <c r="U188" s="116">
        <v>178</v>
      </c>
      <c r="V188" s="155">
        <f t="shared" si="14"/>
        <v>136.5</v>
      </c>
      <c r="W188" s="155">
        <v>1.4</v>
      </c>
      <c r="X188" s="124">
        <f t="shared" si="15"/>
        <v>97.5</v>
      </c>
      <c r="Y188" s="114" t="s">
        <v>2269</v>
      </c>
      <c r="Z188" s="114"/>
      <c r="AA188" s="114"/>
      <c r="AB188" s="114"/>
      <c r="AC188" s="289"/>
      <c r="AD188" s="114"/>
      <c r="AE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Aman"),IF(includeprebc,$S188="Pre-BC"),IF(includesunwell,$S188="Sunwell"))),MAX($AE$151:AE187)+1,"")</f>
        <v/>
      </c>
      <c r="AF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Aman"),IF(includeprebc,$S188="Pre-BC"),IF(includesunwell,$S188="Sunwell"))),MAX($AF$150:AF187)+1,"")</f>
        <v/>
      </c>
      <c r="AG188" s="114"/>
      <c r="AK188" s="48">
        <v>35</v>
      </c>
      <c r="AL188" s="151" t="str">
        <f>IF('Gear &amp; Buffs'!$Y$48="Dagger",IF(ISNA(INDEX($A$151:$A$210,MATCH(AK188,AE$151:AE$210,0))),"",INDEX($A$151:$A$210,MATCH(AK188,AE$151:AE$210,0))),"")&amp;
IF('Gear &amp; Buffs'!$Y$48="Sword",IF(ISNA(INDEX($A$212:$A$260,MATCH(AK188,AE$212:AE$260,0))),"",INDEX($A$212:$A$260,MATCH(AK188,AE$212:AE$260,0))),"")&amp;
IF('Gear &amp; Buffs'!$Y$48="Fist",IF(ISNA(INDEX($A$262:$A$281,MATCH(AK188,AE$262:AE$281,0))),"",INDEX($A$262:$A$281,MATCH(AK188,AE$262:AE$281,0))),"")&amp;
IF('Gear &amp; Buffs'!$Y$48="Mace",IF(ISNA(INDEX($A$283:$A$310,MATCH(AK188,AE$283:AE$310,0))),"",INDEX($A$283:$A$310,MATCH(AK188,AE$283:AE$310,0))),"")&amp;
IF('Gear &amp; Buffs'!$Y$48="All",IF(ISNA(INDEX($A$151:$A$310,MATCH(AK188,AF$151:AF$310,0))),"",INDEX($A$151:$A$310,MATCH(AK188,AF$151:AF$310,0))),"")</f>
        <v>Blinkstrike</v>
      </c>
    </row>
    <row r="189" spans="1:38">
      <c r="A189" s="10" t="s">
        <v>239</v>
      </c>
      <c r="B189" s="114">
        <v>32269</v>
      </c>
      <c r="C189" s="114">
        <v>3</v>
      </c>
      <c r="D189" s="114"/>
      <c r="E189" s="114">
        <v>22</v>
      </c>
      <c r="F189" s="114">
        <v>44</v>
      </c>
      <c r="G189" s="115"/>
      <c r="H189" s="115"/>
      <c r="I189" s="115"/>
      <c r="J189" s="114"/>
      <c r="K189" s="116"/>
      <c r="L189" s="114">
        <v>31</v>
      </c>
      <c r="M189" s="116"/>
      <c r="N189" s="114"/>
      <c r="O189" s="116"/>
      <c r="P189" s="114"/>
      <c r="Q189" s="114" t="s">
        <v>1033</v>
      </c>
      <c r="R189" s="114"/>
      <c r="S189" s="114" t="s">
        <v>683</v>
      </c>
      <c r="T189" s="114">
        <v>112</v>
      </c>
      <c r="U189" s="116">
        <v>169</v>
      </c>
      <c r="V189" s="155">
        <f t="shared" si="14"/>
        <v>140.5</v>
      </c>
      <c r="W189" s="155">
        <v>1.4</v>
      </c>
      <c r="X189" s="124">
        <f t="shared" si="15"/>
        <v>100.35714285714286</v>
      </c>
      <c r="Y189" s="114" t="s">
        <v>2269</v>
      </c>
      <c r="Z189" s="114"/>
      <c r="AA189" s="114"/>
      <c r="AB189" s="114"/>
      <c r="AC189" s="289"/>
      <c r="AD189" s="114"/>
      <c r="AE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Aman"),IF(includeprebc,$S189="Pre-BC"),IF(includesunwell,$S189="Sunwell"))),MAX($AE$151:AE188)+1,"")</f>
        <v/>
      </c>
      <c r="AF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Aman"),IF(includeprebc,$S189="Pre-BC"),IF(includesunwell,$S189="Sunwell"))),MAX($AF$150:AF188)+1,"")</f>
        <v/>
      </c>
      <c r="AG189" s="114"/>
      <c r="AK189" s="48">
        <v>36</v>
      </c>
      <c r="AL189" s="151" t="str">
        <f>IF('Gear &amp; Buffs'!$Y$48="Dagger",IF(ISNA(INDEX($A$151:$A$210,MATCH(AK189,AE$151:AE$210,0))),"",INDEX($A$151:$A$210,MATCH(AK189,AE$151:AE$210,0))),"")&amp;
IF('Gear &amp; Buffs'!$Y$48="Sword",IF(ISNA(INDEX($A$212:$A$260,MATCH(AK189,AE$212:AE$260,0))),"",INDEX($A$212:$A$260,MATCH(AK189,AE$212:AE$260,0))),"")&amp;
IF('Gear &amp; Buffs'!$Y$48="Fist",IF(ISNA(INDEX($A$262:$A$281,MATCH(AK189,AE$262:AE$281,0))),"",INDEX($A$262:$A$281,MATCH(AK189,AE$262:AE$281,0))),"")&amp;
IF('Gear &amp; Buffs'!$Y$48="Mace",IF(ISNA(INDEX($A$283:$A$310,MATCH(AK189,AE$283:AE$310,0))),"",INDEX($A$283:$A$310,MATCH(AK189,AE$283:AE$310,0))),"")&amp;
IF('Gear &amp; Buffs'!$Y$48="All",IF(ISNA(INDEX($A$151:$A$310,MATCH(AK189,AF$151:AF$310,0))),"",INDEX($A$151:$A$310,MATCH(AK189,AF$151:AF$310,0))),"")</f>
        <v>Edge of the Cosmos</v>
      </c>
    </row>
    <row r="190" spans="1:38">
      <c r="A190" s="10" t="s">
        <v>1531</v>
      </c>
      <c r="B190" s="114">
        <v>33298</v>
      </c>
      <c r="C190" s="114">
        <v>4</v>
      </c>
      <c r="D190" s="114"/>
      <c r="E190" s="114"/>
      <c r="F190" s="114">
        <v>42</v>
      </c>
      <c r="G190" s="115"/>
      <c r="H190" s="115"/>
      <c r="I190" s="115"/>
      <c r="J190" s="114">
        <v>140</v>
      </c>
      <c r="K190" s="116"/>
      <c r="L190" s="114">
        <v>30</v>
      </c>
      <c r="M190" s="116"/>
      <c r="N190" s="114"/>
      <c r="O190" s="116"/>
      <c r="P190" s="114"/>
      <c r="Q190" s="114" t="s">
        <v>1033</v>
      </c>
      <c r="R190" s="114"/>
      <c r="S190" s="114" t="s">
        <v>664</v>
      </c>
      <c r="T190" s="114">
        <v>100</v>
      </c>
      <c r="U190" s="116">
        <v>187</v>
      </c>
      <c r="V190" s="155">
        <f t="shared" si="14"/>
        <v>143.5</v>
      </c>
      <c r="W190" s="155">
        <v>1.5</v>
      </c>
      <c r="X190" s="124">
        <f t="shared" si="15"/>
        <v>95.666666666666671</v>
      </c>
      <c r="Y190" s="114" t="s">
        <v>2269</v>
      </c>
      <c r="Z190" s="114"/>
      <c r="AA190" s="114"/>
      <c r="AB190" s="114"/>
      <c r="AC190" s="289"/>
      <c r="AD190" s="114"/>
      <c r="AE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Aman"),IF(includeprebc,$S190="Pre-BC"),IF(includesunwell,$S190="Sunwell"))),MAX($AE$151:AE189)+1,"")</f>
        <v/>
      </c>
      <c r="AF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Aman"),IF(includeprebc,$S190="Pre-BC"),IF(includesunwell,$S190="Sunwell"))),MAX($AF$150:AF189)+1,"")</f>
        <v/>
      </c>
      <c r="AG190" s="114"/>
      <c r="AK190" s="48">
        <v>37</v>
      </c>
      <c r="AL190" s="151" t="str">
        <f>IF('Gear &amp; Buffs'!$Y$48="Dagger",IF(ISNA(INDEX($A$151:$A$210,MATCH(AK190,AE$151:AE$210,0))),"",INDEX($A$151:$A$210,MATCH(AK190,AE$151:AE$210,0))),"")&amp;
IF('Gear &amp; Buffs'!$Y$48="Sword",IF(ISNA(INDEX($A$212:$A$260,MATCH(AK190,AE$212:AE$260,0))),"",INDEX($A$212:$A$260,MATCH(AK190,AE$212:AE$260,0))),"")&amp;
IF('Gear &amp; Buffs'!$Y$48="Fist",IF(ISNA(INDEX($A$262:$A$281,MATCH(AK190,AE$262:AE$281,0))),"",INDEX($A$262:$A$281,MATCH(AK190,AE$262:AE$281,0))),"")&amp;
IF('Gear &amp; Buffs'!$Y$48="Mace",IF(ISNA(INDEX($A$283:$A$310,MATCH(AK190,AE$283:AE$310,0))),"",INDEX($A$283:$A$310,MATCH(AK190,AE$283:AE$310,0))),"")&amp;
IF('Gear &amp; Buffs'!$Y$48="All",IF(ISNA(INDEX($A$151:$A$310,MATCH(AK190,AF$151:AF$310,0))),"",INDEX($A$151:$A$310,MATCH(AK190,AF$151:AF$310,0))),"")</f>
        <v>Felsteel Longblade</v>
      </c>
    </row>
    <row r="191" spans="1:38">
      <c r="A191" s="10" t="s">
        <v>655</v>
      </c>
      <c r="B191" s="114">
        <v>29125</v>
      </c>
      <c r="C191" s="114">
        <v>1</v>
      </c>
      <c r="D191" s="114"/>
      <c r="E191" s="114">
        <v>22</v>
      </c>
      <c r="F191" s="114"/>
      <c r="G191" s="115"/>
      <c r="H191" s="115"/>
      <c r="I191" s="115"/>
      <c r="J191" s="114"/>
      <c r="K191" s="116"/>
      <c r="L191" s="114">
        <v>21</v>
      </c>
      <c r="M191" s="116"/>
      <c r="N191" s="114"/>
      <c r="O191" s="116"/>
      <c r="P191" s="114"/>
      <c r="Q191" s="114" t="s">
        <v>1033</v>
      </c>
      <c r="R191" s="114"/>
      <c r="S191" s="114" t="s">
        <v>676</v>
      </c>
      <c r="T191" s="114">
        <v>97</v>
      </c>
      <c r="U191" s="116">
        <v>146</v>
      </c>
      <c r="V191" s="155">
        <f t="shared" si="14"/>
        <v>121.5</v>
      </c>
      <c r="W191" s="155">
        <v>1.5</v>
      </c>
      <c r="X191" s="124">
        <f t="shared" si="15"/>
        <v>81</v>
      </c>
      <c r="Y191" s="114" t="s">
        <v>2269</v>
      </c>
      <c r="Z191" s="114"/>
      <c r="AA191" s="114"/>
      <c r="AB191" s="114"/>
      <c r="AC191" s="289"/>
      <c r="AD191" s="114"/>
      <c r="AE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Aman"),IF(includeprebc,$S191="Pre-BC"),IF(includesunwell,$S191="Sunwell"))),MAX($AE$151:AE190)+1,"")</f>
        <v>23</v>
      </c>
      <c r="AF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Aman"),IF(includeprebc,$S191="Pre-BC"),IF(includesunwell,$S191="Sunwell"))),MAX($AF$150:AF190)+1,"")</f>
        <v>23</v>
      </c>
      <c r="AG191" s="114"/>
      <c r="AK191" s="48">
        <v>38</v>
      </c>
      <c r="AL191" s="151" t="str">
        <f>IF('Gear &amp; Buffs'!$Y$48="Dagger",IF(ISNA(INDEX($A$151:$A$210,MATCH(AK191,AE$151:AE$210,0))),"",INDEX($A$151:$A$210,MATCH(AK191,AE$151:AE$210,0))),"")&amp;
IF('Gear &amp; Buffs'!$Y$48="Sword",IF(ISNA(INDEX($A$212:$A$260,MATCH(AK191,AE$212:AE$260,0))),"",INDEX($A$212:$A$260,MATCH(AK191,AE$212:AE$260,0))),"")&amp;
IF('Gear &amp; Buffs'!$Y$48="Fist",IF(ISNA(INDEX($A$262:$A$281,MATCH(AK191,AE$262:AE$281,0))),"",INDEX($A$262:$A$281,MATCH(AK191,AE$262:AE$281,0))),"")&amp;
IF('Gear &amp; Buffs'!$Y$48="Mace",IF(ISNA(INDEX($A$283:$A$310,MATCH(AK191,AE$283:AE$310,0))),"",INDEX($A$283:$A$310,MATCH(AK191,AE$283:AE$310,0))),"")&amp;
IF('Gear &amp; Buffs'!$Y$48="All",IF(ISNA(INDEX($A$151:$A$310,MATCH(AK191,AF$151:AF$310,0))),"",INDEX($A$151:$A$310,MATCH(AK191,AF$151:AF$310,0))),"")</f>
        <v>Gladiator's Quickblade</v>
      </c>
    </row>
    <row r="192" spans="1:38">
      <c r="A192" s="10" t="s">
        <v>1352</v>
      </c>
      <c r="B192" s="114">
        <v>29182</v>
      </c>
      <c r="C192" s="114">
        <v>1</v>
      </c>
      <c r="D192" s="114"/>
      <c r="E192" s="114">
        <v>21</v>
      </c>
      <c r="F192" s="114">
        <v>22</v>
      </c>
      <c r="G192" s="115"/>
      <c r="H192" s="115"/>
      <c r="I192" s="115"/>
      <c r="J192" s="114"/>
      <c r="K192" s="116"/>
      <c r="L192" s="114"/>
      <c r="M192" s="116"/>
      <c r="N192" s="114"/>
      <c r="O192" s="116"/>
      <c r="P192" s="114"/>
      <c r="Q192" s="114" t="s">
        <v>1033</v>
      </c>
      <c r="R192" s="114"/>
      <c r="S192" s="114" t="s">
        <v>676</v>
      </c>
      <c r="T192" s="114">
        <v>117</v>
      </c>
      <c r="U192" s="116">
        <v>176</v>
      </c>
      <c r="V192" s="155">
        <f t="shared" si="14"/>
        <v>146.5</v>
      </c>
      <c r="W192" s="155">
        <v>1.8</v>
      </c>
      <c r="X192" s="124">
        <f t="shared" si="15"/>
        <v>81.388888888888886</v>
      </c>
      <c r="Y192" s="114" t="s">
        <v>2269</v>
      </c>
      <c r="Z192" s="114"/>
      <c r="AA192" s="114"/>
      <c r="AB192" s="114"/>
      <c r="AC192" s="289"/>
      <c r="AD192" s="114"/>
      <c r="AE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Aman"),IF(includeprebc,$S192="Pre-BC"),IF(includesunwell,$S192="Sunwell"))),MAX($AE$151:AE191)+1,"")</f>
        <v>24</v>
      </c>
      <c r="AF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Aman"),IF(includeprebc,$S192="Pre-BC"),IF(includesunwell,$S192="Sunwell"))),MAX($AF$150:AF191)+1,"")</f>
        <v>24</v>
      </c>
      <c r="AG192" s="114"/>
      <c r="AK192" s="48">
        <v>39</v>
      </c>
      <c r="AL192" s="151" t="str">
        <f>IF('Gear &amp; Buffs'!$Y$48="Dagger",IF(ISNA(INDEX($A$151:$A$210,MATCH(AK192,AE$151:AE$210,0))),"",INDEX($A$151:$A$210,MATCH(AK192,AE$151:AE$210,0))),"")&amp;
IF('Gear &amp; Buffs'!$Y$48="Sword",IF(ISNA(INDEX($A$212:$A$260,MATCH(AK192,AE$212:AE$260,0))),"",INDEX($A$212:$A$260,MATCH(AK192,AE$212:AE$260,0))),"")&amp;
IF('Gear &amp; Buffs'!$Y$48="Fist",IF(ISNA(INDEX($A$262:$A$281,MATCH(AK192,AE$262:AE$281,0))),"",INDEX($A$262:$A$281,MATCH(AK192,AE$262:AE$281,0))),"")&amp;
IF('Gear &amp; Buffs'!$Y$48="Mace",IF(ISNA(INDEX($A$283:$A$310,MATCH(AK192,AE$283:AE$310,0))),"",INDEX($A$283:$A$310,MATCH(AK192,AE$283:AE$310,0))),"")&amp;
IF('Gear &amp; Buffs'!$Y$48="All",IF(ISNA(INDEX($A$151:$A$310,MATCH(AK192,AF$151:AF$310,0))),"",INDEX($A$151:$A$310,MATCH(AK192,AF$151:AF$310,0))),"")</f>
        <v>Gladiator's Slicer</v>
      </c>
    </row>
    <row r="193" spans="1:38">
      <c r="A193" s="10" t="s">
        <v>240</v>
      </c>
      <c r="B193" s="114">
        <v>29275</v>
      </c>
      <c r="C193" s="114">
        <v>3</v>
      </c>
      <c r="D193" s="114"/>
      <c r="E193" s="114">
        <v>24</v>
      </c>
      <c r="F193" s="114"/>
      <c r="G193" s="115"/>
      <c r="H193" s="115"/>
      <c r="I193" s="115"/>
      <c r="J193" s="114"/>
      <c r="K193" s="116"/>
      <c r="L193" s="114">
        <v>22</v>
      </c>
      <c r="M193" s="116"/>
      <c r="N193" s="114"/>
      <c r="O193" s="116"/>
      <c r="P193" s="114"/>
      <c r="Q193" s="114" t="s">
        <v>1033</v>
      </c>
      <c r="R193" s="114"/>
      <c r="S193" s="114" t="s">
        <v>691</v>
      </c>
      <c r="T193" s="114">
        <v>77</v>
      </c>
      <c r="U193" s="116">
        <v>145</v>
      </c>
      <c r="V193" s="155">
        <f t="shared" si="14"/>
        <v>111</v>
      </c>
      <c r="W193" s="155">
        <v>1.3</v>
      </c>
      <c r="X193" s="124">
        <f t="shared" si="15"/>
        <v>85.384615384615387</v>
      </c>
      <c r="Y193" s="114" t="s">
        <v>2269</v>
      </c>
      <c r="Z193" s="114"/>
      <c r="AA193" s="114"/>
      <c r="AB193" s="114"/>
      <c r="AC193" s="289"/>
      <c r="AD193" s="114"/>
      <c r="AE193" s="114" t="str">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Aman"),IF(includeprebc,$S193="Pre-BC"),IF(includesunwell,$S193="Sunwell"))),MAX($AE$151:AE192)+1,"")</f>
        <v/>
      </c>
      <c r="AF193" s="114" t="str">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Aman"),IF(includeprebc,$S193="Pre-BC"),IF(includesunwell,$S193="Sunwell"))),MAX($AF$150:AF192)+1,"")</f>
        <v/>
      </c>
      <c r="AG193" s="114"/>
      <c r="AK193" s="48">
        <v>40</v>
      </c>
      <c r="AL193" s="151" t="str">
        <f>IF('Gear &amp; Buffs'!$Y$48="Dagger",IF(ISNA(INDEX($A$151:$A$210,MATCH(AK193,AE$151:AE$210,0))),"",INDEX($A$151:$A$210,MATCH(AK193,AE$151:AE$210,0))),"")&amp;
IF('Gear &amp; Buffs'!$Y$48="Sword",IF(ISNA(INDEX($A$212:$A$260,MATCH(AK193,AE$212:AE$260,0))),"",INDEX($A$212:$A$260,MATCH(AK193,AE$212:AE$260,0))),"")&amp;
IF('Gear &amp; Buffs'!$Y$48="Fist",IF(ISNA(INDEX($A$262:$A$281,MATCH(AK193,AE$262:AE$281,0))),"",INDEX($A$262:$A$281,MATCH(AK193,AE$262:AE$281,0))),"")&amp;
IF('Gear &amp; Buffs'!$Y$48="Mace",IF(ISNA(INDEX($A$283:$A$310,MATCH(AK193,AE$283:AE$310,0))),"",INDEX($A$283:$A$310,MATCH(AK193,AE$283:AE$310,0))),"")&amp;
IF('Gear &amp; Buffs'!$Y$48="All",IF(ISNA(INDEX($A$151:$A$310,MATCH(AK193,AF$151:AF$310,0))),"",INDEX($A$151:$A$310,MATCH(AK193,AF$151:AF$310,0))),"")</f>
        <v>Grand Marshal's Quickblade</v>
      </c>
    </row>
    <row r="194" spans="1:38">
      <c r="A194" s="10" t="s">
        <v>1353</v>
      </c>
      <c r="B194" s="114">
        <v>32471</v>
      </c>
      <c r="C194" s="114">
        <v>3</v>
      </c>
      <c r="D194" s="114"/>
      <c r="E194" s="114"/>
      <c r="F194" s="114">
        <v>64</v>
      </c>
      <c r="G194" s="115"/>
      <c r="H194" s="115"/>
      <c r="I194" s="115"/>
      <c r="J194" s="114"/>
      <c r="K194" s="116"/>
      <c r="L194" s="114"/>
      <c r="M194" s="116"/>
      <c r="N194" s="114"/>
      <c r="O194" s="116"/>
      <c r="P194" s="114"/>
      <c r="Q194" s="114" t="s">
        <v>1033</v>
      </c>
      <c r="R194" s="114"/>
      <c r="S194" s="114" t="s">
        <v>683</v>
      </c>
      <c r="T194" s="114">
        <v>161</v>
      </c>
      <c r="U194" s="116">
        <v>242</v>
      </c>
      <c r="V194" s="155">
        <f t="shared" si="14"/>
        <v>201.5</v>
      </c>
      <c r="W194" s="155">
        <v>1.9</v>
      </c>
      <c r="X194" s="124">
        <f t="shared" si="15"/>
        <v>106.05263157894737</v>
      </c>
      <c r="Y194" s="114" t="s">
        <v>2269</v>
      </c>
      <c r="Z194" s="114"/>
      <c r="AA194" s="114"/>
      <c r="AB194" s="114"/>
      <c r="AC194" s="289" t="s">
        <v>450</v>
      </c>
      <c r="AD194" s="114"/>
      <c r="AE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Aman"),IF(includeprebc,$S194="Pre-BC"),IF(includesunwell,$S194="Sunwell"))),MAX($AE$151:AE193)+1,"")</f>
        <v/>
      </c>
      <c r="AF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Aman"),IF(includeprebc,$S194="Pre-BC"),IF(includesunwell,$S194="Sunwell"))),MAX($AF$150:AF193)+1,"")</f>
        <v/>
      </c>
      <c r="AG194" s="114"/>
      <c r="AK194" s="48">
        <v>41</v>
      </c>
      <c r="AL194" s="151" t="str">
        <f>IF('Gear &amp; Buffs'!$Y$48="Dagger",IF(ISNA(INDEX($A$151:$A$210,MATCH(AK194,AE$151:AE$210,0))),"",INDEX($A$151:$A$210,MATCH(AK194,AE$151:AE$210,0))),"")&amp;
IF('Gear &amp; Buffs'!$Y$48="Sword",IF(ISNA(INDEX($A$212:$A$260,MATCH(AK194,AE$212:AE$260,0))),"",INDEX($A$212:$A$260,MATCH(AK194,AE$212:AE$260,0))),"")&amp;
IF('Gear &amp; Buffs'!$Y$48="Fist",IF(ISNA(INDEX($A$262:$A$281,MATCH(AK194,AE$262:AE$281,0))),"",INDEX($A$262:$A$281,MATCH(AK194,AE$262:AE$281,0))),"")&amp;
IF('Gear &amp; Buffs'!$Y$48="Mace",IF(ISNA(INDEX($A$283:$A$310,MATCH(AK194,AE$283:AE$310,0))),"",INDEX($A$283:$A$310,MATCH(AK194,AE$283:AE$310,0))),"")&amp;
IF('Gear &amp; Buffs'!$Y$48="All",IF(ISNA(INDEX($A$151:$A$310,MATCH(AK194,AF$151:AF$310,0))),"",INDEX($A$151:$A$310,MATCH(AK194,AF$151:AF$310,0))),"")</f>
        <v>Grand Marshal's Slicer</v>
      </c>
    </row>
    <row r="195" spans="1:38">
      <c r="A195" s="10" t="s">
        <v>989</v>
      </c>
      <c r="B195" s="114">
        <v>34197</v>
      </c>
      <c r="C195" s="114">
        <v>5</v>
      </c>
      <c r="D195" s="114"/>
      <c r="E195" s="114">
        <v>25</v>
      </c>
      <c r="F195" s="114">
        <v>42</v>
      </c>
      <c r="G195" s="115"/>
      <c r="H195" s="115"/>
      <c r="I195" s="115"/>
      <c r="J195" s="114">
        <v>196</v>
      </c>
      <c r="K195" s="116"/>
      <c r="L195" s="114"/>
      <c r="M195" s="116"/>
      <c r="N195" s="114"/>
      <c r="O195" s="116"/>
      <c r="P195" s="114"/>
      <c r="Q195" s="114" t="s">
        <v>1033</v>
      </c>
      <c r="R195" s="114"/>
      <c r="S195" s="114" t="s">
        <v>871</v>
      </c>
      <c r="T195" s="114">
        <v>136</v>
      </c>
      <c r="U195" s="116">
        <v>253</v>
      </c>
      <c r="V195" s="155">
        <f>(U195+T195)/2</f>
        <v>194.5</v>
      </c>
      <c r="W195" s="155">
        <v>1.8</v>
      </c>
      <c r="X195" s="124">
        <f>V195/W195</f>
        <v>108.05555555555556</v>
      </c>
      <c r="Y195" s="114" t="s">
        <v>2269</v>
      </c>
      <c r="Z195" s="114"/>
      <c r="AA195" s="114"/>
      <c r="AB195" s="114"/>
      <c r="AC195" s="289"/>
      <c r="AD195" s="114"/>
      <c r="AE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Aman"),IF(includeprebc,$S195="Pre-BC"),IF(includesunwell,$S195="Sunwell"))),MAX($AE$151:AE194)+1,"")</f>
        <v/>
      </c>
      <c r="AF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Aman"),IF(includeprebc,$S195="Pre-BC"),IF(includesunwell,$S195="Sunwell"))),MAX($AF$150:AF194)+1,"")</f>
        <v/>
      </c>
      <c r="AG195" s="114"/>
      <c r="AK195" s="48">
        <v>42</v>
      </c>
      <c r="AL195" s="151" t="str">
        <f>IF('Gear &amp; Buffs'!$Y$48="Dagger",IF(ISNA(INDEX($A$151:$A$210,MATCH(AK195,AE$151:AE$210,0))),"",INDEX($A$151:$A$210,MATCH(AK195,AE$151:AE$210,0))),"")&amp;
IF('Gear &amp; Buffs'!$Y$48="Sword",IF(ISNA(INDEX($A$212:$A$260,MATCH(AK195,AE$212:AE$260,0))),"",INDEX($A$212:$A$260,MATCH(AK195,AE$212:AE$260,0))),"")&amp;
IF('Gear &amp; Buffs'!$Y$48="Fist",IF(ISNA(INDEX($A$262:$A$281,MATCH(AK195,AE$262:AE$281,0))),"",INDEX($A$262:$A$281,MATCH(AK195,AE$262:AE$281,0))),"")&amp;
IF('Gear &amp; Buffs'!$Y$48="Mace",IF(ISNA(INDEX($A$283:$A$310,MATCH(AK195,AE$283:AE$310,0))),"",INDEX($A$283:$A$310,MATCH(AK195,AE$283:AE$310,0))),"")&amp;
IF('Gear &amp; Buffs'!$Y$48="All",IF(ISNA(INDEX($A$151:$A$310,MATCH(AK195,AF$151:AF$310,0))),"",INDEX($A$151:$A$310,MATCH(AK195,AF$151:AF$310,0))),"")</f>
        <v>Gressil, Dawn of Ruin</v>
      </c>
    </row>
    <row r="196" spans="1:38">
      <c r="A196" s="10" t="s">
        <v>427</v>
      </c>
      <c r="B196" s="114">
        <v>34949</v>
      </c>
      <c r="C196" s="114">
        <v>5</v>
      </c>
      <c r="D196" s="114"/>
      <c r="E196" s="114"/>
      <c r="F196" s="114">
        <v>44</v>
      </c>
      <c r="G196" s="115"/>
      <c r="H196" s="115">
        <v>24</v>
      </c>
      <c r="I196" s="115"/>
      <c r="J196" s="114"/>
      <c r="K196" s="116"/>
      <c r="L196" s="114">
        <v>30</v>
      </c>
      <c r="M196" s="116"/>
      <c r="N196" s="114"/>
      <c r="O196" s="116"/>
      <c r="P196" s="114"/>
      <c r="Q196" s="114" t="s">
        <v>1033</v>
      </c>
      <c r="R196" s="114"/>
      <c r="S196" s="114" t="s">
        <v>691</v>
      </c>
      <c r="T196" s="114">
        <v>108</v>
      </c>
      <c r="U196" s="116">
        <v>201</v>
      </c>
      <c r="V196" s="155">
        <f t="shared" si="14"/>
        <v>154.5</v>
      </c>
      <c r="W196" s="155">
        <v>1.5</v>
      </c>
      <c r="X196" s="124">
        <f t="shared" si="15"/>
        <v>103</v>
      </c>
      <c r="Y196" s="114" t="s">
        <v>2269</v>
      </c>
      <c r="Z196" s="114"/>
      <c r="AA196" s="114"/>
      <c r="AB196" s="114"/>
      <c r="AC196" s="289"/>
      <c r="AD196" s="114"/>
      <c r="AE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Aman"),IF(includeprebc,$S196="Pre-BC"),IF(includesunwell,$S196="Sunwell"))),MAX($AE$151:AE195)+1,"")</f>
        <v/>
      </c>
      <c r="AF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Aman"),IF(includeprebc,$S196="Pre-BC"),IF(includesunwell,$S196="Sunwell"))),MAX($AF$150:AF195)+1,"")</f>
        <v/>
      </c>
      <c r="AG196" s="114"/>
      <c r="AK196" s="48">
        <v>43</v>
      </c>
      <c r="AL196" s="151" t="str">
        <f>IF('Gear &amp; Buffs'!$Y$48="Dagger",IF(ISNA(INDEX($A$151:$A$210,MATCH(AK196,AE$151:AE$210,0))),"",INDEX($A$151:$A$210,MATCH(AK196,AE$151:AE$210,0))),"")&amp;
IF('Gear &amp; Buffs'!$Y$48="Sword",IF(ISNA(INDEX($A$212:$A$260,MATCH(AK196,AE$212:AE$260,0))),"",INDEX($A$212:$A$260,MATCH(AK196,AE$212:AE$260,0))),"")&amp;
IF('Gear &amp; Buffs'!$Y$48="Fist",IF(ISNA(INDEX($A$262:$A$281,MATCH(AK196,AE$262:AE$281,0))),"",INDEX($A$262:$A$281,MATCH(AK196,AE$262:AE$281,0))),"")&amp;
IF('Gear &amp; Buffs'!$Y$48="Mace",IF(ISNA(INDEX($A$283:$A$310,MATCH(AK196,AE$283:AE$310,0))),"",INDEX($A$283:$A$310,MATCH(AK196,AE$283:AE$310,0))),"")&amp;
IF('Gear &amp; Buffs'!$Y$48="All",IF(ISNA(INDEX($A$151:$A$310,MATCH(AK196,AF$151:AF$310,0))),"",INDEX($A$151:$A$310,MATCH(AK196,AF$151:AF$310,0))),"")</f>
        <v>High Warlord's Quickblade (60)</v>
      </c>
    </row>
    <row r="197" spans="1:38">
      <c r="A197" s="10" t="s">
        <v>854</v>
      </c>
      <c r="B197" s="114">
        <v>27463</v>
      </c>
      <c r="C197" s="114">
        <v>1</v>
      </c>
      <c r="D197" s="114"/>
      <c r="E197" s="114"/>
      <c r="F197" s="114">
        <v>34</v>
      </c>
      <c r="G197" s="115"/>
      <c r="H197" s="115">
        <v>14</v>
      </c>
      <c r="I197" s="115"/>
      <c r="J197" s="114"/>
      <c r="K197" s="116"/>
      <c r="L197" s="114">
        <v>15</v>
      </c>
      <c r="M197" s="116"/>
      <c r="N197" s="114"/>
      <c r="O197" s="116"/>
      <c r="P197" s="114"/>
      <c r="Q197" s="114" t="s">
        <v>1033</v>
      </c>
      <c r="R197" s="114"/>
      <c r="S197" s="114" t="s">
        <v>691</v>
      </c>
      <c r="T197" s="114">
        <v>103</v>
      </c>
      <c r="U197" s="116">
        <v>155</v>
      </c>
      <c r="V197" s="155">
        <f t="shared" si="14"/>
        <v>129</v>
      </c>
      <c r="W197" s="155">
        <v>1.8</v>
      </c>
      <c r="X197" s="124">
        <f t="shared" si="15"/>
        <v>71.666666666666671</v>
      </c>
      <c r="Y197" s="114" t="s">
        <v>2269</v>
      </c>
      <c r="Z197" s="114"/>
      <c r="AA197" s="114"/>
      <c r="AB197" s="114"/>
      <c r="AC197" s="289"/>
      <c r="AD197" s="114"/>
      <c r="AE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Aman"),IF(includeprebc,$S197="Pre-BC"),IF(includesunwell,$S197="Sunwell"))),MAX($AE$151:AE196)+1,"")</f>
        <v>25</v>
      </c>
      <c r="AF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Aman"),IF(includeprebc,$S197="Pre-BC"),IF(includesunwell,$S197="Sunwell"))),MAX($AF$150:AF196)+1,"")</f>
        <v>25</v>
      </c>
      <c r="AG197" s="114"/>
      <c r="AK197" s="48">
        <v>44</v>
      </c>
      <c r="AL197" s="151" t="str">
        <f>IF('Gear &amp; Buffs'!$Y$48="Dagger",IF(ISNA(INDEX($A$151:$A$210,MATCH(AK197,AE$151:AE$210,0))),"",INDEX($A$151:$A$210,MATCH(AK197,AE$151:AE$210,0))),"")&amp;
IF('Gear &amp; Buffs'!$Y$48="Sword",IF(ISNA(INDEX($A$212:$A$260,MATCH(AK197,AE$212:AE$260,0))),"",INDEX($A$212:$A$260,MATCH(AK197,AE$212:AE$260,0))),"")&amp;
IF('Gear &amp; Buffs'!$Y$48="Fist",IF(ISNA(INDEX($A$262:$A$281,MATCH(AK197,AE$262:AE$281,0))),"",INDEX($A$262:$A$281,MATCH(AK197,AE$262:AE$281,0))),"")&amp;
IF('Gear &amp; Buffs'!$Y$48="Mace",IF(ISNA(INDEX($A$283:$A$310,MATCH(AK197,AE$283:AE$310,0))),"",INDEX($A$283:$A$310,MATCH(AK197,AE$283:AE$310,0))),"")&amp;
IF('Gear &amp; Buffs'!$Y$48="All",IF(ISNA(INDEX($A$151:$A$310,MATCH(AK197,AF$151:AF$310,0))),"",INDEX($A$151:$A$310,MATCH(AK197,AF$151:AF$310,0))),"")</f>
        <v>High Warlord's Quickblade</v>
      </c>
    </row>
    <row r="198" spans="1:38">
      <c r="A198" s="10" t="s">
        <v>428</v>
      </c>
      <c r="B198" s="114">
        <v>34952</v>
      </c>
      <c r="C198" s="114">
        <v>5</v>
      </c>
      <c r="D198" s="114"/>
      <c r="E198" s="114"/>
      <c r="F198" s="114">
        <v>44</v>
      </c>
      <c r="G198" s="115"/>
      <c r="H198" s="115">
        <v>24</v>
      </c>
      <c r="I198" s="115"/>
      <c r="J198" s="114"/>
      <c r="K198" s="116"/>
      <c r="L198" s="114">
        <v>30</v>
      </c>
      <c r="M198" s="116"/>
      <c r="N198" s="114"/>
      <c r="O198" s="116"/>
      <c r="P198" s="114"/>
      <c r="Q198" s="114" t="s">
        <v>1033</v>
      </c>
      <c r="R198" s="114"/>
      <c r="S198" s="114" t="s">
        <v>691</v>
      </c>
      <c r="T198" s="114">
        <v>130</v>
      </c>
      <c r="U198" s="116">
        <v>241</v>
      </c>
      <c r="V198" s="155">
        <f>(U198+T198)/2</f>
        <v>185.5</v>
      </c>
      <c r="W198" s="155">
        <v>1.8</v>
      </c>
      <c r="X198" s="124">
        <f>V198/W198</f>
        <v>103.05555555555556</v>
      </c>
      <c r="Y198" s="114" t="s">
        <v>2269</v>
      </c>
      <c r="Z198" s="114"/>
      <c r="AA198" s="114"/>
      <c r="AB198" s="114"/>
      <c r="AC198" s="289"/>
      <c r="AD198" s="114"/>
      <c r="AE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Aman"),IF(includeprebc,$S198="Pre-BC"),IF(includesunwell,$S198="Sunwell"))),MAX($AE$151:AE197)+1,"")</f>
        <v/>
      </c>
      <c r="AF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Aman"),IF(includeprebc,$S198="Pre-BC"),IF(includesunwell,$S198="Sunwell"))),MAX($AF$150:AF197)+1,"")</f>
        <v/>
      </c>
      <c r="AG198" s="114"/>
      <c r="AK198" s="48">
        <v>45</v>
      </c>
      <c r="AL198" s="151" t="str">
        <f>IF('Gear &amp; Buffs'!$Y$48="Dagger",IF(ISNA(INDEX($A$151:$A$210,MATCH(AK198,AE$151:AE$210,0))),"",INDEX($A$151:$A$210,MATCH(AK198,AE$151:AE$210,0))),"")&amp;
IF('Gear &amp; Buffs'!$Y$48="Sword",IF(ISNA(INDEX($A$212:$A$260,MATCH(AK198,AE$212:AE$260,0))),"",INDEX($A$212:$A$260,MATCH(AK198,AE$212:AE$260,0))),"")&amp;
IF('Gear &amp; Buffs'!$Y$48="Fist",IF(ISNA(INDEX($A$262:$A$281,MATCH(AK198,AE$262:AE$281,0))),"",INDEX($A$262:$A$281,MATCH(AK198,AE$262:AE$281,0))),"")&amp;
IF('Gear &amp; Buffs'!$Y$48="Mace",IF(ISNA(INDEX($A$283:$A$310,MATCH(AK198,AE$283:AE$310,0))),"",INDEX($A$283:$A$310,MATCH(AK198,AE$283:AE$310,0))),"")&amp;
IF('Gear &amp; Buffs'!$Y$48="All",IF(ISNA(INDEX($A$151:$A$310,MATCH(AK198,AF$151:AF$310,0))),"",INDEX($A$151:$A$310,MATCH(AK198,AF$151:AF$310,0))),"")</f>
        <v>High Warlord's Slicer</v>
      </c>
    </row>
    <row r="199" spans="1:38">
      <c r="A199" s="10" t="s">
        <v>1370</v>
      </c>
      <c r="B199" s="114">
        <v>31331</v>
      </c>
      <c r="C199" s="114">
        <v>1</v>
      </c>
      <c r="D199" s="114"/>
      <c r="E199" s="114"/>
      <c r="F199" s="114"/>
      <c r="G199" s="115"/>
      <c r="H199" s="115"/>
      <c r="I199" s="115"/>
      <c r="J199" s="114"/>
      <c r="K199" s="116"/>
      <c r="L199" s="114"/>
      <c r="M199" s="116"/>
      <c r="N199" s="114"/>
      <c r="O199" s="116"/>
      <c r="P199" s="114"/>
      <c r="Q199" s="114" t="s">
        <v>1033</v>
      </c>
      <c r="R199" s="114"/>
      <c r="S199" s="114" t="s">
        <v>674</v>
      </c>
      <c r="T199" s="114">
        <v>117</v>
      </c>
      <c r="U199" s="116">
        <v>176</v>
      </c>
      <c r="V199" s="155">
        <f t="shared" si="14"/>
        <v>146.5</v>
      </c>
      <c r="W199" s="155">
        <v>1.8</v>
      </c>
      <c r="X199" s="124">
        <f t="shared" si="15"/>
        <v>81.388888888888886</v>
      </c>
      <c r="Y199" s="114" t="s">
        <v>2269</v>
      </c>
      <c r="Z199" s="114"/>
      <c r="AA199" s="114"/>
      <c r="AB199" s="114"/>
      <c r="AC199" s="289" t="s">
        <v>1369</v>
      </c>
      <c r="AD199" s="114"/>
      <c r="AE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Aman"),IF(includeprebc,$S199="Pre-BC"),IF(includesunwell,$S199="Sunwell"))),MAX($AE$151:AE198)+1,"")</f>
        <v>26</v>
      </c>
      <c r="AF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Aman"),IF(includeprebc,$S199="Pre-BC"),IF(includesunwell,$S199="Sunwell"))),MAX($AF$150:AF198)+1,"")</f>
        <v>26</v>
      </c>
      <c r="AG199" s="114"/>
      <c r="AK199" s="48">
        <v>46</v>
      </c>
      <c r="AL199" s="151" t="str">
        <f>IF('Gear &amp; Buffs'!$Y$48="Dagger",IF(ISNA(INDEX($A$151:$A$210,MATCH(AK199,AE$151:AE$210,0))),"",INDEX($A$151:$A$210,MATCH(AK199,AE$151:AE$210,0))),"")&amp;
IF('Gear &amp; Buffs'!$Y$48="Sword",IF(ISNA(INDEX($A$212:$A$260,MATCH(AK199,AE$212:AE$260,0))),"",INDEX($A$212:$A$260,MATCH(AK199,AE$212:AE$260,0))),"")&amp;
IF('Gear &amp; Buffs'!$Y$48="Fist",IF(ISNA(INDEX($A$262:$A$281,MATCH(AK199,AE$262:AE$281,0))),"",INDEX($A$262:$A$281,MATCH(AK199,AE$262:AE$281,0))),"")&amp;
IF('Gear &amp; Buffs'!$Y$48="Mace",IF(ISNA(INDEX($A$283:$A$310,MATCH(AK199,AE$283:AE$310,0))),"",INDEX($A$283:$A$310,MATCH(AK199,AE$283:AE$310,0))),"")&amp;
IF('Gear &amp; Buffs'!$Y$48="All",IF(ISNA(INDEX($A$151:$A$310,MATCH(AK199,AF$151:AF$310,0))),"",INDEX($A$151:$A$310,MATCH(AK199,AF$151:AF$310,0))),"")</f>
        <v>Honor's Call</v>
      </c>
    </row>
    <row r="200" spans="1:38">
      <c r="A200" s="10" t="s">
        <v>1371</v>
      </c>
      <c r="B200" s="114">
        <v>28226</v>
      </c>
      <c r="C200" s="114">
        <v>1</v>
      </c>
      <c r="D200" s="114"/>
      <c r="E200" s="114"/>
      <c r="F200" s="114">
        <v>30</v>
      </c>
      <c r="G200" s="115"/>
      <c r="H200" s="115"/>
      <c r="I200" s="115"/>
      <c r="J200" s="114"/>
      <c r="K200" s="116">
        <v>15</v>
      </c>
      <c r="L200" s="114">
        <v>13</v>
      </c>
      <c r="M200" s="116"/>
      <c r="N200" s="114"/>
      <c r="O200" s="116"/>
      <c r="P200" s="114"/>
      <c r="Q200" s="114" t="s">
        <v>1033</v>
      </c>
      <c r="R200" s="114"/>
      <c r="S200" s="114" t="s">
        <v>691</v>
      </c>
      <c r="T200" s="114">
        <v>80</v>
      </c>
      <c r="U200" s="116">
        <v>121</v>
      </c>
      <c r="V200" s="155">
        <f t="shared" si="14"/>
        <v>100.5</v>
      </c>
      <c r="W200" s="155">
        <v>1.4</v>
      </c>
      <c r="X200" s="124">
        <f t="shared" si="15"/>
        <v>71.785714285714292</v>
      </c>
      <c r="Y200" s="114" t="s">
        <v>2269</v>
      </c>
      <c r="Z200" s="114"/>
      <c r="AA200" s="114"/>
      <c r="AB200" s="114"/>
      <c r="AC200" s="289"/>
      <c r="AD200" s="114"/>
      <c r="AE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Aman"),IF(includeprebc,$S200="Pre-BC"),IF(includesunwell,$S200="Sunwell"))),MAX($AE$151:AE199)+1,"")</f>
        <v>27</v>
      </c>
      <c r="AF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Aman"),IF(includeprebc,$S200="Pre-BC"),IF(includesunwell,$S200="Sunwell"))),MAX($AF$150:AF199)+1,"")</f>
        <v>27</v>
      </c>
      <c r="AG200" s="114"/>
      <c r="AK200" s="48">
        <v>47</v>
      </c>
      <c r="AL200" s="151" t="str">
        <f>IF('Gear &amp; Buffs'!$Y$48="Dagger",IF(ISNA(INDEX($A$151:$A$210,MATCH(AK200,AE$151:AE$210,0))),"",INDEX($A$151:$A$210,MATCH(AK200,AE$151:AE$210,0))),"")&amp;
IF('Gear &amp; Buffs'!$Y$48="Sword",IF(ISNA(INDEX($A$212:$A$260,MATCH(AK200,AE$212:AE$260,0))),"",INDEX($A$212:$A$260,MATCH(AK200,AE$212:AE$260,0))),"")&amp;
IF('Gear &amp; Buffs'!$Y$48="Fist",IF(ISNA(INDEX($A$262:$A$281,MATCH(AK200,AE$262:AE$281,0))),"",INDEX($A$262:$A$281,MATCH(AK200,AE$262:AE$281,0))),"")&amp;
IF('Gear &amp; Buffs'!$Y$48="Mace",IF(ISNA(INDEX($A$283:$A$310,MATCH(AK200,AE$283:AE$310,0))),"",INDEX($A$283:$A$310,MATCH(AK200,AE$283:AE$310,0))),"")&amp;
IF('Gear &amp; Buffs'!$Y$48="All",IF(ISNA(INDEX($A$151:$A$310,MATCH(AK200,AF$151:AF$310,0))),"",INDEX($A$151:$A$310,MATCH(AK200,AF$151:AF$310,0))),"")</f>
        <v>Hope Ender</v>
      </c>
    </row>
    <row r="201" spans="1:38">
      <c r="A201" s="10" t="s">
        <v>1372</v>
      </c>
      <c r="B201" s="114">
        <v>30865</v>
      </c>
      <c r="C201" s="114">
        <v>3</v>
      </c>
      <c r="D201" s="114"/>
      <c r="E201" s="114"/>
      <c r="F201" s="114">
        <v>44</v>
      </c>
      <c r="G201" s="115">
        <v>23</v>
      </c>
      <c r="H201" s="115">
        <v>20</v>
      </c>
      <c r="I201" s="115"/>
      <c r="J201" s="114"/>
      <c r="K201" s="116"/>
      <c r="L201" s="114"/>
      <c r="M201" s="116"/>
      <c r="N201" s="114"/>
      <c r="O201" s="116"/>
      <c r="P201" s="114"/>
      <c r="Q201" s="114" t="s">
        <v>1033</v>
      </c>
      <c r="R201" s="114"/>
      <c r="S201" s="114" t="s">
        <v>684</v>
      </c>
      <c r="T201" s="114">
        <v>105</v>
      </c>
      <c r="U201" s="116">
        <v>196</v>
      </c>
      <c r="V201" s="155">
        <f t="shared" si="14"/>
        <v>150.5</v>
      </c>
      <c r="W201" s="155">
        <v>1.5</v>
      </c>
      <c r="X201" s="124">
        <f t="shared" si="15"/>
        <v>100.33333333333333</v>
      </c>
      <c r="Y201" s="114" t="s">
        <v>2269</v>
      </c>
      <c r="Z201" s="114"/>
      <c r="AA201" s="114"/>
      <c r="AB201" s="114"/>
      <c r="AC201" s="289"/>
      <c r="AD201" s="114"/>
      <c r="AE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Aman"),IF(includeprebc,$S201="Pre-BC"),IF(includesunwell,$S201="Sunwell"))),MAX($AE$151:AE200)+1,"")</f>
        <v/>
      </c>
      <c r="AF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Aman"),IF(includeprebc,$S201="Pre-BC"),IF(includesunwell,$S201="Sunwell"))),MAX($AF$150:AF200)+1,"")</f>
        <v/>
      </c>
      <c r="AG201" s="114"/>
      <c r="AK201" s="48">
        <v>48</v>
      </c>
      <c r="AL201" s="151" t="str">
        <f>IF('Gear &amp; Buffs'!$Y$48="Dagger",IF(ISNA(INDEX($A$151:$A$210,MATCH(AK201,AE$151:AE$210,0))),"",INDEX($A$151:$A$210,MATCH(AK201,AE$151:AE$210,0))),"")&amp;
IF('Gear &amp; Buffs'!$Y$48="Sword",IF(ISNA(INDEX($A$212:$A$260,MATCH(AK201,AE$212:AE$260,0))),"",INDEX($A$212:$A$260,MATCH(AK201,AE$212:AE$260,0))),"")&amp;
IF('Gear &amp; Buffs'!$Y$48="Fist",IF(ISNA(INDEX($A$262:$A$281,MATCH(AK201,AE$262:AE$281,0))),"",INDEX($A$262:$A$281,MATCH(AK201,AE$262:AE$281,0))),"")&amp;
IF('Gear &amp; Buffs'!$Y$48="Mace",IF(ISNA(INDEX($A$283:$A$310,MATCH(AK201,AE$283:AE$310,0))),"",INDEX($A$283:$A$310,MATCH(AK201,AE$283:AE$310,0))),"")&amp;
IF('Gear &amp; Buffs'!$Y$48="All",IF(ISNA(INDEX($A$151:$A$310,MATCH(AK201,AF$151:AF$310,0))),"",INDEX($A$151:$A$310,MATCH(AK201,AF$151:AF$310,0))),"")</f>
        <v>Iblis, Blade of the Fallen Seraph</v>
      </c>
    </row>
    <row r="202" spans="1:38">
      <c r="A202" s="10" t="s">
        <v>645</v>
      </c>
      <c r="B202" s="114">
        <v>27814</v>
      </c>
      <c r="C202" s="114">
        <v>1</v>
      </c>
      <c r="D202" s="114"/>
      <c r="E202" s="114"/>
      <c r="F202" s="114"/>
      <c r="G202" s="115">
        <v>21</v>
      </c>
      <c r="H202" s="115"/>
      <c r="I202" s="115"/>
      <c r="J202" s="114"/>
      <c r="K202" s="116">
        <v>11</v>
      </c>
      <c r="L202" s="114">
        <v>12</v>
      </c>
      <c r="M202" s="116"/>
      <c r="N202" s="114"/>
      <c r="O202" s="116"/>
      <c r="P202" s="114"/>
      <c r="Q202" s="114" t="s">
        <v>1033</v>
      </c>
      <c r="R202" s="114"/>
      <c r="S202" s="114" t="s">
        <v>691</v>
      </c>
      <c r="T202" s="114">
        <v>80</v>
      </c>
      <c r="U202" s="116">
        <v>121</v>
      </c>
      <c r="V202" s="155">
        <f t="shared" si="14"/>
        <v>100.5</v>
      </c>
      <c r="W202" s="155">
        <v>1.4</v>
      </c>
      <c r="X202" s="124">
        <f t="shared" si="15"/>
        <v>71.785714285714292</v>
      </c>
      <c r="Y202" s="114" t="s">
        <v>2269</v>
      </c>
      <c r="Z202" s="114"/>
      <c r="AA202" s="114"/>
      <c r="AB202" s="114"/>
      <c r="AC202" s="289"/>
      <c r="AD202" s="114"/>
      <c r="AE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Aman"),IF(includeprebc,$S202="Pre-BC"),IF(includesunwell,$S202="Sunwell"))),MAX($AE$151:AE201)+1,"")</f>
        <v>28</v>
      </c>
      <c r="AF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Aman"),IF(includeprebc,$S202="Pre-BC"),IF(includesunwell,$S202="Sunwell"))),MAX($AF$150:AF201)+1,"")</f>
        <v>28</v>
      </c>
      <c r="AG202" s="114"/>
      <c r="AK202" s="48">
        <v>49</v>
      </c>
      <c r="AL202" s="151" t="str">
        <f>IF('Gear &amp; Buffs'!$Y$48="Dagger",IF(ISNA(INDEX($A$151:$A$210,MATCH(AK202,AE$151:AE$210,0))),"",INDEX($A$151:$A$210,MATCH(AK202,AE$151:AE$210,0))),"")&amp;
IF('Gear &amp; Buffs'!$Y$48="Sword",IF(ISNA(INDEX($A$212:$A$260,MATCH(AK202,AE$212:AE$260,0))),"",INDEX($A$212:$A$260,MATCH(AK202,AE$212:AE$260,0))),"")&amp;
IF('Gear &amp; Buffs'!$Y$48="Fist",IF(ISNA(INDEX($A$262:$A$281,MATCH(AK202,AE$262:AE$281,0))),"",INDEX($A$262:$A$281,MATCH(AK202,AE$262:AE$281,0))),"")&amp;
IF('Gear &amp; Buffs'!$Y$48="Mace",IF(ISNA(INDEX($A$283:$A$310,MATCH(AK202,AE$283:AE$310,0))),"",INDEX($A$283:$A$310,MATCH(AK202,AE$283:AE$310,0))),"")&amp;
IF('Gear &amp; Buffs'!$Y$48="All",IF(ISNA(INDEX($A$151:$A$310,MATCH(AK202,AF$151:AF$310,0))),"",INDEX($A$151:$A$310,MATCH(AK202,AF$151:AF$310,0))),"")</f>
        <v>King's Defender</v>
      </c>
    </row>
    <row r="203" spans="1:38">
      <c r="A203" s="10" t="s">
        <v>1436</v>
      </c>
      <c r="B203" s="114">
        <v>33493</v>
      </c>
      <c r="C203" s="114">
        <v>4</v>
      </c>
      <c r="D203" s="114"/>
      <c r="E203" s="114">
        <v>12</v>
      </c>
      <c r="F203" s="114"/>
      <c r="G203" s="115"/>
      <c r="H203" s="115">
        <v>13</v>
      </c>
      <c r="I203" s="115"/>
      <c r="J203" s="114"/>
      <c r="K203" s="116"/>
      <c r="L203" s="114">
        <v>30</v>
      </c>
      <c r="M203" s="116"/>
      <c r="N203" s="114"/>
      <c r="O203" s="116"/>
      <c r="P203" s="114"/>
      <c r="Q203" s="114" t="s">
        <v>1045</v>
      </c>
      <c r="R203" s="114" t="s">
        <v>1465</v>
      </c>
      <c r="S203" s="114" t="s">
        <v>664</v>
      </c>
      <c r="T203" s="114">
        <v>137</v>
      </c>
      <c r="U203" s="116">
        <v>207</v>
      </c>
      <c r="V203" s="155">
        <f t="shared" si="14"/>
        <v>172</v>
      </c>
      <c r="W203" s="155">
        <v>1.8</v>
      </c>
      <c r="X203" s="124">
        <f t="shared" si="15"/>
        <v>95.555555555555557</v>
      </c>
      <c r="Y203" s="114" t="s">
        <v>2269</v>
      </c>
      <c r="Z203" s="114"/>
      <c r="AA203" s="114"/>
      <c r="AB203" s="114"/>
      <c r="AC203" s="289"/>
      <c r="AD203" s="114"/>
      <c r="AE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Aman"),IF(includeprebc,$S203="Pre-BC"),IF(includesunwell,$S203="Sunwell"))),MAX($AE$151:AE202)+1,"")</f>
        <v/>
      </c>
      <c r="AF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Aman"),IF(includeprebc,$S203="Pre-BC"),IF(includesunwell,$S203="Sunwell"))),MAX($AF$150:AF202)+1,"")</f>
        <v/>
      </c>
      <c r="AG203" s="114"/>
      <c r="AK203" s="48">
        <v>50</v>
      </c>
      <c r="AL203" s="151" t="str">
        <f>IF('Gear &amp; Buffs'!$Y$48="Dagger",IF(ISNA(INDEX($A$151:$A$210,MATCH(AK203,AE$151:AE$210,0))),"",INDEX($A$151:$A$210,MATCH(AK203,AE$151:AE$210,0))),"")&amp;
IF('Gear &amp; Buffs'!$Y$48="Sword",IF(ISNA(INDEX($A$212:$A$260,MATCH(AK203,AE$212:AE$260,0))),"",INDEX($A$212:$A$260,MATCH(AK203,AE$212:AE$260,0))),"")&amp;
IF('Gear &amp; Buffs'!$Y$48="Fist",IF(ISNA(INDEX($A$262:$A$281,MATCH(AK203,AE$262:AE$281,0))),"",INDEX($A$262:$A$281,MATCH(AK203,AE$262:AE$281,0))),"")&amp;
IF('Gear &amp; Buffs'!$Y$48="Mace",IF(ISNA(INDEX($A$283:$A$310,MATCH(AK203,AE$283:AE$310,0))),"",INDEX($A$283:$A$310,MATCH(AK203,AE$283:AE$310,0))),"")&amp;
IF('Gear &amp; Buffs'!$Y$48="All",IF(ISNA(INDEX($A$151:$A$310,MATCH(AK203,AF$151:AF$310,0))),"",INDEX($A$151:$A$310,MATCH(AK203,AF$151:AF$310,0))),"")</f>
        <v>Latro's Shifting Sword</v>
      </c>
    </row>
    <row r="204" spans="1:38">
      <c r="A204" s="10" t="s">
        <v>1421</v>
      </c>
      <c r="B204" s="114">
        <v>33801</v>
      </c>
      <c r="C204" s="114">
        <v>3</v>
      </c>
      <c r="D204" s="114"/>
      <c r="E204" s="114"/>
      <c r="F204" s="114">
        <v>34</v>
      </c>
      <c r="G204" s="115">
        <v>21</v>
      </c>
      <c r="H204" s="115">
        <v>8</v>
      </c>
      <c r="I204" s="847"/>
      <c r="J204" s="114">
        <v>49</v>
      </c>
      <c r="K204" s="116"/>
      <c r="L204" s="114">
        <v>30</v>
      </c>
      <c r="M204" s="116"/>
      <c r="N204" s="114">
        <v>12</v>
      </c>
      <c r="O204" s="116"/>
      <c r="P204" s="114"/>
      <c r="Q204" s="114" t="s">
        <v>1033</v>
      </c>
      <c r="R204" s="114"/>
      <c r="S204" s="114" t="s">
        <v>677</v>
      </c>
      <c r="T204" s="114">
        <v>130</v>
      </c>
      <c r="U204" s="116">
        <v>241</v>
      </c>
      <c r="V204" s="155">
        <f t="shared" si="14"/>
        <v>185.5</v>
      </c>
      <c r="W204" s="155">
        <v>1.8</v>
      </c>
      <c r="X204" s="124">
        <f t="shared" si="15"/>
        <v>103.05555555555556</v>
      </c>
      <c r="Y204" s="114" t="s">
        <v>2269</v>
      </c>
      <c r="Z204" s="114"/>
      <c r="AA204" s="114"/>
      <c r="AB204" s="114"/>
      <c r="AC204" s="289"/>
      <c r="AD204" s="791"/>
      <c r="AE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Aman"),IF(includeprebc,$S204="Pre-BC"),IF(includesunwell,$S204="Sunwell"))),MAX($AE$151:AE203)+1,"")</f>
        <v/>
      </c>
      <c r="AF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Aman"),IF(includeprebc,$S204="Pre-BC"),IF(includesunwell,$S204="Sunwell"))),MAX($AF$150:AF203)+1,"")</f>
        <v/>
      </c>
      <c r="AG204" s="114"/>
      <c r="AK204" s="48">
        <v>51</v>
      </c>
      <c r="AL204" s="151" t="str">
        <f>IF('Gear &amp; Buffs'!$Y$48="Dagger",IF(ISNA(INDEX($A$151:$A$210,MATCH(AK204,AE$151:AE$210,0))),"",INDEX($A$151:$A$210,MATCH(AK204,AE$151:AE$210,0))),"")&amp;
IF('Gear &amp; Buffs'!$Y$48="Sword",IF(ISNA(INDEX($A$212:$A$260,MATCH(AK204,AE$212:AE$260,0))),"",INDEX($A$212:$A$260,MATCH(AK204,AE$212:AE$260,0))),"")&amp;
IF('Gear &amp; Buffs'!$Y$48="Fist",IF(ISNA(INDEX($A$262:$A$281,MATCH(AK204,AE$262:AE$281,0))),"",INDEX($A$262:$A$281,MATCH(AK204,AE$262:AE$281,0))),"")&amp;
IF('Gear &amp; Buffs'!$Y$48="Mace",IF(ISNA(INDEX($A$283:$A$310,MATCH(AK204,AE$283:AE$310,0))),"",INDEX($A$283:$A$310,MATCH(AK204,AE$283:AE$310,0))),"")&amp;
IF('Gear &amp; Buffs'!$Y$48="All",IF(ISNA(INDEX($A$151:$A$310,MATCH(AK204,AF$151:AF$310,0))),"",INDEX($A$151:$A$310,MATCH(AK204,AF$151:AF$310,0))),"")</f>
        <v>Phosphorescent Blade</v>
      </c>
    </row>
    <row r="205" spans="1:38">
      <c r="A205" s="10" t="s">
        <v>1765</v>
      </c>
      <c r="B205" s="114">
        <v>33754</v>
      </c>
      <c r="C205" s="114">
        <v>3</v>
      </c>
      <c r="D205" s="114"/>
      <c r="E205" s="114"/>
      <c r="F205" s="114">
        <v>34</v>
      </c>
      <c r="G205" s="115">
        <v>21</v>
      </c>
      <c r="H205" s="115">
        <v>8</v>
      </c>
      <c r="I205" s="847"/>
      <c r="J205" s="114">
        <v>49</v>
      </c>
      <c r="K205" s="116"/>
      <c r="L205" s="114">
        <v>30</v>
      </c>
      <c r="M205" s="116"/>
      <c r="N205" s="114">
        <v>12</v>
      </c>
      <c r="O205" s="116"/>
      <c r="P205" s="114"/>
      <c r="Q205" s="114" t="s">
        <v>1033</v>
      </c>
      <c r="R205" s="114"/>
      <c r="S205" s="114" t="s">
        <v>677</v>
      </c>
      <c r="T205" s="114">
        <v>148</v>
      </c>
      <c r="U205" s="116">
        <v>223</v>
      </c>
      <c r="V205" s="155">
        <f t="shared" si="14"/>
        <v>185.5</v>
      </c>
      <c r="W205" s="155">
        <v>1.8</v>
      </c>
      <c r="X205" s="124">
        <f t="shared" si="15"/>
        <v>103.05555555555556</v>
      </c>
      <c r="Y205" s="114" t="s">
        <v>2269</v>
      </c>
      <c r="Z205" s="114"/>
      <c r="AA205" s="114"/>
      <c r="AB205" s="114"/>
      <c r="AC205" s="289"/>
      <c r="AD205" s="791"/>
      <c r="AE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Aman"),IF(includeprebc,$S205="Pre-BC"),IF(includesunwell,$S205="Sunwell"))),MAX($AE$151:AE204)+1,"")</f>
        <v/>
      </c>
      <c r="AF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Aman"),IF(includeprebc,$S205="Pre-BC"),IF(includesunwell,$S205="Sunwell"))),MAX($AF$150:AF204)+1,"")</f>
        <v/>
      </c>
      <c r="AG205" s="114"/>
      <c r="AK205" s="48">
        <v>52</v>
      </c>
      <c r="AL205" s="151" t="str">
        <f>IF('Gear &amp; Buffs'!$Y$48="Dagger",IF(ISNA(INDEX($A$151:$A$210,MATCH(AK205,AE$151:AE$210,0))),"",INDEX($A$151:$A$210,MATCH(AK205,AE$151:AE$210,0))),"")&amp;
IF('Gear &amp; Buffs'!$Y$48="Sword",IF(ISNA(INDEX($A$212:$A$260,MATCH(AK205,AE$212:AE$260,0))),"",INDEX($A$212:$A$260,MATCH(AK205,AE$212:AE$260,0))),"")&amp;
IF('Gear &amp; Buffs'!$Y$48="Fist",IF(ISNA(INDEX($A$262:$A$281,MATCH(AK205,AE$262:AE$281,0))),"",INDEX($A$262:$A$281,MATCH(AK205,AE$262:AE$281,0))),"")&amp;
IF('Gear &amp; Buffs'!$Y$48="Mace",IF(ISNA(INDEX($A$283:$A$310,MATCH(AK205,AE$283:AE$310,0))),"",INDEX($A$283:$A$310,MATCH(AK205,AE$283:AE$310,0))),"")&amp;
IF('Gear &amp; Buffs'!$Y$48="All",IF(ISNA(INDEX($A$151:$A$310,MATCH(AK205,AF$151:AF$310,0))),"",INDEX($A$151:$A$310,MATCH(AK205,AF$151:AF$310,0))),"")</f>
        <v>Revenger</v>
      </c>
    </row>
    <row r="206" spans="1:38">
      <c r="A206" s="10" t="s">
        <v>1764</v>
      </c>
      <c r="B206" s="114">
        <v>33756</v>
      </c>
      <c r="C206" s="114">
        <v>3</v>
      </c>
      <c r="D206" s="114"/>
      <c r="E206" s="114"/>
      <c r="F206" s="114">
        <v>34</v>
      </c>
      <c r="G206" s="115">
        <v>21</v>
      </c>
      <c r="H206" s="115">
        <v>8</v>
      </c>
      <c r="I206" s="847"/>
      <c r="J206" s="114">
        <v>49</v>
      </c>
      <c r="K206" s="116"/>
      <c r="L206" s="114">
        <v>30</v>
      </c>
      <c r="M206" s="116"/>
      <c r="N206" s="114">
        <v>12</v>
      </c>
      <c r="O206" s="116"/>
      <c r="P206" s="114"/>
      <c r="Q206" s="114" t="s">
        <v>1033</v>
      </c>
      <c r="R206" s="114"/>
      <c r="S206" s="114" t="s">
        <v>677</v>
      </c>
      <c r="T206" s="114">
        <v>101</v>
      </c>
      <c r="U206" s="116">
        <v>188</v>
      </c>
      <c r="V206" s="155">
        <f t="shared" si="14"/>
        <v>144.5</v>
      </c>
      <c r="W206" s="155">
        <v>1.4</v>
      </c>
      <c r="X206" s="124">
        <f t="shared" si="15"/>
        <v>103.21428571428572</v>
      </c>
      <c r="Y206" s="114" t="s">
        <v>2269</v>
      </c>
      <c r="Z206" s="114"/>
      <c r="AA206" s="114"/>
      <c r="AB206" s="114"/>
      <c r="AC206" s="289"/>
      <c r="AD206" s="791"/>
      <c r="AE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Aman"),IF(includeprebc,$S206="Pre-BC"),IF(includesunwell,$S206="Sunwell"))),MAX($AE$151:AE205)+1,"")</f>
        <v/>
      </c>
      <c r="AF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Aman"),IF(includeprebc,$S206="Pre-BC"),IF(includesunwell,$S206="Sunwell"))),MAX($AF$150:AF205)+1,"")</f>
        <v/>
      </c>
      <c r="AG206" s="114"/>
      <c r="AK206" s="48">
        <v>53</v>
      </c>
      <c r="AL206" s="151" t="str">
        <f>IF('Gear &amp; Buffs'!$Y$48="Dagger",IF(ISNA(INDEX($A$151:$A$210,MATCH(AK206,AE$151:AE$210,0))),"",INDEX($A$151:$A$210,MATCH(AK206,AE$151:AE$210,0))),"")&amp;
IF('Gear &amp; Buffs'!$Y$48="Sword",IF(ISNA(INDEX($A$212:$A$260,MATCH(AK206,AE$212:AE$260,0))),"",INDEX($A$212:$A$260,MATCH(AK206,AE$212:AE$260,0))),"")&amp;
IF('Gear &amp; Buffs'!$Y$48="Fist",IF(ISNA(INDEX($A$262:$A$281,MATCH(AK206,AE$262:AE$281,0))),"",INDEX($A$262:$A$281,MATCH(AK206,AE$262:AE$281,0))),"")&amp;
IF('Gear &amp; Buffs'!$Y$48="Mace",IF(ISNA(INDEX($A$283:$A$310,MATCH(AK206,AE$283:AE$310,0))),"",INDEX($A$283:$A$310,MATCH(AK206,AE$283:AE$310,0))),"")&amp;
IF('Gear &amp; Buffs'!$Y$48="All",IF(ISNA(INDEX($A$151:$A$310,MATCH(AK206,AF$151:AF$310,0))),"",INDEX($A$151:$A$310,MATCH(AK206,AF$151:AF$310,0))),"")</f>
        <v>Spiteblade</v>
      </c>
    </row>
    <row r="207" spans="1:38">
      <c r="A207" s="10" t="s">
        <v>1373</v>
      </c>
      <c r="B207" s="114">
        <v>29360</v>
      </c>
      <c r="C207" s="114">
        <v>1</v>
      </c>
      <c r="D207" s="114"/>
      <c r="E207" s="114"/>
      <c r="F207" s="114">
        <v>60</v>
      </c>
      <c r="G207" s="115"/>
      <c r="H207" s="115"/>
      <c r="I207" s="115"/>
      <c r="J207" s="114"/>
      <c r="K207" s="116"/>
      <c r="L207" s="114"/>
      <c r="M207" s="116"/>
      <c r="N207" s="114"/>
      <c r="O207" s="116"/>
      <c r="P207" s="114"/>
      <c r="Q207" s="114" t="s">
        <v>1033</v>
      </c>
      <c r="R207" s="114"/>
      <c r="S207" s="114" t="s">
        <v>691</v>
      </c>
      <c r="T207" s="114">
        <v>120</v>
      </c>
      <c r="U207" s="116">
        <v>181</v>
      </c>
      <c r="V207" s="155">
        <f t="shared" si="14"/>
        <v>150.5</v>
      </c>
      <c r="W207" s="155">
        <v>1.8</v>
      </c>
      <c r="X207" s="124">
        <f t="shared" si="15"/>
        <v>83.611111111111114</v>
      </c>
      <c r="Y207" s="114" t="s">
        <v>2269</v>
      </c>
      <c r="Z207" s="114"/>
      <c r="AA207" s="114"/>
      <c r="AB207" s="114"/>
      <c r="AC207" s="289"/>
      <c r="AD207" s="114"/>
      <c r="AE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Aman"),IF(includeprebc,$S207="Pre-BC"),IF(includesunwell,$S207="Sunwell"))),MAX($AE$151:AE206)+1,"")</f>
        <v>29</v>
      </c>
      <c r="AF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Aman"),IF(includeprebc,$S207="Pre-BC"),IF(includesunwell,$S207="Sunwell"))),MAX($AF$150:AF206)+1,"")</f>
        <v>29</v>
      </c>
      <c r="AG207" s="114"/>
      <c r="AK207" s="48">
        <v>54</v>
      </c>
      <c r="AL207" s="151" t="str">
        <f>IF('Gear &amp; Buffs'!$Y$48="Dagger",IF(ISNA(INDEX($A$151:$A$210,MATCH(AK207,AE$151:AE$210,0))),"",INDEX($A$151:$A$210,MATCH(AK207,AE$151:AE$210,0))),"")&amp;
IF('Gear &amp; Buffs'!$Y$48="Sword",IF(ISNA(INDEX($A$212:$A$260,MATCH(AK207,AE$212:AE$260,0))),"",INDEX($A$212:$A$260,MATCH(AK207,AE$212:AE$260,0))),"")&amp;
IF('Gear &amp; Buffs'!$Y$48="Fist",IF(ISNA(INDEX($A$262:$A$281,MATCH(AK207,AE$262:AE$281,0))),"",INDEX($A$262:$A$281,MATCH(AK207,AE$262:AE$281,0))),"")&amp;
IF('Gear &amp; Buffs'!$Y$48="Mace",IF(ISNA(INDEX($A$283:$A$310,MATCH(AK207,AE$283:AE$310,0))),"",INDEX($A$283:$A$310,MATCH(AK207,AE$283:AE$310,0))),"")&amp;
IF('Gear &amp; Buffs'!$Y$48="All",IF(ISNA(INDEX($A$151:$A$310,MATCH(AK207,AF$151:AF$310,0))),"",INDEX($A$151:$A$310,MATCH(AK207,AF$151:AF$310,0))),"")</f>
        <v>The Hungering Cold</v>
      </c>
    </row>
    <row r="208" spans="1:38">
      <c r="A208" s="10" t="s">
        <v>1374</v>
      </c>
      <c r="B208" s="114">
        <v>28345</v>
      </c>
      <c r="C208" s="114">
        <v>1</v>
      </c>
      <c r="D208" s="114"/>
      <c r="E208" s="114">
        <v>16</v>
      </c>
      <c r="F208" s="114"/>
      <c r="G208" s="115"/>
      <c r="H208" s="115">
        <v>15</v>
      </c>
      <c r="I208" s="115"/>
      <c r="J208" s="114"/>
      <c r="K208" s="116"/>
      <c r="L208" s="114">
        <v>13</v>
      </c>
      <c r="M208" s="116"/>
      <c r="N208" s="114"/>
      <c r="O208" s="116"/>
      <c r="P208" s="114"/>
      <c r="Q208" s="114" t="s">
        <v>1033</v>
      </c>
      <c r="R208" s="124"/>
      <c r="S208" s="114" t="s">
        <v>673</v>
      </c>
      <c r="T208" s="114">
        <v>74</v>
      </c>
      <c r="U208" s="116">
        <v>112</v>
      </c>
      <c r="V208" s="155">
        <f t="shared" si="14"/>
        <v>93</v>
      </c>
      <c r="W208" s="155">
        <v>1.3</v>
      </c>
      <c r="X208" s="124">
        <f t="shared" si="15"/>
        <v>71.538461538461533</v>
      </c>
      <c r="Y208" s="115" t="s">
        <v>2269</v>
      </c>
      <c r="Z208" s="114"/>
      <c r="AA208" s="114"/>
      <c r="AB208" s="114"/>
      <c r="AC208" s="289"/>
      <c r="AD208" s="115"/>
      <c r="AE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Aman"),IF(includeprebc,$S208="Pre-BC"),IF(includesunwell,$S208="Sunwell"))),MAX($AE$151:AE207)+1,"")</f>
        <v>30</v>
      </c>
      <c r="AF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Aman"),IF(includeprebc,$S208="Pre-BC"),IF(includesunwell,$S208="Sunwell"))),MAX($AF$150:AF207)+1,"")</f>
        <v>30</v>
      </c>
      <c r="AG208" s="114"/>
      <c r="AK208" s="48">
        <v>55</v>
      </c>
      <c r="AL208" s="151" t="str">
        <f>IF('Gear &amp; Buffs'!$Y$48="Dagger",IF(ISNA(INDEX($A$151:$A$210,MATCH(AK208,AE$151:AE$210,0))),"",INDEX($A$151:$A$210,MATCH(AK208,AE$151:AE$210,0))),"")&amp;
IF('Gear &amp; Buffs'!$Y$48="Sword",IF(ISNA(INDEX($A$212:$A$260,MATCH(AK208,AE$212:AE$260,0))),"",INDEX($A$212:$A$260,MATCH(AK208,AE$212:AE$260,0))),"")&amp;
IF('Gear &amp; Buffs'!$Y$48="Fist",IF(ISNA(INDEX($A$262:$A$281,MATCH(AK208,AE$262:AE$281,0))),"",INDEX($A$262:$A$281,MATCH(AK208,AE$262:AE$281,0))),"")&amp;
IF('Gear &amp; Buffs'!$Y$48="Mace",IF(ISNA(INDEX($A$283:$A$310,MATCH(AK208,AE$283:AE$310,0))),"",INDEX($A$283:$A$310,MATCH(AK208,AE$283:AE$310,0))),"")&amp;
IF('Gear &amp; Buffs'!$Y$48="All",IF(ISNA(INDEX($A$151:$A$310,MATCH(AK208,AF$151:AF$310,0))),"",INDEX($A$151:$A$310,MATCH(AK208,AF$151:AF$310,0))),"")</f>
        <v>The Sun Eater</v>
      </c>
    </row>
    <row r="209" spans="1:38">
      <c r="A209" s="10" t="s">
        <v>1375</v>
      </c>
      <c r="B209" s="114">
        <v>27913</v>
      </c>
      <c r="C209" s="114">
        <v>1</v>
      </c>
      <c r="D209" s="114"/>
      <c r="E209" s="114"/>
      <c r="F209" s="114">
        <v>26</v>
      </c>
      <c r="G209" s="115"/>
      <c r="H209" s="115"/>
      <c r="I209" s="115"/>
      <c r="J209" s="114"/>
      <c r="K209" s="116">
        <v>15</v>
      </c>
      <c r="L209" s="114">
        <v>21</v>
      </c>
      <c r="M209" s="116"/>
      <c r="N209" s="114"/>
      <c r="O209" s="116"/>
      <c r="P209" s="114"/>
      <c r="Q209" s="114" t="s">
        <v>1033</v>
      </c>
      <c r="R209" s="114"/>
      <c r="S209" s="114" t="s">
        <v>673</v>
      </c>
      <c r="T209" s="114">
        <v>109</v>
      </c>
      <c r="U209" s="116">
        <v>164</v>
      </c>
      <c r="V209" s="155">
        <f>(U209+T209)/2</f>
        <v>136.5</v>
      </c>
      <c r="W209" s="155">
        <v>1.9</v>
      </c>
      <c r="X209" s="124">
        <f>V209/W209</f>
        <v>71.842105263157904</v>
      </c>
      <c r="Y209" s="114" t="s">
        <v>2269</v>
      </c>
      <c r="Z209" s="114"/>
      <c r="AA209" s="114"/>
      <c r="AB209" s="114"/>
      <c r="AC209" s="289"/>
      <c r="AD209" s="114"/>
      <c r="AE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Aman"),IF(includeprebc,$S209="Pre-BC"),IF(includesunwell,$S209="Sunwell"))),MAX($AE$151:AE208)+1,"")</f>
        <v>31</v>
      </c>
      <c r="AF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Aman"),IF(includeprebc,$S209="Pre-BC"),IF(includesunwell,$S209="Sunwell"))),MAX($AF$150:AF208)+1,"")</f>
        <v>31</v>
      </c>
      <c r="AG209" s="114"/>
      <c r="AK209" s="48">
        <v>56</v>
      </c>
      <c r="AL209" s="151" t="str">
        <f>IF('Gear &amp; Buffs'!$Y$48="Dagger",IF(ISNA(INDEX($A$151:$A$210,MATCH(AK209,AE$151:AE$210,0))),"",INDEX($A$151:$A$210,MATCH(AK209,AE$151:AE$210,0))),"")&amp;
IF('Gear &amp; Buffs'!$Y$48="Sword",IF(ISNA(INDEX($A$212:$A$260,MATCH(AK209,AE$212:AE$260,0))),"",INDEX($A$212:$A$260,MATCH(AK209,AE$212:AE$260,0))),"")&amp;
IF('Gear &amp; Buffs'!$Y$48="Fist",IF(ISNA(INDEX($A$262:$A$281,MATCH(AK209,AE$262:AE$281,0))),"",INDEX($A$262:$A$281,MATCH(AK209,AE$262:AE$281,0))),"")&amp;
IF('Gear &amp; Buffs'!$Y$48="Mace",IF(ISNA(INDEX($A$283:$A$310,MATCH(AK209,AE$283:AE$310,0))),"",INDEX($A$283:$A$310,MATCH(AK209,AE$283:AE$310,0))),"")&amp;
IF('Gear &amp; Buffs'!$Y$48="All",IF(ISNA(INDEX($A$151:$A$310,MATCH(AK209,AF$151:AF$310,0))),"",INDEX($A$151:$A$310,MATCH(AK209,AF$151:AF$310,0))),"")</f>
        <v>Thunderfury</v>
      </c>
    </row>
    <row r="210" spans="1:38">
      <c r="A210" s="10" t="str">
        <f>'Gear &amp; Buffs'!$B$148</f>
        <v>(Unmodeled OH Dagger)</v>
      </c>
      <c r="B210" s="114"/>
      <c r="C210" s="114"/>
      <c r="D210" s="114">
        <f>'Gear &amp; Buffs'!$D$148</f>
        <v>0</v>
      </c>
      <c r="E210" s="114">
        <f>'Gear &amp; Buffs'!$E$148</f>
        <v>0</v>
      </c>
      <c r="F210" s="114">
        <f>'Gear &amp; Buffs'!$I$148</f>
        <v>0</v>
      </c>
      <c r="G210" s="115">
        <f>'Gear &amp; Buffs'!$G$148</f>
        <v>0</v>
      </c>
      <c r="H210" s="115">
        <f>'Gear &amp; Buffs'!$H$148</f>
        <v>0</v>
      </c>
      <c r="I210" s="115">
        <f>'Gear &amp; Buffs'!$P$148</f>
        <v>0</v>
      </c>
      <c r="J210" s="114">
        <f>'Gear &amp; Buffs'!$Q$148</f>
        <v>0</v>
      </c>
      <c r="K210" s="116">
        <f>'Gear &amp; Buffs'!$L$148</f>
        <v>0</v>
      </c>
      <c r="L210" s="114">
        <f>'Gear &amp; Buffs'!$F$148</f>
        <v>0</v>
      </c>
      <c r="M210" s="116">
        <f>'Gear &amp; Buffs'!$K$148</f>
        <v>0</v>
      </c>
      <c r="N210" s="114">
        <f>'Gear &amp; Buffs'!$J$148</f>
        <v>0</v>
      </c>
      <c r="O210" s="115">
        <f>'Gear &amp; Buffs'!M148</f>
        <v>0</v>
      </c>
      <c r="P210" s="114"/>
      <c r="Q210" s="114" t="str">
        <f>'Gear &amp; Buffs'!$R$148</f>
        <v>0 0 0</v>
      </c>
      <c r="R210" s="720">
        <f>'Gear &amp; Buffs'!$S$148</f>
        <v>0</v>
      </c>
      <c r="S210" s="114"/>
      <c r="T210" s="114">
        <f>'Gear &amp; Buffs'!$T$148</f>
        <v>1</v>
      </c>
      <c r="U210" s="116">
        <f>'Gear &amp; Buffs'!$U$148</f>
        <v>1</v>
      </c>
      <c r="V210" s="155">
        <f>(U210+T210)/2</f>
        <v>1</v>
      </c>
      <c r="W210" s="155">
        <f>'Gear &amp; Buffs'!$V$148</f>
        <v>2</v>
      </c>
      <c r="X210" s="124">
        <f>V210/W210</f>
        <v>0.5</v>
      </c>
      <c r="Y210" s="114" t="s">
        <v>2269</v>
      </c>
      <c r="Z210" s="114"/>
      <c r="AA210" s="114"/>
      <c r="AB210" s="114"/>
      <c r="AC210" s="289"/>
      <c r="AD210" s="114"/>
      <c r="AE210" s="114">
        <f>MAX($AE$151:AE209)+1</f>
        <v>32</v>
      </c>
      <c r="AF210" s="114">
        <f>MAX(AF$150:AF209)+1</f>
        <v>32</v>
      </c>
      <c r="AG210" s="114"/>
      <c r="AK210" s="48">
        <v>57</v>
      </c>
      <c r="AL210" s="151" t="str">
        <f>IF('Gear &amp; Buffs'!$Y$48="Dagger",IF(ISNA(INDEX($A$151:$A$210,MATCH(AK210,AE$151:AE$210,0))),"",INDEX($A$151:$A$210,MATCH(AK210,AE$151:AE$210,0))),"")&amp;
IF('Gear &amp; Buffs'!$Y$48="Sword",IF(ISNA(INDEX($A$212:$A$260,MATCH(AK210,AE$212:AE$260,0))),"",INDEX($A$212:$A$260,MATCH(AK210,AE$212:AE$260,0))),"")&amp;
IF('Gear &amp; Buffs'!$Y$48="Fist",IF(ISNA(INDEX($A$262:$A$281,MATCH(AK210,AE$262:AE$281,0))),"",INDEX($A$262:$A$281,MATCH(AK210,AE$262:AE$281,0))),"")&amp;
IF('Gear &amp; Buffs'!$Y$48="Mace",IF(ISNA(INDEX($A$283:$A$310,MATCH(AK210,AE$283:AE$310,0))),"",INDEX($A$283:$A$310,MATCH(AK210,AE$283:AE$310,0))),"")&amp;
IF('Gear &amp; Buffs'!$Y$48="All",IF(ISNA(INDEX($A$151:$A$310,MATCH(AK210,AF$151:AF$310,0))),"",INDEX($A$151:$A$310,MATCH(AK210,AF$151:AF$310,0))),"")</f>
        <v>Vindicator's Brand</v>
      </c>
    </row>
    <row r="211" spans="1:38">
      <c r="A211" s="844" t="str">
        <f>" "</f>
        <v xml:space="preserve"> </v>
      </c>
      <c r="B211" s="833"/>
      <c r="C211" s="833"/>
      <c r="D211" s="827"/>
      <c r="E211" s="827"/>
      <c r="F211" s="827"/>
      <c r="G211" s="843"/>
      <c r="H211" s="843"/>
      <c r="I211" s="843"/>
      <c r="J211" s="827"/>
      <c r="K211" s="833"/>
      <c r="L211" s="827"/>
      <c r="M211" s="833"/>
      <c r="N211" s="827"/>
      <c r="O211" s="833"/>
      <c r="P211" s="827"/>
      <c r="Q211" s="827" t="s">
        <v>1033</v>
      </c>
      <c r="R211" s="827"/>
      <c r="S211" s="827"/>
      <c r="T211" s="827"/>
      <c r="U211" s="833"/>
      <c r="V211" s="845"/>
      <c r="W211" s="827"/>
      <c r="X211" s="846"/>
      <c r="Y211" s="827"/>
      <c r="Z211" s="827"/>
      <c r="AA211" s="827"/>
      <c r="AB211" s="827"/>
      <c r="AC211" s="835"/>
      <c r="AD211" s="827"/>
      <c r="AE211" s="827" t="str">
        <f>IF(OR(IF(includeblacksmith,S211="Blacksmithing"),IF(includeleatherwork,S211="Leatherworking"),IF(includeengineer,S211="Engineering"),IF(includeboecrafted,S211="BoE Crafted"),IF(includeboe,S211="BoE"),IF(includepvp,S211="PvP"),IF(includequest,S211="Quest"),IF(includereputation,S211="Reputation"),IF(include5man,S211="5 Man"),IF(includeheroic,S211="Heroic"),IF(includekarahzan,S211="Karazhan"),IF(includedoomwalker,S211="Doomwalker"),IF(includekazzak,S211="Kazzak"),IF(includegruul,S211="Gruul's Lair"),IF(includemagtheridon,S211="Magtheridon"),IF(includessc,S211="SSC"),IF(includetheeye,S211="TK"),IF(includeblacktemple,S211="Black Temple"),IF(includemounthyjal,S211="Mount Hyjal"),IF(includeprebc,S211="Pre-BC")),MAX($AE$151:AE208)+1,"")</f>
        <v/>
      </c>
      <c r="AF211" s="114">
        <f>MAX(AF$150:AF210)+1</f>
        <v>33</v>
      </c>
      <c r="AG211" s="114"/>
      <c r="AK211" s="48">
        <v>58</v>
      </c>
      <c r="AL211" s="151" t="str">
        <f>IF('Gear &amp; Buffs'!$Y$48="Dagger",IF(ISNA(INDEX($A$151:$A$210,MATCH(AK211,AE$151:AE$210,0))),"",INDEX($A$151:$A$210,MATCH(AK211,AE$151:AE$210,0))),"")&amp;
IF('Gear &amp; Buffs'!$Y$48="Sword",IF(ISNA(INDEX($A$212:$A$260,MATCH(AK211,AE$212:AE$260,0))),"",INDEX($A$212:$A$260,MATCH(AK211,AE$212:AE$260,0))),"")&amp;
IF('Gear &amp; Buffs'!$Y$48="Fist",IF(ISNA(INDEX($A$262:$A$281,MATCH(AK211,AE$262:AE$281,0))),"",INDEX($A$262:$A$281,MATCH(AK211,AE$262:AE$281,0))),"")&amp;
IF('Gear &amp; Buffs'!$Y$48="Mace",IF(ISNA(INDEX($A$283:$A$310,MATCH(AK211,AE$283:AE$310,0))),"",INDEX($A$283:$A$310,MATCH(AK211,AE$283:AE$310,0))),"")&amp;
IF('Gear &amp; Buffs'!$Y$48="All",IF(ISNA(INDEX($A$151:$A$310,MATCH(AK211,AF$151:AF$310,0))),"",INDEX($A$151:$A$310,MATCH(AK211,AF$151:AF$310,0))),"")</f>
        <v>Warp-Storm Warblade</v>
      </c>
    </row>
    <row r="212" spans="1:38" ht="12" thickBot="1">
      <c r="A212" s="837" t="s">
        <v>1376</v>
      </c>
      <c r="B212" s="839"/>
      <c r="C212" s="839"/>
      <c r="D212" s="743"/>
      <c r="E212" s="743"/>
      <c r="F212" s="743"/>
      <c r="G212" s="838"/>
      <c r="H212" s="838"/>
      <c r="I212" s="838"/>
      <c r="J212" s="743"/>
      <c r="K212" s="839"/>
      <c r="L212" s="743"/>
      <c r="M212" s="839"/>
      <c r="N212" s="743"/>
      <c r="O212" s="839"/>
      <c r="P212" s="743"/>
      <c r="Q212" s="743" t="s">
        <v>1033</v>
      </c>
      <c r="R212" s="743"/>
      <c r="S212" s="743"/>
      <c r="T212" s="743"/>
      <c r="U212" s="839"/>
      <c r="V212" s="840"/>
      <c r="W212" s="743"/>
      <c r="X212" s="841"/>
      <c r="Y212" s="838"/>
      <c r="Z212" s="743"/>
      <c r="AA212" s="743"/>
      <c r="AB212" s="743"/>
      <c r="AC212" s="842"/>
      <c r="AD212" s="838"/>
      <c r="AE212" s="743">
        <v>1</v>
      </c>
      <c r="AF212" s="114">
        <f>MAX(AF$150:AF211)+1</f>
        <v>34</v>
      </c>
      <c r="AG212" s="114"/>
      <c r="AK212" s="48">
        <v>59</v>
      </c>
      <c r="AL212" s="151" t="str">
        <f>IF('Gear &amp; Buffs'!$Y$48="Dagger",IF(ISNA(INDEX($A$151:$A$210,MATCH(AK212,AE$151:AE$210,0))),"",INDEX($A$151:$A$210,MATCH(AK212,AE$151:AE$210,0))),"")&amp;
IF('Gear &amp; Buffs'!$Y$48="Sword",IF(ISNA(INDEX($A$212:$A$260,MATCH(AK212,AE$212:AE$260,0))),"",INDEX($A$212:$A$260,MATCH(AK212,AE$212:AE$260,0))),"")&amp;
IF('Gear &amp; Buffs'!$Y$48="Fist",IF(ISNA(INDEX($A$262:$A$281,MATCH(AK212,AE$262:AE$281,0))),"",INDEX($A$262:$A$281,MATCH(AK212,AE$262:AE$281,0))),"")&amp;
IF('Gear &amp; Buffs'!$Y$48="Mace",IF(ISNA(INDEX($A$283:$A$310,MATCH(AK212,AE$283:AE$310,0))),"",INDEX($A$283:$A$310,MATCH(AK212,AE$283:AE$310,0))),"")&amp;
IF('Gear &amp; Buffs'!$Y$48="All",IF(ISNA(INDEX($A$151:$A$310,MATCH(AK212,AF$151:AF$310,0))),"",INDEX($A$151:$A$310,MATCH(AK212,AF$151:AF$310,0))),"")</f>
        <v>(Unmodeled OH Sword)</v>
      </c>
    </row>
    <row r="213" spans="1:38">
      <c r="A213" s="10" t="s">
        <v>282</v>
      </c>
      <c r="B213" s="116">
        <v>33214</v>
      </c>
      <c r="C213" s="116">
        <v>4</v>
      </c>
      <c r="D213" s="114"/>
      <c r="E213" s="114"/>
      <c r="F213" s="114">
        <v>52</v>
      </c>
      <c r="G213" s="115"/>
      <c r="H213" s="115"/>
      <c r="I213" s="115">
        <v>18</v>
      </c>
      <c r="J213" s="114"/>
      <c r="K213" s="116"/>
      <c r="L213" s="114">
        <v>25</v>
      </c>
      <c r="M213" s="116"/>
      <c r="N213" s="114"/>
      <c r="O213" s="116"/>
      <c r="P213" s="114"/>
      <c r="Q213" s="114" t="s">
        <v>1033</v>
      </c>
      <c r="R213" s="114"/>
      <c r="S213" s="114" t="s">
        <v>664</v>
      </c>
      <c r="T213" s="114">
        <v>100</v>
      </c>
      <c r="U213" s="116">
        <v>187</v>
      </c>
      <c r="V213" s="155">
        <f t="shared" ref="V213:V258" si="18">(U213+T213)/2</f>
        <v>143.5</v>
      </c>
      <c r="W213" s="155">
        <v>1.5</v>
      </c>
      <c r="X213" s="124">
        <f t="shared" ref="X213:X258" si="19">V213/W213</f>
        <v>95.666666666666671</v>
      </c>
      <c r="Y213" s="115" t="s">
        <v>1377</v>
      </c>
      <c r="Z213" s="114"/>
      <c r="AA213" s="114"/>
      <c r="AB213" s="114"/>
      <c r="AC213" s="289"/>
      <c r="AD213" s="115"/>
      <c r="AE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Aman"),IF(includeprebc,S213="Pre-BC"),IF(includesunwell,S213="Sunwell"))),MAX($AE$212:AE212)+1,"")</f>
        <v/>
      </c>
      <c r="AF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Aman"),IF(includeprebc,$S213="Pre-BC"),IF(includesunwell,$S213="Sunwell"))),MAX($AF$150:AF212)+1,"")</f>
        <v/>
      </c>
      <c r="AG213" s="114"/>
      <c r="AK213" s="208">
        <v>60</v>
      </c>
      <c r="AL213" s="151" t="str">
        <f>IF('Gear &amp; Buffs'!$Y$48="Dagger",IF(ISNA(INDEX($A$151:$A$210,MATCH(AK213,AE$151:AE$210,0))),"",INDEX($A$151:$A$210,MATCH(AK213,AE$151:AE$210,0))),"")&amp;
IF('Gear &amp; Buffs'!$Y$48="Sword",IF(ISNA(INDEX($A$212:$A$260,MATCH(AK213,AE$212:AE$260,0))),"",INDEX($A$212:$A$260,MATCH(AK213,AE$212:AE$260,0))),"")&amp;
IF('Gear &amp; Buffs'!$Y$48="Fist",IF(ISNA(INDEX($A$262:$A$281,MATCH(AK213,AE$262:AE$281,0))),"",INDEX($A$262:$A$281,MATCH(AK213,AE$262:AE$281,0))),"")&amp;
IF('Gear &amp; Buffs'!$Y$48="Mace",IF(ISNA(INDEX($A$283:$A$310,MATCH(AK213,AE$283:AE$310,0))),"",INDEX($A$283:$A$310,MATCH(AK213,AE$283:AE$310,0))),"")&amp;
IF('Gear &amp; Buffs'!$Y$48="All",IF(ISNA(INDEX($A$151:$A$310,MATCH(AK213,AF$151:AF$310,0))),"",INDEX($A$151:$A$310,MATCH(AK213,AF$151:AF$310,0))),"")</f>
        <v xml:space="preserve"> </v>
      </c>
    </row>
    <row r="214" spans="1:38">
      <c r="A214" s="10" t="s">
        <v>1378</v>
      </c>
      <c r="B214" s="114">
        <v>30881</v>
      </c>
      <c r="C214" s="114">
        <v>3</v>
      </c>
      <c r="D214" s="114"/>
      <c r="E214" s="114">
        <v>28</v>
      </c>
      <c r="F214" s="114">
        <v>56</v>
      </c>
      <c r="G214" s="114"/>
      <c r="H214" s="114"/>
      <c r="I214" s="115"/>
      <c r="J214" s="114"/>
      <c r="K214" s="114"/>
      <c r="L214" s="114"/>
      <c r="M214" s="114"/>
      <c r="N214" s="114"/>
      <c r="O214" s="114"/>
      <c r="P214" s="10"/>
      <c r="Q214" s="114" t="s">
        <v>1033</v>
      </c>
      <c r="R214" s="114"/>
      <c r="S214" s="114" t="s">
        <v>684</v>
      </c>
      <c r="T214" s="114">
        <v>182</v>
      </c>
      <c r="U214" s="114">
        <v>339</v>
      </c>
      <c r="V214" s="155">
        <f t="shared" si="18"/>
        <v>260.5</v>
      </c>
      <c r="W214" s="155">
        <v>2.6</v>
      </c>
      <c r="X214" s="124">
        <f t="shared" si="19"/>
        <v>100.19230769230769</v>
      </c>
      <c r="Y214" s="114" t="s">
        <v>1377</v>
      </c>
      <c r="Z214" s="114"/>
      <c r="AA214" s="114"/>
      <c r="AB214" s="114"/>
      <c r="AC214" s="10"/>
      <c r="AD214" s="114"/>
      <c r="AE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Aman"),IF(includeprebc,S214="Pre-BC"),IF(includesunwell,S214="Sunwell"))),MAX($AE$212:AE213)+1,"")</f>
        <v/>
      </c>
      <c r="AF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Aman"),IF(includeprebc,$S214="Pre-BC"),IF(includesunwell,$S214="Sunwell"))),MAX($AF$150:AF213)+1,"")</f>
        <v/>
      </c>
      <c r="AG214" s="114"/>
      <c r="AK214" s="48">
        <v>61</v>
      </c>
      <c r="AL214" s="151" t="str">
        <f>IF('Gear &amp; Buffs'!$Y$48="Dagger",IF(ISNA(INDEX($A$151:$A$210,MATCH(AK214,AE$151:AE$210,0))),"",INDEX($A$151:$A$210,MATCH(AK214,AE$151:AE$210,0))),"")&amp;
IF('Gear &amp; Buffs'!$Y$48="Sword",IF(ISNA(INDEX($A$212:$A$260,MATCH(AK214,AE$212:AE$260,0))),"",INDEX($A$212:$A$260,MATCH(AK214,AE$212:AE$260,0))),"")&amp;
IF('Gear &amp; Buffs'!$Y$48="Fist",IF(ISNA(INDEX($A$262:$A$281,MATCH(AK214,AE$262:AE$281,0))),"",INDEX($A$262:$A$281,MATCH(AK214,AE$262:AE$281,0))),"")&amp;
IF('Gear &amp; Buffs'!$Y$48="Mace",IF(ISNA(INDEX($A$283:$A$310,MATCH(AK214,AE$283:AE$310,0))),"",INDEX($A$283:$A$310,MATCH(AK214,AE$283:AE$310,0))),"")&amp;
IF('Gear &amp; Buffs'!$Y$48="All",IF(ISNA(INDEX($A$151:$A$310,MATCH(AK214,AF$151:AF$310,0))),"",INDEX($A$151:$A$310,MATCH(AK214,AF$151:AF$310,0))),"")</f>
        <v>(Fist Weapons)</v>
      </c>
    </row>
    <row r="215" spans="1:38">
      <c r="A215" s="10" t="s">
        <v>241</v>
      </c>
      <c r="B215" s="116">
        <v>32369</v>
      </c>
      <c r="C215" s="116">
        <v>3</v>
      </c>
      <c r="D215" s="114"/>
      <c r="E215" s="114"/>
      <c r="F215" s="114">
        <v>44</v>
      </c>
      <c r="G215" s="115">
        <v>22</v>
      </c>
      <c r="H215" s="115">
        <v>15</v>
      </c>
      <c r="I215" s="115"/>
      <c r="J215" s="114"/>
      <c r="K215" s="116"/>
      <c r="L215" s="114">
        <v>19</v>
      </c>
      <c r="M215" s="116"/>
      <c r="N215" s="114"/>
      <c r="O215" s="116"/>
      <c r="P215" s="114"/>
      <c r="Q215" s="114" t="s">
        <v>1033</v>
      </c>
      <c r="R215" s="114"/>
      <c r="S215" s="114" t="s">
        <v>683</v>
      </c>
      <c r="T215" s="114">
        <v>98</v>
      </c>
      <c r="U215" s="116">
        <v>183</v>
      </c>
      <c r="V215" s="155">
        <f t="shared" si="18"/>
        <v>140.5</v>
      </c>
      <c r="W215" s="155">
        <v>1.4</v>
      </c>
      <c r="X215" s="124">
        <f t="shared" si="19"/>
        <v>100.35714285714286</v>
      </c>
      <c r="Y215" s="115" t="s">
        <v>1377</v>
      </c>
      <c r="Z215" s="114"/>
      <c r="AA215" s="114"/>
      <c r="AB215" s="114"/>
      <c r="AC215" s="289"/>
      <c r="AD215" s="115"/>
      <c r="AE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Aman"),IF(includeprebc,S215="Pre-BC"),IF(includesunwell,S215="Sunwell"))),MAX($AE$212:AE214)+1,"")</f>
        <v/>
      </c>
      <c r="AF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Aman"),IF(includeprebc,$S215="Pre-BC"),IF(includesunwell,$S215="Sunwell"))),MAX($AF$150:AF214)+1,"")</f>
        <v/>
      </c>
      <c r="AG215" s="114"/>
      <c r="AK215" s="48">
        <v>62</v>
      </c>
      <c r="AL215" s="151" t="str">
        <f>IF('Gear &amp; Buffs'!$Y$48="Dagger",IF(ISNA(INDEX($A$151:$A$210,MATCH(AK215,AE$151:AE$210,0))),"",INDEX($A$151:$A$210,MATCH(AK215,AE$151:AE$210,0))),"")&amp;
IF('Gear &amp; Buffs'!$Y$48="Sword",IF(ISNA(INDEX($A$212:$A$260,MATCH(AK215,AE$212:AE$260,0))),"",INDEX($A$212:$A$260,MATCH(AK215,AE$212:AE$260,0))),"")&amp;
IF('Gear &amp; Buffs'!$Y$48="Fist",IF(ISNA(INDEX($A$262:$A$281,MATCH(AK215,AE$262:AE$281,0))),"",INDEX($A$262:$A$281,MATCH(AK215,AE$262:AE$281,0))),"")&amp;
IF('Gear &amp; Buffs'!$Y$48="Mace",IF(ISNA(INDEX($A$283:$A$310,MATCH(AK215,AE$283:AE$310,0))),"",INDEX($A$283:$A$310,MATCH(AK215,AE$283:AE$310,0))),"")&amp;
IF('Gear &amp; Buffs'!$Y$48="All",IF(ISNA(INDEX($A$151:$A$310,MATCH(AK215,AF$151:AF$310,0))),"",INDEX($A$151:$A$310,MATCH(AK215,AF$151:AF$310,0))),"")</f>
        <v>Boggspine Knuckles</v>
      </c>
    </row>
    <row r="216" spans="1:38">
      <c r="A216" s="10" t="s">
        <v>1379</v>
      </c>
      <c r="B216" s="114">
        <v>28427</v>
      </c>
      <c r="C216" s="114">
        <v>1</v>
      </c>
      <c r="D216" s="114"/>
      <c r="E216" s="114">
        <v>19</v>
      </c>
      <c r="F216" s="114"/>
      <c r="G216" s="114"/>
      <c r="H216" s="114">
        <v>18</v>
      </c>
      <c r="I216" s="115"/>
      <c r="J216" s="114"/>
      <c r="K216" s="114"/>
      <c r="L216" s="114">
        <v>28</v>
      </c>
      <c r="M216" s="114"/>
      <c r="N216" s="114"/>
      <c r="O216" s="114"/>
      <c r="P216" s="10"/>
      <c r="Q216" s="114" t="s">
        <v>1033</v>
      </c>
      <c r="R216" s="114"/>
      <c r="S216" s="114" t="s">
        <v>686</v>
      </c>
      <c r="T216" s="114">
        <v>109</v>
      </c>
      <c r="U216" s="114">
        <v>203</v>
      </c>
      <c r="V216" s="155">
        <f t="shared" si="18"/>
        <v>156</v>
      </c>
      <c r="W216" s="155">
        <v>1.6</v>
      </c>
      <c r="X216" s="124">
        <f t="shared" si="19"/>
        <v>97.5</v>
      </c>
      <c r="Y216" s="114" t="s">
        <v>1377</v>
      </c>
      <c r="Z216" s="114"/>
      <c r="AA216" s="114"/>
      <c r="AB216" s="114"/>
      <c r="AC216" s="10"/>
      <c r="AD216" s="114"/>
      <c r="AE216" s="114" t="str">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Aman"),IF(includeprebc,S216="Pre-BC"),IF(includesunwell,S216="Sunwell"))),MAX($AE$212:AE215)+1,"")</f>
        <v/>
      </c>
      <c r="AF216" s="114" t="str">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Aman"),IF(includeprebc,$S216="Pre-BC"),IF(includesunwell,$S216="Sunwell"))),MAX($AF$150:AF215)+1,"")</f>
        <v/>
      </c>
      <c r="AG216" s="114"/>
      <c r="AK216" s="48">
        <v>63</v>
      </c>
      <c r="AL216" s="151" t="str">
        <f>IF('Gear &amp; Buffs'!$Y$48="Dagger",IF(ISNA(INDEX($A$151:$A$210,MATCH(AK216,AE$151:AE$210,0))),"",INDEX($A$151:$A$210,MATCH(AK216,AE$151:AE$210,0))),"")&amp;
IF('Gear &amp; Buffs'!$Y$48="Sword",IF(ISNA(INDEX($A$212:$A$260,MATCH(AK216,AE$212:AE$260,0))),"",INDEX($A$212:$A$260,MATCH(AK216,AE$212:AE$260,0))),"")&amp;
IF('Gear &amp; Buffs'!$Y$48="Fist",IF(ISNA(INDEX($A$262:$A$281,MATCH(AK216,AE$262:AE$281,0))),"",INDEX($A$262:$A$281,MATCH(AK216,AE$262:AE$281,0))),"")&amp;
IF('Gear &amp; Buffs'!$Y$48="Mace",IF(ISNA(INDEX($A$283:$A$310,MATCH(AK216,AE$283:AE$310,0))),"",INDEX($A$283:$A$310,MATCH(AK216,AE$283:AE$310,0))),"")&amp;
IF('Gear &amp; Buffs'!$Y$48="All",IF(ISNA(INDEX($A$151:$A$310,MATCH(AK216,AF$151:AF$310,0))),"",INDEX($A$151:$A$310,MATCH(AK216,AF$151:AF$310,0))),"")</f>
        <v>Claw of the Frost Wyrm</v>
      </c>
    </row>
    <row r="217" spans="1:38">
      <c r="A217" s="10" t="s">
        <v>1380</v>
      </c>
      <c r="B217" s="116">
        <v>28426</v>
      </c>
      <c r="C217" s="116">
        <v>1</v>
      </c>
      <c r="D217" s="114"/>
      <c r="E217" s="114">
        <v>17</v>
      </c>
      <c r="F217" s="114"/>
      <c r="G217" s="115"/>
      <c r="H217" s="115">
        <v>17</v>
      </c>
      <c r="I217" s="115"/>
      <c r="J217" s="114"/>
      <c r="K217" s="116"/>
      <c r="L217" s="114">
        <v>25</v>
      </c>
      <c r="M217" s="116"/>
      <c r="N217" s="114"/>
      <c r="O217" s="116"/>
      <c r="P217" s="114"/>
      <c r="Q217" s="114" t="s">
        <v>1033</v>
      </c>
      <c r="R217" s="114"/>
      <c r="S217" s="114" t="s">
        <v>686</v>
      </c>
      <c r="T217" s="114">
        <v>102</v>
      </c>
      <c r="U217" s="116">
        <v>190</v>
      </c>
      <c r="V217" s="155">
        <f t="shared" si="18"/>
        <v>146</v>
      </c>
      <c r="W217" s="155">
        <v>1.6</v>
      </c>
      <c r="X217" s="124">
        <f t="shared" si="19"/>
        <v>91.25</v>
      </c>
      <c r="Y217" s="115" t="s">
        <v>1377</v>
      </c>
      <c r="Z217" s="114"/>
      <c r="AA217" s="114"/>
      <c r="AB217" s="114"/>
      <c r="AC217" s="289"/>
      <c r="AD217" s="115"/>
      <c r="AE217" s="114" t="str">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Aman"),IF(includeprebc,S217="Pre-BC"),IF(includesunwell,S217="Sunwell"))),MAX($AE$212:AE216)+1,"")</f>
        <v/>
      </c>
      <c r="AF217" s="114" t="str">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Aman"),IF(includeprebc,$S217="Pre-BC"),IF(includesunwell,$S217="Sunwell"))),MAX($AF$150:AF216)+1,"")</f>
        <v/>
      </c>
      <c r="AG217" s="114"/>
      <c r="AK217" s="48">
        <v>64</v>
      </c>
      <c r="AL217" s="151" t="str">
        <f>IF('Gear &amp; Buffs'!$Y$48="Dagger",IF(ISNA(INDEX($A$151:$A$210,MATCH(AK217,AE$151:AE$210,0))),"",INDEX($A$151:$A$210,MATCH(AK217,AE$151:AE$210,0))),"")&amp;
IF('Gear &amp; Buffs'!$Y$48="Sword",IF(ISNA(INDEX($A$212:$A$260,MATCH(AK217,AE$212:AE$260,0))),"",INDEX($A$212:$A$260,MATCH(AK217,AE$212:AE$260,0))),"")&amp;
IF('Gear &amp; Buffs'!$Y$48="Fist",IF(ISNA(INDEX($A$262:$A$281,MATCH(AK217,AE$262:AE$281,0))),"",INDEX($A$262:$A$281,MATCH(AK217,AE$262:AE$281,0))),"")&amp;
IF('Gear &amp; Buffs'!$Y$48="Mace",IF(ISNA(INDEX($A$283:$A$310,MATCH(AK217,AE$283:AE$310,0))),"",INDEX($A$283:$A$310,MATCH(AK217,AE$283:AE$310,0))),"")&amp;
IF('Gear &amp; Buffs'!$Y$48="All",IF(ISNA(INDEX($A$151:$A$310,MATCH(AK217,AF$151:AF$310,0))),"",INDEX($A$151:$A$310,MATCH(AK217,AF$151:AF$310,0))),"")</f>
        <v>Gladiator's Left Ripper</v>
      </c>
    </row>
    <row r="218" spans="1:38">
      <c r="A218" s="10" t="s">
        <v>1381</v>
      </c>
      <c r="B218" s="114">
        <v>31332</v>
      </c>
      <c r="C218" s="114">
        <v>1</v>
      </c>
      <c r="D218" s="114"/>
      <c r="E218" s="114"/>
      <c r="F218" s="114"/>
      <c r="G218" s="114"/>
      <c r="H218" s="114"/>
      <c r="I218" s="115"/>
      <c r="J218" s="114"/>
      <c r="K218" s="114"/>
      <c r="L218" s="114"/>
      <c r="M218" s="114"/>
      <c r="N218" s="114"/>
      <c r="O218" s="114"/>
      <c r="P218" s="10"/>
      <c r="Q218" s="114" t="s">
        <v>1033</v>
      </c>
      <c r="R218" s="114"/>
      <c r="S218" s="114" t="s">
        <v>674</v>
      </c>
      <c r="T218" s="114">
        <v>147</v>
      </c>
      <c r="U218" s="114">
        <v>275</v>
      </c>
      <c r="V218" s="155">
        <f t="shared" si="18"/>
        <v>211</v>
      </c>
      <c r="W218" s="155">
        <v>2.6</v>
      </c>
      <c r="X218" s="124">
        <f t="shared" si="19"/>
        <v>81.153846153846146</v>
      </c>
      <c r="Y218" s="114" t="s">
        <v>1377</v>
      </c>
      <c r="Z218" s="114"/>
      <c r="AA218" s="114"/>
      <c r="AB218" s="114"/>
      <c r="AC218" s="10" t="s">
        <v>757</v>
      </c>
      <c r="AD218" s="114"/>
      <c r="AE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Aman"),IF(includeprebc,S218="Pre-BC"),IF(includesunwell,S218="Sunwell"))),MAX($AE$212:AE217)+1,"")</f>
        <v>2</v>
      </c>
      <c r="AF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Aman"),IF(includeprebc,$S218="Pre-BC"),IF(includesunwell,$S218="Sunwell"))),MAX($AF$150:AF217)+1,"")</f>
        <v>35</v>
      </c>
      <c r="AG218" s="114"/>
      <c r="AK218" s="48">
        <v>65</v>
      </c>
      <c r="AL218" s="151" t="str">
        <f>IF('Gear &amp; Buffs'!$Y$48="Dagger",IF(ISNA(INDEX($A$151:$A$210,MATCH(AK218,AE$151:AE$210,0))),"",INDEX($A$151:$A$210,MATCH(AK218,AE$151:AE$210,0))),"")&amp;
IF('Gear &amp; Buffs'!$Y$48="Sword",IF(ISNA(INDEX($A$212:$A$260,MATCH(AK218,AE$212:AE$260,0))),"",INDEX($A$212:$A$260,MATCH(AK218,AE$212:AE$260,0))),"")&amp;
IF('Gear &amp; Buffs'!$Y$48="Fist",IF(ISNA(INDEX($A$262:$A$281,MATCH(AK218,AE$262:AE$281,0))),"",INDEX($A$262:$A$281,MATCH(AK218,AE$262:AE$281,0))),"")&amp;
IF('Gear &amp; Buffs'!$Y$48="Mace",IF(ISNA(INDEX($A$283:$A$310,MATCH(AK218,AE$283:AE$310,0))),"",INDEX($A$283:$A$310,MATCH(AK218,AE$283:AE$310,0))),"")&amp;
IF('Gear &amp; Buffs'!$Y$48="All",IF(ISNA(INDEX($A$151:$A$310,MATCH(AK218,AF$151:AF$310,0))),"",INDEX($A$151:$A$310,MATCH(AK218,AF$151:AF$310,0))),"")</f>
        <v>Grand Marshal's Left Ripper</v>
      </c>
    </row>
    <row r="219" spans="1:38">
      <c r="A219" s="10" t="s">
        <v>2001</v>
      </c>
      <c r="B219" s="116">
        <v>35072</v>
      </c>
      <c r="C219" s="116">
        <v>5</v>
      </c>
      <c r="D219" s="114"/>
      <c r="E219" s="114"/>
      <c r="F219" s="114">
        <v>38</v>
      </c>
      <c r="G219" s="115">
        <v>22</v>
      </c>
      <c r="H219" s="115">
        <v>9</v>
      </c>
      <c r="I219" s="847"/>
      <c r="J219" s="114">
        <v>49</v>
      </c>
      <c r="K219" s="116"/>
      <c r="L219" s="114">
        <v>31</v>
      </c>
      <c r="M219" s="116"/>
      <c r="N219" s="114">
        <v>12</v>
      </c>
      <c r="O219" s="116"/>
      <c r="P219" s="114"/>
      <c r="Q219" s="114" t="s">
        <v>1033</v>
      </c>
      <c r="R219" s="114"/>
      <c r="S219" s="114" t="s">
        <v>677</v>
      </c>
      <c r="T219" s="114">
        <v>113</v>
      </c>
      <c r="U219" s="116">
        <v>211</v>
      </c>
      <c r="V219" s="155">
        <f>(U219+T219)/2</f>
        <v>162</v>
      </c>
      <c r="W219" s="155">
        <v>1.5</v>
      </c>
      <c r="X219" s="124">
        <f>V219/W219</f>
        <v>108</v>
      </c>
      <c r="Y219" s="114" t="s">
        <v>1377</v>
      </c>
      <c r="Z219" s="114"/>
      <c r="AA219" s="114"/>
      <c r="AB219" s="114"/>
      <c r="AC219" s="289"/>
      <c r="AD219" s="791"/>
      <c r="AE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Aman"),IF(includeprebc,S219="Pre-BC"),IF(includesunwell,S219="Sunwell"))),MAX($AE$212:AE218)+1,"")</f>
        <v/>
      </c>
      <c r="AF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Aman"),IF(includeprebc,$S219="Pre-BC"),IF(includesunwell,$S219="Sunwell"))),MAX($AF$150:AF218)+1,"")</f>
        <v/>
      </c>
      <c r="AG219" s="114"/>
      <c r="AK219" s="48">
        <v>66</v>
      </c>
      <c r="AL219" s="151" t="str">
        <f>IF('Gear &amp; Buffs'!$Y$48="Dagger",IF(ISNA(INDEX($A$151:$A$210,MATCH(AK219,AE$151:AE$210,0))),"",INDEX($A$151:$A$210,MATCH(AK219,AE$151:AE$210,0))),"")&amp;
IF('Gear &amp; Buffs'!$Y$48="Sword",IF(ISNA(INDEX($A$212:$A$260,MATCH(AK219,AE$212:AE$260,0))),"",INDEX($A$212:$A$260,MATCH(AK219,AE$212:AE$260,0))),"")&amp;
IF('Gear &amp; Buffs'!$Y$48="Fist",IF(ISNA(INDEX($A$262:$A$281,MATCH(AK219,AE$262:AE$281,0))),"",INDEX($A$262:$A$281,MATCH(AK219,AE$262:AE$281,0))),"")&amp;
IF('Gear &amp; Buffs'!$Y$48="Mace",IF(ISNA(INDEX($A$283:$A$310,MATCH(AK219,AE$283:AE$310,0))),"",INDEX($A$283:$A$310,MATCH(AK219,AE$283:AE$310,0))),"")&amp;
IF('Gear &amp; Buffs'!$Y$48="All",IF(ISNA(INDEX($A$151:$A$310,MATCH(AK219,AF$151:AF$310,0))),"",INDEX($A$151:$A$310,MATCH(AK219,AF$151:AF$310,0))),"")</f>
        <v>High Warlord's Left Ripper</v>
      </c>
    </row>
    <row r="220" spans="1:38">
      <c r="A220" s="10" t="s">
        <v>2002</v>
      </c>
      <c r="B220" s="116">
        <v>35101</v>
      </c>
      <c r="C220" s="116">
        <v>5</v>
      </c>
      <c r="D220" s="114"/>
      <c r="E220" s="114"/>
      <c r="F220" s="114">
        <v>38</v>
      </c>
      <c r="G220" s="115">
        <v>22</v>
      </c>
      <c r="H220" s="115">
        <v>9</v>
      </c>
      <c r="I220" s="847"/>
      <c r="J220" s="114">
        <v>49</v>
      </c>
      <c r="K220" s="116"/>
      <c r="L220" s="114">
        <v>31</v>
      </c>
      <c r="M220" s="116"/>
      <c r="N220" s="114">
        <v>12</v>
      </c>
      <c r="O220" s="116"/>
      <c r="P220" s="114"/>
      <c r="Q220" s="114" t="s">
        <v>1033</v>
      </c>
      <c r="R220" s="114"/>
      <c r="S220" s="114" t="s">
        <v>677</v>
      </c>
      <c r="T220" s="114">
        <v>224</v>
      </c>
      <c r="U220" s="116">
        <v>337</v>
      </c>
      <c r="V220" s="155">
        <f>(U220+T220)/2</f>
        <v>280.5</v>
      </c>
      <c r="W220" s="155">
        <v>2.6</v>
      </c>
      <c r="X220" s="124">
        <f>V220/W220</f>
        <v>107.88461538461539</v>
      </c>
      <c r="Y220" s="114" t="s">
        <v>1377</v>
      </c>
      <c r="Z220" s="114"/>
      <c r="AA220" s="114"/>
      <c r="AB220" s="114"/>
      <c r="AC220" s="289"/>
      <c r="AD220" s="791"/>
      <c r="AE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Aman"),IF(includeprebc,S220="Pre-BC"),IF(includesunwell,S220="Sunwell"))),MAX($AE$212:AE219)+1,"")</f>
        <v/>
      </c>
      <c r="AF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Aman"),IF(includeprebc,$S220="Pre-BC"),IF(includesunwell,$S220="Sunwell"))),MAX($AF$150:AF219)+1,"")</f>
        <v/>
      </c>
      <c r="AG220" s="114"/>
      <c r="AK220" s="48">
        <v>67</v>
      </c>
      <c r="AL220" s="151" t="str">
        <f>IF('Gear &amp; Buffs'!$Y$48="Dagger",IF(ISNA(INDEX($A$151:$A$210,MATCH(AK220,AE$151:AE$210,0))),"",INDEX($A$151:$A$210,MATCH(AK220,AE$151:AE$210,0))),"")&amp;
IF('Gear &amp; Buffs'!$Y$48="Sword",IF(ISNA(INDEX($A$212:$A$260,MATCH(AK220,AE$212:AE$260,0))),"",INDEX($A$212:$A$260,MATCH(AK220,AE$212:AE$260,0))),"")&amp;
IF('Gear &amp; Buffs'!$Y$48="Fist",IF(ISNA(INDEX($A$262:$A$281,MATCH(AK220,AE$262:AE$281,0))),"",INDEX($A$262:$A$281,MATCH(AK220,AE$262:AE$281,0))),"")&amp;
IF('Gear &amp; Buffs'!$Y$48="Mace",IF(ISNA(INDEX($A$283:$A$310,MATCH(AK220,AE$283:AE$310,0))),"",INDEX($A$283:$A$310,MATCH(AK220,AE$283:AE$310,0))),"")&amp;
IF('Gear &amp; Buffs'!$Y$48="All",IF(ISNA(INDEX($A$151:$A$310,MATCH(AK220,AF$151:AF$310,0))),"",INDEX($A$151:$A$310,MATCH(AK220,AF$151:AF$310,0))),"")</f>
        <v>Stormreaver Warblades</v>
      </c>
    </row>
    <row r="221" spans="1:38">
      <c r="A221" s="10" t="s">
        <v>986</v>
      </c>
      <c r="B221" s="114">
        <v>34164</v>
      </c>
      <c r="C221" s="114">
        <v>5</v>
      </c>
      <c r="D221" s="114"/>
      <c r="E221" s="114"/>
      <c r="F221" s="114"/>
      <c r="G221" s="114"/>
      <c r="H221" s="114"/>
      <c r="I221" s="115">
        <v>25</v>
      </c>
      <c r="J221" s="114"/>
      <c r="K221" s="114">
        <v>25</v>
      </c>
      <c r="L221" s="114">
        <v>36</v>
      </c>
      <c r="M221" s="114"/>
      <c r="N221" s="114"/>
      <c r="O221" s="114"/>
      <c r="P221" s="10"/>
      <c r="Q221" s="114" t="s">
        <v>1033</v>
      </c>
      <c r="R221" s="114"/>
      <c r="S221" s="114" t="s">
        <v>871</v>
      </c>
      <c r="T221" s="114">
        <v>113</v>
      </c>
      <c r="U221" s="114">
        <v>211</v>
      </c>
      <c r="V221" s="155">
        <f t="shared" si="18"/>
        <v>162</v>
      </c>
      <c r="W221" s="155">
        <v>1.5</v>
      </c>
      <c r="X221" s="124">
        <f t="shared" si="19"/>
        <v>108</v>
      </c>
      <c r="Y221" s="114" t="s">
        <v>1377</v>
      </c>
      <c r="Z221" s="114"/>
      <c r="AA221" s="114"/>
      <c r="AB221" s="114"/>
      <c r="AC221" s="10"/>
      <c r="AD221" s="114"/>
      <c r="AE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Aman"),IF(includeprebc,S221="Pre-BC"),IF(includesunwell,S221="Sunwell"))),MAX($AE$212:AE220)+1,"")</f>
        <v/>
      </c>
      <c r="AF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Aman"),IF(includeprebc,$S221="Pre-BC"),IF(includesunwell,$S221="Sunwell"))),MAX($AF$150:AF220)+1,"")</f>
        <v/>
      </c>
      <c r="AG221" s="114"/>
      <c r="AK221" s="48">
        <v>68</v>
      </c>
      <c r="AL221" s="151" t="str">
        <f>IF('Gear &amp; Buffs'!$Y$48="Dagger",IF(ISNA(INDEX($A$151:$A$210,MATCH(AK221,AE$151:AE$210,0))),"",INDEX($A$151:$A$210,MATCH(AK221,AE$151:AE$210,0))),"")&amp;
IF('Gear &amp; Buffs'!$Y$48="Sword",IF(ISNA(INDEX($A$212:$A$260,MATCH(AK221,AE$212:AE$260,0))),"",INDEX($A$212:$A$260,MATCH(AK221,AE$212:AE$260,0))),"")&amp;
IF('Gear &amp; Buffs'!$Y$48="Fist",IF(ISNA(INDEX($A$262:$A$281,MATCH(AK221,AE$262:AE$281,0))),"",INDEX($A$262:$A$281,MATCH(AK221,AE$262:AE$281,0))),"")&amp;
IF('Gear &amp; Buffs'!$Y$48="Mace",IF(ISNA(INDEX($A$283:$A$310,MATCH(AK221,AE$283:AE$310,0))),"",INDEX($A$283:$A$310,MATCH(AK221,AE$283:AE$310,0))),"")&amp;
IF('Gear &amp; Buffs'!$Y$48="All",IF(ISNA(INDEX($A$151:$A$310,MATCH(AK221,AF$151:AF$310,0))),"",INDEX($A$151:$A$310,MATCH(AK221,AF$151:AF$310,0))),"")</f>
        <v>(Unmodeled OH Fist)</v>
      </c>
    </row>
    <row r="222" spans="1:38">
      <c r="A222" s="10" t="s">
        <v>1382</v>
      </c>
      <c r="B222" s="114">
        <v>28267</v>
      </c>
      <c r="C222" s="114">
        <v>1</v>
      </c>
      <c r="D222" s="114"/>
      <c r="E222" s="114"/>
      <c r="F222" s="114">
        <v>30</v>
      </c>
      <c r="G222" s="114">
        <v>16</v>
      </c>
      <c r="H222" s="114"/>
      <c r="I222" s="115"/>
      <c r="J222" s="114"/>
      <c r="K222" s="114"/>
      <c r="L222" s="114">
        <v>13</v>
      </c>
      <c r="M222" s="114"/>
      <c r="N222" s="114"/>
      <c r="O222" s="114"/>
      <c r="P222" s="10"/>
      <c r="Q222" s="114" t="s">
        <v>1033</v>
      </c>
      <c r="R222" s="114"/>
      <c r="S222" s="114" t="s">
        <v>673</v>
      </c>
      <c r="T222" s="114">
        <v>130</v>
      </c>
      <c r="U222" s="114">
        <v>243</v>
      </c>
      <c r="V222" s="155">
        <f t="shared" si="18"/>
        <v>186.5</v>
      </c>
      <c r="W222" s="155">
        <v>2.6</v>
      </c>
      <c r="X222" s="124">
        <f t="shared" si="19"/>
        <v>71.730769230769226</v>
      </c>
      <c r="Y222" s="114" t="s">
        <v>1377</v>
      </c>
      <c r="Z222" s="114"/>
      <c r="AA222" s="114"/>
      <c r="AB222" s="114"/>
      <c r="AC222" s="10"/>
      <c r="AD222" s="114"/>
      <c r="AE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Aman"),IF(includeprebc,S222="Pre-BC"),IF(includesunwell,S222="Sunwell"))),MAX($AE$212:AE221)+1,"")</f>
        <v>3</v>
      </c>
      <c r="AF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Aman"),IF(includeprebc,$S222="Pre-BC"),IF(includesunwell,$S222="Sunwell"))),MAX($AF$150:AF221)+1,"")</f>
        <v>36</v>
      </c>
      <c r="AG222" s="114"/>
      <c r="AK222" s="48">
        <v>69</v>
      </c>
      <c r="AL222" s="151" t="str">
        <f>IF('Gear &amp; Buffs'!$Y$48="Dagger",IF(ISNA(INDEX($A$151:$A$210,MATCH(AK222,AE$151:AE$210,0))),"",INDEX($A$151:$A$210,MATCH(AK222,AE$151:AE$210,0))),"")&amp;
IF('Gear &amp; Buffs'!$Y$48="Sword",IF(ISNA(INDEX($A$212:$A$260,MATCH(AK222,AE$212:AE$260,0))),"",INDEX($A$212:$A$260,MATCH(AK222,AE$212:AE$260,0))),"")&amp;
IF('Gear &amp; Buffs'!$Y$48="Fist",IF(ISNA(INDEX($A$262:$A$281,MATCH(AK222,AE$262:AE$281,0))),"",INDEX($A$262:$A$281,MATCH(AK222,AE$262:AE$281,0))),"")&amp;
IF('Gear &amp; Buffs'!$Y$48="Mace",IF(ISNA(INDEX($A$283:$A$310,MATCH(AK222,AE$283:AE$310,0))),"",INDEX($A$283:$A$310,MATCH(AK222,AE$283:AE$310,0))),"")&amp;
IF('Gear &amp; Buffs'!$Y$48="All",IF(ISNA(INDEX($A$151:$A$310,MATCH(AK222,AF$151:AF$310,0))),"",INDEX($A$151:$A$310,MATCH(AK222,AF$151:AF$310,0))),"")</f>
        <v xml:space="preserve"> </v>
      </c>
    </row>
    <row r="223" spans="1:38">
      <c r="A223" s="10" t="s">
        <v>1383</v>
      </c>
      <c r="B223" s="116">
        <v>23540</v>
      </c>
      <c r="C223" s="116">
        <v>1</v>
      </c>
      <c r="D223" s="114"/>
      <c r="E223" s="114">
        <v>26</v>
      </c>
      <c r="F223" s="114"/>
      <c r="G223" s="115"/>
      <c r="H223" s="115"/>
      <c r="I223" s="115"/>
      <c r="J223" s="114"/>
      <c r="K223" s="116"/>
      <c r="L223" s="114">
        <v>15</v>
      </c>
      <c r="M223" s="116"/>
      <c r="N223" s="114"/>
      <c r="O223" s="116"/>
      <c r="P223" s="114"/>
      <c r="Q223" s="114" t="s">
        <v>1033</v>
      </c>
      <c r="R223" s="114"/>
      <c r="S223" s="114" t="s">
        <v>685</v>
      </c>
      <c r="T223" s="114">
        <v>128</v>
      </c>
      <c r="U223" s="116">
        <v>239</v>
      </c>
      <c r="V223" s="155">
        <f t="shared" si="18"/>
        <v>183.5</v>
      </c>
      <c r="W223" s="155">
        <v>2.2000000000000002</v>
      </c>
      <c r="X223" s="124">
        <f t="shared" si="19"/>
        <v>83.409090909090907</v>
      </c>
      <c r="Y223" s="115" t="s">
        <v>1377</v>
      </c>
      <c r="Z223" s="114"/>
      <c r="AA223" s="114"/>
      <c r="AB223" s="114"/>
      <c r="AC223" s="289"/>
      <c r="AD223" s="115"/>
      <c r="AE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Aman"),IF(includeprebc,S223="Pre-BC"),IF(includesunwell,S223="Sunwell"))),MAX($AE$212:AE222)+1,"")</f>
        <v>4</v>
      </c>
      <c r="AF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Aman"),IF(includeprebc,$S223="Pre-BC"),IF(includesunwell,$S223="Sunwell"))),MAX($AF$150:AF222)+1,"")</f>
        <v>37</v>
      </c>
      <c r="AG223" s="114"/>
      <c r="AK223" s="48">
        <v>70</v>
      </c>
      <c r="AL223" s="151" t="str">
        <f>IF('Gear &amp; Buffs'!$Y$48="Dagger",IF(ISNA(INDEX($A$151:$A$210,MATCH(AK223,AE$151:AE$210,0))),"",INDEX($A$151:$A$210,MATCH(AK223,AE$151:AE$210,0))),"")&amp;
IF('Gear &amp; Buffs'!$Y$48="Sword",IF(ISNA(INDEX($A$212:$A$260,MATCH(AK223,AE$212:AE$260,0))),"",INDEX($A$212:$A$260,MATCH(AK223,AE$212:AE$260,0))),"")&amp;
IF('Gear &amp; Buffs'!$Y$48="Fist",IF(ISNA(INDEX($A$262:$A$281,MATCH(AK223,AE$262:AE$281,0))),"",INDEX($A$262:$A$281,MATCH(AK223,AE$262:AE$281,0))),"")&amp;
IF('Gear &amp; Buffs'!$Y$48="Mace",IF(ISNA(INDEX($A$283:$A$310,MATCH(AK223,AE$283:AE$310,0))),"",INDEX($A$283:$A$310,MATCH(AK223,AE$283:AE$310,0))),"")&amp;
IF('Gear &amp; Buffs'!$Y$48="All",IF(ISNA(INDEX($A$151:$A$310,MATCH(AK223,AF$151:AF$310,0))),"",INDEX($A$151:$A$310,MATCH(AK223,AF$151:AF$310,0))),"")</f>
        <v>(Maces)</v>
      </c>
    </row>
    <row r="224" spans="1:38">
      <c r="A224" s="10" t="s">
        <v>1384</v>
      </c>
      <c r="B224" s="114">
        <v>28425</v>
      </c>
      <c r="C224" s="114">
        <v>1</v>
      </c>
      <c r="D224" s="114"/>
      <c r="E224" s="114">
        <v>16</v>
      </c>
      <c r="F224" s="114"/>
      <c r="G224" s="114"/>
      <c r="H224" s="114">
        <v>16</v>
      </c>
      <c r="I224" s="115"/>
      <c r="J224" s="114"/>
      <c r="K224" s="114"/>
      <c r="L224" s="114">
        <v>23</v>
      </c>
      <c r="M224" s="114"/>
      <c r="N224" s="114"/>
      <c r="O224" s="114"/>
      <c r="P224" s="10"/>
      <c r="Q224" s="114" t="s">
        <v>1033</v>
      </c>
      <c r="R224" s="114"/>
      <c r="S224" s="114" t="s">
        <v>686</v>
      </c>
      <c r="T224" s="114">
        <v>94</v>
      </c>
      <c r="U224" s="114">
        <v>176</v>
      </c>
      <c r="V224" s="155">
        <f t="shared" si="18"/>
        <v>135</v>
      </c>
      <c r="W224" s="155">
        <v>1.6</v>
      </c>
      <c r="X224" s="124">
        <f t="shared" si="19"/>
        <v>84.375</v>
      </c>
      <c r="Y224" s="114" t="s">
        <v>1377</v>
      </c>
      <c r="Z224" s="114"/>
      <c r="AA224" s="114"/>
      <c r="AB224" s="114"/>
      <c r="AC224" s="10"/>
      <c r="AD224" s="114"/>
      <c r="AE224" s="114" t="str">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Aman"),IF(includeprebc,S224="Pre-BC"),IF(includesunwell,S224="Sunwell"))),MAX($AE$212:AE223)+1,"")</f>
        <v/>
      </c>
      <c r="AF224" s="114" t="str">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Aman"),IF(includeprebc,$S224="Pre-BC"),IF(includesunwell,$S224="Sunwell"))),MAX($AF$150:AF223)+1,"")</f>
        <v/>
      </c>
      <c r="AG224" s="114"/>
      <c r="AK224" s="48">
        <v>71</v>
      </c>
      <c r="AL224" s="151" t="str">
        <f>IF('Gear &amp; Buffs'!$Y$48="Dagger",IF(ISNA(INDEX($A$151:$A$210,MATCH(AK224,AE$151:AE$210,0))),"",INDEX($A$151:$A$210,MATCH(AK224,AE$151:AE$210,0))),"")&amp;
IF('Gear &amp; Buffs'!$Y$48="Sword",IF(ISNA(INDEX($A$212:$A$260,MATCH(AK224,AE$212:AE$260,0))),"",INDEX($A$212:$A$260,MATCH(AK224,AE$212:AE$260,0))),"")&amp;
IF('Gear &amp; Buffs'!$Y$48="Fist",IF(ISNA(INDEX($A$262:$A$281,MATCH(AK224,AE$262:AE$281,0))),"",INDEX($A$262:$A$281,MATCH(AK224,AE$262:AE$281,0))),"")&amp;
IF('Gear &amp; Buffs'!$Y$48="Mace",IF(ISNA(INDEX($A$283:$A$310,MATCH(AK224,AE$283:AE$310,0))),"",INDEX($A$283:$A$310,MATCH(AK224,AE$283:AE$310,0))),"")&amp;
IF('Gear &amp; Buffs'!$Y$48="All",IF(ISNA(INDEX($A$151:$A$310,MATCH(AK224,AF$151:AF$310,0))),"",INDEX($A$151:$A$310,MATCH(AK224,AF$151:AF$310,0))),"")</f>
        <v>Blackout Truncheon</v>
      </c>
    </row>
    <row r="225" spans="1:38">
      <c r="A225" s="10" t="s">
        <v>242</v>
      </c>
      <c r="B225" s="116">
        <v>28307</v>
      </c>
      <c r="C225" s="116">
        <v>1</v>
      </c>
      <c r="D225" s="114"/>
      <c r="E225" s="114"/>
      <c r="F225" s="114">
        <v>28</v>
      </c>
      <c r="G225" s="115">
        <v>15</v>
      </c>
      <c r="H225" s="115">
        <v>9</v>
      </c>
      <c r="I225" s="115"/>
      <c r="J225" s="114"/>
      <c r="K225" s="116"/>
      <c r="L225" s="114">
        <v>21</v>
      </c>
      <c r="M225" s="116"/>
      <c r="N225" s="114">
        <v>10</v>
      </c>
      <c r="O225" s="116"/>
      <c r="P225" s="114"/>
      <c r="Q225" s="114" t="s">
        <v>1033</v>
      </c>
      <c r="R225" s="114"/>
      <c r="S225" s="114" t="s">
        <v>677</v>
      </c>
      <c r="T225" s="114">
        <v>95</v>
      </c>
      <c r="U225" s="116">
        <v>178</v>
      </c>
      <c r="V225" s="155">
        <f t="shared" si="18"/>
        <v>136.5</v>
      </c>
      <c r="W225" s="155">
        <v>1.5</v>
      </c>
      <c r="X225" s="124">
        <f t="shared" si="19"/>
        <v>91</v>
      </c>
      <c r="Y225" s="115" t="s">
        <v>1377</v>
      </c>
      <c r="Z225" s="114"/>
      <c r="AA225" s="114"/>
      <c r="AB225" s="114"/>
      <c r="AC225" s="289"/>
      <c r="AD225" s="115"/>
      <c r="AE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Aman"),IF(includeprebc,S225="Pre-BC"),IF(includesunwell,S225="Sunwell"))),MAX($AE$212:AE224)+1,"")</f>
        <v>5</v>
      </c>
      <c r="AF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Aman"),IF(includeprebc,$S225="Pre-BC"),IF(includesunwell,$S225="Sunwell"))),MAX($AF$150:AF224)+1,"")</f>
        <v>38</v>
      </c>
      <c r="AG225" s="114"/>
      <c r="AK225" s="48">
        <v>72</v>
      </c>
      <c r="AL225" s="151" t="str">
        <f>IF('Gear &amp; Buffs'!$Y$48="Dagger",IF(ISNA(INDEX($A$151:$A$210,MATCH(AK225,AE$151:AE$210,0))),"",INDEX($A$151:$A$210,MATCH(AK225,AE$151:AE$210,0))),"")&amp;
IF('Gear &amp; Buffs'!$Y$48="Sword",IF(ISNA(INDEX($A$212:$A$260,MATCH(AK225,AE$212:AE$260,0))),"",INDEX($A$212:$A$260,MATCH(AK225,AE$212:AE$260,0))),"")&amp;
IF('Gear &amp; Buffs'!$Y$48="Fist",IF(ISNA(INDEX($A$262:$A$281,MATCH(AK225,AE$262:AE$281,0))),"",INDEX($A$262:$A$281,MATCH(AK225,AE$262:AE$281,0))),"")&amp;
IF('Gear &amp; Buffs'!$Y$48="Mace",IF(ISNA(INDEX($A$283:$A$310,MATCH(AK225,AE$283:AE$310,0))),"",INDEX($A$283:$A$310,MATCH(AK225,AE$283:AE$310,0))),"")&amp;
IF('Gear &amp; Buffs'!$Y$48="All",IF(ISNA(INDEX($A$151:$A$310,MATCH(AK225,AF$151:AF$310,0))),"",INDEX($A$151:$A$310,MATCH(AK225,AF$151:AF$310,0))),"")</f>
        <v>Bloodskull Destroyer</v>
      </c>
    </row>
    <row r="226" spans="1:38">
      <c r="A226" s="10" t="s">
        <v>1385</v>
      </c>
      <c r="B226" s="114">
        <v>28295</v>
      </c>
      <c r="C226" s="114">
        <v>1</v>
      </c>
      <c r="D226" s="114"/>
      <c r="E226" s="114"/>
      <c r="F226" s="114">
        <v>28</v>
      </c>
      <c r="G226" s="114">
        <v>15</v>
      </c>
      <c r="H226" s="114">
        <v>9</v>
      </c>
      <c r="I226" s="115"/>
      <c r="J226" s="114"/>
      <c r="K226" s="114"/>
      <c r="L226" s="114">
        <v>21</v>
      </c>
      <c r="M226" s="114"/>
      <c r="N226" s="114">
        <v>10</v>
      </c>
      <c r="O226" s="114"/>
      <c r="P226" s="10"/>
      <c r="Q226" s="114" t="s">
        <v>1033</v>
      </c>
      <c r="R226" s="114"/>
      <c r="S226" s="114" t="s">
        <v>677</v>
      </c>
      <c r="T226" s="114">
        <v>189</v>
      </c>
      <c r="U226" s="114">
        <v>285</v>
      </c>
      <c r="V226" s="155">
        <f t="shared" si="18"/>
        <v>237</v>
      </c>
      <c r="W226" s="155">
        <v>2.6</v>
      </c>
      <c r="X226" s="124">
        <f t="shared" si="19"/>
        <v>91.153846153846146</v>
      </c>
      <c r="Y226" s="114" t="s">
        <v>1377</v>
      </c>
      <c r="Z226" s="114"/>
      <c r="AA226" s="114"/>
      <c r="AB226" s="114"/>
      <c r="AC226" s="10"/>
      <c r="AD226" s="114"/>
      <c r="AE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Aman"),IF(includeprebc,S226="Pre-BC"),IF(includesunwell,S226="Sunwell"))),MAX($AE$212:AE225)+1,"")</f>
        <v>6</v>
      </c>
      <c r="AF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Aman"),IF(includeprebc,$S226="Pre-BC"),IF(includesunwell,$S226="Sunwell"))),MAX($AF$150:AF225)+1,"")</f>
        <v>39</v>
      </c>
      <c r="AG226" s="114"/>
      <c r="AK226" s="48">
        <v>73</v>
      </c>
      <c r="AL226" s="151" t="str">
        <f>IF('Gear &amp; Buffs'!$Y$48="Dagger",IF(ISNA(INDEX($A$151:$A$210,MATCH(AK226,AE$151:AE$210,0))),"",INDEX($A$151:$A$210,MATCH(AK226,AE$151:AE$210,0))),"")&amp;
IF('Gear &amp; Buffs'!$Y$48="Sword",IF(ISNA(INDEX($A$212:$A$260,MATCH(AK226,AE$212:AE$260,0))),"",INDEX($A$212:$A$260,MATCH(AK226,AE$212:AE$260,0))),"")&amp;
IF('Gear &amp; Buffs'!$Y$48="Fist",IF(ISNA(INDEX($A$262:$A$281,MATCH(AK226,AE$262:AE$281,0))),"",INDEX($A$262:$A$281,MATCH(AK226,AE$262:AE$281,0))),"")&amp;
IF('Gear &amp; Buffs'!$Y$48="Mace",IF(ISNA(INDEX($A$283:$A$310,MATCH(AK226,AE$283:AE$310,0))),"",INDEX($A$283:$A$310,MATCH(AK226,AE$283:AE$310,0))),"")&amp;
IF('Gear &amp; Buffs'!$Y$48="All",IF(ISNA(INDEX($A$151:$A$310,MATCH(AK226,AF$151:AF$310,0))),"",INDEX($A$151:$A$310,MATCH(AK226,AF$151:AF$310,0))),"")</f>
        <v>Fool's Bane</v>
      </c>
    </row>
    <row r="227" spans="1:38">
      <c r="A227" s="10" t="s">
        <v>944</v>
      </c>
      <c r="B227" s="114">
        <v>28952</v>
      </c>
      <c r="C227" s="114">
        <v>1</v>
      </c>
      <c r="D227" s="114"/>
      <c r="E227" s="114"/>
      <c r="F227" s="114">
        <v>26</v>
      </c>
      <c r="G227" s="114">
        <v>13</v>
      </c>
      <c r="H227" s="114">
        <v>8</v>
      </c>
      <c r="I227" s="115"/>
      <c r="J227" s="114"/>
      <c r="K227" s="114"/>
      <c r="L227" s="114">
        <v>18</v>
      </c>
      <c r="M227" s="114"/>
      <c r="N227" s="114">
        <v>9</v>
      </c>
      <c r="O227" s="114"/>
      <c r="P227" s="10"/>
      <c r="Q227" s="114" t="s">
        <v>1033</v>
      </c>
      <c r="R227" s="114"/>
      <c r="S227" s="114" t="s">
        <v>677</v>
      </c>
      <c r="T227" s="114">
        <v>103</v>
      </c>
      <c r="U227" s="114">
        <v>155</v>
      </c>
      <c r="V227" s="155">
        <f t="shared" si="18"/>
        <v>129</v>
      </c>
      <c r="W227" s="155">
        <v>1.8</v>
      </c>
      <c r="X227" s="124">
        <f t="shared" si="19"/>
        <v>71.666666666666671</v>
      </c>
      <c r="Y227" s="114" t="s">
        <v>1377</v>
      </c>
      <c r="Z227" s="114"/>
      <c r="AA227" s="114"/>
      <c r="AB227" s="114"/>
      <c r="AC227" s="10"/>
      <c r="AD227" s="114"/>
      <c r="AE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Aman"),IF(includeprebc,S227="Pre-BC"),IF(includesunwell,S227="Sunwell"))),MAX($AE$212:AE226)+1,"")</f>
        <v>7</v>
      </c>
      <c r="AF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Aman"),IF(includeprebc,$S227="Pre-BC"),IF(includesunwell,$S227="Sunwell"))),MAX($AF$150:AF226)+1,"")</f>
        <v>40</v>
      </c>
      <c r="AG227" s="114"/>
      <c r="AK227" s="48">
        <v>74</v>
      </c>
      <c r="AL227" s="151" t="str">
        <f>IF('Gear &amp; Buffs'!$Y$48="Dagger",IF(ISNA(INDEX($A$151:$A$210,MATCH(AK227,AE$151:AE$210,0))),"",INDEX($A$151:$A$210,MATCH(AK227,AE$151:AE$210,0))),"")&amp;
IF('Gear &amp; Buffs'!$Y$48="Sword",IF(ISNA(INDEX($A$212:$A$260,MATCH(AK227,AE$212:AE$260,0))),"",INDEX($A$212:$A$260,MATCH(AK227,AE$212:AE$260,0))),"")&amp;
IF('Gear &amp; Buffs'!$Y$48="Fist",IF(ISNA(INDEX($A$262:$A$281,MATCH(AK227,AE$262:AE$281,0))),"",INDEX($A$262:$A$281,MATCH(AK227,AE$262:AE$281,0))),"")&amp;
IF('Gear &amp; Buffs'!$Y$48="Mace",IF(ISNA(INDEX($A$283:$A$310,MATCH(AK227,AE$283:AE$310,0))),"",INDEX($A$283:$A$310,MATCH(AK227,AE$283:AE$310,0))),"")&amp;
IF('Gear &amp; Buffs'!$Y$48="All",IF(ISNA(INDEX($A$151:$A$310,MATCH(AK227,AF$151:AF$310,0))),"",INDEX($A$151:$A$310,MATCH(AK227,AF$151:AF$310,0))),"")</f>
        <v>Gladiator's Bonecracker</v>
      </c>
    </row>
    <row r="228" spans="1:38">
      <c r="A228" s="10" t="s">
        <v>945</v>
      </c>
      <c r="B228" s="114">
        <v>28956</v>
      </c>
      <c r="C228" s="114">
        <v>1</v>
      </c>
      <c r="D228" s="114"/>
      <c r="E228" s="114"/>
      <c r="F228" s="114">
        <v>26</v>
      </c>
      <c r="G228" s="114">
        <v>13</v>
      </c>
      <c r="H228" s="114">
        <v>8</v>
      </c>
      <c r="I228" s="115"/>
      <c r="J228" s="114"/>
      <c r="K228" s="114"/>
      <c r="L228" s="114">
        <v>18</v>
      </c>
      <c r="M228" s="114"/>
      <c r="N228" s="114">
        <v>9</v>
      </c>
      <c r="O228" s="114"/>
      <c r="P228" s="10"/>
      <c r="Q228" s="114" t="s">
        <v>1033</v>
      </c>
      <c r="R228" s="114"/>
      <c r="S228" s="114" t="s">
        <v>677</v>
      </c>
      <c r="T228" s="114">
        <v>149</v>
      </c>
      <c r="U228" s="114">
        <v>224</v>
      </c>
      <c r="V228" s="155">
        <f t="shared" si="18"/>
        <v>186.5</v>
      </c>
      <c r="W228" s="155">
        <v>2.6</v>
      </c>
      <c r="X228" s="124">
        <f t="shared" si="19"/>
        <v>71.730769230769226</v>
      </c>
      <c r="Y228" s="114" t="s">
        <v>1377</v>
      </c>
      <c r="Z228" s="114"/>
      <c r="AA228" s="114"/>
      <c r="AB228" s="114"/>
      <c r="AC228" s="10"/>
      <c r="AD228" s="114"/>
      <c r="AE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Aman"),IF(includeprebc,S228="Pre-BC"),IF(includesunwell,S228="Sunwell"))),MAX($AE$212:AE227)+1,"")</f>
        <v>8</v>
      </c>
      <c r="AF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Aman"),IF(includeprebc,$S228="Pre-BC"),IF(includesunwell,$S228="Sunwell"))),MAX($AF$150:AF227)+1,"")</f>
        <v>41</v>
      </c>
      <c r="AG228" s="114"/>
      <c r="AK228" s="48">
        <v>75</v>
      </c>
      <c r="AL228" s="151" t="str">
        <f>IF('Gear &amp; Buffs'!$Y$48="Dagger",IF(ISNA(INDEX($A$151:$A$210,MATCH(AK228,AE$151:AE$210,0))),"",INDEX($A$151:$A$210,MATCH(AK228,AE$151:AE$210,0))),"")&amp;
IF('Gear &amp; Buffs'!$Y$48="Sword",IF(ISNA(INDEX($A$212:$A$260,MATCH(AK228,AE$212:AE$260,0))),"",INDEX($A$212:$A$260,MATCH(AK228,AE$212:AE$260,0))),"")&amp;
IF('Gear &amp; Buffs'!$Y$48="Fist",IF(ISNA(INDEX($A$262:$A$281,MATCH(AK228,AE$262:AE$281,0))),"",INDEX($A$262:$A$281,MATCH(AK228,AE$262:AE$281,0))),"")&amp;
IF('Gear &amp; Buffs'!$Y$48="Mace",IF(ISNA(INDEX($A$283:$A$310,MATCH(AK228,AE$283:AE$310,0))),"",INDEX($A$283:$A$310,MATCH(AK228,AE$283:AE$310,0))),"")&amp;
IF('Gear &amp; Buffs'!$Y$48="All",IF(ISNA(INDEX($A$151:$A$310,MATCH(AK228,AF$151:AF$310,0))),"",INDEX($A$151:$A$310,MATCH(AK228,AF$151:AF$310,0))),"")</f>
        <v>Gladiator's Pummeler</v>
      </c>
    </row>
    <row r="229" spans="1:38">
      <c r="A229" s="10" t="s">
        <v>1386</v>
      </c>
      <c r="B229" s="116">
        <v>23054</v>
      </c>
      <c r="C229" s="116">
        <v>1</v>
      </c>
      <c r="D229" s="114"/>
      <c r="E229" s="114"/>
      <c r="F229" s="114">
        <v>40</v>
      </c>
      <c r="G229" s="115"/>
      <c r="H229" s="115"/>
      <c r="I229" s="115"/>
      <c r="J229" s="114"/>
      <c r="K229" s="116"/>
      <c r="L229" s="114">
        <v>15</v>
      </c>
      <c r="M229" s="116"/>
      <c r="N229" s="114"/>
      <c r="O229" s="116"/>
      <c r="P229" s="114"/>
      <c r="Q229" s="114" t="s">
        <v>1033</v>
      </c>
      <c r="R229" s="114"/>
      <c r="S229" s="114" t="s">
        <v>668</v>
      </c>
      <c r="T229" s="114">
        <v>138</v>
      </c>
      <c r="U229" s="116">
        <v>257</v>
      </c>
      <c r="V229" s="155">
        <f t="shared" si="18"/>
        <v>197.5</v>
      </c>
      <c r="W229" s="155">
        <v>2.7</v>
      </c>
      <c r="X229" s="124">
        <f t="shared" si="19"/>
        <v>73.148148148148138</v>
      </c>
      <c r="Y229" s="115" t="s">
        <v>1377</v>
      </c>
      <c r="Z229" s="114"/>
      <c r="AA229" s="114"/>
      <c r="AB229" s="114"/>
      <c r="AC229" s="289"/>
      <c r="AD229" s="115"/>
      <c r="AE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Aman"),IF(includeprebc,S229="Pre-BC"),IF(includesunwell,S229="Sunwell"))),MAX($AE$212:AE228)+1,"")</f>
        <v>9</v>
      </c>
      <c r="AF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Aman"),IF(includeprebc,$S229="Pre-BC"),IF(includesunwell,$S229="Sunwell"))),MAX($AF$150:AF228)+1,"")</f>
        <v>42</v>
      </c>
      <c r="AG229" s="114"/>
      <c r="AK229" s="48">
        <v>76</v>
      </c>
      <c r="AL229" s="151" t="str">
        <f>IF('Gear &amp; Buffs'!$Y$48="Dagger",IF(ISNA(INDEX($A$151:$A$210,MATCH(AK229,AE$151:AE$210,0))),"",INDEX($A$151:$A$210,MATCH(AK229,AE$151:AE$210,0))),"")&amp;
IF('Gear &amp; Buffs'!$Y$48="Sword",IF(ISNA(INDEX($A$212:$A$260,MATCH(AK229,AE$212:AE$260,0))),"",INDEX($A$212:$A$260,MATCH(AK229,AE$212:AE$260,0))),"")&amp;
IF('Gear &amp; Buffs'!$Y$48="Fist",IF(ISNA(INDEX($A$262:$A$281,MATCH(AK229,AE$262:AE$281,0))),"",INDEX($A$262:$A$281,MATCH(AK229,AE$262:AE$281,0))),"")&amp;
IF('Gear &amp; Buffs'!$Y$48="Mace",IF(ISNA(INDEX($A$283:$A$310,MATCH(AK229,AE$283:AE$310,0))),"",INDEX($A$283:$A$310,MATCH(AK229,AE$283:AE$310,0))),"")&amp;
IF('Gear &amp; Buffs'!$Y$48="All",IF(ISNA(INDEX($A$151:$A$310,MATCH(AK229,AF$151:AF$310,0))),"",INDEX($A$151:$A$310,MATCH(AK229,AF$151:AF$310,0))),"")</f>
        <v>Grand Marshal's Bonecracker</v>
      </c>
    </row>
    <row r="230" spans="1:38">
      <c r="A230" s="10" t="s">
        <v>281</v>
      </c>
      <c r="B230" s="114">
        <v>33388</v>
      </c>
      <c r="C230" s="114">
        <v>4</v>
      </c>
      <c r="D230" s="114"/>
      <c r="E230" s="114"/>
      <c r="F230" s="114">
        <v>42</v>
      </c>
      <c r="G230" s="114"/>
      <c r="H230" s="114"/>
      <c r="I230" s="115">
        <v>20</v>
      </c>
      <c r="J230" s="114"/>
      <c r="K230" s="114"/>
      <c r="L230" s="114">
        <v>30</v>
      </c>
      <c r="M230" s="114"/>
      <c r="N230" s="114"/>
      <c r="O230" s="114"/>
      <c r="P230" s="10"/>
      <c r="Q230" s="114" t="s">
        <v>1033</v>
      </c>
      <c r="R230" s="114"/>
      <c r="S230" s="114" t="s">
        <v>664</v>
      </c>
      <c r="T230" s="114">
        <v>174</v>
      </c>
      <c r="U230" s="114">
        <v>323</v>
      </c>
      <c r="V230" s="155">
        <f t="shared" si="18"/>
        <v>248.5</v>
      </c>
      <c r="W230" s="155">
        <v>2.6</v>
      </c>
      <c r="X230" s="124">
        <f t="shared" si="19"/>
        <v>95.57692307692308</v>
      </c>
      <c r="Y230" s="114" t="s">
        <v>1377</v>
      </c>
      <c r="Z230" s="114"/>
      <c r="AA230" s="114"/>
      <c r="AB230" s="114"/>
      <c r="AC230" s="10"/>
      <c r="AD230" s="114"/>
      <c r="AE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Aman"),IF(includeprebc,S230="Pre-BC"),IF(includesunwell,S230="Sunwell"))),MAX($AE$212:AE229)+1,"")</f>
        <v/>
      </c>
      <c r="AF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Aman"),IF(includeprebc,$S230="Pre-BC"),IF(includesunwell,$S230="Sunwell"))),MAX($AF$150:AF229)+1,"")</f>
        <v/>
      </c>
      <c r="AG230" s="114"/>
      <c r="AK230" s="48">
        <v>77</v>
      </c>
      <c r="AL230" s="151" t="str">
        <f>IF('Gear &amp; Buffs'!$Y$48="Dagger",IF(ISNA(INDEX($A$151:$A$210,MATCH(AK230,AE$151:AE$210,0))),"",INDEX($A$151:$A$210,MATCH(AK230,AE$151:AE$210,0))),"")&amp;
IF('Gear &amp; Buffs'!$Y$48="Sword",IF(ISNA(INDEX($A$212:$A$260,MATCH(AK230,AE$212:AE$260,0))),"",INDEX($A$212:$A$260,MATCH(AK230,AE$212:AE$260,0))),"")&amp;
IF('Gear &amp; Buffs'!$Y$48="Fist",IF(ISNA(INDEX($A$262:$A$281,MATCH(AK230,AE$262:AE$281,0))),"",INDEX($A$262:$A$281,MATCH(AK230,AE$262:AE$281,0))),"")&amp;
IF('Gear &amp; Buffs'!$Y$48="Mace",IF(ISNA(INDEX($A$283:$A$310,MATCH(AK230,AE$283:AE$310,0))),"",INDEX($A$283:$A$310,MATCH(AK230,AE$283:AE$310,0))),"")&amp;
IF('Gear &amp; Buffs'!$Y$48="All",IF(ISNA(INDEX($A$151:$A$310,MATCH(AK230,AF$151:AF$310,0))),"",INDEX($A$151:$A$310,MATCH(AK230,AF$151:AF$310,0))),"")</f>
        <v>Grand Marshal's Pummeler</v>
      </c>
    </row>
    <row r="231" spans="1:38">
      <c r="A231" s="10" t="s">
        <v>2978</v>
      </c>
      <c r="B231" s="114">
        <v>23467</v>
      </c>
      <c r="C231" s="114">
        <v>1</v>
      </c>
      <c r="D231" s="114"/>
      <c r="E231" s="114"/>
      <c r="F231" s="114">
        <v>28</v>
      </c>
      <c r="G231" s="114">
        <v>14</v>
      </c>
      <c r="H231" s="114"/>
      <c r="I231" s="115"/>
      <c r="J231" s="114"/>
      <c r="K231" s="114"/>
      <c r="L231" s="114">
        <v>7</v>
      </c>
      <c r="M231" s="114"/>
      <c r="N231" s="114"/>
      <c r="O231" s="114"/>
      <c r="P231" s="10"/>
      <c r="Q231" s="114" t="s">
        <v>1033</v>
      </c>
      <c r="R231" s="114"/>
      <c r="S231" s="114" t="s">
        <v>677</v>
      </c>
      <c r="T231" s="114">
        <v>85</v>
      </c>
      <c r="U231" s="114">
        <v>129</v>
      </c>
      <c r="V231" s="155">
        <f t="shared" ref="V231" si="20">(U231+T231)/2</f>
        <v>107</v>
      </c>
      <c r="W231" s="155">
        <v>1.8</v>
      </c>
      <c r="X231" s="124">
        <f t="shared" ref="X231" si="21">V231/W231</f>
        <v>59.444444444444443</v>
      </c>
      <c r="Y231" s="114" t="s">
        <v>1377</v>
      </c>
      <c r="Z231" s="114"/>
      <c r="AA231" s="114"/>
      <c r="AB231" s="114"/>
      <c r="AC231" s="10"/>
      <c r="AD231" s="114"/>
      <c r="AE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Aman"),IF(includeprebc,S231="Pre-BC"),IF(includesunwell,S231="Sunwell"))),MAX($AE$212:AE230)+1,"")</f>
        <v>10</v>
      </c>
      <c r="AF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Aman"),IF(includeprebc,$S231="Pre-BC"),IF(includesunwell,$S231="Sunwell"))),MAX($AF$150:AF230)+1,"")</f>
        <v>43</v>
      </c>
      <c r="AG231" s="114"/>
      <c r="AK231" s="48">
        <v>78</v>
      </c>
      <c r="AL231" s="151" t="str">
        <f>IF('Gear &amp; Buffs'!$Y$48="Dagger",IF(ISNA(INDEX($A$151:$A$210,MATCH(AK231,AE$151:AE$210,0))),"",INDEX($A$151:$A$210,MATCH(AK231,AE$151:AE$210,0))),"")&amp;
IF('Gear &amp; Buffs'!$Y$48="Sword",IF(ISNA(INDEX($A$212:$A$260,MATCH(AK231,AE$212:AE$260,0))),"",INDEX($A$212:$A$260,MATCH(AK231,AE$212:AE$260,0))),"")&amp;
IF('Gear &amp; Buffs'!$Y$48="Fist",IF(ISNA(INDEX($A$262:$A$281,MATCH(AK231,AE$262:AE$281,0))),"",INDEX($A$262:$A$281,MATCH(AK231,AE$262:AE$281,0))),"")&amp;
IF('Gear &amp; Buffs'!$Y$48="Mace",IF(ISNA(INDEX($A$283:$A$310,MATCH(AK231,AE$283:AE$310,0))),"",INDEX($A$283:$A$310,MATCH(AK231,AE$283:AE$310,0))),"")&amp;
IF('Gear &amp; Buffs'!$Y$48="All",IF(ISNA(INDEX($A$151:$A$310,MATCH(AK231,AF$151:AF$310,0))),"",INDEX($A$151:$A$310,MATCH(AK231,AF$151:AF$310,0))),"")</f>
        <v>High Warlord's Bonecracker</v>
      </c>
    </row>
    <row r="232" spans="1:38">
      <c r="A232" s="10" t="s">
        <v>947</v>
      </c>
      <c r="B232" s="114">
        <v>28926</v>
      </c>
      <c r="C232" s="114">
        <v>1</v>
      </c>
      <c r="D232" s="114"/>
      <c r="E232" s="114"/>
      <c r="F232" s="114">
        <v>26</v>
      </c>
      <c r="G232" s="114">
        <v>13</v>
      </c>
      <c r="H232" s="114">
        <v>8</v>
      </c>
      <c r="I232" s="115"/>
      <c r="J232" s="114"/>
      <c r="K232" s="114"/>
      <c r="L232" s="114">
        <v>18</v>
      </c>
      <c r="M232" s="114"/>
      <c r="N232" s="114">
        <v>9</v>
      </c>
      <c r="O232" s="114"/>
      <c r="P232" s="10"/>
      <c r="Q232" s="114" t="s">
        <v>1033</v>
      </c>
      <c r="R232" s="114"/>
      <c r="S232" s="114" t="s">
        <v>677</v>
      </c>
      <c r="T232" s="114">
        <v>103</v>
      </c>
      <c r="U232" s="114">
        <v>155</v>
      </c>
      <c r="V232" s="155">
        <f t="shared" si="18"/>
        <v>129</v>
      </c>
      <c r="W232" s="155">
        <v>1.8</v>
      </c>
      <c r="X232" s="124">
        <f t="shared" si="19"/>
        <v>71.666666666666671</v>
      </c>
      <c r="Y232" s="114" t="s">
        <v>1377</v>
      </c>
      <c r="Z232" s="114"/>
      <c r="AA232" s="114"/>
      <c r="AB232" s="114"/>
      <c r="AC232" s="10"/>
      <c r="AD232" s="114"/>
      <c r="AE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Aman"),IF(includeprebc,S232="Pre-BC"),IF(includesunwell,S232="Sunwell"))),MAX($AE$212:AE231)+1,"")</f>
        <v>11</v>
      </c>
      <c r="AF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Aman"),IF(includeprebc,$S232="Pre-BC"),IF(includesunwell,$S232="Sunwell"))),MAX($AF$150:AF231)+1,"")</f>
        <v>44</v>
      </c>
      <c r="AG232" s="114"/>
      <c r="AK232" s="48">
        <v>79</v>
      </c>
      <c r="AL232" s="151" t="str">
        <f>IF('Gear &amp; Buffs'!$Y$48="Dagger",IF(ISNA(INDEX($A$151:$A$210,MATCH(AK232,AE$151:AE$210,0))),"",INDEX($A$151:$A$210,MATCH(AK232,AE$151:AE$210,0))),"")&amp;
IF('Gear &amp; Buffs'!$Y$48="Sword",IF(ISNA(INDEX($A$212:$A$260,MATCH(AK232,AE$212:AE$260,0))),"",INDEX($A$212:$A$260,MATCH(AK232,AE$212:AE$260,0))),"")&amp;
IF('Gear &amp; Buffs'!$Y$48="Fist",IF(ISNA(INDEX($A$262:$A$281,MATCH(AK232,AE$262:AE$281,0))),"",INDEX($A$262:$A$281,MATCH(AK232,AE$262:AE$281,0))),"")&amp;
IF('Gear &amp; Buffs'!$Y$48="Mace",IF(ISNA(INDEX($A$283:$A$310,MATCH(AK232,AE$283:AE$310,0))),"",INDEX($A$283:$A$310,MATCH(AK232,AE$283:AE$310,0))),"")&amp;
IF('Gear &amp; Buffs'!$Y$48="All",IF(ISNA(INDEX($A$151:$A$310,MATCH(AK232,AF$151:AF$310,0))),"",INDEX($A$151:$A$310,MATCH(AK232,AF$151:AF$310,0))),"")</f>
        <v>High Warlord's Pummeler</v>
      </c>
    </row>
    <row r="233" spans="1:38">
      <c r="A233" s="10" t="s">
        <v>946</v>
      </c>
      <c r="B233" s="114">
        <v>28937</v>
      </c>
      <c r="C233" s="114">
        <v>1</v>
      </c>
      <c r="D233" s="114"/>
      <c r="E233" s="114"/>
      <c r="F233" s="114">
        <v>26</v>
      </c>
      <c r="G233" s="114">
        <v>13</v>
      </c>
      <c r="H233" s="114">
        <v>8</v>
      </c>
      <c r="I233" s="115"/>
      <c r="J233" s="114"/>
      <c r="K233" s="114"/>
      <c r="L233" s="114">
        <v>18</v>
      </c>
      <c r="M233" s="114"/>
      <c r="N233" s="114">
        <v>9</v>
      </c>
      <c r="O233" s="114"/>
      <c r="P233" s="10"/>
      <c r="Q233" s="114" t="s">
        <v>1033</v>
      </c>
      <c r="R233" s="114"/>
      <c r="S233" s="114" t="s">
        <v>677</v>
      </c>
      <c r="T233" s="114">
        <v>149</v>
      </c>
      <c r="U233" s="114">
        <v>224</v>
      </c>
      <c r="V233" s="155">
        <f t="shared" si="18"/>
        <v>186.5</v>
      </c>
      <c r="W233" s="155">
        <v>2.6</v>
      </c>
      <c r="X233" s="124">
        <f t="shared" si="19"/>
        <v>71.730769230769226</v>
      </c>
      <c r="Y233" s="114" t="s">
        <v>1377</v>
      </c>
      <c r="Z233" s="114"/>
      <c r="AA233" s="114"/>
      <c r="AB233" s="114"/>
      <c r="AC233" s="10"/>
      <c r="AD233" s="114"/>
      <c r="AE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Aman"),IF(includeprebc,S233="Pre-BC"),IF(includesunwell,S233="Sunwell"))),MAX($AE$212:AE232)+1,"")</f>
        <v>12</v>
      </c>
      <c r="AF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Aman"),IF(includeprebc,$S233="Pre-BC"),IF(includesunwell,$S233="Sunwell"))),MAX($AF$150:AF232)+1,"")</f>
        <v>45</v>
      </c>
      <c r="AG233" s="114"/>
      <c r="AK233" s="48">
        <v>80</v>
      </c>
      <c r="AL233" s="151" t="str">
        <f>IF('Gear &amp; Buffs'!$Y$48="Dagger",IF(ISNA(INDEX($A$151:$A$210,MATCH(AK233,AE$151:AE$210,0))),"",INDEX($A$151:$A$210,MATCH(AK233,AE$151:AE$210,0))),"")&amp;
IF('Gear &amp; Buffs'!$Y$48="Sword",IF(ISNA(INDEX($A$212:$A$260,MATCH(AK233,AE$212:AE$260,0))),"",INDEX($A$212:$A$260,MATCH(AK233,AE$212:AE$260,0))),"")&amp;
IF('Gear &amp; Buffs'!$Y$48="Fist",IF(ISNA(INDEX($A$262:$A$281,MATCH(AK233,AE$262:AE$281,0))),"",INDEX($A$262:$A$281,MATCH(AK233,AE$262:AE$281,0))),"")&amp;
IF('Gear &amp; Buffs'!$Y$48="Mace",IF(ISNA(INDEX($A$283:$A$310,MATCH(AK233,AE$283:AE$310,0))),"",INDEX($A$283:$A$310,MATCH(AK233,AE$283:AE$310,0))),"")&amp;
IF('Gear &amp; Buffs'!$Y$48="All",IF(ISNA(INDEX($A$151:$A$310,MATCH(AK233,AF$151:AF$310,0))),"",INDEX($A$151:$A$310,MATCH(AK233,AF$151:AF$310,0))),"")</f>
        <v>Runic Hammer</v>
      </c>
    </row>
    <row r="234" spans="1:38">
      <c r="A234" s="10" t="s">
        <v>1387</v>
      </c>
      <c r="B234" s="114">
        <v>29156</v>
      </c>
      <c r="C234" s="114">
        <v>1</v>
      </c>
      <c r="D234" s="114"/>
      <c r="E234" s="114"/>
      <c r="F234" s="114"/>
      <c r="G234" s="114"/>
      <c r="H234" s="114">
        <v>8</v>
      </c>
      <c r="I234" s="115"/>
      <c r="J234" s="114"/>
      <c r="K234" s="114"/>
      <c r="L234" s="114">
        <v>13</v>
      </c>
      <c r="M234" s="114"/>
      <c r="N234" s="114"/>
      <c r="O234" s="114">
        <v>16</v>
      </c>
      <c r="P234" s="10"/>
      <c r="Q234" s="114" t="s">
        <v>1033</v>
      </c>
      <c r="R234" s="114"/>
      <c r="S234" s="114" t="s">
        <v>676</v>
      </c>
      <c r="T234" s="114">
        <v>102</v>
      </c>
      <c r="U234" s="114">
        <v>190</v>
      </c>
      <c r="V234" s="155">
        <f t="shared" si="18"/>
        <v>146</v>
      </c>
      <c r="W234" s="155">
        <v>1.8</v>
      </c>
      <c r="X234" s="124">
        <f t="shared" si="19"/>
        <v>81.111111111111114</v>
      </c>
      <c r="Y234" s="114" t="s">
        <v>1377</v>
      </c>
      <c r="Z234" s="114"/>
      <c r="AA234" s="114"/>
      <c r="AB234" s="114"/>
      <c r="AC234" s="10"/>
      <c r="AD234" s="114"/>
      <c r="AE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Aman"),IF(includeprebc,S234="Pre-BC"),IF(includesunwell,S234="Sunwell"))),MAX($AE$212:AE233)+1,"")</f>
        <v>13</v>
      </c>
      <c r="AF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Aman"),IF(includeprebc,$S234="Pre-BC"),IF(includesunwell,$S234="Sunwell"))),MAX($AF$150:AF233)+1,"")</f>
        <v>46</v>
      </c>
      <c r="AG234" s="114"/>
      <c r="AK234" s="48">
        <v>81</v>
      </c>
      <c r="AL234" s="151" t="str">
        <f>IF('Gear &amp; Buffs'!$Y$48="Dagger",IF(ISNA(INDEX($A$151:$A$210,MATCH(AK234,AE$151:AE$210,0))),"",INDEX($A$151:$A$210,MATCH(AK234,AE$151:AE$210,0))),"")&amp;
IF('Gear &amp; Buffs'!$Y$48="Sword",IF(ISNA(INDEX($A$212:$A$260,MATCH(AK234,AE$212:AE$260,0))),"",INDEX($A$212:$A$260,MATCH(AK234,AE$212:AE$260,0))),"")&amp;
IF('Gear &amp; Buffs'!$Y$48="Fist",IF(ISNA(INDEX($A$262:$A$281,MATCH(AK234,AE$262:AE$281,0))),"",INDEX($A$262:$A$281,MATCH(AK234,AE$262:AE$281,0))),"")&amp;
IF('Gear &amp; Buffs'!$Y$48="Mace",IF(ISNA(INDEX($A$283:$A$310,MATCH(AK234,AE$283:AE$310,0))),"",INDEX($A$283:$A$310,MATCH(AK234,AE$283:AE$310,0))),"")&amp;
IF('Gear &amp; Buffs'!$Y$48="All",IF(ISNA(INDEX($A$151:$A$310,MATCH(AK234,AF$151:AF$310,0))),"",INDEX($A$151:$A$310,MATCH(AK234,AF$151:AF$310,0))),"")</f>
        <v>Truncheon of Five Hells</v>
      </c>
    </row>
    <row r="235" spans="1:38">
      <c r="A235" s="10" t="s">
        <v>1388</v>
      </c>
      <c r="B235" s="116">
        <v>30733</v>
      </c>
      <c r="C235" s="116">
        <v>1</v>
      </c>
      <c r="D235" s="114"/>
      <c r="E235" s="114"/>
      <c r="F235" s="114">
        <v>70</v>
      </c>
      <c r="G235" s="115"/>
      <c r="H235" s="115"/>
      <c r="I235" s="115"/>
      <c r="J235" s="114"/>
      <c r="K235" s="116"/>
      <c r="L235" s="114"/>
      <c r="M235" s="116"/>
      <c r="N235" s="114"/>
      <c r="O235" s="116"/>
      <c r="P235" s="114"/>
      <c r="Q235" s="114" t="s">
        <v>1033</v>
      </c>
      <c r="R235" s="114"/>
      <c r="S235" s="114" t="s">
        <v>682</v>
      </c>
      <c r="T235" s="114">
        <v>163</v>
      </c>
      <c r="U235" s="116">
        <v>304</v>
      </c>
      <c r="V235" s="155">
        <f t="shared" si="18"/>
        <v>233.5</v>
      </c>
      <c r="W235" s="155">
        <v>2.6</v>
      </c>
      <c r="X235" s="124">
        <f t="shared" si="19"/>
        <v>89.807692307692307</v>
      </c>
      <c r="Y235" s="115" t="s">
        <v>1377</v>
      </c>
      <c r="Z235" s="114"/>
      <c r="AA235" s="114"/>
      <c r="AB235" s="114"/>
      <c r="AC235" s="289"/>
      <c r="AD235" s="115"/>
      <c r="AE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Aman"),IF(includeprebc,S235="Pre-BC"),IF(includesunwell,S235="Sunwell"))),MAX($AE$212:AE234)+1,"")</f>
        <v>14</v>
      </c>
      <c r="AF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Aman"),IF(includeprebc,$S235="Pre-BC"),IF(includesunwell,$S235="Sunwell"))),MAX($AF$150:AF234)+1,"")</f>
        <v>47</v>
      </c>
      <c r="AG235" s="114"/>
      <c r="AK235" s="48">
        <v>82</v>
      </c>
      <c r="AL235" s="151" t="str">
        <f>IF('Gear &amp; Buffs'!$Y$48="Dagger",IF(ISNA(INDEX($A$151:$A$210,MATCH(AK235,AE$151:AE$210,0))),"",INDEX($A$151:$A$210,MATCH(AK235,AE$151:AE$210,0))),"")&amp;
IF('Gear &amp; Buffs'!$Y$48="Sword",IF(ISNA(INDEX($A$212:$A$260,MATCH(AK235,AE$212:AE$260,0))),"",INDEX($A$212:$A$260,MATCH(AK235,AE$212:AE$260,0))),"")&amp;
IF('Gear &amp; Buffs'!$Y$48="Fist",IF(ISNA(INDEX($A$262:$A$281,MATCH(AK235,AE$262:AE$281,0))),"",INDEX($A$262:$A$281,MATCH(AK235,AE$262:AE$281,0))),"")&amp;
IF('Gear &amp; Buffs'!$Y$48="Mace",IF(ISNA(INDEX($A$283:$A$310,MATCH(AK235,AE$283:AE$310,0))),"",INDEX($A$283:$A$310,MATCH(AK235,AE$283:AE$310,0))),"")&amp;
IF('Gear &amp; Buffs'!$Y$48="All",IF(ISNA(INDEX($A$151:$A$310,MATCH(AK235,AF$151:AF$310,0))),"",INDEX($A$151:$A$310,MATCH(AK235,AF$151:AF$310,0))),"")</f>
        <v>(Unmodeled OH Mace)</v>
      </c>
    </row>
    <row r="236" spans="1:38">
      <c r="A236" s="10" t="s">
        <v>3250</v>
      </c>
      <c r="B236" s="114">
        <v>23014</v>
      </c>
      <c r="C236" s="114">
        <v>1</v>
      </c>
      <c r="D236" s="114"/>
      <c r="E236" s="114"/>
      <c r="F236" s="114">
        <v>26</v>
      </c>
      <c r="G236" s="114">
        <v>14</v>
      </c>
      <c r="H236" s="114">
        <v>10</v>
      </c>
      <c r="I236" s="115"/>
      <c r="J236" s="114"/>
      <c r="K236" s="114"/>
      <c r="L236" s="114"/>
      <c r="M236" s="114"/>
      <c r="N236" s="114"/>
      <c r="O236" s="114"/>
      <c r="P236" s="10"/>
      <c r="Q236" s="114" t="s">
        <v>1033</v>
      </c>
      <c r="R236" s="114"/>
      <c r="S236" s="114" t="s">
        <v>668</v>
      </c>
      <c r="T236" s="114">
        <v>70</v>
      </c>
      <c r="U236" s="114">
        <v>131</v>
      </c>
      <c r="V236" s="155">
        <f t="shared" ref="V236" si="22">(U236+T236)/2</f>
        <v>100.5</v>
      </c>
      <c r="W236" s="155">
        <v>1.6</v>
      </c>
      <c r="X236" s="124">
        <f t="shared" ref="X236" si="23">V236/W236</f>
        <v>62.8125</v>
      </c>
      <c r="Y236" s="114" t="s">
        <v>1377</v>
      </c>
      <c r="Z236" s="114"/>
      <c r="AA236" s="114"/>
      <c r="AB236" s="114"/>
      <c r="AC236" s="10"/>
      <c r="AD236" s="114"/>
      <c r="AE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Aman"),IF(includeprebc,S236="Pre-BC"),IF(includesunwell,S236="Sunwell"))),MAX($AE$212:AE235)+1,"")</f>
        <v>15</v>
      </c>
      <c r="AF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Aman"),IF(includeprebc,$S236="Pre-BC"),IF(includesunwell,$S236="Sunwell"))),MAX($AF$150:AF235)+1,"")</f>
        <v>48</v>
      </c>
      <c r="AG236" s="114"/>
      <c r="AK236" s="48">
        <v>83</v>
      </c>
      <c r="AL236" s="151" t="str">
        <f>IF('Gear &amp; Buffs'!$Y$48="Dagger",IF(ISNA(INDEX($A$151:$A$210,MATCH(AK236,AE$151:AE$210,0))),"",INDEX($A$151:$A$210,MATCH(AK236,AE$151:AE$210,0))),"")&amp;
IF('Gear &amp; Buffs'!$Y$48="Sword",IF(ISNA(INDEX($A$212:$A$260,MATCH(AK236,AE$212:AE$260,0))),"",INDEX($A$212:$A$260,MATCH(AK236,AE$212:AE$260,0))),"")&amp;
IF('Gear &amp; Buffs'!$Y$48="Fist",IF(ISNA(INDEX($A$262:$A$281,MATCH(AK236,AE$262:AE$281,0))),"",INDEX($A$262:$A$281,MATCH(AK236,AE$262:AE$281,0))),"")&amp;
IF('Gear &amp; Buffs'!$Y$48="Mace",IF(ISNA(INDEX($A$283:$A$310,MATCH(AK236,AE$283:AE$310,0))),"",INDEX($A$283:$A$310,MATCH(AK236,AE$283:AE$310,0))),"")&amp;
IF('Gear &amp; Buffs'!$Y$48="All",IF(ISNA(INDEX($A$151:$A$310,MATCH(AK236,AF$151:AF$310,0))),"",INDEX($A$151:$A$310,MATCH(AK236,AF$151:AF$310,0))),"")</f>
        <v/>
      </c>
    </row>
    <row r="237" spans="1:38">
      <c r="A237" s="10" t="s">
        <v>972</v>
      </c>
      <c r="B237" s="114">
        <v>34672</v>
      </c>
      <c r="C237" s="114">
        <v>5</v>
      </c>
      <c r="D237" s="114"/>
      <c r="E237" s="114"/>
      <c r="F237" s="114"/>
      <c r="G237" s="114"/>
      <c r="H237" s="114">
        <v>8</v>
      </c>
      <c r="I237" s="115"/>
      <c r="J237" s="114"/>
      <c r="K237" s="114">
        <v>11</v>
      </c>
      <c r="L237" s="114">
        <v>21</v>
      </c>
      <c r="M237" s="114"/>
      <c r="N237" s="114"/>
      <c r="O237" s="114">
        <v>13</v>
      </c>
      <c r="P237" s="10"/>
      <c r="Q237" s="114" t="s">
        <v>1033</v>
      </c>
      <c r="R237" s="114"/>
      <c r="S237" s="114" t="s">
        <v>676</v>
      </c>
      <c r="T237" s="114">
        <v>80</v>
      </c>
      <c r="U237" s="114">
        <v>121</v>
      </c>
      <c r="V237" s="155">
        <f t="shared" si="18"/>
        <v>100.5</v>
      </c>
      <c r="W237" s="155">
        <v>1.4</v>
      </c>
      <c r="X237" s="124">
        <f t="shared" si="19"/>
        <v>71.785714285714292</v>
      </c>
      <c r="Y237" s="114" t="s">
        <v>1377</v>
      </c>
      <c r="Z237" s="114"/>
      <c r="AA237" s="114"/>
      <c r="AB237" s="114"/>
      <c r="AC237" s="10"/>
      <c r="AD237" s="114"/>
      <c r="AE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Aman"),IF(includeprebc,S237="Pre-BC"),IF(includesunwell,S237="Sunwell"))),MAX($AE$212:AE236)+1,"")</f>
        <v/>
      </c>
      <c r="AF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Aman"),IF(includeprebc,$S237="Pre-BC"),IF(includesunwell,$S237="Sunwell"))),MAX($AF$150:AF236)+1,"")</f>
        <v/>
      </c>
      <c r="AG237" s="114"/>
      <c r="AK237" s="48">
        <v>84</v>
      </c>
      <c r="AL237" s="151" t="str">
        <f>IF('Gear &amp; Buffs'!$Y$48="Dagger",IF(ISNA(INDEX($A$151:$A$210,MATCH(AK237,AE$151:AE$210,0))),"",INDEX($A$151:$A$210,MATCH(AK237,AE$151:AE$210,0))),"")&amp;
IF('Gear &amp; Buffs'!$Y$48="Sword",IF(ISNA(INDEX($A$212:$A$260,MATCH(AK237,AE$212:AE$260,0))),"",INDEX($A$212:$A$260,MATCH(AK237,AE$212:AE$260,0))),"")&amp;
IF('Gear &amp; Buffs'!$Y$48="Fist",IF(ISNA(INDEX($A$262:$A$281,MATCH(AK237,AE$262:AE$281,0))),"",INDEX($A$262:$A$281,MATCH(AK237,AE$262:AE$281,0))),"")&amp;
IF('Gear &amp; Buffs'!$Y$48="Mace",IF(ISNA(INDEX($A$283:$A$310,MATCH(AK237,AE$283:AE$310,0))),"",INDEX($A$283:$A$310,MATCH(AK237,AE$283:AE$310,0))),"")&amp;
IF('Gear &amp; Buffs'!$Y$48="All",IF(ISNA(INDEX($A$151:$A$310,MATCH(AK237,AF$151:AF$310,0))),"",INDEX($A$151:$A$310,MATCH(AK237,AF$151:AF$310,0))),"")</f>
        <v/>
      </c>
    </row>
    <row r="238" spans="1:38">
      <c r="A238" s="10" t="s">
        <v>1390</v>
      </c>
      <c r="B238" s="116">
        <v>28749</v>
      </c>
      <c r="C238" s="116">
        <v>1</v>
      </c>
      <c r="D238" s="114"/>
      <c r="E238" s="114"/>
      <c r="F238" s="114"/>
      <c r="G238" s="115"/>
      <c r="H238" s="115">
        <v>17</v>
      </c>
      <c r="I238" s="115"/>
      <c r="J238" s="114"/>
      <c r="K238" s="116"/>
      <c r="L238" s="114">
        <v>28</v>
      </c>
      <c r="M238" s="116"/>
      <c r="N238" s="114"/>
      <c r="O238" s="116">
        <v>13</v>
      </c>
      <c r="P238" s="114"/>
      <c r="Q238" s="114" t="s">
        <v>1033</v>
      </c>
      <c r="R238" s="114"/>
      <c r="S238" s="114" t="s">
        <v>672</v>
      </c>
      <c r="T238" s="114">
        <v>98</v>
      </c>
      <c r="U238" s="116">
        <v>182</v>
      </c>
      <c r="V238" s="155">
        <f t="shared" si="18"/>
        <v>140</v>
      </c>
      <c r="W238" s="155">
        <v>1.6</v>
      </c>
      <c r="X238" s="124">
        <f t="shared" si="19"/>
        <v>87.5</v>
      </c>
      <c r="Y238" s="115" t="s">
        <v>1377</v>
      </c>
      <c r="Z238" s="114"/>
      <c r="AA238" s="114"/>
      <c r="AB238" s="114"/>
      <c r="AC238" s="289"/>
      <c r="AD238" s="115"/>
      <c r="AE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Aman"),IF(includeprebc,S238="Pre-BC"),IF(includesunwell,S238="Sunwell"))),MAX($AE$212:AE237)+1,"")</f>
        <v>16</v>
      </c>
      <c r="AF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Aman"),IF(includeprebc,$S238="Pre-BC"),IF(includesunwell,$S238="Sunwell"))),MAX($AF$150:AF237)+1,"")</f>
        <v>49</v>
      </c>
      <c r="AG238" s="114"/>
      <c r="AK238" s="48">
        <v>85</v>
      </c>
      <c r="AL238" s="151" t="str">
        <f>IF('Gear &amp; Buffs'!$Y$48="Dagger",IF(ISNA(INDEX($A$151:$A$210,MATCH(AK238,AE$151:AE$210,0))),"",INDEX($A$151:$A$210,MATCH(AK238,AE$151:AE$210,0))),"")&amp;
IF('Gear &amp; Buffs'!$Y$48="Sword",IF(ISNA(INDEX($A$212:$A$260,MATCH(AK238,AE$212:AE$260,0))),"",INDEX($A$212:$A$260,MATCH(AK238,AE$212:AE$260,0))),"")&amp;
IF('Gear &amp; Buffs'!$Y$48="Fist",IF(ISNA(INDEX($A$262:$A$281,MATCH(AK238,AE$262:AE$281,0))),"",INDEX($A$262:$A$281,MATCH(AK238,AE$262:AE$281,0))),"")&amp;
IF('Gear &amp; Buffs'!$Y$48="Mace",IF(ISNA(INDEX($A$283:$A$310,MATCH(AK238,AE$283:AE$310,0))),"",INDEX($A$283:$A$310,MATCH(AK238,AE$283:AE$310,0))),"")&amp;
IF('Gear &amp; Buffs'!$Y$48="All",IF(ISNA(INDEX($A$151:$A$310,MATCH(AK238,AF$151:AF$310,0))),"",INDEX($A$151:$A$310,MATCH(AK238,AF$151:AF$310,0))),"")</f>
        <v/>
      </c>
    </row>
    <row r="239" spans="1:38">
      <c r="A239" s="10" t="s">
        <v>960</v>
      </c>
      <c r="B239" s="114">
        <v>34703</v>
      </c>
      <c r="C239" s="114">
        <v>5</v>
      </c>
      <c r="D239" s="114"/>
      <c r="E239" s="114"/>
      <c r="F239" s="114">
        <f>28+IF(SetLat2p,30,0)</f>
        <v>28</v>
      </c>
      <c r="G239" s="114"/>
      <c r="H239" s="114"/>
      <c r="I239" s="115"/>
      <c r="J239" s="114">
        <v>98</v>
      </c>
      <c r="K239" s="114"/>
      <c r="L239" s="114">
        <v>21</v>
      </c>
      <c r="M239" s="114"/>
      <c r="N239" s="114"/>
      <c r="O239" s="116"/>
      <c r="P239" s="10" t="s">
        <v>961</v>
      </c>
      <c r="Q239" s="114" t="s">
        <v>1033</v>
      </c>
      <c r="R239" s="114"/>
      <c r="S239" s="114" t="s">
        <v>673</v>
      </c>
      <c r="T239" s="114">
        <v>130</v>
      </c>
      <c r="U239" s="114">
        <v>243</v>
      </c>
      <c r="V239" s="155">
        <f t="shared" si="18"/>
        <v>186.5</v>
      </c>
      <c r="W239" s="155">
        <v>2.6</v>
      </c>
      <c r="X239" s="124">
        <f t="shared" si="19"/>
        <v>71.730769230769226</v>
      </c>
      <c r="Y239" s="114" t="s">
        <v>1377</v>
      </c>
      <c r="Z239" s="114"/>
      <c r="AA239" s="114"/>
      <c r="AB239" s="114"/>
      <c r="AC239" s="10"/>
      <c r="AD239" s="114"/>
      <c r="AE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Aman"),IF(includeprebc,S239="Pre-BC"),IF(includesunwell,S239="Sunwell"))),MAX($AE$212:AE238)+1,"")</f>
        <v/>
      </c>
      <c r="AF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Aman"),IF(includeprebc,$S239="Pre-BC"),IF(includesunwell,$S239="Sunwell"))),MAX($AF$150:AF238)+1,"")</f>
        <v/>
      </c>
      <c r="AG239" s="114"/>
      <c r="AK239" s="48">
        <v>86</v>
      </c>
      <c r="AL239" s="151" t="str">
        <f>IF('Gear &amp; Buffs'!$Y$48="Dagger",IF(ISNA(INDEX($A$151:$A$210,MATCH(AK239,AE$151:AE$210,0))),"",INDEX($A$151:$A$210,MATCH(AK239,AE$151:AE$210,0))),"")&amp;
IF('Gear &amp; Buffs'!$Y$48="Sword",IF(ISNA(INDEX($A$212:$A$260,MATCH(AK239,AE$212:AE$260,0))),"",INDEX($A$212:$A$260,MATCH(AK239,AE$212:AE$260,0))),"")&amp;
IF('Gear &amp; Buffs'!$Y$48="Fist",IF(ISNA(INDEX($A$262:$A$281,MATCH(AK239,AE$262:AE$281,0))),"",INDEX($A$262:$A$281,MATCH(AK239,AE$262:AE$281,0))),"")&amp;
IF('Gear &amp; Buffs'!$Y$48="Mace",IF(ISNA(INDEX($A$283:$A$310,MATCH(AK239,AE$283:AE$310,0))),"",INDEX($A$283:$A$310,MATCH(AK239,AE$283:AE$310,0))),"")&amp;
IF('Gear &amp; Buffs'!$Y$48="All",IF(ISNA(INDEX($A$151:$A$310,MATCH(AK239,AF$151:AF$310,0))),"",INDEX($A$151:$A$310,MATCH(AK239,AF$151:AF$310,0))),"")</f>
        <v/>
      </c>
    </row>
    <row r="240" spans="1:38">
      <c r="A240" s="10" t="s">
        <v>1392</v>
      </c>
      <c r="B240" s="114">
        <v>28189</v>
      </c>
      <c r="C240" s="114">
        <v>1</v>
      </c>
      <c r="D240" s="114"/>
      <c r="E240" s="114">
        <v>15</v>
      </c>
      <c r="F240" s="114">
        <v>26</v>
      </c>
      <c r="G240" s="114"/>
      <c r="H240" s="114"/>
      <c r="I240" s="115"/>
      <c r="J240" s="114"/>
      <c r="K240" s="114">
        <v>14</v>
      </c>
      <c r="L240" s="114"/>
      <c r="M240" s="114"/>
      <c r="N240" s="114"/>
      <c r="O240" s="116"/>
      <c r="P240" s="10" t="s">
        <v>961</v>
      </c>
      <c r="Q240" s="114" t="s">
        <v>1033</v>
      </c>
      <c r="R240" s="114"/>
      <c r="S240" s="114" t="s">
        <v>673</v>
      </c>
      <c r="T240" s="114">
        <v>70</v>
      </c>
      <c r="U240" s="114">
        <v>131</v>
      </c>
      <c r="V240" s="155">
        <f t="shared" si="18"/>
        <v>100.5</v>
      </c>
      <c r="W240" s="155">
        <v>1.4</v>
      </c>
      <c r="X240" s="124">
        <f t="shared" si="19"/>
        <v>71.785714285714292</v>
      </c>
      <c r="Y240" s="114" t="s">
        <v>1377</v>
      </c>
      <c r="Z240" s="114"/>
      <c r="AA240" s="114"/>
      <c r="AB240" s="114"/>
      <c r="AC240" s="10"/>
      <c r="AD240" s="114"/>
      <c r="AE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Aman"),IF(includeprebc,S240="Pre-BC"),IF(includesunwell,S240="Sunwell"))),MAX($AE$212:AE239)+1,"")</f>
        <v>17</v>
      </c>
      <c r="AF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Aman"),IF(includeprebc,$S240="Pre-BC"),IF(includesunwell,$S240="Sunwell"))),MAX($AF$150:AF239)+1,"")</f>
        <v>50</v>
      </c>
      <c r="AG240" s="114"/>
      <c r="AK240" s="48">
        <v>87</v>
      </c>
      <c r="AL240" s="151" t="str">
        <f>IF('Gear &amp; Buffs'!$Y$48="Dagger",IF(ISNA(INDEX($A$151:$A$210,MATCH(AK240,AE$151:AE$210,0))),"",INDEX($A$151:$A$210,MATCH(AK240,AE$151:AE$210,0))),"")&amp;
IF('Gear &amp; Buffs'!$Y$48="Sword",IF(ISNA(INDEX($A$212:$A$260,MATCH(AK240,AE$212:AE$260,0))),"",INDEX($A$212:$A$260,MATCH(AK240,AE$212:AE$260,0))),"")&amp;
IF('Gear &amp; Buffs'!$Y$48="Fist",IF(ISNA(INDEX($A$262:$A$281,MATCH(AK240,AE$262:AE$281,0))),"",INDEX($A$262:$A$281,MATCH(AK240,AE$262:AE$281,0))),"")&amp;
IF('Gear &amp; Buffs'!$Y$48="Mace",IF(ISNA(INDEX($A$283:$A$310,MATCH(AK240,AE$283:AE$310,0))),"",INDEX($A$283:$A$310,MATCH(AK240,AE$283:AE$310,0))),"")&amp;
IF('Gear &amp; Buffs'!$Y$48="All",IF(ISNA(INDEX($A$151:$A$310,MATCH(AK240,AF$151:AF$310,0))),"",INDEX($A$151:$A$310,MATCH(AK240,AF$151:AF$310,0))),"")</f>
        <v/>
      </c>
    </row>
    <row r="241" spans="1:38">
      <c r="A241" s="10" t="s">
        <v>522</v>
      </c>
      <c r="B241" s="116">
        <v>32027</v>
      </c>
      <c r="C241" s="116">
        <v>2</v>
      </c>
      <c r="D241" s="114"/>
      <c r="E241" s="114"/>
      <c r="F241" s="114">
        <v>30</v>
      </c>
      <c r="G241" s="115">
        <v>19</v>
      </c>
      <c r="H241" s="115">
        <v>10</v>
      </c>
      <c r="I241" s="115"/>
      <c r="J241" s="114"/>
      <c r="K241" s="116"/>
      <c r="L241" s="114">
        <v>27</v>
      </c>
      <c r="M241" s="116"/>
      <c r="N241" s="114">
        <v>12</v>
      </c>
      <c r="O241" s="116"/>
      <c r="P241" s="114"/>
      <c r="Q241" s="114" t="s">
        <v>1033</v>
      </c>
      <c r="R241" s="114"/>
      <c r="S241" s="114" t="s">
        <v>677</v>
      </c>
      <c r="T241" s="114">
        <v>102</v>
      </c>
      <c r="U241" s="116">
        <v>191</v>
      </c>
      <c r="V241" s="155">
        <f t="shared" si="18"/>
        <v>146.5</v>
      </c>
      <c r="W241" s="155">
        <v>1.5</v>
      </c>
      <c r="X241" s="124">
        <f t="shared" si="19"/>
        <v>97.666666666666671</v>
      </c>
      <c r="Y241" s="115" t="s">
        <v>1377</v>
      </c>
      <c r="Z241" s="114"/>
      <c r="AA241" s="114"/>
      <c r="AB241" s="114"/>
      <c r="AC241" s="289"/>
      <c r="AD241" s="115"/>
      <c r="AE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Aman"),IF(includeprebc,S241="Pre-BC"),IF(includesunwell,S241="Sunwell"))),MAX($AE$212:AE240)+1,"")</f>
        <v/>
      </c>
      <c r="AF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Aman"),IF(includeprebc,$S241="Pre-BC"),IF(includesunwell,$S241="Sunwell"))),MAX($AF$150:AF240)+1,"")</f>
        <v/>
      </c>
      <c r="AG241" s="114"/>
      <c r="AK241" s="48">
        <v>88</v>
      </c>
      <c r="AL241" s="151" t="str">
        <f>IF('Gear &amp; Buffs'!$Y$48="Dagger",IF(ISNA(INDEX($A$151:$A$210,MATCH(AK241,AE$151:AE$210,0))),"",INDEX($A$151:$A$210,MATCH(AK241,AE$151:AE$210,0))),"")&amp;
IF('Gear &amp; Buffs'!$Y$48="Sword",IF(ISNA(INDEX($A$212:$A$260,MATCH(AK241,AE$212:AE$260,0))),"",INDEX($A$212:$A$260,MATCH(AK241,AE$212:AE$260,0))),"")&amp;
IF('Gear &amp; Buffs'!$Y$48="Fist",IF(ISNA(INDEX($A$262:$A$281,MATCH(AK241,AE$262:AE$281,0))),"",INDEX($A$262:$A$281,MATCH(AK241,AE$262:AE$281,0))),"")&amp;
IF('Gear &amp; Buffs'!$Y$48="Mace",IF(ISNA(INDEX($A$283:$A$310,MATCH(AK241,AE$283:AE$310,0))),"",INDEX($A$283:$A$310,MATCH(AK241,AE$283:AE$310,0))),"")&amp;
IF('Gear &amp; Buffs'!$Y$48="All",IF(ISNA(INDEX($A$151:$A$310,MATCH(AK241,AF$151:AF$310,0))),"",INDEX($A$151:$A$310,MATCH(AK241,AF$151:AF$310,0))),"")</f>
        <v/>
      </c>
    </row>
    <row r="242" spans="1:38">
      <c r="A242" s="10" t="s">
        <v>1391</v>
      </c>
      <c r="B242" s="116">
        <v>32052</v>
      </c>
      <c r="C242" s="116">
        <v>2</v>
      </c>
      <c r="D242" s="114"/>
      <c r="E242" s="114"/>
      <c r="F242" s="114">
        <v>30</v>
      </c>
      <c r="G242" s="115">
        <v>19</v>
      </c>
      <c r="H242" s="115">
        <v>10</v>
      </c>
      <c r="I242" s="115"/>
      <c r="J242" s="114"/>
      <c r="K242" s="116"/>
      <c r="L242" s="114">
        <v>27</v>
      </c>
      <c r="M242" s="116"/>
      <c r="N242" s="114">
        <v>12</v>
      </c>
      <c r="O242" s="116"/>
      <c r="P242" s="114"/>
      <c r="Q242" s="114" t="s">
        <v>1033</v>
      </c>
      <c r="R242" s="114"/>
      <c r="S242" s="114" t="s">
        <v>677</v>
      </c>
      <c r="T242" s="114">
        <v>203</v>
      </c>
      <c r="U242" s="116">
        <v>305</v>
      </c>
      <c r="V242" s="155">
        <f t="shared" si="18"/>
        <v>254</v>
      </c>
      <c r="W242" s="155">
        <v>2.6</v>
      </c>
      <c r="X242" s="124">
        <f t="shared" si="19"/>
        <v>97.692307692307693</v>
      </c>
      <c r="Y242" s="115" t="s">
        <v>1377</v>
      </c>
      <c r="Z242" s="114"/>
      <c r="AA242" s="114"/>
      <c r="AB242" s="114"/>
      <c r="AC242" s="289"/>
      <c r="AD242" s="115"/>
      <c r="AE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Aman"),IF(includeprebc,S242="Pre-BC"),IF(includesunwell,S242="Sunwell"))),MAX($AE$212:AE241)+1,"")</f>
        <v/>
      </c>
      <c r="AF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Aman"),IF(includeprebc,$S242="Pre-BC"),IF(includesunwell,$S242="Sunwell"))),MAX($AF$150:AF241)+1,"")</f>
        <v/>
      </c>
      <c r="AG242" s="114"/>
      <c r="AK242" s="48">
        <v>89</v>
      </c>
      <c r="AL242" s="151" t="str">
        <f>IF('Gear &amp; Buffs'!$Y$48="Dagger",IF(ISNA(INDEX($A$151:$A$210,MATCH(AK242,AE$151:AE$210,0))),"",INDEX($A$151:$A$210,MATCH(AK242,AE$151:AE$210,0))),"")&amp;
IF('Gear &amp; Buffs'!$Y$48="Sword",IF(ISNA(INDEX($A$212:$A$260,MATCH(AK242,AE$212:AE$260,0))),"",INDEX($A$212:$A$260,MATCH(AK242,AE$212:AE$260,0))),"")&amp;
IF('Gear &amp; Buffs'!$Y$48="Fist",IF(ISNA(INDEX($A$262:$A$281,MATCH(AK242,AE$262:AE$281,0))),"",INDEX($A$262:$A$281,MATCH(AK242,AE$262:AE$281,0))),"")&amp;
IF('Gear &amp; Buffs'!$Y$48="Mace",IF(ISNA(INDEX($A$283:$A$310,MATCH(AK242,AE$283:AE$310,0))),"",INDEX($A$283:$A$310,MATCH(AK242,AE$283:AE$310,0))),"")&amp;
IF('Gear &amp; Buffs'!$Y$48="All",IF(ISNA(INDEX($A$151:$A$310,MATCH(AK242,AF$151:AF$310,0))),"",INDEX($A$151:$A$310,MATCH(AK242,AF$151:AF$310,0))),"")</f>
        <v/>
      </c>
    </row>
    <row r="243" spans="1:38">
      <c r="A243" s="10" t="s">
        <v>985</v>
      </c>
      <c r="B243" s="114"/>
      <c r="C243" s="114">
        <v>5</v>
      </c>
      <c r="D243" s="114"/>
      <c r="E243" s="114"/>
      <c r="F243" s="114"/>
      <c r="G243" s="114"/>
      <c r="H243" s="114">
        <v>17</v>
      </c>
      <c r="I243" s="115">
        <v>35</v>
      </c>
      <c r="J243" s="114"/>
      <c r="K243" s="114"/>
      <c r="L243" s="114">
        <v>27</v>
      </c>
      <c r="M243" s="114"/>
      <c r="N243" s="114"/>
      <c r="O243" s="114"/>
      <c r="P243" s="10"/>
      <c r="Q243" s="114" t="s">
        <v>1033</v>
      </c>
      <c r="R243" s="114"/>
      <c r="S243" s="114" t="s">
        <v>871</v>
      </c>
      <c r="T243" s="114">
        <v>196</v>
      </c>
      <c r="U243" s="114">
        <v>365</v>
      </c>
      <c r="V243" s="155">
        <f t="shared" si="18"/>
        <v>280.5</v>
      </c>
      <c r="W243" s="155">
        <v>2.6</v>
      </c>
      <c r="X243" s="124">
        <f t="shared" si="19"/>
        <v>107.88461538461539</v>
      </c>
      <c r="Y243" s="114" t="s">
        <v>1377</v>
      </c>
      <c r="Z243" s="114"/>
      <c r="AA243" s="114"/>
      <c r="AB243" s="114"/>
      <c r="AC243" s="10"/>
      <c r="AD243" s="114"/>
      <c r="AE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Aman"),IF(includeprebc,S243="Pre-BC"),IF(includesunwell,S243="Sunwell"))),MAX($AE$212:AE242)+1,"")</f>
        <v/>
      </c>
      <c r="AF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Aman"),IF(includeprebc,$S243="Pre-BC"),IF(includesunwell,$S243="Sunwell"))),MAX($AF$150:AF242)+1,"")</f>
        <v/>
      </c>
      <c r="AG243" s="114"/>
      <c r="AK243" s="48">
        <v>90</v>
      </c>
      <c r="AL243" s="151" t="str">
        <f>IF('Gear &amp; Buffs'!$Y$48="Dagger",IF(ISNA(INDEX($A$151:$A$210,MATCH(AK243,AE$151:AE$210,0))),"",INDEX($A$151:$A$210,MATCH(AK243,AE$151:AE$210,0))),"")&amp;
IF('Gear &amp; Buffs'!$Y$48="Sword",IF(ISNA(INDEX($A$212:$A$260,MATCH(AK243,AE$212:AE$260,0))),"",INDEX($A$212:$A$260,MATCH(AK243,AE$212:AE$260,0))),"")&amp;
IF('Gear &amp; Buffs'!$Y$48="Fist",IF(ISNA(INDEX($A$262:$A$281,MATCH(AK243,AE$262:AE$281,0))),"",INDEX($A$262:$A$281,MATCH(AK243,AE$262:AE$281,0))),"")&amp;
IF('Gear &amp; Buffs'!$Y$48="Mace",IF(ISNA(INDEX($A$283:$A$310,MATCH(AK243,AE$283:AE$310,0))),"",INDEX($A$283:$A$310,MATCH(AK243,AE$283:AE$310,0))),"")&amp;
IF('Gear &amp; Buffs'!$Y$48="All",IF(ISNA(INDEX($A$151:$A$310,MATCH(AK243,AF$151:AF$310,0))),"",INDEX($A$151:$A$310,MATCH(AK243,AF$151:AF$310,0))),"")</f>
        <v/>
      </c>
    </row>
    <row r="244" spans="1:38">
      <c r="A244" s="10" t="s">
        <v>1393</v>
      </c>
      <c r="B244" s="114">
        <v>27673</v>
      </c>
      <c r="C244" s="114">
        <v>1</v>
      </c>
      <c r="D244" s="114"/>
      <c r="E244" s="114"/>
      <c r="F244" s="114">
        <v>40</v>
      </c>
      <c r="G244" s="116">
        <v>11</v>
      </c>
      <c r="H244" s="116"/>
      <c r="I244" s="115"/>
      <c r="J244" s="114"/>
      <c r="K244" s="114"/>
      <c r="L244" s="114">
        <v>12</v>
      </c>
      <c r="M244" s="114"/>
      <c r="N244" s="114"/>
      <c r="O244" s="116"/>
      <c r="P244" s="114"/>
      <c r="Q244" s="114" t="s">
        <v>1033</v>
      </c>
      <c r="R244" s="114"/>
      <c r="S244" s="114" t="s">
        <v>691</v>
      </c>
      <c r="T244" s="115">
        <v>120</v>
      </c>
      <c r="U244" s="114">
        <v>224</v>
      </c>
      <c r="V244" s="155">
        <f t="shared" si="18"/>
        <v>172</v>
      </c>
      <c r="W244" s="155">
        <v>2.4</v>
      </c>
      <c r="X244" s="124">
        <f t="shared" si="19"/>
        <v>71.666666666666671</v>
      </c>
      <c r="Y244" s="114" t="s">
        <v>1377</v>
      </c>
      <c r="Z244" s="114"/>
      <c r="AA244" s="114"/>
      <c r="AB244" s="114"/>
      <c r="AC244" s="289"/>
      <c r="AD244" s="114"/>
      <c r="AE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Aman"),IF(includeprebc,S244="Pre-BC"),IF(includesunwell,S244="Sunwell"))),MAX($AE$212:AE243)+1,"")</f>
        <v>18</v>
      </c>
      <c r="AF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Aman"),IF(includeprebc,$S244="Pre-BC"),IF(includesunwell,$S244="Sunwell"))),MAX($AF$150:AF243)+1,"")</f>
        <v>51</v>
      </c>
      <c r="AG244" s="114"/>
      <c r="AK244" s="48">
        <v>91</v>
      </c>
      <c r="AL244" s="151" t="str">
        <f>IF('Gear &amp; Buffs'!$Y$48="Dagger",IF(ISNA(INDEX($A$151:$A$210,MATCH(AK244,AE$151:AE$210,0))),"",INDEX($A$151:$A$210,MATCH(AK244,AE$151:AE$210,0))),"")&amp;
IF('Gear &amp; Buffs'!$Y$48="Sword",IF(ISNA(INDEX($A$212:$A$260,MATCH(AK244,AE$212:AE$260,0))),"",INDEX($A$212:$A$260,MATCH(AK244,AE$212:AE$260,0))),"")&amp;
IF('Gear &amp; Buffs'!$Y$48="Fist",IF(ISNA(INDEX($A$262:$A$281,MATCH(AK244,AE$262:AE$281,0))),"",INDEX($A$262:$A$281,MATCH(AK244,AE$262:AE$281,0))),"")&amp;
IF('Gear &amp; Buffs'!$Y$48="Mace",IF(ISNA(INDEX($A$283:$A$310,MATCH(AK244,AE$283:AE$310,0))),"",INDEX($A$283:$A$310,MATCH(AK244,AE$283:AE$310,0))),"")&amp;
IF('Gear &amp; Buffs'!$Y$48="All",IF(ISNA(INDEX($A$151:$A$310,MATCH(AK244,AF$151:AF$310,0))),"",INDEX($A$151:$A$310,MATCH(AK244,AF$151:AF$310,0))),"")</f>
        <v/>
      </c>
    </row>
    <row r="245" spans="1:38">
      <c r="A245" s="10" t="s">
        <v>1636</v>
      </c>
      <c r="B245" s="114">
        <v>34609</v>
      </c>
      <c r="C245" s="114">
        <v>5</v>
      </c>
      <c r="D245" s="114"/>
      <c r="E245" s="114"/>
      <c r="F245" s="114">
        <v>38</v>
      </c>
      <c r="G245" s="114"/>
      <c r="H245" s="114"/>
      <c r="I245" s="115"/>
      <c r="J245" s="114">
        <v>126</v>
      </c>
      <c r="K245" s="114"/>
      <c r="L245" s="114">
        <v>27</v>
      </c>
      <c r="M245" s="114"/>
      <c r="N245" s="114"/>
      <c r="O245" s="116"/>
      <c r="P245" s="10"/>
      <c r="Q245" s="114" t="s">
        <v>1033</v>
      </c>
      <c r="R245" s="114"/>
      <c r="S245" s="114" t="s">
        <v>691</v>
      </c>
      <c r="T245" s="114">
        <v>96</v>
      </c>
      <c r="U245" s="114">
        <v>180</v>
      </c>
      <c r="V245" s="155">
        <f t="shared" si="18"/>
        <v>138</v>
      </c>
      <c r="W245" s="155">
        <v>1.5</v>
      </c>
      <c r="X245" s="124">
        <f t="shared" si="19"/>
        <v>92</v>
      </c>
      <c r="Y245" s="114" t="s">
        <v>1377</v>
      </c>
      <c r="Z245" s="114"/>
      <c r="AA245" s="114"/>
      <c r="AB245" s="114"/>
      <c r="AC245" s="10"/>
      <c r="AD245" s="114"/>
      <c r="AE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Aman"),IF(includeprebc,S245="Pre-BC"),IF(includesunwell,S245="Sunwell"))),MAX($AE$212:AE244)+1,"")</f>
        <v/>
      </c>
      <c r="AF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Aman"),IF(includeprebc,$S245="Pre-BC"),IF(includesunwell,$S245="Sunwell"))),MAX($AF$150:AF244)+1,"")</f>
        <v/>
      </c>
      <c r="AG245" s="114"/>
      <c r="AK245" s="48">
        <v>92</v>
      </c>
      <c r="AL245" s="151" t="str">
        <f>IF('Gear &amp; Buffs'!$Y$48="Dagger",IF(ISNA(INDEX($A$151:$A$210,MATCH(AK245,AE$151:AE$210,0))),"",INDEX($A$151:$A$210,MATCH(AK245,AE$151:AE$210,0))),"")&amp;
IF('Gear &amp; Buffs'!$Y$48="Sword",IF(ISNA(INDEX($A$212:$A$260,MATCH(AK245,AE$212:AE$260,0))),"",INDEX($A$212:$A$260,MATCH(AK245,AE$212:AE$260,0))),"")&amp;
IF('Gear &amp; Buffs'!$Y$48="Fist",IF(ISNA(INDEX($A$262:$A$281,MATCH(AK245,AE$262:AE$281,0))),"",INDEX($A$262:$A$281,MATCH(AK245,AE$262:AE$281,0))),"")&amp;
IF('Gear &amp; Buffs'!$Y$48="Mace",IF(ISNA(INDEX($A$283:$A$310,MATCH(AK245,AE$283:AE$310,0))),"",INDEX($A$283:$A$310,MATCH(AK245,AE$283:AE$310,0))),"")&amp;
IF('Gear &amp; Buffs'!$Y$48="All",IF(ISNA(INDEX($A$151:$A$310,MATCH(AK245,AF$151:AF$310,0))),"",INDEX($A$151:$A$310,MATCH(AK245,AF$151:AF$310,0))),"")</f>
        <v/>
      </c>
    </row>
    <row r="246" spans="1:38">
      <c r="A246" s="10" t="s">
        <v>1394</v>
      </c>
      <c r="B246" s="114">
        <v>28311</v>
      </c>
      <c r="C246" s="114">
        <v>1</v>
      </c>
      <c r="D246" s="114"/>
      <c r="E246" s="114"/>
      <c r="F246" s="114"/>
      <c r="G246" s="114"/>
      <c r="H246" s="114"/>
      <c r="I246" s="115"/>
      <c r="J246" s="114"/>
      <c r="K246" s="114"/>
      <c r="L246" s="114"/>
      <c r="M246" s="114"/>
      <c r="N246" s="114"/>
      <c r="O246" s="116"/>
      <c r="P246" s="10"/>
      <c r="Q246" s="114" t="s">
        <v>1033</v>
      </c>
      <c r="R246" s="114"/>
      <c r="S246" s="114" t="s">
        <v>673</v>
      </c>
      <c r="T246" s="114">
        <v>75</v>
      </c>
      <c r="U246" s="114">
        <v>140</v>
      </c>
      <c r="V246" s="155">
        <f t="shared" si="18"/>
        <v>107.5</v>
      </c>
      <c r="W246" s="155">
        <v>1.5</v>
      </c>
      <c r="X246" s="124">
        <f t="shared" si="19"/>
        <v>71.666666666666671</v>
      </c>
      <c r="Y246" s="114" t="s">
        <v>1377</v>
      </c>
      <c r="Z246" s="114">
        <v>115</v>
      </c>
      <c r="AA246" s="114">
        <v>1</v>
      </c>
      <c r="AB246" s="114">
        <v>3</v>
      </c>
      <c r="AC246" s="10" t="s">
        <v>1395</v>
      </c>
      <c r="AD246" s="114"/>
      <c r="AE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Aman"),IF(includeprebc,S246="Pre-BC"),IF(includesunwell,S246="Sunwell"))),MAX($AE$212:AE245)+1,"")</f>
        <v>19</v>
      </c>
      <c r="AF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Aman"),IF(includeprebc,$S246="Pre-BC"),IF(includesunwell,$S246="Sunwell"))),MAX($AF$150:AF245)+1,"")</f>
        <v>52</v>
      </c>
      <c r="AG246" s="114"/>
      <c r="AK246" s="48">
        <v>93</v>
      </c>
      <c r="AL246" s="151" t="str">
        <f>IF('Gear &amp; Buffs'!$Y$48="Dagger",IF(ISNA(INDEX($A$151:$A$210,MATCH(AK246,AE$151:AE$210,0))),"",INDEX($A$151:$A$210,MATCH(AK246,AE$151:AE$210,0))),"")&amp;
IF('Gear &amp; Buffs'!$Y$48="Sword",IF(ISNA(INDEX($A$212:$A$260,MATCH(AK246,AE$212:AE$260,0))),"",INDEX($A$212:$A$260,MATCH(AK246,AE$212:AE$260,0))),"")&amp;
IF('Gear &amp; Buffs'!$Y$48="Fist",IF(ISNA(INDEX($A$262:$A$281,MATCH(AK246,AE$262:AE$281,0))),"",INDEX($A$262:$A$281,MATCH(AK246,AE$262:AE$281,0))),"")&amp;
IF('Gear &amp; Buffs'!$Y$48="Mace",IF(ISNA(INDEX($A$283:$A$310,MATCH(AK246,AE$283:AE$310,0))),"",INDEX($A$283:$A$310,MATCH(AK246,AE$283:AE$310,0))),"")&amp;
IF('Gear &amp; Buffs'!$Y$48="All",IF(ISNA(INDEX($A$151:$A$310,MATCH(AK246,AF$151:AF$310,0))),"",INDEX($A$151:$A$310,MATCH(AK246,AF$151:AF$310,0))),"")</f>
        <v/>
      </c>
    </row>
    <row r="247" spans="1:38">
      <c r="A247" s="10" t="s">
        <v>1396</v>
      </c>
      <c r="B247" s="114">
        <v>28729</v>
      </c>
      <c r="C247" s="114">
        <v>1</v>
      </c>
      <c r="D247" s="114"/>
      <c r="E247" s="114">
        <v>14</v>
      </c>
      <c r="F247" s="114">
        <v>46</v>
      </c>
      <c r="G247" s="114"/>
      <c r="H247" s="114"/>
      <c r="I247" s="115"/>
      <c r="J247" s="114"/>
      <c r="K247" s="114"/>
      <c r="L247" s="114">
        <v>16</v>
      </c>
      <c r="M247" s="114"/>
      <c r="N247" s="114"/>
      <c r="O247" s="116"/>
      <c r="P247" s="10"/>
      <c r="Q247" s="114" t="s">
        <v>1033</v>
      </c>
      <c r="R247" s="114"/>
      <c r="S247" s="114" t="s">
        <v>672</v>
      </c>
      <c r="T247" s="114">
        <v>165</v>
      </c>
      <c r="U247" s="114">
        <v>308</v>
      </c>
      <c r="V247" s="155">
        <f t="shared" si="18"/>
        <v>236.5</v>
      </c>
      <c r="W247" s="155">
        <v>2.7</v>
      </c>
      <c r="X247" s="124">
        <f t="shared" si="19"/>
        <v>87.592592592592581</v>
      </c>
      <c r="Y247" s="114" t="s">
        <v>1377</v>
      </c>
      <c r="Z247" s="114"/>
      <c r="AA247" s="114"/>
      <c r="AB247" s="114"/>
      <c r="AC247" s="10"/>
      <c r="AD247" s="114"/>
      <c r="AE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Aman"),IF(includeprebc,S247="Pre-BC"),IF(includesunwell,S247="Sunwell"))),MAX($AE$212:AE246)+1,"")</f>
        <v>20</v>
      </c>
      <c r="AF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Aman"),IF(includeprebc,$S247="Pre-BC"),IF(includesunwell,$S247="Sunwell"))),MAX($AF$150:AF246)+1,"")</f>
        <v>53</v>
      </c>
      <c r="AG247" s="114"/>
      <c r="AK247" s="48">
        <v>94</v>
      </c>
      <c r="AL247" s="151" t="str">
        <f>IF('Gear &amp; Buffs'!$Y$48="Dagger",IF(ISNA(INDEX($A$151:$A$210,MATCH(AK247,AE$151:AE$210,0))),"",INDEX($A$151:$A$210,MATCH(AK247,AE$151:AE$210,0))),"")&amp;
IF('Gear &amp; Buffs'!$Y$48="Sword",IF(ISNA(INDEX($A$212:$A$260,MATCH(AK247,AE$212:AE$260,0))),"",INDEX($A$212:$A$260,MATCH(AK247,AE$212:AE$260,0))),"")&amp;
IF('Gear &amp; Buffs'!$Y$48="Fist",IF(ISNA(INDEX($A$262:$A$281,MATCH(AK247,AE$262:AE$281,0))),"",INDEX($A$262:$A$281,MATCH(AK247,AE$262:AE$281,0))),"")&amp;
IF('Gear &amp; Buffs'!$Y$48="Mace",IF(ISNA(INDEX($A$283:$A$310,MATCH(AK247,AE$283:AE$310,0))),"",INDEX($A$283:$A$310,MATCH(AK247,AE$283:AE$310,0))),"")&amp;
IF('Gear &amp; Buffs'!$Y$48="All",IF(ISNA(INDEX($A$151:$A$310,MATCH(AK247,AF$151:AF$310,0))),"",INDEX($A$151:$A$310,MATCH(AK247,AF$151:AF$310,0))),"")</f>
        <v/>
      </c>
    </row>
    <row r="248" spans="1:38">
      <c r="A248" s="10" t="s">
        <v>1227</v>
      </c>
      <c r="B248" s="116">
        <v>30082</v>
      </c>
      <c r="C248" s="116">
        <v>2</v>
      </c>
      <c r="D248" s="114"/>
      <c r="E248" s="114">
        <v>15</v>
      </c>
      <c r="F248" s="114">
        <v>40</v>
      </c>
      <c r="G248" s="115"/>
      <c r="H248" s="115">
        <v>20</v>
      </c>
      <c r="I248" s="115"/>
      <c r="J248" s="114"/>
      <c r="K248" s="116"/>
      <c r="L248" s="114"/>
      <c r="M248" s="116"/>
      <c r="N248" s="114"/>
      <c r="O248" s="116"/>
      <c r="P248" s="114"/>
      <c r="Q248" s="114" t="s">
        <v>1033</v>
      </c>
      <c r="R248" s="114"/>
      <c r="S248" s="114" t="s">
        <v>667</v>
      </c>
      <c r="T248" s="114">
        <v>182</v>
      </c>
      <c r="U248" s="116">
        <v>339</v>
      </c>
      <c r="V248" s="155">
        <f t="shared" si="18"/>
        <v>260.5</v>
      </c>
      <c r="W248" s="155">
        <v>2.7</v>
      </c>
      <c r="X248" s="124">
        <f t="shared" si="19"/>
        <v>96.481481481481481</v>
      </c>
      <c r="Y248" s="115" t="s">
        <v>1377</v>
      </c>
      <c r="Z248" s="114"/>
      <c r="AA248" s="114"/>
      <c r="AB248" s="114"/>
      <c r="AC248" s="289"/>
      <c r="AD248" s="115"/>
      <c r="AE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Aman"),IF(includeprebc,S248="Pre-BC"),IF(includesunwell,S248="Sunwell"))),MAX($AE$212:AE247)+1,"")</f>
        <v/>
      </c>
      <c r="AF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Aman"),IF(includeprebc,$S248="Pre-BC"),IF(includesunwell,$S248="Sunwell"))),MAX($AF$150:AF247)+1,"")</f>
        <v/>
      </c>
      <c r="AG248" s="114"/>
      <c r="AK248" s="48">
        <v>95</v>
      </c>
      <c r="AL248" s="151" t="str">
        <f>IF('Gear &amp; Buffs'!$Y$48="Dagger",IF(ISNA(INDEX($A$151:$A$210,MATCH(AK248,AE$151:AE$210,0))),"",INDEX($A$151:$A$210,MATCH(AK248,AE$151:AE$210,0))),"")&amp;
IF('Gear &amp; Buffs'!$Y$48="Sword",IF(ISNA(INDEX($A$212:$A$260,MATCH(AK248,AE$212:AE$260,0))),"",INDEX($A$212:$A$260,MATCH(AK248,AE$212:AE$260,0))),"")&amp;
IF('Gear &amp; Buffs'!$Y$48="Fist",IF(ISNA(INDEX($A$262:$A$281,MATCH(AK248,AE$262:AE$281,0))),"",INDEX($A$262:$A$281,MATCH(AK248,AE$262:AE$281,0))),"")&amp;
IF('Gear &amp; Buffs'!$Y$48="Mace",IF(ISNA(INDEX($A$283:$A$310,MATCH(AK248,AE$283:AE$310,0))),"",INDEX($A$283:$A$310,MATCH(AK248,AE$283:AE$310,0))),"")&amp;
IF('Gear &amp; Buffs'!$Y$48="All",IF(ISNA(INDEX($A$151:$A$310,MATCH(AK248,AF$151:AF$310,0))),"",INDEX($A$151:$A$310,MATCH(AK248,AF$151:AF$310,0))),"")</f>
        <v/>
      </c>
    </row>
    <row r="249" spans="1:38">
      <c r="A249" s="10" t="s">
        <v>1397</v>
      </c>
      <c r="B249" s="114">
        <v>23577</v>
      </c>
      <c r="C249" s="114">
        <v>1</v>
      </c>
      <c r="D249" s="114"/>
      <c r="E249" s="114"/>
      <c r="F249" s="114"/>
      <c r="G249" s="114"/>
      <c r="H249" s="114"/>
      <c r="I249" s="115"/>
      <c r="J249" s="114"/>
      <c r="K249" s="114">
        <v>14</v>
      </c>
      <c r="L249" s="114">
        <v>14</v>
      </c>
      <c r="M249" s="114"/>
      <c r="N249" s="114"/>
      <c r="O249" s="116"/>
      <c r="P249" s="10"/>
      <c r="Q249" s="114" t="s">
        <v>1033</v>
      </c>
      <c r="R249" s="114"/>
      <c r="S249" s="114" t="s">
        <v>668</v>
      </c>
      <c r="T249" s="114">
        <v>76</v>
      </c>
      <c r="U249" s="114">
        <v>143</v>
      </c>
      <c r="V249" s="155">
        <f t="shared" si="18"/>
        <v>109.5</v>
      </c>
      <c r="W249" s="155">
        <v>1.5</v>
      </c>
      <c r="X249" s="124">
        <f t="shared" si="19"/>
        <v>73</v>
      </c>
      <c r="Y249" s="114" t="s">
        <v>1377</v>
      </c>
      <c r="Z249" s="114"/>
      <c r="AA249" s="114"/>
      <c r="AB249" s="114"/>
      <c r="AC249" s="10"/>
      <c r="AD249" s="114"/>
      <c r="AE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Aman"),IF(includeprebc,S249="Pre-BC"),IF(includesunwell,S249="Sunwell"))),MAX($AE$212:AE248)+1,"")</f>
        <v>21</v>
      </c>
      <c r="AF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Aman"),IF(includeprebc,$S249="Pre-BC"),IF(includesunwell,$S249="Sunwell"))),MAX($AF$150:AF248)+1,"")</f>
        <v>54</v>
      </c>
      <c r="AG249" s="114"/>
      <c r="AK249" s="48">
        <v>96</v>
      </c>
      <c r="AL249" s="151" t="str">
        <f>IF('Gear &amp; Buffs'!$Y$48="Dagger",IF(ISNA(INDEX($A$151:$A$210,MATCH(AK249,AE$151:AE$210,0))),"",INDEX($A$151:$A$210,MATCH(AK249,AE$151:AE$210,0))),"")&amp;
IF('Gear &amp; Buffs'!$Y$48="Sword",IF(ISNA(INDEX($A$212:$A$260,MATCH(AK249,AE$212:AE$260,0))),"",INDEX($A$212:$A$260,MATCH(AK249,AE$212:AE$260,0))),"")&amp;
IF('Gear &amp; Buffs'!$Y$48="Fist",IF(ISNA(INDEX($A$262:$A$281,MATCH(AK249,AE$262:AE$281,0))),"",INDEX($A$262:$A$281,MATCH(AK249,AE$262:AE$281,0))),"")&amp;
IF('Gear &amp; Buffs'!$Y$48="Mace",IF(ISNA(INDEX($A$283:$A$310,MATCH(AK249,AE$283:AE$310,0))),"",INDEX($A$283:$A$310,MATCH(AK249,AE$283:AE$310,0))),"")&amp;
IF('Gear &amp; Buffs'!$Y$48="All",IF(ISNA(INDEX($A$151:$A$310,MATCH(AK249,AF$151:AF$310,0))),"",INDEX($A$151:$A$310,MATCH(AK249,AF$151:AF$310,0))),"")</f>
        <v/>
      </c>
    </row>
    <row r="250" spans="1:38">
      <c r="A250" s="10" t="s">
        <v>1398</v>
      </c>
      <c r="B250" s="114">
        <v>29362</v>
      </c>
      <c r="C250" s="114">
        <v>1</v>
      </c>
      <c r="D250" s="114"/>
      <c r="E250" s="114"/>
      <c r="F250" s="114"/>
      <c r="G250" s="114"/>
      <c r="H250" s="114"/>
      <c r="I250" s="115"/>
      <c r="J250" s="114"/>
      <c r="K250" s="114"/>
      <c r="L250" s="114">
        <v>22</v>
      </c>
      <c r="M250" s="114">
        <v>19</v>
      </c>
      <c r="N250" s="114"/>
      <c r="O250" s="114">
        <v>13</v>
      </c>
      <c r="P250" s="10"/>
      <c r="Q250" s="114" t="s">
        <v>1033</v>
      </c>
      <c r="R250" s="114"/>
      <c r="S250" s="114" t="s">
        <v>691</v>
      </c>
      <c r="T250" s="114">
        <v>93</v>
      </c>
      <c r="U250" s="114">
        <v>174</v>
      </c>
      <c r="V250" s="155">
        <f t="shared" si="18"/>
        <v>133.5</v>
      </c>
      <c r="W250" s="155">
        <v>1.6</v>
      </c>
      <c r="X250" s="124">
        <f t="shared" si="19"/>
        <v>83.4375</v>
      </c>
      <c r="Y250" s="114" t="s">
        <v>1377</v>
      </c>
      <c r="Z250" s="114"/>
      <c r="AA250" s="114"/>
      <c r="AB250" s="114"/>
      <c r="AC250" s="10"/>
      <c r="AD250" s="114"/>
      <c r="AE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Aman"),IF(includeprebc,S250="Pre-BC"),IF(includesunwell,S250="Sunwell"))),MAX($AE$212:AE249)+1,"")</f>
        <v>22</v>
      </c>
      <c r="AF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Aman"),IF(includeprebc,$S250="Pre-BC"),IF(includesunwell,$S250="Sunwell"))),MAX($AF$150:AF249)+1,"")</f>
        <v>55</v>
      </c>
      <c r="AG250" s="114"/>
      <c r="AK250" s="48">
        <v>97</v>
      </c>
      <c r="AL250" s="151" t="str">
        <f>IF('Gear &amp; Buffs'!$Y$48="Dagger",IF(ISNA(INDEX($A$151:$A$210,MATCH(AK250,AE$151:AE$210,0))),"",INDEX($A$151:$A$210,MATCH(AK250,AE$151:AE$210,0))),"")&amp;
IF('Gear &amp; Buffs'!$Y$48="Sword",IF(ISNA(INDEX($A$212:$A$260,MATCH(AK250,AE$212:AE$260,0))),"",INDEX($A$212:$A$260,MATCH(AK250,AE$212:AE$260,0))),"")&amp;
IF('Gear &amp; Buffs'!$Y$48="Fist",IF(ISNA(INDEX($A$262:$A$281,MATCH(AK250,AE$262:AE$281,0))),"",INDEX($A$262:$A$281,MATCH(AK250,AE$262:AE$281,0))),"")&amp;
IF('Gear &amp; Buffs'!$Y$48="Mace",IF(ISNA(INDEX($A$283:$A$310,MATCH(AK250,AE$283:AE$310,0))),"",INDEX($A$283:$A$310,MATCH(AK250,AE$283:AE$310,0))),"")&amp;
IF('Gear &amp; Buffs'!$Y$48="All",IF(ISNA(INDEX($A$151:$A$310,MATCH(AK250,AF$151:AF$310,0))),"",INDEX($A$151:$A$310,MATCH(AK250,AF$151:AF$310,0))),"")</f>
        <v/>
      </c>
    </row>
    <row r="251" spans="1:38">
      <c r="A251" s="10" t="s">
        <v>973</v>
      </c>
      <c r="B251" s="114">
        <v>34666</v>
      </c>
      <c r="C251" s="114">
        <v>5</v>
      </c>
      <c r="D251" s="114"/>
      <c r="E251" s="114">
        <v>14</v>
      </c>
      <c r="F251" s="114">
        <v>26</v>
      </c>
      <c r="G251" s="114"/>
      <c r="H251" s="114">
        <v>11</v>
      </c>
      <c r="I251" s="115"/>
      <c r="J251" s="114"/>
      <c r="K251" s="114"/>
      <c r="L251" s="114">
        <v>12</v>
      </c>
      <c r="M251" s="114"/>
      <c r="N251" s="114"/>
      <c r="O251" s="114"/>
      <c r="P251" s="10"/>
      <c r="Q251" s="114" t="s">
        <v>1033</v>
      </c>
      <c r="R251" s="114"/>
      <c r="S251" s="114" t="s">
        <v>676</v>
      </c>
      <c r="T251" s="114">
        <v>155</v>
      </c>
      <c r="U251" s="114">
        <v>233</v>
      </c>
      <c r="V251" s="155">
        <f t="shared" si="18"/>
        <v>194</v>
      </c>
      <c r="W251" s="155">
        <v>2.7</v>
      </c>
      <c r="X251" s="124">
        <f t="shared" si="19"/>
        <v>71.851851851851848</v>
      </c>
      <c r="Y251" s="114" t="s">
        <v>1377</v>
      </c>
      <c r="Z251" s="114"/>
      <c r="AA251" s="114"/>
      <c r="AB251" s="114"/>
      <c r="AC251" s="10"/>
      <c r="AD251" s="114"/>
      <c r="AE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Aman"),IF(includeprebc,S251="Pre-BC"),IF(includesunwell,S251="Sunwell"))),MAX($AE$212:AE250)+1,"")</f>
        <v/>
      </c>
      <c r="AF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Aman"),IF(includeprebc,$S251="Pre-BC"),IF(includesunwell,$S251="Sunwell"))),MAX($AF$150:AF250)+1,"")</f>
        <v/>
      </c>
      <c r="AG251" s="114"/>
      <c r="AK251" s="48">
        <v>98</v>
      </c>
      <c r="AL251" s="151" t="str">
        <f>IF('Gear &amp; Buffs'!$Y$48="Dagger",IF(ISNA(INDEX($A$151:$A$210,MATCH(AK251,AE$151:AE$210,0))),"",INDEX($A$151:$A$210,MATCH(AK251,AE$151:AE$210,0))),"")&amp;
IF('Gear &amp; Buffs'!$Y$48="Sword",IF(ISNA(INDEX($A$212:$A$260,MATCH(AK251,AE$212:AE$260,0))),"",INDEX($A$212:$A$260,MATCH(AK251,AE$212:AE$260,0))),"")&amp;
IF('Gear &amp; Buffs'!$Y$48="Fist",IF(ISNA(INDEX($A$262:$A$281,MATCH(AK251,AE$262:AE$281,0))),"",INDEX($A$262:$A$281,MATCH(AK251,AE$262:AE$281,0))),"")&amp;
IF('Gear &amp; Buffs'!$Y$48="Mace",IF(ISNA(INDEX($A$283:$A$310,MATCH(AK251,AE$283:AE$310,0))),"",INDEX($A$283:$A$310,MATCH(AK251,AE$283:AE$310,0))),"")&amp;
IF('Gear &amp; Buffs'!$Y$48="All",IF(ISNA(INDEX($A$151:$A$310,MATCH(AK251,AF$151:AF$310,0))),"",INDEX($A$151:$A$310,MATCH(AK251,AF$151:AF$310,0))),"")</f>
        <v/>
      </c>
    </row>
    <row r="252" spans="1:38">
      <c r="A252" s="10" t="s">
        <v>243</v>
      </c>
      <c r="B252" s="116">
        <v>30874</v>
      </c>
      <c r="C252" s="116">
        <v>3</v>
      </c>
      <c r="D252" s="114"/>
      <c r="E252" s="114"/>
      <c r="F252" s="114"/>
      <c r="G252" s="115"/>
      <c r="H252" s="115"/>
      <c r="I252" s="115"/>
      <c r="J252" s="114"/>
      <c r="K252" s="116"/>
      <c r="L252" s="114">
        <v>33</v>
      </c>
      <c r="M252" s="116"/>
      <c r="N252" s="114"/>
      <c r="O252" s="116">
        <v>21</v>
      </c>
      <c r="P252" s="114"/>
      <c r="Q252" s="114" t="s">
        <v>1033</v>
      </c>
      <c r="R252" s="114"/>
      <c r="S252" s="114" t="s">
        <v>684</v>
      </c>
      <c r="T252" s="114">
        <v>112</v>
      </c>
      <c r="U252" s="116">
        <v>209</v>
      </c>
      <c r="V252" s="155">
        <f t="shared" si="18"/>
        <v>160.5</v>
      </c>
      <c r="W252" s="155">
        <v>1.6</v>
      </c>
      <c r="X252" s="124">
        <f t="shared" si="19"/>
        <v>100.3125</v>
      </c>
      <c r="Y252" s="115" t="s">
        <v>1377</v>
      </c>
      <c r="Z252" s="114"/>
      <c r="AA252" s="114"/>
      <c r="AB252" s="114"/>
      <c r="AC252" s="289"/>
      <c r="AD252" s="115"/>
      <c r="AE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Aman"),IF(includeprebc,S252="Pre-BC"),IF(includesunwell,S252="Sunwell"))),MAX($AE$212:AE251)+1,"")</f>
        <v/>
      </c>
      <c r="AF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Aman"),IF(includeprebc,$S252="Pre-BC"),IF(includesunwell,$S252="Sunwell"))),MAX($AF$150:AF251)+1,"")</f>
        <v/>
      </c>
      <c r="AG252" s="114"/>
      <c r="AK252" s="48">
        <v>99</v>
      </c>
      <c r="AL252" s="151" t="str">
        <f>IF('Gear &amp; Buffs'!$Y$48="Dagger",IF(ISNA(INDEX($A$151:$A$210,MATCH(AK252,AE$151:AE$210,0))),"",INDEX($A$151:$A$210,MATCH(AK252,AE$151:AE$210,0))),"")&amp;
IF('Gear &amp; Buffs'!$Y$48="Sword",IF(ISNA(INDEX($A$212:$A$260,MATCH(AK252,AE$212:AE$260,0))),"",INDEX($A$212:$A$260,MATCH(AK252,AE$212:AE$260,0))),"")&amp;
IF('Gear &amp; Buffs'!$Y$48="Fist",IF(ISNA(INDEX($A$262:$A$281,MATCH(AK252,AE$262:AE$281,0))),"",INDEX($A$262:$A$281,MATCH(AK252,AE$262:AE$281,0))),"")&amp;
IF('Gear &amp; Buffs'!$Y$48="Mace",IF(ISNA(INDEX($A$283:$A$310,MATCH(AK252,AE$283:AE$310,0))),"",INDEX($A$283:$A$310,MATCH(AK252,AE$283:AE$310,0))),"")&amp;
IF('Gear &amp; Buffs'!$Y$48="All",IF(ISNA(INDEX($A$151:$A$310,MATCH(AK252,AF$151:AF$310,0))),"",INDEX($A$151:$A$310,MATCH(AK252,AF$151:AF$310,0))),"")</f>
        <v/>
      </c>
    </row>
    <row r="253" spans="1:38">
      <c r="A253" s="10" t="s">
        <v>1399</v>
      </c>
      <c r="B253" s="114">
        <v>19019</v>
      </c>
      <c r="C253" s="114">
        <v>1</v>
      </c>
      <c r="D253" s="114"/>
      <c r="E253" s="114">
        <v>5</v>
      </c>
      <c r="F253" s="114"/>
      <c r="G253" s="114"/>
      <c r="H253" s="114"/>
      <c r="I253" s="115"/>
      <c r="J253" s="114"/>
      <c r="K253" s="114"/>
      <c r="L253" s="114">
        <v>8</v>
      </c>
      <c r="M253" s="114"/>
      <c r="N253" s="114"/>
      <c r="O253" s="114"/>
      <c r="P253" s="10"/>
      <c r="Q253" s="114" t="s">
        <v>1033</v>
      </c>
      <c r="R253" s="114"/>
      <c r="S253" s="114" t="s">
        <v>668</v>
      </c>
      <c r="T253" s="114">
        <v>60</v>
      </c>
      <c r="U253" s="114">
        <v>145</v>
      </c>
      <c r="V253" s="155">
        <f t="shared" si="18"/>
        <v>102.5</v>
      </c>
      <c r="W253" s="155">
        <v>1.9</v>
      </c>
      <c r="X253" s="124">
        <f t="shared" si="19"/>
        <v>53.947368421052637</v>
      </c>
      <c r="Y253" s="114" t="s">
        <v>1377</v>
      </c>
      <c r="Z253" s="114">
        <v>300</v>
      </c>
      <c r="AA253" s="114">
        <v>6</v>
      </c>
      <c r="AB253" s="114">
        <v>5</v>
      </c>
      <c r="AC253" s="10"/>
      <c r="AD253" s="114"/>
      <c r="AE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Aman"),IF(includeprebc,S253="Pre-BC"),IF(includesunwell,S253="Sunwell"))),MAX($AE$212:AE252)+1,"")</f>
        <v>23</v>
      </c>
      <c r="AF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Aman"),IF(includeprebc,$S253="Pre-BC"),IF(includesunwell,$S253="Sunwell"))),MAX($AF$150:AF252)+1,"")</f>
        <v>56</v>
      </c>
      <c r="AG253" s="114"/>
      <c r="AK253" s="48">
        <v>100</v>
      </c>
      <c r="AL253" s="151" t="str">
        <f>IF('Gear &amp; Buffs'!$Y$48="Dagger",IF(ISNA(INDEX($A$151:$A$210,MATCH(AK253,AE$151:AE$210,0))),"",INDEX($A$151:$A$210,MATCH(AK253,AE$151:AE$210,0))),"")&amp;
IF('Gear &amp; Buffs'!$Y$48="Sword",IF(ISNA(INDEX($A$212:$A$260,MATCH(AK253,AE$212:AE$260,0))),"",INDEX($A$212:$A$260,MATCH(AK253,AE$212:AE$260,0))),"")&amp;
IF('Gear &amp; Buffs'!$Y$48="Fist",IF(ISNA(INDEX($A$262:$A$281,MATCH(AK253,AE$262:AE$281,0))),"",INDEX($A$262:$A$281,MATCH(AK253,AE$262:AE$281,0))),"")&amp;
IF('Gear &amp; Buffs'!$Y$48="Mace",IF(ISNA(INDEX($A$283:$A$310,MATCH(AK253,AE$283:AE$310,0))),"",INDEX($A$283:$A$310,MATCH(AK253,AE$283:AE$310,0))),"")&amp;
IF('Gear &amp; Buffs'!$Y$48="All",IF(ISNA(INDEX($A$151:$A$310,MATCH(AK253,AF$151:AF$310,0))),"",INDEX($A$151:$A$310,MATCH(AK253,AF$151:AF$310,0))),"")</f>
        <v/>
      </c>
    </row>
    <row r="254" spans="1:38">
      <c r="A254" s="10" t="s">
        <v>1761</v>
      </c>
      <c r="B254" s="116">
        <v>33734</v>
      </c>
      <c r="C254" s="116">
        <v>3</v>
      </c>
      <c r="D254" s="114"/>
      <c r="E254" s="114"/>
      <c r="F254" s="114">
        <v>34</v>
      </c>
      <c r="G254" s="115">
        <v>21</v>
      </c>
      <c r="H254" s="115">
        <v>8</v>
      </c>
      <c r="I254" s="847"/>
      <c r="J254" s="114">
        <v>49</v>
      </c>
      <c r="K254" s="116"/>
      <c r="L254" s="114">
        <v>30</v>
      </c>
      <c r="M254" s="116"/>
      <c r="N254" s="114">
        <v>12</v>
      </c>
      <c r="O254" s="116"/>
      <c r="P254" s="114"/>
      <c r="Q254" s="114" t="s">
        <v>1033</v>
      </c>
      <c r="R254" s="114"/>
      <c r="S254" s="114" t="s">
        <v>677</v>
      </c>
      <c r="T254" s="114">
        <v>108</v>
      </c>
      <c r="U254" s="116">
        <v>201</v>
      </c>
      <c r="V254" s="155">
        <f t="shared" si="18"/>
        <v>154.5</v>
      </c>
      <c r="W254" s="155">
        <v>1.5</v>
      </c>
      <c r="X254" s="124">
        <f t="shared" si="19"/>
        <v>103</v>
      </c>
      <c r="Y254" s="114" t="s">
        <v>1377</v>
      </c>
      <c r="Z254" s="114"/>
      <c r="AA254" s="114"/>
      <c r="AB254" s="114"/>
      <c r="AC254" s="289"/>
      <c r="AD254" s="791"/>
      <c r="AE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Aman"),IF(includeprebc,S254="Pre-BC"),IF(includesunwell,S254="Sunwell"))),MAX($AE$212:AE253)+1,"")</f>
        <v/>
      </c>
      <c r="AF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Aman"),IF(includeprebc,$S254="Pre-BC"),IF(includesunwell,$S254="Sunwell"))),MAX($AF$150:AF253)+1,"")</f>
        <v/>
      </c>
      <c r="AG254" s="114"/>
      <c r="AK254" s="48">
        <v>101</v>
      </c>
      <c r="AL254" s="151" t="str">
        <f>IF('Gear &amp; Buffs'!$Y$48="Dagger",IF(ISNA(INDEX($A$151:$A$210,MATCH(AK254,AE$151:AE$210,0))),"",INDEX($A$151:$A$210,MATCH(AK254,AE$151:AE$210,0))),"")&amp;
IF('Gear &amp; Buffs'!$Y$48="Sword",IF(ISNA(INDEX($A$212:$A$260,MATCH(AK254,AE$212:AE$260,0))),"",INDEX($A$212:$A$260,MATCH(AK254,AE$212:AE$260,0))),"")&amp;
IF('Gear &amp; Buffs'!$Y$48="Fist",IF(ISNA(INDEX($A$262:$A$281,MATCH(AK254,AE$262:AE$281,0))),"",INDEX($A$262:$A$281,MATCH(AK254,AE$262:AE$281,0))),"")&amp;
IF('Gear &amp; Buffs'!$Y$48="Mace",IF(ISNA(INDEX($A$283:$A$310,MATCH(AK254,AE$283:AE$310,0))),"",INDEX($A$283:$A$310,MATCH(AK254,AE$283:AE$310,0))),"")&amp;
IF('Gear &amp; Buffs'!$Y$48="All",IF(ISNA(INDEX($A$151:$A$310,MATCH(AK254,AF$151:AF$310,0))),"",INDEX($A$151:$A$310,MATCH(AK254,AF$151:AF$310,0))),"")</f>
        <v/>
      </c>
    </row>
    <row r="255" spans="1:38">
      <c r="A255" s="10" t="s">
        <v>1768</v>
      </c>
      <c r="B255" s="116">
        <v>33762</v>
      </c>
      <c r="C255" s="116">
        <v>3</v>
      </c>
      <c r="D255" s="114"/>
      <c r="E255" s="114"/>
      <c r="F255" s="114">
        <v>34</v>
      </c>
      <c r="G255" s="115">
        <v>21</v>
      </c>
      <c r="H255" s="115">
        <v>8</v>
      </c>
      <c r="I255" s="847"/>
      <c r="J255" s="114">
        <v>49</v>
      </c>
      <c r="K255" s="116"/>
      <c r="L255" s="114">
        <v>30</v>
      </c>
      <c r="M255" s="116"/>
      <c r="N255" s="114">
        <v>12</v>
      </c>
      <c r="O255" s="116"/>
      <c r="P255" s="114"/>
      <c r="Q255" s="114" t="s">
        <v>1033</v>
      </c>
      <c r="R255" s="114"/>
      <c r="S255" s="114" t="s">
        <v>677</v>
      </c>
      <c r="T255" s="114">
        <v>214</v>
      </c>
      <c r="U255" s="116">
        <v>322</v>
      </c>
      <c r="V255" s="155">
        <f t="shared" si="18"/>
        <v>268</v>
      </c>
      <c r="W255" s="155">
        <v>2.6</v>
      </c>
      <c r="X255" s="124">
        <f t="shared" si="19"/>
        <v>103.07692307692308</v>
      </c>
      <c r="Y255" s="114" t="s">
        <v>1377</v>
      </c>
      <c r="Z255" s="114"/>
      <c r="AA255" s="114"/>
      <c r="AB255" s="114"/>
      <c r="AC255" s="289"/>
      <c r="AD255" s="791"/>
      <c r="AE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Aman"),IF(includeprebc,S255="Pre-BC"),IF(includesunwell,S255="Sunwell"))),MAX($AE$212:AE254)+1,"")</f>
        <v/>
      </c>
      <c r="AF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Aman"),IF(includeprebc,$S255="Pre-BC"),IF(includesunwell,$S255="Sunwell"))),MAX($AF$150:AF254)+1,"")</f>
        <v/>
      </c>
      <c r="AG255" s="114"/>
      <c r="AK255" s="48">
        <v>102</v>
      </c>
      <c r="AL255" s="151" t="str">
        <f>IF('Gear &amp; Buffs'!$Y$48="Dagger",IF(ISNA(INDEX($A$151:$A$210,MATCH(AK255,AE$151:AE$210,0))),"",INDEX($A$151:$A$210,MATCH(AK255,AE$151:AE$210,0))),"")&amp;
IF('Gear &amp; Buffs'!$Y$48="Sword",IF(ISNA(INDEX($A$212:$A$260,MATCH(AK255,AE$212:AE$260,0))),"",INDEX($A$212:$A$260,MATCH(AK255,AE$212:AE$260,0))),"")&amp;
IF('Gear &amp; Buffs'!$Y$48="Fist",IF(ISNA(INDEX($A$262:$A$281,MATCH(AK255,AE$262:AE$281,0))),"",INDEX($A$262:$A$281,MATCH(AK255,AE$262:AE$281,0))),"")&amp;
IF('Gear &amp; Buffs'!$Y$48="Mace",IF(ISNA(INDEX($A$283:$A$310,MATCH(AK255,AE$283:AE$310,0))),"",INDEX($A$283:$A$310,MATCH(AK255,AE$283:AE$310,0))),"")&amp;
IF('Gear &amp; Buffs'!$Y$48="All",IF(ISNA(INDEX($A$151:$A$310,MATCH(AK255,AF$151:AF$310,0))),"",INDEX($A$151:$A$310,MATCH(AK255,AF$151:AF$310,0))),"")</f>
        <v/>
      </c>
    </row>
    <row r="256" spans="1:38">
      <c r="A256" s="10" t="s">
        <v>0</v>
      </c>
      <c r="B256" s="116">
        <v>29124</v>
      </c>
      <c r="C256" s="116">
        <v>1</v>
      </c>
      <c r="D256" s="114"/>
      <c r="E256" s="114"/>
      <c r="F256" s="114">
        <v>38</v>
      </c>
      <c r="G256" s="115"/>
      <c r="H256" s="115">
        <v>19</v>
      </c>
      <c r="I256" s="115"/>
      <c r="J256" s="114"/>
      <c r="K256" s="116"/>
      <c r="L256" s="114"/>
      <c r="M256" s="116"/>
      <c r="N256" s="114"/>
      <c r="O256" s="116"/>
      <c r="P256" s="114"/>
      <c r="Q256" s="114" t="s">
        <v>1033</v>
      </c>
      <c r="R256" s="114"/>
      <c r="S256" s="114" t="s">
        <v>676</v>
      </c>
      <c r="T256" s="114">
        <v>147</v>
      </c>
      <c r="U256" s="116">
        <v>275</v>
      </c>
      <c r="V256" s="155">
        <f t="shared" si="18"/>
        <v>211</v>
      </c>
      <c r="W256" s="155">
        <v>2.6</v>
      </c>
      <c r="X256" s="124">
        <f t="shared" si="19"/>
        <v>81.153846153846146</v>
      </c>
      <c r="Y256" s="115" t="s">
        <v>1377</v>
      </c>
      <c r="Z256" s="114"/>
      <c r="AA256" s="114"/>
      <c r="AB256" s="114"/>
      <c r="AC256" s="289"/>
      <c r="AD256" s="115"/>
      <c r="AE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Aman"),IF(includeprebc,S256="Pre-BC"),IF(includesunwell,S256="Sunwell"))),MAX($AE$212:AE255)+1,"")</f>
        <v>24</v>
      </c>
      <c r="AF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Aman"),IF(includeprebc,$S256="Pre-BC"),IF(includesunwell,$S256="Sunwell"))),MAX($AF$150:AF255)+1,"")</f>
        <v>57</v>
      </c>
      <c r="AG256" s="114"/>
      <c r="AK256" s="48">
        <v>103</v>
      </c>
      <c r="AL256" s="151" t="str">
        <f>IF('Gear &amp; Buffs'!$Y$48="Dagger",IF(ISNA(INDEX($A$151:$A$210,MATCH(AK256,AE$151:AE$210,0))),"",INDEX($A$151:$A$210,MATCH(AK256,AE$151:AE$210,0))),"")&amp;
IF('Gear &amp; Buffs'!$Y$48="Sword",IF(ISNA(INDEX($A$212:$A$260,MATCH(AK256,AE$212:AE$260,0))),"",INDEX($A$212:$A$260,MATCH(AK256,AE$212:AE$260,0))),"")&amp;
IF('Gear &amp; Buffs'!$Y$48="Fist",IF(ISNA(INDEX($A$262:$A$281,MATCH(AK256,AE$262:AE$281,0))),"",INDEX($A$262:$A$281,MATCH(AK256,AE$262:AE$281,0))),"")&amp;
IF('Gear &amp; Buffs'!$Y$48="Mace",IF(ISNA(INDEX($A$283:$A$310,MATCH(AK256,AE$283:AE$310,0))),"",INDEX($A$283:$A$310,MATCH(AK256,AE$283:AE$310,0))),"")&amp;
IF('Gear &amp; Buffs'!$Y$48="All",IF(ISNA(INDEX($A$151:$A$310,MATCH(AK256,AF$151:AF$310,0))),"",INDEX($A$151:$A$310,MATCH(AK256,AF$151:AF$310,0))),"")</f>
        <v/>
      </c>
    </row>
    <row r="257" spans="1:38">
      <c r="A257" s="10" t="s">
        <v>1</v>
      </c>
      <c r="B257" s="116">
        <v>32838</v>
      </c>
      <c r="C257" s="116">
        <v>3</v>
      </c>
      <c r="D257" s="114"/>
      <c r="E257" s="114">
        <v>21</v>
      </c>
      <c r="F257" s="114">
        <v>44</v>
      </c>
      <c r="G257" s="115">
        <v>23</v>
      </c>
      <c r="H257" s="114"/>
      <c r="I257" s="115"/>
      <c r="J257" s="114"/>
      <c r="K257" s="116"/>
      <c r="L257" s="114">
        <v>28</v>
      </c>
      <c r="M257" s="116"/>
      <c r="N257" s="114"/>
      <c r="O257" s="116"/>
      <c r="P257" s="114" t="s">
        <v>2</v>
      </c>
      <c r="Q257" s="114" t="s">
        <v>1033</v>
      </c>
      <c r="R257" s="114"/>
      <c r="S257" s="114" t="s">
        <v>683</v>
      </c>
      <c r="T257" s="114">
        <v>107</v>
      </c>
      <c r="U257" s="116">
        <v>199</v>
      </c>
      <c r="V257" s="155">
        <f t="shared" si="18"/>
        <v>153</v>
      </c>
      <c r="W257" s="155">
        <v>1.4</v>
      </c>
      <c r="X257" s="124">
        <f t="shared" si="19"/>
        <v>109.28571428571429</v>
      </c>
      <c r="Y257" s="115" t="s">
        <v>1377</v>
      </c>
      <c r="Z257" s="114"/>
      <c r="AA257" s="114"/>
      <c r="AB257" s="114"/>
      <c r="AC257" s="289"/>
      <c r="AD257" s="115"/>
      <c r="AE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Aman"),IF(includeprebc,S257="Pre-BC"),IF(includesunwell,S257="Sunwell"))),MAX($AE$212:AE256)+1,"")</f>
        <v/>
      </c>
      <c r="AF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Aman"),IF(includeprebc,$S257="Pre-BC"),IF(includesunwell,$S257="Sunwell"))),MAX($AF$150:AF256)+1,"")</f>
        <v/>
      </c>
      <c r="AG257" s="114"/>
      <c r="AK257" s="48">
        <v>104</v>
      </c>
      <c r="AL257" s="151" t="str">
        <f>IF('Gear &amp; Buffs'!$Y$48="Dagger",IF(ISNA(INDEX($A$151:$A$210,MATCH(AK257,AE$151:AE$210,0))),"",INDEX($A$151:$A$210,MATCH(AK257,AE$151:AE$210,0))),"")&amp;
IF('Gear &amp; Buffs'!$Y$48="Sword",IF(ISNA(INDEX($A$212:$A$260,MATCH(AK257,AE$212:AE$260,0))),"",INDEX($A$212:$A$260,MATCH(AK257,AE$212:AE$260,0))),"")&amp;
IF('Gear &amp; Buffs'!$Y$48="Fist",IF(ISNA(INDEX($A$262:$A$281,MATCH(AK257,AE$262:AE$281,0))),"",INDEX($A$262:$A$281,MATCH(AK257,AE$262:AE$281,0))),"")&amp;
IF('Gear &amp; Buffs'!$Y$48="Mace",IF(ISNA(INDEX($A$283:$A$310,MATCH(AK257,AE$283:AE$310,0))),"",INDEX($A$283:$A$310,MATCH(AK257,AE$283:AE$310,0))),"")&amp;
IF('Gear &amp; Buffs'!$Y$48="All",IF(ISNA(INDEX($A$151:$A$310,MATCH(AK257,AF$151:AF$310,0))),"",INDEX($A$151:$A$310,MATCH(AK257,AF$151:AF$310,0))),"")</f>
        <v/>
      </c>
    </row>
    <row r="258" spans="1:38">
      <c r="A258" s="10" t="s">
        <v>4</v>
      </c>
      <c r="B258" s="114">
        <v>30311</v>
      </c>
      <c r="C258" s="114">
        <v>2</v>
      </c>
      <c r="D258" s="114"/>
      <c r="E258" s="114"/>
      <c r="F258" s="114">
        <v>70</v>
      </c>
      <c r="G258" s="114">
        <v>25</v>
      </c>
      <c r="H258" s="114"/>
      <c r="I258" s="115">
        <f>hasterate*20/2</f>
        <v>157.69230769230768</v>
      </c>
      <c r="J258" s="114"/>
      <c r="K258" s="114"/>
      <c r="L258" s="114">
        <v>35</v>
      </c>
      <c r="M258" s="114"/>
      <c r="N258" s="114"/>
      <c r="O258" s="114"/>
      <c r="P258" s="10"/>
      <c r="Q258" s="114" t="s">
        <v>1033</v>
      </c>
      <c r="R258" s="114"/>
      <c r="S258" s="114" t="s">
        <v>680</v>
      </c>
      <c r="T258" s="114">
        <v>248</v>
      </c>
      <c r="U258" s="114">
        <v>461</v>
      </c>
      <c r="V258" s="155">
        <f t="shared" si="18"/>
        <v>354.5</v>
      </c>
      <c r="W258" s="155">
        <v>2.9</v>
      </c>
      <c r="X258" s="124">
        <f t="shared" si="19"/>
        <v>122.24137931034483</v>
      </c>
      <c r="Y258" s="114" t="s">
        <v>1377</v>
      </c>
      <c r="Z258" s="114"/>
      <c r="AA258" s="114"/>
      <c r="AB258" s="114"/>
      <c r="AC258" s="10" t="s">
        <v>562</v>
      </c>
      <c r="AD258" s="114"/>
      <c r="AE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Aman"),IF(includeprebc,S258="Pre-BC"),IF(includesunwell,S258="Sunwell"))),MAX($AE$212:AE257)+1,"")</f>
        <v/>
      </c>
      <c r="AF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Aman"),IF(includeprebc,$S258="Pre-BC"),IF(includesunwell,$S258="Sunwell"))),MAX($AF$150:AF257)+1,"")</f>
        <v/>
      </c>
      <c r="AG258" s="114"/>
      <c r="AK258" s="48">
        <v>105</v>
      </c>
      <c r="AL258" s="151" t="str">
        <f>IF('Gear &amp; Buffs'!$Y$48="Dagger",IF(ISNA(INDEX($A$151:$A$210,MATCH(AK258,AE$151:AE$210,0))),"",INDEX($A$151:$A$210,MATCH(AK258,AE$151:AE$210,0))),"")&amp;
IF('Gear &amp; Buffs'!$Y$48="Sword",IF(ISNA(INDEX($A$212:$A$260,MATCH(AK258,AE$212:AE$260,0))),"",INDEX($A$212:$A$260,MATCH(AK258,AE$212:AE$260,0))),"")&amp;
IF('Gear &amp; Buffs'!$Y$48="Fist",IF(ISNA(INDEX($A$262:$A$281,MATCH(AK258,AE$262:AE$281,0))),"",INDEX($A$262:$A$281,MATCH(AK258,AE$262:AE$281,0))),"")&amp;
IF('Gear &amp; Buffs'!$Y$48="Mace",IF(ISNA(INDEX($A$283:$A$310,MATCH(AK258,AE$283:AE$310,0))),"",INDEX($A$283:$A$310,MATCH(AK258,AE$283:AE$310,0))),"")&amp;
IF('Gear &amp; Buffs'!$Y$48="All",IF(ISNA(INDEX($A$151:$A$310,MATCH(AK258,AF$151:AF$310,0))),"",INDEX($A$151:$A$310,MATCH(AK258,AF$151:AF$310,0))),"")</f>
        <v/>
      </c>
    </row>
    <row r="259" spans="1:38">
      <c r="A259" s="10" t="s">
        <v>3</v>
      </c>
      <c r="B259" s="116">
        <v>28400</v>
      </c>
      <c r="C259" s="116">
        <v>1</v>
      </c>
      <c r="D259" s="114"/>
      <c r="E259" s="114"/>
      <c r="F259" s="114"/>
      <c r="G259" s="115"/>
      <c r="H259" s="115">
        <v>15</v>
      </c>
      <c r="I259" s="115"/>
      <c r="J259" s="114"/>
      <c r="K259" s="116"/>
      <c r="L259" s="114">
        <v>21</v>
      </c>
      <c r="M259" s="116"/>
      <c r="N259" s="114"/>
      <c r="O259" s="116">
        <v>13</v>
      </c>
      <c r="P259" s="114"/>
      <c r="Q259" s="114" t="s">
        <v>1033</v>
      </c>
      <c r="R259" s="114"/>
      <c r="S259" s="114" t="s">
        <v>691</v>
      </c>
      <c r="T259" s="114">
        <v>85</v>
      </c>
      <c r="U259" s="116">
        <v>159</v>
      </c>
      <c r="V259" s="155">
        <f>(U259+T259)/2</f>
        <v>122</v>
      </c>
      <c r="W259" s="155">
        <v>1.7</v>
      </c>
      <c r="X259" s="124">
        <f>V259/W259</f>
        <v>71.764705882352942</v>
      </c>
      <c r="Y259" s="115" t="s">
        <v>1377</v>
      </c>
      <c r="Z259" s="114"/>
      <c r="AA259" s="114"/>
      <c r="AB259" s="114"/>
      <c r="AC259" s="289"/>
      <c r="AD259" s="115"/>
      <c r="AE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Aman"),IF(includeprebc,S259="Pre-BC"),IF(includesunwell,S259="Sunwell"))),MAX($AE$212:AE258)+1,"")</f>
        <v>25</v>
      </c>
      <c r="AF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Aman"),IF(includeprebc,$S259="Pre-BC"),IF(includesunwell,$S259="Sunwell"))),MAX($AF$150:AF258)+1,"")</f>
        <v>58</v>
      </c>
      <c r="AG259" s="114"/>
      <c r="AK259" s="48">
        <v>106</v>
      </c>
      <c r="AL259" s="151" t="str">
        <f>IF('Gear &amp; Buffs'!$Y$48="Dagger",IF(ISNA(INDEX($A$151:$A$210,MATCH(AK259,AE$151:AE$210,0))),"",INDEX($A$151:$A$210,MATCH(AK259,AE$151:AE$210,0))),"")&amp;
IF('Gear &amp; Buffs'!$Y$48="Sword",IF(ISNA(INDEX($A$212:$A$260,MATCH(AK259,AE$212:AE$260,0))),"",INDEX($A$212:$A$260,MATCH(AK259,AE$212:AE$260,0))),"")&amp;
IF('Gear &amp; Buffs'!$Y$48="Fist",IF(ISNA(INDEX($A$262:$A$281,MATCH(AK259,AE$262:AE$281,0))),"",INDEX($A$262:$A$281,MATCH(AK259,AE$262:AE$281,0))),"")&amp;
IF('Gear &amp; Buffs'!$Y$48="Mace",IF(ISNA(INDEX($A$283:$A$310,MATCH(AK259,AE$283:AE$310,0))),"",INDEX($A$283:$A$310,MATCH(AK259,AE$283:AE$310,0))),"")&amp;
IF('Gear &amp; Buffs'!$Y$48="All",IF(ISNA(INDEX($A$151:$A$310,MATCH(AK259,AF$151:AF$310,0))),"",INDEX($A$151:$A$310,MATCH(AK259,AF$151:AF$310,0))),"")</f>
        <v/>
      </c>
    </row>
    <row r="260" spans="1:38">
      <c r="A260" s="10" t="str">
        <f>'Gear &amp; Buffs'!$B$154</f>
        <v>(Unmodeled OH Sword)</v>
      </c>
      <c r="B260" s="114"/>
      <c r="C260" s="114"/>
      <c r="D260" s="114">
        <f>'Gear &amp; Buffs'!$D$154</f>
        <v>0</v>
      </c>
      <c r="E260" s="114">
        <f>'Gear &amp; Buffs'!$E$154</f>
        <v>0</v>
      </c>
      <c r="F260" s="114">
        <f>'Gear &amp; Buffs'!$I$154</f>
        <v>0</v>
      </c>
      <c r="G260" s="115">
        <f>'Gear &amp; Buffs'!$G$154</f>
        <v>0</v>
      </c>
      <c r="H260" s="115">
        <f>'Gear &amp; Buffs'!$H$154</f>
        <v>0</v>
      </c>
      <c r="I260" s="115">
        <f>'Gear &amp; Buffs'!$P$154</f>
        <v>0</v>
      </c>
      <c r="J260" s="114">
        <f>'Gear &amp; Buffs'!$Q$154</f>
        <v>0</v>
      </c>
      <c r="K260" s="116">
        <f>'Gear &amp; Buffs'!$L$154</f>
        <v>0</v>
      </c>
      <c r="L260" s="114">
        <f>'Gear &amp; Buffs'!$F$154</f>
        <v>0</v>
      </c>
      <c r="M260" s="116">
        <f>'Gear &amp; Buffs'!$K$154</f>
        <v>0</v>
      </c>
      <c r="N260" s="114">
        <f>'Gear &amp; Buffs'!$J$154</f>
        <v>0</v>
      </c>
      <c r="O260" s="115">
        <f>'Gear &amp; Buffs'!M154</f>
        <v>0</v>
      </c>
      <c r="P260" s="114"/>
      <c r="Q260" s="114" t="str">
        <f>'Gear &amp; Buffs'!$R$154</f>
        <v>0 0 0</v>
      </c>
      <c r="R260" s="720">
        <f>'Gear &amp; Buffs'!$S$154</f>
        <v>0</v>
      </c>
      <c r="S260" s="114"/>
      <c r="T260" s="114">
        <f>'Gear &amp; Buffs'!$T$154</f>
        <v>1</v>
      </c>
      <c r="U260" s="116">
        <f>'Gear &amp; Buffs'!$U$154</f>
        <v>1</v>
      </c>
      <c r="V260" s="155">
        <f>(U260+T260)/2</f>
        <v>1</v>
      </c>
      <c r="W260" s="155">
        <f>'Gear &amp; Buffs'!$V$154</f>
        <v>2</v>
      </c>
      <c r="X260" s="124">
        <f>V260/W260</f>
        <v>0.5</v>
      </c>
      <c r="Y260" s="115" t="s">
        <v>1377</v>
      </c>
      <c r="Z260" s="114"/>
      <c r="AA260" s="114"/>
      <c r="AB260" s="114"/>
      <c r="AC260" s="289"/>
      <c r="AD260" s="115"/>
      <c r="AE260" s="114">
        <f>MAX($AE$212:AE259)+1</f>
        <v>26</v>
      </c>
      <c r="AF260" s="114">
        <f>MAX(AF$150:AF259)+1</f>
        <v>59</v>
      </c>
      <c r="AG260" s="114"/>
      <c r="AK260" s="48">
        <v>107</v>
      </c>
      <c r="AL260" s="151" t="str">
        <f>IF('Gear &amp; Buffs'!$Y$48="Dagger",IF(ISNA(INDEX($A$151:$A$210,MATCH(AK260,AE$151:AE$210,0))),"",INDEX($A$151:$A$210,MATCH(AK260,AE$151:AE$210,0))),"")&amp;
IF('Gear &amp; Buffs'!$Y$48="Sword",IF(ISNA(INDEX($A$212:$A$260,MATCH(AK260,AE$212:AE$260,0))),"",INDEX($A$212:$A$260,MATCH(AK260,AE$212:AE$260,0))),"")&amp;
IF('Gear &amp; Buffs'!$Y$48="Fist",IF(ISNA(INDEX($A$262:$A$281,MATCH(AK260,AE$262:AE$281,0))),"",INDEX($A$262:$A$281,MATCH(AK260,AE$262:AE$281,0))),"")&amp;
IF('Gear &amp; Buffs'!$Y$48="Mace",IF(ISNA(INDEX($A$283:$A$310,MATCH(AK260,AE$283:AE$310,0))),"",INDEX($A$283:$A$310,MATCH(AK260,AE$283:AE$310,0))),"")&amp;
IF('Gear &amp; Buffs'!$Y$48="All",IF(ISNA(INDEX($A$151:$A$310,MATCH(AK260,AF$151:AF$310,0))),"",INDEX($A$151:$A$310,MATCH(AK260,AF$151:AF$310,0))),"")</f>
        <v/>
      </c>
    </row>
    <row r="261" spans="1:38">
      <c r="A261" s="827" t="str">
        <f>" "</f>
        <v xml:space="preserve"> </v>
      </c>
      <c r="B261" s="833"/>
      <c r="C261" s="833"/>
      <c r="D261" s="827"/>
      <c r="E261" s="827"/>
      <c r="F261" s="827"/>
      <c r="G261" s="827"/>
      <c r="H261" s="827"/>
      <c r="I261" s="834"/>
      <c r="J261" s="827"/>
      <c r="K261" s="833"/>
      <c r="L261" s="827"/>
      <c r="M261" s="833"/>
      <c r="N261" s="827"/>
      <c r="O261" s="833"/>
      <c r="P261" s="827"/>
      <c r="Q261" s="827" t="s">
        <v>1033</v>
      </c>
      <c r="R261" s="827"/>
      <c r="S261" s="827"/>
      <c r="T261" s="827"/>
      <c r="U261" s="833"/>
      <c r="V261" s="827"/>
      <c r="W261" s="827"/>
      <c r="X261" s="827"/>
      <c r="Y261" s="827"/>
      <c r="Z261" s="827"/>
      <c r="AA261" s="827"/>
      <c r="AB261" s="827"/>
      <c r="AC261" s="835"/>
      <c r="AD261" s="836"/>
      <c r="AE261" s="827" t="str">
        <f>IF(OR(IF(includeblacksmith,S261="Blacksmithing"),IF(includeleatherwork,S261="Leatherworking"),IF(includeengineer,S261="Engineering"),IF(includeboecrafted,S261="BoE Crafted"),IF(includeboe,S261="BoE"),IF(includepvp,S261="PvP"),IF(includequest,S261="Quest"),IF(includereputation,S261="Reputation"),IF(include5man,S261="5 Man"),IF(includeheroic,S261="Heroic"),IF(includekarahzan,S261="Karazhan"),IF(includedoomwalker,S261="Doomwalker"),IF(includekazzak,S261="Kazzak"),IF(includegruul,S261="Gruul's Lair"),IF(includemagtheridon,S261="Magtheridon"),IF(includessc,S261="SSC"),IF(includetheeye,S261="TK"),IF(includeblacktemple,S261="Black Temple"),IF(includemounthyjal,S261="Mount Hyjal"),IF(includeprebc,S261="Pre-BC")),MAX($AE$212:AE260)+1,"")</f>
        <v/>
      </c>
      <c r="AF261" s="114">
        <f>MAX(AF$150:AF260)+1</f>
        <v>60</v>
      </c>
      <c r="AG261" s="114"/>
      <c r="AK261" s="48">
        <v>108</v>
      </c>
      <c r="AL261" s="151" t="str">
        <f>IF('Gear &amp; Buffs'!$Y$48="Dagger",IF(ISNA(INDEX($A$151:$A$210,MATCH(AK261,AE$151:AE$210,0))),"",INDEX($A$151:$A$210,MATCH(AK261,AE$151:AE$210,0))),"")&amp;
IF('Gear &amp; Buffs'!$Y$48="Sword",IF(ISNA(INDEX($A$212:$A$260,MATCH(AK261,AE$212:AE$260,0))),"",INDEX($A$212:$A$260,MATCH(AK261,AE$212:AE$260,0))),"")&amp;
IF('Gear &amp; Buffs'!$Y$48="Fist",IF(ISNA(INDEX($A$262:$A$281,MATCH(AK261,AE$262:AE$281,0))),"",INDEX($A$262:$A$281,MATCH(AK261,AE$262:AE$281,0))),"")&amp;
IF('Gear &amp; Buffs'!$Y$48="Mace",IF(ISNA(INDEX($A$283:$A$310,MATCH(AK261,AE$283:AE$310,0))),"",INDEX($A$283:$A$310,MATCH(AK261,AE$283:AE$310,0))),"")&amp;
IF('Gear &amp; Buffs'!$Y$48="All",IF(ISNA(INDEX($A$151:$A$310,MATCH(AK261,AF$151:AF$310,0))),"",INDEX($A$151:$A$310,MATCH(AK261,AF$151:AF$310,0))),"")</f>
        <v/>
      </c>
    </row>
    <row r="262" spans="1:38" ht="12" thickBot="1">
      <c r="A262" s="837" t="s">
        <v>5</v>
      </c>
      <c r="B262" s="839"/>
      <c r="C262" s="839"/>
      <c r="D262" s="743"/>
      <c r="E262" s="743"/>
      <c r="F262" s="743"/>
      <c r="G262" s="838"/>
      <c r="H262" s="838"/>
      <c r="I262" s="838"/>
      <c r="J262" s="743"/>
      <c r="K262" s="839"/>
      <c r="L262" s="743"/>
      <c r="M262" s="839"/>
      <c r="N262" s="743"/>
      <c r="O262" s="839"/>
      <c r="P262" s="743"/>
      <c r="Q262" s="743" t="s">
        <v>1033</v>
      </c>
      <c r="R262" s="743"/>
      <c r="S262" s="743"/>
      <c r="T262" s="743"/>
      <c r="U262" s="839"/>
      <c r="V262" s="840"/>
      <c r="W262" s="743"/>
      <c r="X262" s="841"/>
      <c r="Y262" s="838"/>
      <c r="Z262" s="743"/>
      <c r="AA262" s="743"/>
      <c r="AB262" s="743"/>
      <c r="AC262" s="842"/>
      <c r="AD262" s="838"/>
      <c r="AE262" s="743">
        <v>1</v>
      </c>
      <c r="AF262" s="114">
        <f>MAX(AF$150:AF261)+1</f>
        <v>61</v>
      </c>
      <c r="AG262" s="114"/>
      <c r="AK262" s="48">
        <v>109</v>
      </c>
      <c r="AL262" s="151" t="str">
        <f>IF('Gear &amp; Buffs'!$Y$48="Dagger",IF(ISNA(INDEX($A$151:$A$210,MATCH(AK262,AE$151:AE$210,0))),"",INDEX($A$151:$A$210,MATCH(AK262,AE$151:AE$210,0))),"")&amp;
IF('Gear &amp; Buffs'!$Y$48="Sword",IF(ISNA(INDEX($A$212:$A$260,MATCH(AK262,AE$212:AE$260,0))),"",INDEX($A$212:$A$260,MATCH(AK262,AE$212:AE$260,0))),"")&amp;
IF('Gear &amp; Buffs'!$Y$48="Fist",IF(ISNA(INDEX($A$262:$A$281,MATCH(AK262,AE$262:AE$281,0))),"",INDEX($A$262:$A$281,MATCH(AK262,AE$262:AE$281,0))),"")&amp;
IF('Gear &amp; Buffs'!$Y$48="Mace",IF(ISNA(INDEX($A$283:$A$310,MATCH(AK262,AE$283:AE$310,0))),"",INDEX($A$283:$A$310,MATCH(AK262,AE$283:AE$310,0))),"")&amp;
IF('Gear &amp; Buffs'!$Y$48="All",IF(ISNA(INDEX($A$151:$A$310,MATCH(AK262,AF$151:AF$310,0))),"",INDEX($A$151:$A$310,MATCH(AK262,AF$151:AF$310,0))),"")</f>
        <v/>
      </c>
    </row>
    <row r="263" spans="1:38">
      <c r="A263" s="10" t="s">
        <v>606</v>
      </c>
      <c r="B263" s="116">
        <v>27747</v>
      </c>
      <c r="C263" s="116">
        <v>1</v>
      </c>
      <c r="D263" s="114"/>
      <c r="E263" s="114">
        <v>15</v>
      </c>
      <c r="F263" s="114">
        <v>10</v>
      </c>
      <c r="G263" s="115"/>
      <c r="H263" s="115">
        <v>11</v>
      </c>
      <c r="I263" s="115"/>
      <c r="J263" s="114"/>
      <c r="K263" s="116"/>
      <c r="L263" s="114">
        <v>10</v>
      </c>
      <c r="M263" s="116"/>
      <c r="N263" s="114"/>
      <c r="O263" s="116"/>
      <c r="P263" s="114"/>
      <c r="Q263" s="114" t="s">
        <v>1033</v>
      </c>
      <c r="R263" s="114"/>
      <c r="S263" s="114" t="s">
        <v>691</v>
      </c>
      <c r="T263" s="114">
        <v>130</v>
      </c>
      <c r="U263" s="116">
        <v>243</v>
      </c>
      <c r="V263" s="155">
        <f>(U263+T263)/2</f>
        <v>186.5</v>
      </c>
      <c r="W263" s="155">
        <v>2.6</v>
      </c>
      <c r="X263" s="124">
        <f>V263/W263</f>
        <v>71.730769230769226</v>
      </c>
      <c r="Y263" s="115" t="s">
        <v>6</v>
      </c>
      <c r="Z263" s="114"/>
      <c r="AA263" s="114"/>
      <c r="AB263" s="114"/>
      <c r="AC263" s="289"/>
      <c r="AD263" s="115"/>
      <c r="AE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Aman"),IF(includeprebc,S263="Pre-BC"),IF(includesunwell,S263="Sunwell"))),MAX($AE$262:AE262)+1,"")</f>
        <v>2</v>
      </c>
      <c r="AF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Aman"),IF(includeprebc,$S263="Pre-BC"),IF(includesunwell,$S263="Sunwell"))),MAX($AF$150:AF262)+1,"")</f>
        <v>62</v>
      </c>
      <c r="AG263" s="114"/>
      <c r="AK263" s="48">
        <v>110</v>
      </c>
      <c r="AL263" s="151" t="str">
        <f>IF('Gear &amp; Buffs'!$Y$48="Dagger",IF(ISNA(INDEX($A$151:$A$210,MATCH(AK263,AE$151:AE$210,0))),"",INDEX($A$151:$A$210,MATCH(AK263,AE$151:AE$210,0))),"")&amp;
IF('Gear &amp; Buffs'!$Y$48="Sword",IF(ISNA(INDEX($A$212:$A$260,MATCH(AK263,AE$212:AE$260,0))),"",INDEX($A$212:$A$260,MATCH(AK263,AE$212:AE$260,0))),"")&amp;
IF('Gear &amp; Buffs'!$Y$48="Fist",IF(ISNA(INDEX($A$262:$A$281,MATCH(AK263,AE$262:AE$281,0))),"",INDEX($A$262:$A$281,MATCH(AK263,AE$262:AE$281,0))),"")&amp;
IF('Gear &amp; Buffs'!$Y$48="Mace",IF(ISNA(INDEX($A$283:$A$310,MATCH(AK263,AE$283:AE$310,0))),"",INDEX($A$283:$A$310,MATCH(AK263,AE$283:AE$310,0))),"")&amp;
IF('Gear &amp; Buffs'!$Y$48="All",IF(ISNA(INDEX($A$151:$A$310,MATCH(AK263,AF$151:AF$310,0))),"",INDEX($A$151:$A$310,MATCH(AK263,AF$151:AF$310,0))),"")</f>
        <v/>
      </c>
    </row>
    <row r="264" spans="1:38">
      <c r="A264" s="10" t="s">
        <v>1995</v>
      </c>
      <c r="B264" s="116">
        <v>35037</v>
      </c>
      <c r="C264" s="116">
        <v>5</v>
      </c>
      <c r="D264" s="114"/>
      <c r="E264" s="114"/>
      <c r="F264" s="114">
        <v>38</v>
      </c>
      <c r="G264" s="115">
        <v>22</v>
      </c>
      <c r="H264" s="115">
        <v>9</v>
      </c>
      <c r="I264" s="847"/>
      <c r="J264" s="114">
        <v>49</v>
      </c>
      <c r="K264" s="116"/>
      <c r="L264" s="114">
        <v>31</v>
      </c>
      <c r="M264" s="116"/>
      <c r="N264" s="114">
        <v>12</v>
      </c>
      <c r="O264" s="116"/>
      <c r="P264" s="114"/>
      <c r="Q264" s="114" t="s">
        <v>1033</v>
      </c>
      <c r="R264" s="114"/>
      <c r="S264" s="114" t="s">
        <v>677</v>
      </c>
      <c r="T264" s="114">
        <v>196</v>
      </c>
      <c r="U264" s="116">
        <v>365</v>
      </c>
      <c r="V264" s="155">
        <f>(U264+T264)/2</f>
        <v>280.5</v>
      </c>
      <c r="W264" s="155">
        <v>2.6</v>
      </c>
      <c r="X264" s="124">
        <f>V264/W264</f>
        <v>107.88461538461539</v>
      </c>
      <c r="Y264" s="114" t="s">
        <v>6</v>
      </c>
      <c r="Z264" s="114"/>
      <c r="AA264" s="114"/>
      <c r="AB264" s="114"/>
      <c r="AC264" s="289"/>
      <c r="AD264" s="791"/>
      <c r="AE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Aman"),IF(includeprebc,S264="Pre-BC"),IF(includesunwell,S264="Sunwell"))),MAX($AE$262:AE263)+1,"")</f>
        <v/>
      </c>
      <c r="AF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Aman"),IF(includeprebc,$S264="Pre-BC"),IF(includesunwell,$S264="Sunwell"))),MAX($AF$150:AF263)+1,"")</f>
        <v/>
      </c>
      <c r="AG264" s="114"/>
      <c r="AK264" s="48">
        <v>111</v>
      </c>
      <c r="AL264" s="151" t="str">
        <f>IF('Gear &amp; Buffs'!$Y$48="Dagger",IF(ISNA(INDEX($A$151:$A$210,MATCH(AK264,AE$151:AE$210,0))),"",INDEX($A$151:$A$210,MATCH(AK264,AE$151:AE$210,0))),"")&amp;
IF('Gear &amp; Buffs'!$Y$48="Sword",IF(ISNA(INDEX($A$212:$A$260,MATCH(AK264,AE$212:AE$260,0))),"",INDEX($A$212:$A$260,MATCH(AK264,AE$212:AE$260,0))),"")&amp;
IF('Gear &amp; Buffs'!$Y$48="Fist",IF(ISNA(INDEX($A$262:$A$281,MATCH(AK264,AE$262:AE$281,0))),"",INDEX($A$262:$A$281,MATCH(AK264,AE$262:AE$281,0))),"")&amp;
IF('Gear &amp; Buffs'!$Y$48="Mace",IF(ISNA(INDEX($A$283:$A$310,MATCH(AK264,AE$283:AE$310,0))),"",INDEX($A$283:$A$310,MATCH(AK264,AE$283:AE$310,0))),"")&amp;
IF('Gear &amp; Buffs'!$Y$48="All",IF(ISNA(INDEX($A$151:$A$310,MATCH(AK264,AF$151:AF$310,0))),"",INDEX($A$151:$A$310,MATCH(AK264,AF$151:AF$310,0))),"")</f>
        <v/>
      </c>
    </row>
    <row r="265" spans="1:38">
      <c r="A265" s="10" t="s">
        <v>1996</v>
      </c>
      <c r="B265" s="116">
        <v>35038</v>
      </c>
      <c r="C265" s="116">
        <v>5</v>
      </c>
      <c r="D265" s="114"/>
      <c r="E265" s="114"/>
      <c r="F265" s="114">
        <v>38</v>
      </c>
      <c r="G265" s="115">
        <v>22</v>
      </c>
      <c r="H265" s="115">
        <v>9</v>
      </c>
      <c r="I265" s="847"/>
      <c r="J265" s="114">
        <v>49</v>
      </c>
      <c r="K265" s="116"/>
      <c r="L265" s="114">
        <v>31</v>
      </c>
      <c r="M265" s="116"/>
      <c r="N265" s="114">
        <v>12</v>
      </c>
      <c r="O265" s="116"/>
      <c r="P265" s="114"/>
      <c r="Q265" s="114" t="s">
        <v>1033</v>
      </c>
      <c r="R265" s="114"/>
      <c r="S265" s="114" t="s">
        <v>677</v>
      </c>
      <c r="T265" s="114">
        <v>113</v>
      </c>
      <c r="U265" s="116">
        <v>211</v>
      </c>
      <c r="V265" s="155">
        <f>(U265+T265)/2</f>
        <v>162</v>
      </c>
      <c r="W265" s="155">
        <v>1.5</v>
      </c>
      <c r="X265" s="124">
        <f>V265/W265</f>
        <v>108</v>
      </c>
      <c r="Y265" s="114" t="s">
        <v>6</v>
      </c>
      <c r="Z265" s="114"/>
      <c r="AA265" s="114"/>
      <c r="AB265" s="114"/>
      <c r="AC265" s="289"/>
      <c r="AD265" s="791"/>
      <c r="AE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Aman"),IF(includeprebc,S265="Pre-BC"),IF(includesunwell,S265="Sunwell"))),MAX($AE$262:AE264)+1,"")</f>
        <v/>
      </c>
      <c r="AF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Aman"),IF(includeprebc,$S265="Pre-BC"),IF(includesunwell,$S265="Sunwell"))),MAX($AF$150:AF264)+1,"")</f>
        <v/>
      </c>
      <c r="AG265" s="114"/>
      <c r="AK265" s="48">
        <v>112</v>
      </c>
      <c r="AL265" s="151" t="str">
        <f>IF('Gear &amp; Buffs'!$Y$48="Dagger",IF(ISNA(INDEX($A$151:$A$210,MATCH(AK265,AE$151:AE$210,0))),"",INDEX($A$151:$A$210,MATCH(AK265,AE$151:AE$210,0))),"")&amp;
IF('Gear &amp; Buffs'!$Y$48="Sword",IF(ISNA(INDEX($A$212:$A$260,MATCH(AK265,AE$212:AE$260,0))),"",INDEX($A$212:$A$260,MATCH(AK265,AE$212:AE$260,0))),"")&amp;
IF('Gear &amp; Buffs'!$Y$48="Fist",IF(ISNA(INDEX($A$262:$A$281,MATCH(AK265,AE$262:AE$281,0))),"",INDEX($A$262:$A$281,MATCH(AK265,AE$262:AE$281,0))),"")&amp;
IF('Gear &amp; Buffs'!$Y$48="Mace",IF(ISNA(INDEX($A$283:$A$310,MATCH(AK265,AE$283:AE$310,0))),"",INDEX($A$283:$A$310,MATCH(AK265,AE$283:AE$310,0))),"")&amp;
IF('Gear &amp; Buffs'!$Y$48="All",IF(ISNA(INDEX($A$151:$A$310,MATCH(AK265,AF$151:AF$310,0))),"",INDEX($A$151:$A$310,MATCH(AK265,AF$151:AF$310,0))),"")</f>
        <v/>
      </c>
    </row>
    <row r="266" spans="1:38">
      <c r="A266" s="10" t="s">
        <v>244</v>
      </c>
      <c r="B266" s="116">
        <v>23242</v>
      </c>
      <c r="C266" s="116">
        <v>1</v>
      </c>
      <c r="D266" s="114"/>
      <c r="E266" s="114"/>
      <c r="F266" s="114">
        <v>22</v>
      </c>
      <c r="G266" s="115">
        <v>14</v>
      </c>
      <c r="H266" s="115">
        <v>10</v>
      </c>
      <c r="I266" s="115"/>
      <c r="J266" s="114"/>
      <c r="K266" s="116"/>
      <c r="L266" s="114">
        <v>8</v>
      </c>
      <c r="M266" s="116"/>
      <c r="N266" s="114"/>
      <c r="O266" s="116"/>
      <c r="P266" s="114"/>
      <c r="Q266" s="114" t="s">
        <v>1033</v>
      </c>
      <c r="R266" s="114"/>
      <c r="S266" s="114" t="s">
        <v>668</v>
      </c>
      <c r="T266" s="114">
        <v>75</v>
      </c>
      <c r="U266" s="116">
        <v>140</v>
      </c>
      <c r="V266" s="155">
        <f t="shared" ref="V266:V279" si="24">(U266+T266)/2</f>
        <v>107.5</v>
      </c>
      <c r="W266" s="155">
        <v>1.5</v>
      </c>
      <c r="X266" s="124">
        <f t="shared" ref="X266:X279" si="25">V266/W266</f>
        <v>71.666666666666671</v>
      </c>
      <c r="Y266" s="115" t="s">
        <v>6</v>
      </c>
      <c r="Z266" s="114"/>
      <c r="AA266" s="114"/>
      <c r="AB266" s="114"/>
      <c r="AC266" s="289"/>
      <c r="AD266" s="115"/>
      <c r="AE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Aman"),IF(includeprebc,S266="Pre-BC"),IF(includesunwell,S266="Sunwell"))),MAX($AE$262:AE265)+1,"")</f>
        <v>3</v>
      </c>
      <c r="AF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Aman"),IF(includeprebc,$S266="Pre-BC"),IF(includesunwell,$S266="Sunwell"))),MAX($AF$150:AF265)+1,"")</f>
        <v>63</v>
      </c>
      <c r="AG266" s="114"/>
      <c r="AK266" s="48">
        <v>113</v>
      </c>
      <c r="AL266" s="151" t="str">
        <f>IF('Gear &amp; Buffs'!$Y$48="Dagger",IF(ISNA(INDEX($A$151:$A$210,MATCH(AK266,AE$151:AE$210,0))),"",INDEX($A$151:$A$210,MATCH(AK266,AE$151:AE$210,0))),"")&amp;
IF('Gear &amp; Buffs'!$Y$48="Sword",IF(ISNA(INDEX($A$212:$A$260,MATCH(AK266,AE$212:AE$260,0))),"",INDEX($A$212:$A$260,MATCH(AK266,AE$212:AE$260,0))),"")&amp;
IF('Gear &amp; Buffs'!$Y$48="Fist",IF(ISNA(INDEX($A$262:$A$281,MATCH(AK266,AE$262:AE$281,0))),"",INDEX($A$262:$A$281,MATCH(AK266,AE$262:AE$281,0))),"")&amp;
IF('Gear &amp; Buffs'!$Y$48="Mace",IF(ISNA(INDEX($A$283:$A$310,MATCH(AK266,AE$283:AE$310,0))),"",INDEX($A$283:$A$310,MATCH(AK266,AE$283:AE$310,0))),"")&amp;
IF('Gear &amp; Buffs'!$Y$48="All",IF(ISNA(INDEX($A$151:$A$310,MATCH(AK266,AF$151:AF$310,0))),"",INDEX($A$151:$A$310,MATCH(AK266,AF$151:AF$310,0))),"")</f>
        <v/>
      </c>
    </row>
    <row r="267" spans="1:38">
      <c r="A267" s="10" t="s">
        <v>245</v>
      </c>
      <c r="B267" s="116">
        <v>29948</v>
      </c>
      <c r="C267" s="116">
        <v>2</v>
      </c>
      <c r="D267" s="114"/>
      <c r="E267" s="114">
        <v>21</v>
      </c>
      <c r="F267" s="114">
        <v>40</v>
      </c>
      <c r="G267" s="115"/>
      <c r="H267" s="115"/>
      <c r="I267" s="115"/>
      <c r="J267" s="114"/>
      <c r="K267" s="116"/>
      <c r="L267" s="114">
        <v>30</v>
      </c>
      <c r="M267" s="116"/>
      <c r="N267" s="114"/>
      <c r="O267" s="116"/>
      <c r="P267" s="114"/>
      <c r="Q267" s="114" t="s">
        <v>1033</v>
      </c>
      <c r="R267" s="114"/>
      <c r="S267" s="114" t="s">
        <v>680</v>
      </c>
      <c r="T267" s="114">
        <v>101</v>
      </c>
      <c r="U267" s="116">
        <v>189</v>
      </c>
      <c r="V267" s="155">
        <f t="shared" si="24"/>
        <v>145</v>
      </c>
      <c r="W267" s="155">
        <v>1.5</v>
      </c>
      <c r="X267" s="124">
        <f t="shared" si="25"/>
        <v>96.666666666666671</v>
      </c>
      <c r="Y267" s="115" t="s">
        <v>6</v>
      </c>
      <c r="Z267" s="114"/>
      <c r="AA267" s="114"/>
      <c r="AB267" s="114"/>
      <c r="AC267" s="289"/>
      <c r="AD267" s="115"/>
      <c r="AE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Aman"),IF(includeprebc,S267="Pre-BC"),IF(includesunwell,S267="Sunwell"))),MAX($AE$262:AE266)+1,"")</f>
        <v/>
      </c>
      <c r="AF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Aman"),IF(includeprebc,$S267="Pre-BC"),IF(includesunwell,$S267="Sunwell"))),MAX($AF$150:AF266)+1,"")</f>
        <v/>
      </c>
      <c r="AG267" s="114"/>
      <c r="AK267" s="48">
        <v>114</v>
      </c>
      <c r="AL267" s="151" t="str">
        <f>IF('Gear &amp; Buffs'!$Y$48="Dagger",IF(ISNA(INDEX($A$151:$A$210,MATCH(AK267,AE$151:AE$210,0))),"",INDEX($A$151:$A$210,MATCH(AK267,AE$151:AE$210,0))),"")&amp;
IF('Gear &amp; Buffs'!$Y$48="Sword",IF(ISNA(INDEX($A$212:$A$260,MATCH(AK267,AE$212:AE$260,0))),"",INDEX($A$212:$A$260,MATCH(AK267,AE$212:AE$260,0))),"")&amp;
IF('Gear &amp; Buffs'!$Y$48="Fist",IF(ISNA(INDEX($A$262:$A$281,MATCH(AK267,AE$262:AE$281,0))),"",INDEX($A$262:$A$281,MATCH(AK267,AE$262:AE$281,0))),"")&amp;
IF('Gear &amp; Buffs'!$Y$48="Mace",IF(ISNA(INDEX($A$283:$A$310,MATCH(AK267,AE$283:AE$310,0))),"",INDEX($A$283:$A$310,MATCH(AK267,AE$283:AE$310,0))),"")&amp;
IF('Gear &amp; Buffs'!$Y$48="All",IF(ISNA(INDEX($A$151:$A$310,MATCH(AK267,AF$151:AF$310,0))),"",INDEX($A$151:$A$310,MATCH(AK267,AF$151:AF$310,0))),"")</f>
        <v/>
      </c>
    </row>
    <row r="268" spans="1:38">
      <c r="A268" s="10" t="s">
        <v>154</v>
      </c>
      <c r="B268" s="116">
        <v>32946</v>
      </c>
      <c r="C268" s="116">
        <v>3</v>
      </c>
      <c r="D268" s="114"/>
      <c r="E268" s="114">
        <v>20</v>
      </c>
      <c r="F268" s="114">
        <v>38</v>
      </c>
      <c r="G268" s="115"/>
      <c r="H268" s="115"/>
      <c r="I268" s="115"/>
      <c r="J268" s="114"/>
      <c r="K268" s="116"/>
      <c r="L268" s="114">
        <v>28</v>
      </c>
      <c r="M268" s="116"/>
      <c r="N268" s="114"/>
      <c r="O268" s="116"/>
      <c r="P268" s="114"/>
      <c r="Q268" s="114" t="s">
        <v>1033</v>
      </c>
      <c r="R268" s="114"/>
      <c r="S268" s="114" t="s">
        <v>684</v>
      </c>
      <c r="T268" s="114">
        <v>120</v>
      </c>
      <c r="U268" s="116">
        <v>181</v>
      </c>
      <c r="V268" s="155">
        <f>(U268+T268)/2</f>
        <v>150.5</v>
      </c>
      <c r="W268" s="155">
        <v>1.5</v>
      </c>
      <c r="X268" s="124">
        <f>V268/W268</f>
        <v>100.33333333333333</v>
      </c>
      <c r="Y268" s="115" t="s">
        <v>6</v>
      </c>
      <c r="Z268" s="114"/>
      <c r="AA268" s="114"/>
      <c r="AB268" s="114"/>
      <c r="AC268" s="289"/>
      <c r="AD268" s="115"/>
      <c r="AE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Aman"),IF(includeprebc,S268="Pre-BC"),IF(includesunwell,S268="Sunwell"))),MAX($AE$262:AE267)+1,"")</f>
        <v/>
      </c>
      <c r="AF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Aman"),IF(includeprebc,$S268="Pre-BC"),IF(includesunwell,$S268="Sunwell"))),MAX($AF$150:AF267)+1,"")</f>
        <v/>
      </c>
      <c r="AG268" s="114"/>
      <c r="AK268" s="48">
        <v>115</v>
      </c>
      <c r="AL268" s="151" t="str">
        <f>IF('Gear &amp; Buffs'!$Y$48="Dagger",IF(ISNA(INDEX($A$151:$A$210,MATCH(AK268,AE$151:AE$210,0))),"",INDEX($A$151:$A$210,MATCH(AK268,AE$151:AE$210,0))),"")&amp;
IF('Gear &amp; Buffs'!$Y$48="Sword",IF(ISNA(INDEX($A$212:$A$260,MATCH(AK268,AE$212:AE$260,0))),"",INDEX($A$212:$A$260,MATCH(AK268,AE$212:AE$260,0))),"")&amp;
IF('Gear &amp; Buffs'!$Y$48="Fist",IF(ISNA(INDEX($A$262:$A$281,MATCH(AK268,AE$262:AE$281,0))),"",INDEX($A$262:$A$281,MATCH(AK268,AE$262:AE$281,0))),"")&amp;
IF('Gear &amp; Buffs'!$Y$48="Mace",IF(ISNA(INDEX($A$283:$A$310,MATCH(AK268,AE$283:AE$310,0))),"",INDEX($A$283:$A$310,MATCH(AK268,AE$283:AE$310,0))),"")&amp;
IF('Gear &amp; Buffs'!$Y$48="All",IF(ISNA(INDEX($A$151:$A$310,MATCH(AK268,AF$151:AF$310,0))),"",INDEX($A$151:$A$310,MATCH(AK268,AF$151:AF$310,0))),"")</f>
        <v/>
      </c>
    </row>
    <row r="269" spans="1:38">
      <c r="A269" s="10" t="s">
        <v>280</v>
      </c>
      <c r="B269" s="116">
        <v>33640</v>
      </c>
      <c r="C269" s="116">
        <v>4</v>
      </c>
      <c r="D269" s="114"/>
      <c r="E269" s="114"/>
      <c r="F269" s="114">
        <v>26</v>
      </c>
      <c r="G269" s="115"/>
      <c r="H269" s="115">
        <v>20</v>
      </c>
      <c r="I269" s="115"/>
      <c r="J269" s="114"/>
      <c r="K269" s="116"/>
      <c r="L269" s="114">
        <v>20</v>
      </c>
      <c r="M269" s="116"/>
      <c r="N269" s="114"/>
      <c r="O269" s="116"/>
      <c r="P269" s="114"/>
      <c r="Q269" s="114" t="s">
        <v>1035</v>
      </c>
      <c r="R269" s="114" t="s">
        <v>1066</v>
      </c>
      <c r="S269" s="114" t="s">
        <v>664</v>
      </c>
      <c r="T269" s="114">
        <v>174</v>
      </c>
      <c r="U269" s="116">
        <v>323</v>
      </c>
      <c r="V269" s="155">
        <f t="shared" si="24"/>
        <v>248.5</v>
      </c>
      <c r="W269" s="155">
        <v>2.6</v>
      </c>
      <c r="X269" s="124">
        <f t="shared" si="25"/>
        <v>95.57692307692308</v>
      </c>
      <c r="Y269" s="115" t="s">
        <v>6</v>
      </c>
      <c r="Z269" s="114"/>
      <c r="AA269" s="114"/>
      <c r="AB269" s="114"/>
      <c r="AC269" s="289"/>
      <c r="AD269" s="115"/>
      <c r="AE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Aman"),IF(includeprebc,S269="Pre-BC"),IF(includesunwell,S269="Sunwell"))),MAX($AE$262:AE268)+1,"")</f>
        <v/>
      </c>
      <c r="AF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Aman"),IF(includeprebc,$S269="Pre-BC"),IF(includesunwell,$S269="Sunwell"))),MAX($AF$150:AF268)+1,"")</f>
        <v/>
      </c>
      <c r="AG269" s="114"/>
      <c r="AK269" s="48">
        <v>116</v>
      </c>
      <c r="AL269" s="151" t="str">
        <f>IF('Gear &amp; Buffs'!$Y$48="Dagger",IF(ISNA(INDEX($A$151:$A$210,MATCH(AK269,AE$151:AE$210,0))),"",INDEX($A$151:$A$210,MATCH(AK269,AE$151:AE$210,0))),"")&amp;
IF('Gear &amp; Buffs'!$Y$48="Sword",IF(ISNA(INDEX($A$212:$A$260,MATCH(AK269,AE$212:AE$260,0))),"",INDEX($A$212:$A$260,MATCH(AK269,AE$212:AE$260,0))),"")&amp;
IF('Gear &amp; Buffs'!$Y$48="Fist",IF(ISNA(INDEX($A$262:$A$281,MATCH(AK269,AE$262:AE$281,0))),"",INDEX($A$262:$A$281,MATCH(AK269,AE$262:AE$281,0))),"")&amp;
IF('Gear &amp; Buffs'!$Y$48="Mace",IF(ISNA(INDEX($A$283:$A$310,MATCH(AK269,AE$283:AE$310,0))),"",INDEX($A$283:$A$310,MATCH(AK269,AE$283:AE$310,0))),"")&amp;
IF('Gear &amp; Buffs'!$Y$48="All",IF(ISNA(INDEX($A$151:$A$310,MATCH(AK269,AF$151:AF$310,0))),"",INDEX($A$151:$A$310,MATCH(AK269,AF$151:AF$310,0))),"")</f>
        <v/>
      </c>
    </row>
    <row r="270" spans="1:38">
      <c r="A270" s="10" t="s">
        <v>246</v>
      </c>
      <c r="B270" s="116">
        <v>28314</v>
      </c>
      <c r="C270" s="116">
        <v>1</v>
      </c>
      <c r="D270" s="114"/>
      <c r="E270" s="114"/>
      <c r="F270" s="114">
        <v>28</v>
      </c>
      <c r="G270" s="115">
        <v>15</v>
      </c>
      <c r="H270" s="115">
        <v>9</v>
      </c>
      <c r="I270" s="115"/>
      <c r="J270" s="114"/>
      <c r="K270" s="116"/>
      <c r="L270" s="114">
        <v>21</v>
      </c>
      <c r="M270" s="116"/>
      <c r="N270" s="114">
        <v>10</v>
      </c>
      <c r="O270" s="116"/>
      <c r="P270" s="114"/>
      <c r="Q270" s="114" t="s">
        <v>1033</v>
      </c>
      <c r="R270" s="114"/>
      <c r="S270" s="114" t="s">
        <v>677</v>
      </c>
      <c r="T270" s="114">
        <v>95</v>
      </c>
      <c r="U270" s="116">
        <v>178</v>
      </c>
      <c r="V270" s="155">
        <f t="shared" si="24"/>
        <v>136.5</v>
      </c>
      <c r="W270" s="155">
        <v>1.5</v>
      </c>
      <c r="X270" s="124">
        <f t="shared" si="25"/>
        <v>91</v>
      </c>
      <c r="Y270" s="115" t="s">
        <v>6</v>
      </c>
      <c r="Z270" s="114"/>
      <c r="AA270" s="114"/>
      <c r="AB270" s="114"/>
      <c r="AC270" s="289"/>
      <c r="AD270" s="115"/>
      <c r="AE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Aman"),IF(includeprebc,S270="Pre-BC"),IF(includesunwell,S270="Sunwell"))),MAX($AE$262:AE269)+1,"")</f>
        <v>4</v>
      </c>
      <c r="AF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Aman"),IF(includeprebc,$S270="Pre-BC"),IF(includesunwell,$S270="Sunwell"))),MAX($AF$150:AF269)+1,"")</f>
        <v>64</v>
      </c>
      <c r="AG270" s="114"/>
      <c r="AK270" s="48">
        <v>117</v>
      </c>
      <c r="AL270" s="151" t="str">
        <f>IF('Gear &amp; Buffs'!$Y$48="Dagger",IF(ISNA(INDEX($A$151:$A$210,MATCH(AK270,AE$151:AE$210,0))),"",INDEX($A$151:$A$210,MATCH(AK270,AE$151:AE$210,0))),"")&amp;
IF('Gear &amp; Buffs'!$Y$48="Sword",IF(ISNA(INDEX($A$212:$A$260,MATCH(AK270,AE$212:AE$260,0))),"",INDEX($A$212:$A$260,MATCH(AK270,AE$212:AE$260,0))),"")&amp;
IF('Gear &amp; Buffs'!$Y$48="Fist",IF(ISNA(INDEX($A$262:$A$281,MATCH(AK270,AE$262:AE$281,0))),"",INDEX($A$262:$A$281,MATCH(AK270,AE$262:AE$281,0))),"")&amp;
IF('Gear &amp; Buffs'!$Y$48="Mace",IF(ISNA(INDEX($A$283:$A$310,MATCH(AK270,AE$283:AE$310,0))),"",INDEX($A$283:$A$310,MATCH(AK270,AE$283:AE$310,0))),"")&amp;
IF('Gear &amp; Buffs'!$Y$48="All",IF(ISNA(INDEX($A$151:$A$310,MATCH(AK270,AF$151:AF$310,0))),"",INDEX($A$151:$A$310,MATCH(AK270,AF$151:AF$310,0))),"")</f>
        <v/>
      </c>
    </row>
    <row r="271" spans="1:38">
      <c r="A271" s="10" t="s">
        <v>950</v>
      </c>
      <c r="B271" s="116">
        <v>28947</v>
      </c>
      <c r="C271" s="116">
        <v>1</v>
      </c>
      <c r="D271" s="114"/>
      <c r="E271" s="114"/>
      <c r="F271" s="114">
        <v>26</v>
      </c>
      <c r="G271" s="115">
        <v>13</v>
      </c>
      <c r="H271" s="115">
        <v>8</v>
      </c>
      <c r="I271" s="115"/>
      <c r="J271" s="114"/>
      <c r="K271" s="116"/>
      <c r="L271" s="114">
        <v>18</v>
      </c>
      <c r="M271" s="116"/>
      <c r="N271" s="114">
        <v>9</v>
      </c>
      <c r="O271" s="116"/>
      <c r="P271" s="114"/>
      <c r="Q271" s="114" t="s">
        <v>1033</v>
      </c>
      <c r="R271" s="114"/>
      <c r="S271" s="114" t="s">
        <v>677</v>
      </c>
      <c r="T271" s="114">
        <v>90</v>
      </c>
      <c r="U271" s="116">
        <v>168</v>
      </c>
      <c r="V271" s="155">
        <f>(U271+T271)/2</f>
        <v>129</v>
      </c>
      <c r="W271" s="155">
        <v>1.8</v>
      </c>
      <c r="X271" s="124">
        <f>V271/W271</f>
        <v>71.666666666666671</v>
      </c>
      <c r="Y271" s="115" t="s">
        <v>6</v>
      </c>
      <c r="Z271" s="114"/>
      <c r="AA271" s="114"/>
      <c r="AB271" s="114"/>
      <c r="AC271" s="10"/>
      <c r="AD271" s="115"/>
      <c r="AE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Aman"),IF(includeprebc,S271="Pre-BC"),IF(includesunwell,S271="Sunwell"))),MAX($AE$262:AE270)+1,"")</f>
        <v>5</v>
      </c>
      <c r="AF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Aman"),IF(includeprebc,$S271="Pre-BC"),IF(includesunwell,$S271="Sunwell"))),MAX($AF$150:AF270)+1,"")</f>
        <v>65</v>
      </c>
      <c r="AG271" s="114"/>
      <c r="AK271" s="48">
        <v>118</v>
      </c>
      <c r="AL271" s="151" t="str">
        <f>IF('Gear &amp; Buffs'!$Y$48="Dagger",IF(ISNA(INDEX($A$151:$A$210,MATCH(AK271,AE$151:AE$210,0))),"",INDEX($A$151:$A$210,MATCH(AK271,AE$151:AE$210,0))),"")&amp;
IF('Gear &amp; Buffs'!$Y$48="Sword",IF(ISNA(INDEX($A$212:$A$260,MATCH(AK271,AE$212:AE$260,0))),"",INDEX($A$212:$A$260,MATCH(AK271,AE$212:AE$260,0))),"")&amp;
IF('Gear &amp; Buffs'!$Y$48="Fist",IF(ISNA(INDEX($A$262:$A$281,MATCH(AK271,AE$262:AE$281,0))),"",INDEX($A$262:$A$281,MATCH(AK271,AE$262:AE$281,0))),"")&amp;
IF('Gear &amp; Buffs'!$Y$48="Mace",IF(ISNA(INDEX($A$283:$A$310,MATCH(AK271,AE$283:AE$310,0))),"",INDEX($A$283:$A$310,MATCH(AK271,AE$283:AE$310,0))),"")&amp;
IF('Gear &amp; Buffs'!$Y$48="All",IF(ISNA(INDEX($A$151:$A$310,MATCH(AK271,AF$151:AF$310,0))),"",INDEX($A$151:$A$310,MATCH(AK271,AF$151:AF$310,0))),"")</f>
        <v/>
      </c>
    </row>
    <row r="272" spans="1:38">
      <c r="A272" s="10" t="s">
        <v>1678</v>
      </c>
      <c r="B272" s="116">
        <v>34203</v>
      </c>
      <c r="C272" s="116">
        <v>5</v>
      </c>
      <c r="D272" s="114"/>
      <c r="E272" s="114"/>
      <c r="F272" s="114">
        <v>46</v>
      </c>
      <c r="G272" s="115"/>
      <c r="H272" s="115">
        <v>20</v>
      </c>
      <c r="I272" s="115">
        <v>31</v>
      </c>
      <c r="J272" s="114"/>
      <c r="K272" s="116"/>
      <c r="L272" s="114"/>
      <c r="M272" s="116"/>
      <c r="N272" s="114"/>
      <c r="O272" s="116"/>
      <c r="P272" s="114"/>
      <c r="Q272" s="114" t="s">
        <v>1033</v>
      </c>
      <c r="R272" s="114"/>
      <c r="S272" s="114" t="s">
        <v>871</v>
      </c>
      <c r="T272" s="114">
        <v>113</v>
      </c>
      <c r="U272" s="116">
        <v>211</v>
      </c>
      <c r="V272" s="155">
        <f t="shared" si="24"/>
        <v>162</v>
      </c>
      <c r="W272" s="155">
        <v>1.5</v>
      </c>
      <c r="X272" s="124">
        <f t="shared" si="25"/>
        <v>108</v>
      </c>
      <c r="Y272" s="115" t="s">
        <v>6</v>
      </c>
      <c r="Z272" s="114"/>
      <c r="AA272" s="114"/>
      <c r="AB272" s="114"/>
      <c r="AC272" s="10"/>
      <c r="AD272" s="115"/>
      <c r="AE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Aman"),IF(includeprebc,S272="Pre-BC"),IF(includesunwell,S272="Sunwell"))),MAX($AE$262:AE271)+1,"")</f>
        <v/>
      </c>
      <c r="AF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Aman"),IF(includeprebc,$S272="Pre-BC"),IF(includesunwell,$S272="Sunwell"))),MAX($AF$150:AF271)+1,"")</f>
        <v/>
      </c>
      <c r="AG272" s="114"/>
      <c r="AK272" s="48">
        <v>119</v>
      </c>
      <c r="AL272" s="151" t="str">
        <f>IF('Gear &amp; Buffs'!$Y$48="Dagger",IF(ISNA(INDEX($A$151:$A$210,MATCH(AK272,AE$151:AE$210,0))),"",INDEX($A$151:$A$210,MATCH(AK272,AE$151:AE$210,0))),"")&amp;
IF('Gear &amp; Buffs'!$Y$48="Sword",IF(ISNA(INDEX($A$212:$A$260,MATCH(AK272,AE$212:AE$260,0))),"",INDEX($A$212:$A$260,MATCH(AK272,AE$212:AE$260,0))),"")&amp;
IF('Gear &amp; Buffs'!$Y$48="Fist",IF(ISNA(INDEX($A$262:$A$281,MATCH(AK272,AE$262:AE$281,0))),"",INDEX($A$262:$A$281,MATCH(AK272,AE$262:AE$281,0))),"")&amp;
IF('Gear &amp; Buffs'!$Y$48="Mace",IF(ISNA(INDEX($A$283:$A$310,MATCH(AK272,AE$283:AE$310,0))),"",INDEX($A$283:$A$310,MATCH(AK272,AE$283:AE$310,0))),"")&amp;
IF('Gear &amp; Buffs'!$Y$48="All",IF(ISNA(INDEX($A$151:$A$310,MATCH(AK272,AF$151:AF$310,0))),"",INDEX($A$151:$A$310,MATCH(AK272,AF$151:AF$310,0))),"")</f>
        <v/>
      </c>
    </row>
    <row r="273" spans="1:38">
      <c r="A273" s="10" t="s">
        <v>951</v>
      </c>
      <c r="B273" s="116">
        <v>28922</v>
      </c>
      <c r="C273" s="116">
        <v>1</v>
      </c>
      <c r="D273" s="114"/>
      <c r="E273" s="114"/>
      <c r="F273" s="114">
        <v>26</v>
      </c>
      <c r="G273" s="115">
        <v>13</v>
      </c>
      <c r="H273" s="115">
        <v>8</v>
      </c>
      <c r="I273" s="115"/>
      <c r="J273" s="114"/>
      <c r="K273" s="116"/>
      <c r="L273" s="114">
        <v>18</v>
      </c>
      <c r="M273" s="116"/>
      <c r="N273" s="114">
        <v>9</v>
      </c>
      <c r="O273" s="116"/>
      <c r="P273" s="114"/>
      <c r="Q273" s="114" t="s">
        <v>1033</v>
      </c>
      <c r="R273" s="114"/>
      <c r="S273" s="114" t="s">
        <v>677</v>
      </c>
      <c r="T273" s="114">
        <v>90</v>
      </c>
      <c r="U273" s="116">
        <v>168</v>
      </c>
      <c r="V273" s="155">
        <f t="shared" si="24"/>
        <v>129</v>
      </c>
      <c r="W273" s="155">
        <v>1.8</v>
      </c>
      <c r="X273" s="124">
        <f t="shared" si="25"/>
        <v>71.666666666666671</v>
      </c>
      <c r="Y273" s="115" t="s">
        <v>6</v>
      </c>
      <c r="Z273" s="114"/>
      <c r="AA273" s="114"/>
      <c r="AB273" s="114"/>
      <c r="AC273" s="10"/>
      <c r="AD273" s="115"/>
      <c r="AE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Aman"),IF(includeprebc,S273="Pre-BC"),IF(includesunwell,S273="Sunwell"))),MAX($AE$262:AE272)+1,"")</f>
        <v>6</v>
      </c>
      <c r="AF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Aman"),IF(includeprebc,$S273="Pre-BC"),IF(includesunwell,$S273="Sunwell"))),MAX($AF$150:AF272)+1,"")</f>
        <v>66</v>
      </c>
      <c r="AG273" s="114"/>
      <c r="AK273" s="48">
        <v>120</v>
      </c>
      <c r="AL273" s="151" t="str">
        <f>IF('Gear &amp; Buffs'!$Y$48="Dagger",IF(ISNA(INDEX($A$151:$A$210,MATCH(AK273,AE$151:AE$210,0))),"",INDEX($A$151:$A$210,MATCH(AK273,AE$151:AE$210,0))),"")&amp;
IF('Gear &amp; Buffs'!$Y$48="Sword",IF(ISNA(INDEX($A$212:$A$260,MATCH(AK273,AE$212:AE$260,0))),"",INDEX($A$212:$A$260,MATCH(AK273,AE$212:AE$260,0))),"")&amp;
IF('Gear &amp; Buffs'!$Y$48="Fist",IF(ISNA(INDEX($A$262:$A$281,MATCH(AK273,AE$262:AE$281,0))),"",INDEX($A$262:$A$281,MATCH(AK273,AE$262:AE$281,0))),"")&amp;
IF('Gear &amp; Buffs'!$Y$48="Mace",IF(ISNA(INDEX($A$283:$A$310,MATCH(AK273,AE$283:AE$310,0))),"",INDEX($A$283:$A$310,MATCH(AK273,AE$283:AE$310,0))),"")&amp;
IF('Gear &amp; Buffs'!$Y$48="All",IF(ISNA(INDEX($A$151:$A$310,MATCH(AK273,AF$151:AF$310,0))),"",INDEX($A$151:$A$310,MATCH(AK273,AF$151:AF$310,0))),"")</f>
        <v/>
      </c>
    </row>
    <row r="274" spans="1:38">
      <c r="A274" s="10" t="s">
        <v>247</v>
      </c>
      <c r="B274" s="116">
        <v>32003</v>
      </c>
      <c r="C274" s="116">
        <v>2</v>
      </c>
      <c r="D274" s="114"/>
      <c r="E274" s="114"/>
      <c r="F274" s="114">
        <v>30</v>
      </c>
      <c r="G274" s="115">
        <v>19</v>
      </c>
      <c r="H274" s="115">
        <v>10</v>
      </c>
      <c r="I274" s="115"/>
      <c r="J274" s="114"/>
      <c r="K274" s="116"/>
      <c r="L274" s="114">
        <v>27</v>
      </c>
      <c r="M274" s="114"/>
      <c r="N274" s="114">
        <v>12</v>
      </c>
      <c r="O274" s="116"/>
      <c r="P274" s="114"/>
      <c r="Q274" s="114" t="s">
        <v>1033</v>
      </c>
      <c r="R274" s="114"/>
      <c r="S274" s="114" t="s">
        <v>677</v>
      </c>
      <c r="T274" s="115">
        <v>102</v>
      </c>
      <c r="U274" s="114">
        <v>191</v>
      </c>
      <c r="V274" s="155">
        <f>(U274+T274)/2</f>
        <v>146.5</v>
      </c>
      <c r="W274" s="155">
        <v>1.5</v>
      </c>
      <c r="X274" s="124">
        <f>V274/W274</f>
        <v>97.666666666666671</v>
      </c>
      <c r="Y274" s="114" t="s">
        <v>6</v>
      </c>
      <c r="Z274" s="114"/>
      <c r="AA274" s="114"/>
      <c r="AB274" s="114"/>
      <c r="AC274" s="289"/>
      <c r="AD274" s="116"/>
      <c r="AE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Aman"),IF(includeprebc,S274="Pre-BC"),IF(includesunwell,S274="Sunwell"))),MAX($AE$262:AE273)+1,"")</f>
        <v/>
      </c>
      <c r="AF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Aman"),IF(includeprebc,$S274="Pre-BC"),IF(includesunwell,$S274="Sunwell"))),MAX($AF$150:AF273)+1,"")</f>
        <v/>
      </c>
      <c r="AG274" s="114"/>
      <c r="AK274" s="48">
        <v>121</v>
      </c>
      <c r="AL274" s="151" t="str">
        <f>IF('Gear &amp; Buffs'!$Y$48="Dagger",IF(ISNA(INDEX($A$151:$A$210,MATCH(AK274,AE$151:AE$210,0))),"",INDEX($A$151:$A$210,MATCH(AK274,AE$151:AE$210,0))),"")&amp;
IF('Gear &amp; Buffs'!$Y$48="Sword",IF(ISNA(INDEX($A$212:$A$260,MATCH(AK274,AE$212:AE$260,0))),"",INDEX($A$212:$A$260,MATCH(AK274,AE$212:AE$260,0))),"")&amp;
IF('Gear &amp; Buffs'!$Y$48="Fist",IF(ISNA(INDEX($A$262:$A$281,MATCH(AK274,AE$262:AE$281,0))),"",INDEX($A$262:$A$281,MATCH(AK274,AE$262:AE$281,0))),"")&amp;
IF('Gear &amp; Buffs'!$Y$48="Mace",IF(ISNA(INDEX($A$283:$A$310,MATCH(AK274,AE$283:AE$310,0))),"",INDEX($A$283:$A$310,MATCH(AK274,AE$283:AE$310,0))),"")&amp;
IF('Gear &amp; Buffs'!$Y$48="All",IF(ISNA(INDEX($A$151:$A$310,MATCH(AK274,AF$151:AF$310,0))),"",INDEX($A$151:$A$310,MATCH(AK274,AF$151:AF$310,0))),"")</f>
        <v/>
      </c>
    </row>
    <row r="275" spans="1:38">
      <c r="A275" s="10" t="s">
        <v>701</v>
      </c>
      <c r="B275" s="116">
        <v>34346</v>
      </c>
      <c r="C275" s="116">
        <v>5</v>
      </c>
      <c r="D275" s="114"/>
      <c r="E275" s="114"/>
      <c r="F275" s="114">
        <v>46</v>
      </c>
      <c r="G275" s="115"/>
      <c r="H275" s="115"/>
      <c r="I275" s="115"/>
      <c r="J275" s="114">
        <v>140</v>
      </c>
      <c r="K275" s="116"/>
      <c r="L275" s="114">
        <v>22</v>
      </c>
      <c r="M275" s="114"/>
      <c r="N275" s="114"/>
      <c r="O275" s="116"/>
      <c r="P275" s="114"/>
      <c r="Q275" s="114" t="s">
        <v>1041</v>
      </c>
      <c r="R275" s="114" t="s">
        <v>1338</v>
      </c>
      <c r="S275" s="114" t="s">
        <v>871</v>
      </c>
      <c r="T275" s="115">
        <v>196</v>
      </c>
      <c r="U275" s="114">
        <v>365</v>
      </c>
      <c r="V275" s="155">
        <f t="shared" si="24"/>
        <v>280.5</v>
      </c>
      <c r="W275" s="155">
        <v>2.6</v>
      </c>
      <c r="X275" s="124">
        <f t="shared" si="25"/>
        <v>107.88461538461539</v>
      </c>
      <c r="Y275" s="114" t="s">
        <v>6</v>
      </c>
      <c r="Z275" s="114"/>
      <c r="AA275" s="114"/>
      <c r="AB275" s="114"/>
      <c r="AC275" s="289"/>
      <c r="AD275" s="116"/>
      <c r="AE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Aman"),IF(includeprebc,S275="Pre-BC"),IF(includesunwell,S275="Sunwell"))),MAX($AE$262:AE274)+1,"")</f>
        <v/>
      </c>
      <c r="AF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Aman"),IF(includeprebc,$S275="Pre-BC"),IF(includesunwell,$S275="Sunwell"))),MAX($AF$150:AF274)+1,"")</f>
        <v/>
      </c>
      <c r="AG275" s="114"/>
      <c r="AK275" s="48">
        <v>122</v>
      </c>
      <c r="AL275" s="151" t="str">
        <f>IF('Gear &amp; Buffs'!$Y$48="Dagger",IF(ISNA(INDEX($A$151:$A$210,MATCH(AK275,AE$151:AE$210,0))),"",INDEX($A$151:$A$210,MATCH(AK275,AE$151:AE$210,0))),"")&amp;
IF('Gear &amp; Buffs'!$Y$48="Sword",IF(ISNA(INDEX($A$212:$A$260,MATCH(AK275,AE$212:AE$260,0))),"",INDEX($A$212:$A$260,MATCH(AK275,AE$212:AE$260,0))),"")&amp;
IF('Gear &amp; Buffs'!$Y$48="Fist",IF(ISNA(INDEX($A$262:$A$281,MATCH(AK275,AE$262:AE$281,0))),"",INDEX($A$262:$A$281,MATCH(AK275,AE$262:AE$281,0))),"")&amp;
IF('Gear &amp; Buffs'!$Y$48="Mace",IF(ISNA(INDEX($A$283:$A$310,MATCH(AK275,AE$283:AE$310,0))),"",INDEX($A$283:$A$310,MATCH(AK275,AE$283:AE$310,0))),"")&amp;
IF('Gear &amp; Buffs'!$Y$48="All",IF(ISNA(INDEX($A$151:$A$310,MATCH(AK275,AF$151:AF$310,0))),"",INDEX($A$151:$A$310,MATCH(AK275,AF$151:AF$310,0))),"")</f>
        <v/>
      </c>
    </row>
    <row r="276" spans="1:38">
      <c r="A276" s="10" t="s">
        <v>1624</v>
      </c>
      <c r="B276" s="116">
        <v>28315</v>
      </c>
      <c r="C276" s="116">
        <v>1</v>
      </c>
      <c r="D276" s="114"/>
      <c r="E276" s="114"/>
      <c r="F276" s="114">
        <v>22</v>
      </c>
      <c r="G276" s="115">
        <v>21</v>
      </c>
      <c r="H276" s="115"/>
      <c r="I276" s="115"/>
      <c r="J276" s="114"/>
      <c r="K276" s="116"/>
      <c r="L276" s="114">
        <v>13</v>
      </c>
      <c r="M276" s="116"/>
      <c r="N276" s="114"/>
      <c r="O276" s="116"/>
      <c r="P276" s="114"/>
      <c r="Q276" s="114" t="s">
        <v>1033</v>
      </c>
      <c r="R276" s="114"/>
      <c r="S276" s="114" t="s">
        <v>673</v>
      </c>
      <c r="T276" s="114">
        <v>80</v>
      </c>
      <c r="U276" s="116">
        <v>149</v>
      </c>
      <c r="V276" s="155">
        <f t="shared" si="24"/>
        <v>114.5</v>
      </c>
      <c r="W276" s="155">
        <v>1.6</v>
      </c>
      <c r="X276" s="124">
        <f t="shared" si="25"/>
        <v>71.5625</v>
      </c>
      <c r="Y276" s="115" t="s">
        <v>6</v>
      </c>
      <c r="Z276" s="114"/>
      <c r="AA276" s="114"/>
      <c r="AB276" s="114"/>
      <c r="AC276" s="289"/>
      <c r="AD276" s="115"/>
      <c r="AE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Aman"),IF(includeprebc,S276="Pre-BC"),IF(includesunwell,S276="Sunwell"))),MAX($AE$262:AE275)+1,"")</f>
        <v>7</v>
      </c>
      <c r="AF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Aman"),IF(includeprebc,$S276="Pre-BC"),IF(includesunwell,$S276="Sunwell"))),MAX($AF$150:AF275)+1,"")</f>
        <v>67</v>
      </c>
      <c r="AG276" s="114"/>
      <c r="AK276" s="48">
        <v>123</v>
      </c>
      <c r="AL276" s="151" t="str">
        <f>IF('Gear &amp; Buffs'!$Y$48="Dagger",IF(ISNA(INDEX($A$151:$A$210,MATCH(AK276,AE$151:AE$210,0))),"",INDEX($A$151:$A$210,MATCH(AK276,AE$151:AE$210,0))),"")&amp;
IF('Gear &amp; Buffs'!$Y$48="Sword",IF(ISNA(INDEX($A$212:$A$260,MATCH(AK276,AE$212:AE$260,0))),"",INDEX($A$212:$A$260,MATCH(AK276,AE$212:AE$260,0))),"")&amp;
IF('Gear &amp; Buffs'!$Y$48="Fist",IF(ISNA(INDEX($A$262:$A$281,MATCH(AK276,AE$262:AE$281,0))),"",INDEX($A$262:$A$281,MATCH(AK276,AE$262:AE$281,0))),"")&amp;
IF('Gear &amp; Buffs'!$Y$48="Mace",IF(ISNA(INDEX($A$283:$A$310,MATCH(AK276,AE$283:AE$310,0))),"",INDEX($A$283:$A$310,MATCH(AK276,AE$283:AE$310,0))),"")&amp;
IF('Gear &amp; Buffs'!$Y$48="All",IF(ISNA(INDEX($A$151:$A$310,MATCH(AK276,AF$151:AF$310,0))),"",INDEX($A$151:$A$310,MATCH(AK276,AF$151:AF$310,0))),"")</f>
        <v/>
      </c>
    </row>
    <row r="277" spans="1:38">
      <c r="A277" s="10" t="s">
        <v>113</v>
      </c>
      <c r="B277" s="116">
        <v>34016</v>
      </c>
      <c r="C277" s="116">
        <v>3</v>
      </c>
      <c r="D277" s="114"/>
      <c r="E277" s="114"/>
      <c r="F277" s="114">
        <v>34</v>
      </c>
      <c r="G277" s="115">
        <v>21</v>
      </c>
      <c r="H277" s="115">
        <v>8</v>
      </c>
      <c r="I277" s="847"/>
      <c r="J277" s="114">
        <v>49</v>
      </c>
      <c r="K277" s="116"/>
      <c r="L277" s="114">
        <v>30</v>
      </c>
      <c r="M277" s="116"/>
      <c r="N277" s="114">
        <v>12</v>
      </c>
      <c r="O277" s="116"/>
      <c r="P277" s="114"/>
      <c r="Q277" s="114" t="s">
        <v>1033</v>
      </c>
      <c r="R277" s="114"/>
      <c r="S277" s="114" t="s">
        <v>677</v>
      </c>
      <c r="T277" s="114">
        <v>187</v>
      </c>
      <c r="U277" s="116">
        <v>349</v>
      </c>
      <c r="V277" s="155">
        <f t="shared" si="24"/>
        <v>268</v>
      </c>
      <c r="W277" s="155">
        <v>2.6</v>
      </c>
      <c r="X277" s="124">
        <f t="shared" si="25"/>
        <v>103.07692307692308</v>
      </c>
      <c r="Y277" s="114" t="s">
        <v>6</v>
      </c>
      <c r="Z277" s="114"/>
      <c r="AA277" s="114"/>
      <c r="AB277" s="114"/>
      <c r="AC277" s="289"/>
      <c r="AD277" s="791"/>
      <c r="AE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Aman"),IF(includeprebc,S277="Pre-BC"),IF(includesunwell,S277="Sunwell"))),MAX($AE$262:AE276)+1,"")</f>
        <v/>
      </c>
      <c r="AF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Aman"),IF(includeprebc,$S277="Pre-BC"),IF(includesunwell,$S277="Sunwell"))),MAX($AF$150:AF276)+1,"")</f>
        <v/>
      </c>
      <c r="AG277" s="114"/>
      <c r="AK277" s="48">
        <v>124</v>
      </c>
      <c r="AL277" s="151" t="str">
        <f>IF('Gear &amp; Buffs'!$Y$48="Dagger",IF(ISNA(INDEX($A$151:$A$210,MATCH(AK277,AE$151:AE$210,0))),"",INDEX($A$151:$A$210,MATCH(AK277,AE$151:AE$210,0))),"")&amp;
IF('Gear &amp; Buffs'!$Y$48="Sword",IF(ISNA(INDEX($A$212:$A$260,MATCH(AK277,AE$212:AE$260,0))),"",INDEX($A$212:$A$260,MATCH(AK277,AE$212:AE$260,0))),"")&amp;
IF('Gear &amp; Buffs'!$Y$48="Fist",IF(ISNA(INDEX($A$262:$A$281,MATCH(AK277,AE$262:AE$281,0))),"",INDEX($A$262:$A$281,MATCH(AK277,AE$262:AE$281,0))),"")&amp;
IF('Gear &amp; Buffs'!$Y$48="Mace",IF(ISNA(INDEX($A$283:$A$310,MATCH(AK277,AE$283:AE$310,0))),"",INDEX($A$283:$A$310,MATCH(AK277,AE$283:AE$310,0))),"")&amp;
IF('Gear &amp; Buffs'!$Y$48="All",IF(ISNA(INDEX($A$151:$A$310,MATCH(AK277,AF$151:AF$310,0))),"",INDEX($A$151:$A$310,MATCH(AK277,AF$151:AF$310,0))),"")</f>
        <v/>
      </c>
    </row>
    <row r="278" spans="1:38">
      <c r="A278" s="10" t="s">
        <v>1762</v>
      </c>
      <c r="B278" s="116">
        <v>33705</v>
      </c>
      <c r="C278" s="116">
        <v>3</v>
      </c>
      <c r="D278" s="114"/>
      <c r="E278" s="114"/>
      <c r="F278" s="114">
        <v>34</v>
      </c>
      <c r="G278" s="115">
        <v>21</v>
      </c>
      <c r="H278" s="115">
        <v>8</v>
      </c>
      <c r="I278" s="847"/>
      <c r="J278" s="114">
        <v>49</v>
      </c>
      <c r="K278" s="116"/>
      <c r="L278" s="114">
        <v>30</v>
      </c>
      <c r="M278" s="116"/>
      <c r="N278" s="114">
        <v>12</v>
      </c>
      <c r="O278" s="116"/>
      <c r="P278" s="114"/>
      <c r="Q278" s="114" t="s">
        <v>1033</v>
      </c>
      <c r="R278" s="114"/>
      <c r="S278" s="114" t="s">
        <v>677</v>
      </c>
      <c r="T278" s="114">
        <v>108</v>
      </c>
      <c r="U278" s="116">
        <v>201</v>
      </c>
      <c r="V278" s="155">
        <f t="shared" si="24"/>
        <v>154.5</v>
      </c>
      <c r="W278" s="155">
        <v>1.5</v>
      </c>
      <c r="X278" s="124">
        <f t="shared" si="25"/>
        <v>103</v>
      </c>
      <c r="Y278" s="114" t="s">
        <v>6</v>
      </c>
      <c r="Z278" s="114"/>
      <c r="AA278" s="114"/>
      <c r="AB278" s="114"/>
      <c r="AC278" s="289"/>
      <c r="AD278" s="791"/>
      <c r="AE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Aman"),IF(includeprebc,S278="Pre-BC"),IF(includesunwell,S278="Sunwell"))),MAX($AE$262:AE277)+1,"")</f>
        <v/>
      </c>
      <c r="AF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Aman"),IF(includeprebc,$S278="Pre-BC"),IF(includesunwell,$S278="Sunwell"))),MAX($AF$150:AF277)+1,"")</f>
        <v/>
      </c>
      <c r="AG278" s="114"/>
      <c r="AK278" s="48">
        <v>125</v>
      </c>
      <c r="AL278" s="151" t="str">
        <f>IF('Gear &amp; Buffs'!$Y$48="Dagger",IF(ISNA(INDEX($A$151:$A$210,MATCH(AK278,AE$151:AE$210,0))),"",INDEX($A$151:$A$210,MATCH(AK278,AE$151:AE$210,0))),"")&amp;
IF('Gear &amp; Buffs'!$Y$48="Sword",IF(ISNA(INDEX($A$212:$A$260,MATCH(AK278,AE$212:AE$260,0))),"",INDEX($A$212:$A$260,MATCH(AK278,AE$212:AE$260,0))),"")&amp;
IF('Gear &amp; Buffs'!$Y$48="Fist",IF(ISNA(INDEX($A$262:$A$281,MATCH(AK278,AE$262:AE$281,0))),"",INDEX($A$262:$A$281,MATCH(AK278,AE$262:AE$281,0))),"")&amp;
IF('Gear &amp; Buffs'!$Y$48="Mace",IF(ISNA(INDEX($A$283:$A$310,MATCH(AK278,AE$283:AE$310,0))),"",INDEX($A$283:$A$310,MATCH(AK278,AE$283:AE$310,0))),"")&amp;
IF('Gear &amp; Buffs'!$Y$48="All",IF(ISNA(INDEX($A$151:$A$310,MATCH(AK278,AF$151:AF$310,0))),"",INDEX($A$151:$A$310,MATCH(AK278,AF$151:AF$310,0))),"")</f>
        <v/>
      </c>
    </row>
    <row r="279" spans="1:38">
      <c r="A279" s="10" t="s">
        <v>429</v>
      </c>
      <c r="B279" s="116">
        <v>34951</v>
      </c>
      <c r="C279" s="116">
        <v>5</v>
      </c>
      <c r="D279" s="114"/>
      <c r="E279" s="114"/>
      <c r="F279" s="114">
        <v>44</v>
      </c>
      <c r="G279" s="115"/>
      <c r="H279" s="115">
        <v>21</v>
      </c>
      <c r="I279" s="848">
        <v>23</v>
      </c>
      <c r="J279" s="114"/>
      <c r="K279" s="116"/>
      <c r="L279" s="114"/>
      <c r="M279" s="116"/>
      <c r="N279" s="114"/>
      <c r="O279" s="116"/>
      <c r="P279" s="114"/>
      <c r="Q279" s="114" t="s">
        <v>1033</v>
      </c>
      <c r="R279" s="114"/>
      <c r="S279" s="114" t="s">
        <v>691</v>
      </c>
      <c r="T279" s="114">
        <v>180</v>
      </c>
      <c r="U279" s="116">
        <v>335</v>
      </c>
      <c r="V279" s="155">
        <f t="shared" si="24"/>
        <v>257.5</v>
      </c>
      <c r="W279" s="155">
        <v>2.5</v>
      </c>
      <c r="X279" s="124">
        <f t="shared" si="25"/>
        <v>103</v>
      </c>
      <c r="Y279" s="114" t="s">
        <v>6</v>
      </c>
      <c r="Z279" s="114"/>
      <c r="AA279" s="114"/>
      <c r="AB279" s="114"/>
      <c r="AC279" s="289"/>
      <c r="AD279" s="791"/>
      <c r="AE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Aman"),IF(includeprebc,S279="Pre-BC"),IF(includesunwell,S279="Sunwell"))),MAX($AE$262:AE278)+1,"")</f>
        <v/>
      </c>
      <c r="AF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Aman"),IF(includeprebc,$S279="Pre-BC"),IF(includesunwell,$S279="Sunwell"))),MAX($AF$150:AF278)+1,"")</f>
        <v/>
      </c>
      <c r="AG279" s="114"/>
      <c r="AK279" s="48">
        <v>126</v>
      </c>
      <c r="AL279" s="151" t="str">
        <f>IF('Gear &amp; Buffs'!$Y$48="Dagger",IF(ISNA(INDEX($A$151:$A$210,MATCH(AK279,AE$151:AE$210,0))),"",INDEX($A$151:$A$210,MATCH(AK279,AE$151:AE$210,0))),"")&amp;
IF('Gear &amp; Buffs'!$Y$48="Sword",IF(ISNA(INDEX($A$212:$A$260,MATCH(AK279,AE$212:AE$260,0))),"",INDEX($A$212:$A$260,MATCH(AK279,AE$212:AE$260,0))),"")&amp;
IF('Gear &amp; Buffs'!$Y$48="Fist",IF(ISNA(INDEX($A$262:$A$281,MATCH(AK279,AE$262:AE$281,0))),"",INDEX($A$262:$A$281,MATCH(AK279,AE$262:AE$281,0))),"")&amp;
IF('Gear &amp; Buffs'!$Y$48="Mace",IF(ISNA(INDEX($A$283:$A$310,MATCH(AK279,AE$283:AE$310,0))),"",INDEX($A$283:$A$310,MATCH(AK279,AE$283:AE$310,0))),"")&amp;
IF('Gear &amp; Buffs'!$Y$48="All",IF(ISNA(INDEX($A$151:$A$310,MATCH(AK279,AF$151:AF$310,0))),"",INDEX($A$151:$A$310,MATCH(AK279,AF$151:AF$310,0))),"")</f>
        <v/>
      </c>
    </row>
    <row r="280" spans="1:38">
      <c r="A280" s="10" t="s">
        <v>1882</v>
      </c>
      <c r="B280" s="116">
        <v>34950</v>
      </c>
      <c r="C280" s="116">
        <v>5</v>
      </c>
      <c r="D280" s="114"/>
      <c r="E280" s="114"/>
      <c r="F280" s="114">
        <v>44</v>
      </c>
      <c r="G280" s="115"/>
      <c r="H280" s="115">
        <v>21</v>
      </c>
      <c r="I280" s="848">
        <v>23</v>
      </c>
      <c r="J280" s="114"/>
      <c r="K280" s="116"/>
      <c r="L280" s="114"/>
      <c r="M280" s="116"/>
      <c r="N280" s="114"/>
      <c r="O280" s="116"/>
      <c r="P280" s="114"/>
      <c r="Q280" s="114" t="s">
        <v>1033</v>
      </c>
      <c r="R280" s="114"/>
      <c r="S280" s="114" t="s">
        <v>691</v>
      </c>
      <c r="T280" s="114">
        <v>108</v>
      </c>
      <c r="U280" s="116">
        <v>201</v>
      </c>
      <c r="V280" s="155">
        <f>(U280+T280)/2</f>
        <v>154.5</v>
      </c>
      <c r="W280" s="155">
        <v>1.5</v>
      </c>
      <c r="X280" s="124">
        <f>V280/W280</f>
        <v>103</v>
      </c>
      <c r="Y280" s="114" t="s">
        <v>6</v>
      </c>
      <c r="Z280" s="114"/>
      <c r="AA280" s="114"/>
      <c r="AB280" s="114"/>
      <c r="AC280" s="289"/>
      <c r="AD280" s="791"/>
      <c r="AE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Aman"),IF(includeprebc,S280="Pre-BC"),IF(includesunwell,S280="Sunwell"))),MAX($AE$262:AE279)+1,"")</f>
        <v/>
      </c>
      <c r="AF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Aman"),IF(includeprebc,$S280="Pre-BC"),IF(includesunwell,$S280="Sunwell"))),MAX($AF$150:AF279)+1,"")</f>
        <v/>
      </c>
      <c r="AG280" s="114"/>
      <c r="AK280" s="48">
        <v>127</v>
      </c>
      <c r="AL280" s="151" t="str">
        <f>IF('Gear &amp; Buffs'!$Y$48="Dagger",IF(ISNA(INDEX($A$151:$A$210,MATCH(AK280,AE$151:AE$210,0))),"",INDEX($A$151:$A$210,MATCH(AK280,AE$151:AE$210,0))),"")&amp;
IF('Gear &amp; Buffs'!$Y$48="Sword",IF(ISNA(INDEX($A$212:$A$260,MATCH(AK280,AE$212:AE$260,0))),"",INDEX($A$212:$A$260,MATCH(AK280,AE$212:AE$260,0))),"")&amp;
IF('Gear &amp; Buffs'!$Y$48="Fist",IF(ISNA(INDEX($A$262:$A$281,MATCH(AK280,AE$262:AE$281,0))),"",INDEX($A$262:$A$281,MATCH(AK280,AE$262:AE$281,0))),"")&amp;
IF('Gear &amp; Buffs'!$Y$48="Mace",IF(ISNA(INDEX($A$283:$A$310,MATCH(AK280,AE$283:AE$310,0))),"",INDEX($A$283:$A$310,MATCH(AK280,AE$283:AE$310,0))),"")&amp;
IF('Gear &amp; Buffs'!$Y$48="All",IF(ISNA(INDEX($A$151:$A$310,MATCH(AK280,AF$151:AF$310,0))),"",INDEX($A$151:$A$310,MATCH(AK280,AF$151:AF$310,0))),"")</f>
        <v/>
      </c>
    </row>
    <row r="281" spans="1:38">
      <c r="A281" s="10" t="str">
        <f>'Gear &amp; Buffs'!$B$150</f>
        <v>(Unmodeled OH Fist)</v>
      </c>
      <c r="B281" s="114"/>
      <c r="C281" s="114"/>
      <c r="D281" s="114">
        <f>'Gear &amp; Buffs'!$D$150</f>
        <v>0</v>
      </c>
      <c r="E281" s="114">
        <f>'Gear &amp; Buffs'!$E$150</f>
        <v>0</v>
      </c>
      <c r="F281" s="114">
        <f>'Gear &amp; Buffs'!$I$150</f>
        <v>0</v>
      </c>
      <c r="G281" s="115">
        <f>'Gear &amp; Buffs'!$G$150</f>
        <v>0</v>
      </c>
      <c r="H281" s="115">
        <f>'Gear &amp; Buffs'!$H$150</f>
        <v>0</v>
      </c>
      <c r="I281" s="115">
        <f>'Gear &amp; Buffs'!$P$150</f>
        <v>0</v>
      </c>
      <c r="J281" s="114">
        <f>'Gear &amp; Buffs'!$Q$150</f>
        <v>0</v>
      </c>
      <c r="K281" s="116">
        <f>'Gear &amp; Buffs'!$L$150</f>
        <v>0</v>
      </c>
      <c r="L281" s="114">
        <f>'Gear &amp; Buffs'!$F$150</f>
        <v>0</v>
      </c>
      <c r="M281" s="116">
        <f>'Gear &amp; Buffs'!$K$150</f>
        <v>0</v>
      </c>
      <c r="N281" s="114">
        <f>'Gear &amp; Buffs'!$J$150</f>
        <v>0</v>
      </c>
      <c r="O281" s="115">
        <f>'Gear &amp; Buffs'!M150</f>
        <v>0</v>
      </c>
      <c r="P281" s="114"/>
      <c r="Q281" s="114" t="str">
        <f>'Gear &amp; Buffs'!$R$150</f>
        <v>0 0 0</v>
      </c>
      <c r="R281" s="720">
        <f>'Gear &amp; Buffs'!$S$150</f>
        <v>0</v>
      </c>
      <c r="S281" s="114"/>
      <c r="T281" s="114">
        <f>'Gear &amp; Buffs'!$T$150</f>
        <v>1</v>
      </c>
      <c r="U281" s="116">
        <f>'Gear &amp; Buffs'!$U$150</f>
        <v>1</v>
      </c>
      <c r="V281" s="155">
        <f>(U281+T281)/2</f>
        <v>1</v>
      </c>
      <c r="W281" s="155">
        <f>'Gear &amp; Buffs'!$V$150</f>
        <v>2</v>
      </c>
      <c r="X281" s="124">
        <f>V281/W281</f>
        <v>0.5</v>
      </c>
      <c r="Y281" s="114" t="s">
        <v>6</v>
      </c>
      <c r="Z281" s="114"/>
      <c r="AA281" s="114"/>
      <c r="AB281" s="114"/>
      <c r="AC281" s="289"/>
      <c r="AD281" s="791"/>
      <c r="AE281" s="114">
        <f>MAX($AE$262:AE280)+1</f>
        <v>8</v>
      </c>
      <c r="AF281" s="114">
        <f>MAX(AF$150:AF280)+1</f>
        <v>68</v>
      </c>
      <c r="AG281" s="114"/>
      <c r="AK281" s="48">
        <v>128</v>
      </c>
      <c r="AL281" s="151" t="str">
        <f>IF('Gear &amp; Buffs'!$Y$48="Dagger",IF(ISNA(INDEX($A$151:$A$210,MATCH(AK281,AE$151:AE$210,0))),"",INDEX($A$151:$A$210,MATCH(AK281,AE$151:AE$210,0))),"")&amp;
IF('Gear &amp; Buffs'!$Y$48="Sword",IF(ISNA(INDEX($A$212:$A$260,MATCH(AK281,AE$212:AE$260,0))),"",INDEX($A$212:$A$260,MATCH(AK281,AE$212:AE$260,0))),"")&amp;
IF('Gear &amp; Buffs'!$Y$48="Fist",IF(ISNA(INDEX($A$262:$A$281,MATCH(AK281,AE$262:AE$281,0))),"",INDEX($A$262:$A$281,MATCH(AK281,AE$262:AE$281,0))),"")&amp;
IF('Gear &amp; Buffs'!$Y$48="Mace",IF(ISNA(INDEX($A$283:$A$310,MATCH(AK281,AE$283:AE$310,0))),"",INDEX($A$283:$A$310,MATCH(AK281,AE$283:AE$310,0))),"")&amp;
IF('Gear &amp; Buffs'!$Y$48="All",IF(ISNA(INDEX($A$151:$A$310,MATCH(AK281,AF$151:AF$310,0))),"",INDEX($A$151:$A$310,MATCH(AK281,AF$151:AF$310,0))),"")</f>
        <v/>
      </c>
    </row>
    <row r="282" spans="1:38">
      <c r="A282" s="827" t="str">
        <f>" "</f>
        <v xml:space="preserve"> </v>
      </c>
      <c r="B282" s="833"/>
      <c r="C282" s="833"/>
      <c r="D282" s="827"/>
      <c r="E282" s="827"/>
      <c r="F282" s="827"/>
      <c r="G282" s="827"/>
      <c r="H282" s="827"/>
      <c r="I282" s="834"/>
      <c r="J282" s="827"/>
      <c r="K282" s="833"/>
      <c r="L282" s="827"/>
      <c r="M282" s="833"/>
      <c r="N282" s="827"/>
      <c r="O282" s="833"/>
      <c r="P282" s="827"/>
      <c r="Q282" s="827" t="s">
        <v>1033</v>
      </c>
      <c r="R282" s="827"/>
      <c r="S282" s="827"/>
      <c r="T282" s="827"/>
      <c r="U282" s="833"/>
      <c r="V282" s="827"/>
      <c r="W282" s="827"/>
      <c r="X282" s="827"/>
      <c r="Y282" s="827"/>
      <c r="Z282" s="827"/>
      <c r="AA282" s="827"/>
      <c r="AB282" s="827"/>
      <c r="AC282" s="835"/>
      <c r="AD282" s="836"/>
      <c r="AE282" s="827" t="str">
        <f>IF(OR(IF(includeblacksmith,S282="Blacksmithing"),IF(includeleatherwork,S282="Leatherworking"),IF(includeengineer,S282="Engineering"),IF(includeboecrafted,S282="BoE Crafted"),IF(includeboe,S282="BoE"),IF(includepvp,S282="PvP"),IF(includequest,S282="Quest"),IF(includereputation,S282="Reputation"),IF(include5man,S282="5 Man"),IF(includeheroic,S282="Heroic"),IF(includekarahzan,S282="Karazhan"),IF(includedoomwalker,S282="Doomwalker"),IF(includekazzak,S282="Kazzak"),IF(includegruul,S282="Gruul's Lair"),IF(includemagtheridon,S282="Magtheridon"),IF(includessc,S282="SSC"),IF(includetheeye,S282="TK"),IF(includeblacktemple,S282="Black Temple"),IF(includemounthyjal,S282="Mount Hyjal"),IF(includeprebc,S282="Pre-BC")),MAX($AE$262:AE281)+1,"")</f>
        <v/>
      </c>
      <c r="AF282" s="114">
        <f>MAX(AF$150:AF281)+1</f>
        <v>69</v>
      </c>
      <c r="AG282" s="114"/>
      <c r="AK282" s="48">
        <v>129</v>
      </c>
      <c r="AL282" s="151" t="str">
        <f>IF('Gear &amp; Buffs'!$Y$48="Dagger",IF(ISNA(INDEX($A$151:$A$210,MATCH(AK282,AE$151:AE$210,0))),"",INDEX($A$151:$A$210,MATCH(AK282,AE$151:AE$210,0))),"")&amp;
IF('Gear &amp; Buffs'!$Y$48="Sword",IF(ISNA(INDEX($A$212:$A$260,MATCH(AK282,AE$212:AE$260,0))),"",INDEX($A$212:$A$260,MATCH(AK282,AE$212:AE$260,0))),"")&amp;
IF('Gear &amp; Buffs'!$Y$48="Fist",IF(ISNA(INDEX($A$262:$A$281,MATCH(AK282,AE$262:AE$281,0))),"",INDEX($A$262:$A$281,MATCH(AK282,AE$262:AE$281,0))),"")&amp;
IF('Gear &amp; Buffs'!$Y$48="Mace",IF(ISNA(INDEX($A$283:$A$310,MATCH(AK282,AE$283:AE$310,0))),"",INDEX($A$283:$A$310,MATCH(AK282,AE$283:AE$310,0))),"")&amp;
IF('Gear &amp; Buffs'!$Y$48="All",IF(ISNA(INDEX($A$151:$A$310,MATCH(AK282,AF$151:AF$310,0))),"",INDEX($A$151:$A$310,MATCH(AK282,AF$151:AF$310,0))),"")</f>
        <v/>
      </c>
    </row>
    <row r="283" spans="1:38" ht="12" thickBot="1">
      <c r="A283" s="837" t="s">
        <v>910</v>
      </c>
      <c r="B283" s="839"/>
      <c r="C283" s="839"/>
      <c r="D283" s="743"/>
      <c r="E283" s="743"/>
      <c r="F283" s="743"/>
      <c r="G283" s="838"/>
      <c r="H283" s="838"/>
      <c r="I283" s="838"/>
      <c r="J283" s="743"/>
      <c r="K283" s="839"/>
      <c r="L283" s="743"/>
      <c r="M283" s="839"/>
      <c r="N283" s="743"/>
      <c r="O283" s="839"/>
      <c r="P283" s="743"/>
      <c r="Q283" s="743" t="s">
        <v>1033</v>
      </c>
      <c r="R283" s="743"/>
      <c r="S283" s="743"/>
      <c r="T283" s="743"/>
      <c r="U283" s="839"/>
      <c r="V283" s="840"/>
      <c r="W283" s="743"/>
      <c r="X283" s="841"/>
      <c r="Y283" s="838"/>
      <c r="Z283" s="743"/>
      <c r="AA283" s="743"/>
      <c r="AB283" s="743"/>
      <c r="AC283" s="837"/>
      <c r="AD283" s="838"/>
      <c r="AE283" s="743">
        <v>1</v>
      </c>
      <c r="AF283" s="114">
        <f>MAX(AF$150:AF282)+1</f>
        <v>70</v>
      </c>
      <c r="AG283" s="114"/>
      <c r="AK283" s="48">
        <v>130</v>
      </c>
      <c r="AL283" s="151" t="str">
        <f>IF('Gear &amp; Buffs'!$Y$48="Dagger",IF(ISNA(INDEX($A$151:$A$210,MATCH(AK283,AE$151:AE$210,0))),"",INDEX($A$151:$A$210,MATCH(AK283,AE$151:AE$210,0))),"")&amp;
IF('Gear &amp; Buffs'!$Y$48="Sword",IF(ISNA(INDEX($A$212:$A$260,MATCH(AK283,AE$212:AE$260,0))),"",INDEX($A$212:$A$260,MATCH(AK283,AE$212:AE$260,0))),"")&amp;
IF('Gear &amp; Buffs'!$Y$48="Fist",IF(ISNA(INDEX($A$262:$A$281,MATCH(AK283,AE$262:AE$281,0))),"",INDEX($A$262:$A$281,MATCH(AK283,AE$262:AE$281,0))),"")&amp;
IF('Gear &amp; Buffs'!$Y$48="Mace",IF(ISNA(INDEX($A$283:$A$310,MATCH(AK283,AE$283:AE$310,0))),"",INDEX($A$283:$A$310,MATCH(AK283,AE$283:AE$310,0))),"")&amp;
IF('Gear &amp; Buffs'!$Y$48="All",IF(ISNA(INDEX($A$151:$A$310,MATCH(AK283,AF$151:AF$310,0))),"",INDEX($A$151:$A$310,MATCH(AK283,AF$151:AF$310,0))),"")</f>
        <v/>
      </c>
    </row>
    <row r="284" spans="1:38">
      <c r="A284" s="10" t="s">
        <v>1207</v>
      </c>
      <c r="B284" s="116">
        <v>32661</v>
      </c>
      <c r="C284" s="116">
        <v>3</v>
      </c>
      <c r="D284" s="114"/>
      <c r="E284" s="114"/>
      <c r="F284" s="114">
        <v>22</v>
      </c>
      <c r="G284" s="115">
        <v>20</v>
      </c>
      <c r="H284" s="115">
        <v>8</v>
      </c>
      <c r="I284" s="115"/>
      <c r="J284" s="114"/>
      <c r="K284" s="116"/>
      <c r="L284" s="114"/>
      <c r="M284" s="116"/>
      <c r="N284" s="114"/>
      <c r="O284" s="116"/>
      <c r="P284" s="114"/>
      <c r="Q284" s="114" t="s">
        <v>1033</v>
      </c>
      <c r="R284" s="114"/>
      <c r="S284" s="114" t="s">
        <v>674</v>
      </c>
      <c r="T284" s="114">
        <v>90</v>
      </c>
      <c r="U284" s="116">
        <v>168</v>
      </c>
      <c r="V284" s="155">
        <f t="shared" ref="V284:V308" si="26">(U284+T284)/2</f>
        <v>129</v>
      </c>
      <c r="W284" s="155">
        <v>1.8</v>
      </c>
      <c r="X284" s="124">
        <f t="shared" ref="X284:X308" si="27">V284/W284</f>
        <v>71.666666666666671</v>
      </c>
      <c r="Y284" s="115" t="s">
        <v>911</v>
      </c>
      <c r="Z284" s="114"/>
      <c r="AA284" s="114"/>
      <c r="AB284" s="114"/>
      <c r="AC284" s="10"/>
      <c r="AD284" s="115"/>
      <c r="AE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Aman"),IF(includeprebc,S284="Pre-BC"),IF(includesunwell,S284="Sunwell"))),MAX($AE$283:AE283)+1,"")</f>
        <v/>
      </c>
      <c r="AF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Aman"),IF(includeprebc,$S284="Pre-BC"),IF(includesunwell,$S284="Sunwell"))),MAX($AF$150:AF283)+1,"")</f>
        <v/>
      </c>
      <c r="AG284" s="114"/>
      <c r="AK284" s="48">
        <v>131</v>
      </c>
      <c r="AL284" s="151" t="str">
        <f>IF('Gear &amp; Buffs'!$Y$48="Dagger",IF(ISNA(INDEX($A$151:$A$210,MATCH(AK284,AE$151:AE$210,0))),"",INDEX($A$151:$A$210,MATCH(AK284,AE$151:AE$210,0))),"")&amp;
IF('Gear &amp; Buffs'!$Y$48="Sword",IF(ISNA(INDEX($A$212:$A$260,MATCH(AK284,AE$212:AE$260,0))),"",INDEX($A$212:$A$260,MATCH(AK284,AE$212:AE$260,0))),"")&amp;
IF('Gear &amp; Buffs'!$Y$48="Fist",IF(ISNA(INDEX($A$262:$A$281,MATCH(AK284,AE$262:AE$281,0))),"",INDEX($A$262:$A$281,MATCH(AK284,AE$262:AE$281,0))),"")&amp;
IF('Gear &amp; Buffs'!$Y$48="Mace",IF(ISNA(INDEX($A$283:$A$310,MATCH(AK284,AE$283:AE$310,0))),"",INDEX($A$283:$A$310,MATCH(AK284,AE$283:AE$310,0))),"")&amp;
IF('Gear &amp; Buffs'!$Y$48="All",IF(ISNA(INDEX($A$151:$A$310,MATCH(AK284,AF$151:AF$310,0))),"",INDEX($A$151:$A$310,MATCH(AK284,AF$151:AF$310,0))),"")</f>
        <v/>
      </c>
    </row>
    <row r="285" spans="1:38">
      <c r="A285" s="10" t="s">
        <v>1917</v>
      </c>
      <c r="B285" s="116">
        <v>27901</v>
      </c>
      <c r="C285" s="116">
        <v>1</v>
      </c>
      <c r="D285" s="114"/>
      <c r="E285" s="114"/>
      <c r="F285" s="114"/>
      <c r="G285" s="115"/>
      <c r="H285" s="115"/>
      <c r="I285" s="115">
        <f>132*itGenProc10sOH</f>
        <v>28.890023702641724</v>
      </c>
      <c r="J285" s="114"/>
      <c r="K285" s="116"/>
      <c r="L285" s="114"/>
      <c r="M285" s="116"/>
      <c r="N285" s="114"/>
      <c r="O285" s="116"/>
      <c r="P285" s="114"/>
      <c r="Q285" s="114" t="s">
        <v>1045</v>
      </c>
      <c r="R285" s="114" t="s">
        <v>1465</v>
      </c>
      <c r="S285" s="114" t="s">
        <v>673</v>
      </c>
      <c r="T285" s="114">
        <v>73</v>
      </c>
      <c r="U285" s="116">
        <v>136</v>
      </c>
      <c r="V285" s="155">
        <f t="shared" si="26"/>
        <v>104.5</v>
      </c>
      <c r="W285" s="155">
        <v>1.5</v>
      </c>
      <c r="X285" s="124">
        <f t="shared" si="27"/>
        <v>69.666666666666671</v>
      </c>
      <c r="Y285" s="115" t="s">
        <v>911</v>
      </c>
      <c r="Z285" s="114"/>
      <c r="AA285" s="114"/>
      <c r="AB285" s="114"/>
      <c r="AC285" s="10" t="s">
        <v>617</v>
      </c>
      <c r="AD285" s="115"/>
      <c r="AE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Aman"),IF(includeprebc,S285="Pre-BC"),IF(includesunwell,S285="Sunwell"))),MAX($AE$283:AE284)+1,"")</f>
        <v>2</v>
      </c>
      <c r="AF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Aman"),IF(includeprebc,$S285="Pre-BC"),IF(includesunwell,$S285="Sunwell"))),MAX($AF$150:AF284)+1,"")</f>
        <v>71</v>
      </c>
      <c r="AG285" s="114"/>
      <c r="AK285" s="48">
        <v>132</v>
      </c>
      <c r="AL285" s="151" t="str">
        <f>IF('Gear &amp; Buffs'!$Y$48="Dagger",IF(ISNA(INDEX($A$151:$A$210,MATCH(AK285,AE$151:AE$210,0))),"",INDEX($A$151:$A$210,MATCH(AK285,AE$151:AE$210,0))),"")&amp;
IF('Gear &amp; Buffs'!$Y$48="Sword",IF(ISNA(INDEX($A$212:$A$260,MATCH(AK285,AE$212:AE$260,0))),"",INDEX($A$212:$A$260,MATCH(AK285,AE$212:AE$260,0))),"")&amp;
IF('Gear &amp; Buffs'!$Y$48="Fist",IF(ISNA(INDEX($A$262:$A$281,MATCH(AK285,AE$262:AE$281,0))),"",INDEX($A$262:$A$281,MATCH(AK285,AE$262:AE$281,0))),"")&amp;
IF('Gear &amp; Buffs'!$Y$48="Mace",IF(ISNA(INDEX($A$283:$A$310,MATCH(AK285,AE$283:AE$310,0))),"",INDEX($A$283:$A$310,MATCH(AK285,AE$283:AE$310,0))),"")&amp;
IF('Gear &amp; Buffs'!$Y$48="All",IF(ISNA(INDEX($A$151:$A$310,MATCH(AK285,AF$151:AF$310,0))),"",INDEX($A$151:$A$310,MATCH(AK285,AF$151:AF$310,0))),"")</f>
        <v/>
      </c>
    </row>
    <row r="286" spans="1:38">
      <c r="A286" s="10" t="s">
        <v>912</v>
      </c>
      <c r="B286" s="116">
        <v>28210</v>
      </c>
      <c r="C286" s="116">
        <v>1</v>
      </c>
      <c r="D286" s="114"/>
      <c r="E286" s="114"/>
      <c r="F286" s="114">
        <v>22</v>
      </c>
      <c r="G286" s="115">
        <v>21</v>
      </c>
      <c r="H286" s="115"/>
      <c r="I286" s="115"/>
      <c r="J286" s="114"/>
      <c r="K286" s="116"/>
      <c r="L286" s="114">
        <v>12</v>
      </c>
      <c r="M286" s="116"/>
      <c r="N286" s="114"/>
      <c r="O286" s="116"/>
      <c r="P286" s="114"/>
      <c r="Q286" s="114" t="s">
        <v>1033</v>
      </c>
      <c r="R286" s="114"/>
      <c r="S286" s="114" t="s">
        <v>691</v>
      </c>
      <c r="T286" s="114">
        <v>130</v>
      </c>
      <c r="U286" s="116">
        <v>243</v>
      </c>
      <c r="V286" s="155">
        <f t="shared" si="26"/>
        <v>186.5</v>
      </c>
      <c r="W286" s="155">
        <v>2.6</v>
      </c>
      <c r="X286" s="124">
        <f t="shared" si="27"/>
        <v>71.730769230769226</v>
      </c>
      <c r="Y286" s="115" t="s">
        <v>911</v>
      </c>
      <c r="Z286" s="114"/>
      <c r="AA286" s="114"/>
      <c r="AB286" s="114"/>
      <c r="AC286" s="10"/>
      <c r="AD286" s="115"/>
      <c r="AE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Aman"),IF(includeprebc,S286="Pre-BC"),IF(includesunwell,S286="Sunwell"))),MAX($AE$283:AE285)+1,"")</f>
        <v>3</v>
      </c>
      <c r="AF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Aman"),IF(includeprebc,$S286="Pre-BC"),IF(includesunwell,$S286="Sunwell"))),MAX($AF$150:AF285)+1,"")</f>
        <v>72</v>
      </c>
      <c r="AG286" s="114"/>
      <c r="AK286" s="48">
        <v>133</v>
      </c>
      <c r="AL286" s="151" t="str">
        <f>IF('Gear &amp; Buffs'!$Y$48="Dagger",IF(ISNA(INDEX($A$151:$A$210,MATCH(AK286,AE$151:AE$210,0))),"",INDEX($A$151:$A$210,MATCH(AK286,AE$151:AE$210,0))),"")&amp;
IF('Gear &amp; Buffs'!$Y$48="Sword",IF(ISNA(INDEX($A$212:$A$260,MATCH(AK286,AE$212:AE$260,0))),"",INDEX($A$212:$A$260,MATCH(AK286,AE$212:AE$260,0))),"")&amp;
IF('Gear &amp; Buffs'!$Y$48="Fist",IF(ISNA(INDEX($A$262:$A$281,MATCH(AK286,AE$262:AE$281,0))),"",INDEX($A$262:$A$281,MATCH(AK286,AE$262:AE$281,0))),"")&amp;
IF('Gear &amp; Buffs'!$Y$48="Mace",IF(ISNA(INDEX($A$283:$A$310,MATCH(AK286,AE$283:AE$310,0))),"",INDEX($A$283:$A$310,MATCH(AK286,AE$283:AE$310,0))),"")&amp;
IF('Gear &amp; Buffs'!$Y$48="All",IF(ISNA(INDEX($A$151:$A$310,MATCH(AK286,AF$151:AF$310,0))),"",INDEX($A$151:$A$310,MATCH(AK286,AF$151:AF$310,0))),"")</f>
        <v/>
      </c>
    </row>
    <row r="287" spans="1:38">
      <c r="A287" s="10" t="s">
        <v>1994</v>
      </c>
      <c r="B287" s="116">
        <v>34988</v>
      </c>
      <c r="C287" s="116">
        <v>5</v>
      </c>
      <c r="D287" s="114"/>
      <c r="E287" s="114"/>
      <c r="F287" s="114">
        <v>38</v>
      </c>
      <c r="G287" s="115">
        <v>21</v>
      </c>
      <c r="H287" s="115">
        <v>9</v>
      </c>
      <c r="I287" s="847"/>
      <c r="J287" s="114">
        <v>49</v>
      </c>
      <c r="K287" s="116"/>
      <c r="L287" s="114">
        <v>31</v>
      </c>
      <c r="M287" s="116"/>
      <c r="N287" s="114">
        <v>12</v>
      </c>
      <c r="O287" s="116"/>
      <c r="P287" s="114"/>
      <c r="Q287" s="114" t="s">
        <v>1033</v>
      </c>
      <c r="R287" s="114"/>
      <c r="S287" s="114" t="s">
        <v>677</v>
      </c>
      <c r="T287" s="114">
        <v>113</v>
      </c>
      <c r="U287" s="116">
        <v>211</v>
      </c>
      <c r="V287" s="155">
        <f>(U287+T287)/2</f>
        <v>162</v>
      </c>
      <c r="W287" s="155">
        <v>1.5</v>
      </c>
      <c r="X287" s="124">
        <f>V287/W287</f>
        <v>108</v>
      </c>
      <c r="Y287" s="114" t="s">
        <v>911</v>
      </c>
      <c r="Z287" s="114"/>
      <c r="AA287" s="114"/>
      <c r="AB287" s="114"/>
      <c r="AC287" s="10"/>
      <c r="AD287" s="791"/>
      <c r="AE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Aman"),IF(includeprebc,S287="Pre-BC"),IF(includesunwell,S287="Sunwell"))),MAX($AE$283:AE286)+1,"")</f>
        <v/>
      </c>
      <c r="AF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Aman"),IF(includeprebc,$S287="Pre-BC"),IF(includesunwell,$S287="Sunwell"))),MAX($AF$150:AF286)+1,"")</f>
        <v/>
      </c>
      <c r="AG287" s="114"/>
      <c r="AK287" s="48">
        <v>134</v>
      </c>
      <c r="AL287" s="151" t="str">
        <f>IF('Gear &amp; Buffs'!$Y$48="Dagger",IF(ISNA(INDEX($A$151:$A$210,MATCH(AK287,AE$151:AE$210,0))),"",INDEX($A$151:$A$210,MATCH(AK287,AE$151:AE$210,0))),"")&amp;
IF('Gear &amp; Buffs'!$Y$48="Sword",IF(ISNA(INDEX($A$212:$A$260,MATCH(AK287,AE$212:AE$260,0))),"",INDEX($A$212:$A$260,MATCH(AK287,AE$212:AE$260,0))),"")&amp;
IF('Gear &amp; Buffs'!$Y$48="Fist",IF(ISNA(INDEX($A$262:$A$281,MATCH(AK287,AE$262:AE$281,0))),"",INDEX($A$262:$A$281,MATCH(AK287,AE$262:AE$281,0))),"")&amp;
IF('Gear &amp; Buffs'!$Y$48="Mace",IF(ISNA(INDEX($A$283:$A$310,MATCH(AK287,AE$283:AE$310,0))),"",INDEX($A$283:$A$310,MATCH(AK287,AE$283:AE$310,0))),"")&amp;
IF('Gear &amp; Buffs'!$Y$48="All",IF(ISNA(INDEX($A$151:$A$310,MATCH(AK287,AF$151:AF$310,0))),"",INDEX($A$151:$A$310,MATCH(AK287,AF$151:AF$310,0))),"")</f>
        <v/>
      </c>
    </row>
    <row r="288" spans="1:38">
      <c r="A288" s="10" t="s">
        <v>2000</v>
      </c>
      <c r="B288" s="116">
        <v>35071</v>
      </c>
      <c r="C288" s="116">
        <v>5</v>
      </c>
      <c r="D288" s="114"/>
      <c r="E288" s="114"/>
      <c r="F288" s="114">
        <v>38</v>
      </c>
      <c r="G288" s="115">
        <v>21</v>
      </c>
      <c r="H288" s="115">
        <v>9</v>
      </c>
      <c r="I288" s="847"/>
      <c r="J288" s="114">
        <v>49</v>
      </c>
      <c r="K288" s="116"/>
      <c r="L288" s="114">
        <v>31</v>
      </c>
      <c r="M288" s="116"/>
      <c r="N288" s="114">
        <v>12</v>
      </c>
      <c r="O288" s="116"/>
      <c r="P288" s="114"/>
      <c r="Q288" s="114" t="s">
        <v>1033</v>
      </c>
      <c r="R288" s="114"/>
      <c r="S288" s="114" t="s">
        <v>677</v>
      </c>
      <c r="T288" s="114">
        <v>196</v>
      </c>
      <c r="U288" s="116">
        <v>365</v>
      </c>
      <c r="V288" s="155">
        <f>(U288+T288)/2</f>
        <v>280.5</v>
      </c>
      <c r="W288" s="155">
        <v>2.6</v>
      </c>
      <c r="X288" s="124">
        <f>V288/W288</f>
        <v>107.88461538461539</v>
      </c>
      <c r="Y288" s="114" t="s">
        <v>911</v>
      </c>
      <c r="Z288" s="114"/>
      <c r="AA288" s="114"/>
      <c r="AB288" s="114"/>
      <c r="AC288" s="10"/>
      <c r="AD288" s="791"/>
      <c r="AE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Aman"),IF(includeprebc,S288="Pre-BC"),IF(includesunwell,S288="Sunwell"))),MAX($AE$283:AE287)+1,"")</f>
        <v/>
      </c>
      <c r="AF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Aman"),IF(includeprebc,$S288="Pre-BC"),IF(includesunwell,$S288="Sunwell"))),MAX($AF$150:AF287)+1,"")</f>
        <v/>
      </c>
      <c r="AG288" s="114"/>
      <c r="AK288" s="48">
        <v>135</v>
      </c>
      <c r="AL288" s="151" t="str">
        <f>IF('Gear &amp; Buffs'!$Y$48="Dagger",IF(ISNA(INDEX($A$151:$A$210,MATCH(AK288,AE$151:AE$210,0))),"",INDEX($A$151:$A$210,MATCH(AK288,AE$151:AE$210,0))),"")&amp;
IF('Gear &amp; Buffs'!$Y$48="Sword",IF(ISNA(INDEX($A$212:$A$260,MATCH(AK288,AE$212:AE$260,0))),"",INDEX($A$212:$A$260,MATCH(AK288,AE$212:AE$260,0))),"")&amp;
IF('Gear &amp; Buffs'!$Y$48="Fist",IF(ISNA(INDEX($A$262:$A$281,MATCH(AK288,AE$262:AE$281,0))),"",INDEX($A$262:$A$281,MATCH(AK288,AE$262:AE$281,0))),"")&amp;
IF('Gear &amp; Buffs'!$Y$48="Mace",IF(ISNA(INDEX($A$283:$A$310,MATCH(AK288,AE$283:AE$310,0))),"",INDEX($A$283:$A$310,MATCH(AK288,AE$283:AE$310,0))),"")&amp;
IF('Gear &amp; Buffs'!$Y$48="All",IF(ISNA(INDEX($A$151:$A$310,MATCH(AK288,AF$151:AF$310,0))),"",INDEX($A$151:$A$310,MATCH(AK288,AF$151:AF$310,0))),"")</f>
        <v/>
      </c>
    </row>
    <row r="289" spans="1:38">
      <c r="A289" s="10" t="s">
        <v>231</v>
      </c>
      <c r="B289" s="116">
        <v>28657</v>
      </c>
      <c r="C289" s="116">
        <v>1</v>
      </c>
      <c r="D289" s="114"/>
      <c r="E289" s="114"/>
      <c r="F289" s="114">
        <v>30</v>
      </c>
      <c r="G289" s="115">
        <v>24</v>
      </c>
      <c r="H289" s="115"/>
      <c r="I289" s="847"/>
      <c r="J289" s="114"/>
      <c r="K289" s="116"/>
      <c r="L289" s="114"/>
      <c r="M289" s="116"/>
      <c r="N289" s="114"/>
      <c r="O289" s="116"/>
      <c r="P289" s="114"/>
      <c r="Q289" s="114" t="s">
        <v>1043</v>
      </c>
      <c r="R289" s="114" t="s">
        <v>1338</v>
      </c>
      <c r="S289" s="114" t="s">
        <v>672</v>
      </c>
      <c r="T289" s="114">
        <v>159</v>
      </c>
      <c r="U289" s="116">
        <v>296</v>
      </c>
      <c r="V289" s="155">
        <f t="shared" si="26"/>
        <v>227.5</v>
      </c>
      <c r="W289" s="155">
        <v>2.6</v>
      </c>
      <c r="X289" s="124">
        <f t="shared" si="27"/>
        <v>87.5</v>
      </c>
      <c r="Y289" s="114" t="s">
        <v>911</v>
      </c>
      <c r="Z289" s="114"/>
      <c r="AA289" s="114"/>
      <c r="AB289" s="114"/>
      <c r="AC289" s="10"/>
      <c r="AD289" s="791"/>
      <c r="AE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Aman"),IF(includeprebc,S289="Pre-BC"),IF(includesunwell,S289="Sunwell"))),MAX($AE$283:AE288)+1,"")</f>
        <v>4</v>
      </c>
      <c r="AF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Aman"),IF(includeprebc,$S289="Pre-BC"),IF(includesunwell,$S289="Sunwell"))),MAX($AF$150:AF288)+1,"")</f>
        <v>73</v>
      </c>
      <c r="AG289" s="114"/>
      <c r="AK289" s="48">
        <v>136</v>
      </c>
      <c r="AL289" s="151" t="str">
        <f>IF('Gear &amp; Buffs'!$Y$48="Dagger",IF(ISNA(INDEX($A$151:$A$210,MATCH(AK289,AE$151:AE$210,0))),"",INDEX($A$151:$A$210,MATCH(AK289,AE$151:AE$210,0))),"")&amp;
IF('Gear &amp; Buffs'!$Y$48="Sword",IF(ISNA(INDEX($A$212:$A$260,MATCH(AK289,AE$212:AE$260,0))),"",INDEX($A$212:$A$260,MATCH(AK289,AE$212:AE$260,0))),"")&amp;
IF('Gear &amp; Buffs'!$Y$48="Fist",IF(ISNA(INDEX($A$262:$A$281,MATCH(AK289,AE$262:AE$281,0))),"",INDEX($A$262:$A$281,MATCH(AK289,AE$262:AE$281,0))),"")&amp;
IF('Gear &amp; Buffs'!$Y$48="Mace",IF(ISNA(INDEX($A$283:$A$310,MATCH(AK289,AE$283:AE$310,0))),"",INDEX($A$283:$A$310,MATCH(AK289,AE$283:AE$310,0))),"")&amp;
IF('Gear &amp; Buffs'!$Y$48="All",IF(ISNA(INDEX($A$151:$A$310,MATCH(AK289,AF$151:AF$310,0))),"",INDEX($A$151:$A$310,MATCH(AK289,AF$151:AF$310,0))),"")</f>
        <v/>
      </c>
    </row>
    <row r="290" spans="1:38">
      <c r="A290" s="10" t="s">
        <v>1625</v>
      </c>
      <c r="B290" s="116">
        <v>28302</v>
      </c>
      <c r="C290" s="116">
        <v>1</v>
      </c>
      <c r="D290" s="114"/>
      <c r="E290" s="114"/>
      <c r="F290" s="114">
        <v>28</v>
      </c>
      <c r="G290" s="115">
        <v>15</v>
      </c>
      <c r="H290" s="115">
        <v>9</v>
      </c>
      <c r="I290" s="847"/>
      <c r="J290" s="114"/>
      <c r="K290" s="116"/>
      <c r="L290" s="114">
        <v>21</v>
      </c>
      <c r="M290" s="116"/>
      <c r="N290" s="114">
        <v>10</v>
      </c>
      <c r="O290" s="116"/>
      <c r="P290" s="114"/>
      <c r="Q290" s="114" t="s">
        <v>1033</v>
      </c>
      <c r="R290" s="114"/>
      <c r="S290" s="114" t="s">
        <v>677</v>
      </c>
      <c r="T290" s="114">
        <v>95</v>
      </c>
      <c r="U290" s="116">
        <v>178</v>
      </c>
      <c r="V290" s="155">
        <f t="shared" si="26"/>
        <v>136.5</v>
      </c>
      <c r="W290" s="155">
        <v>1.5</v>
      </c>
      <c r="X290" s="124">
        <f t="shared" si="27"/>
        <v>91</v>
      </c>
      <c r="Y290" s="114" t="s">
        <v>911</v>
      </c>
      <c r="Z290" s="114"/>
      <c r="AA290" s="114"/>
      <c r="AB290" s="114"/>
      <c r="AC290" s="10"/>
      <c r="AD290" s="791"/>
      <c r="AE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Aman"),IF(includeprebc,S290="Pre-BC"),IF(includesunwell,S290="Sunwell"))),MAX($AE$283:AE289)+1,"")</f>
        <v>5</v>
      </c>
      <c r="AF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Aman"),IF(includeprebc,$S290="Pre-BC"),IF(includesunwell,$S290="Sunwell"))),MAX($AF$150:AF289)+1,"")</f>
        <v>74</v>
      </c>
      <c r="AG290" s="114"/>
      <c r="AK290" s="48">
        <v>137</v>
      </c>
      <c r="AL290" s="151" t="str">
        <f>IF('Gear &amp; Buffs'!$Y$48="Dagger",IF(ISNA(INDEX($A$151:$A$210,MATCH(AK290,AE$151:AE$210,0))),"",INDEX($A$151:$A$210,MATCH(AK290,AE$151:AE$210,0))),"")&amp;
IF('Gear &amp; Buffs'!$Y$48="Sword",IF(ISNA(INDEX($A$212:$A$260,MATCH(AK290,AE$212:AE$260,0))),"",INDEX($A$212:$A$260,MATCH(AK290,AE$212:AE$260,0))),"")&amp;
IF('Gear &amp; Buffs'!$Y$48="Fist",IF(ISNA(INDEX($A$262:$A$281,MATCH(AK290,AE$262:AE$281,0))),"",INDEX($A$262:$A$281,MATCH(AK290,AE$262:AE$281,0))),"")&amp;
IF('Gear &amp; Buffs'!$Y$48="Mace",IF(ISNA(INDEX($A$283:$A$310,MATCH(AK290,AE$283:AE$310,0))),"",INDEX($A$283:$A$310,MATCH(AK290,AE$283:AE$310,0))),"")&amp;
IF('Gear &amp; Buffs'!$Y$48="All",IF(ISNA(INDEX($A$151:$A$310,MATCH(AK290,AF$151:AF$310,0))),"",INDEX($A$151:$A$310,MATCH(AK290,AF$151:AF$310,0))),"")</f>
        <v/>
      </c>
    </row>
    <row r="291" spans="1:38">
      <c r="A291" s="10" t="s">
        <v>232</v>
      </c>
      <c r="B291" s="116">
        <v>28305</v>
      </c>
      <c r="C291" s="116">
        <v>1</v>
      </c>
      <c r="D291" s="114"/>
      <c r="E291" s="114"/>
      <c r="F291" s="114">
        <v>28</v>
      </c>
      <c r="G291" s="115">
        <v>15</v>
      </c>
      <c r="H291" s="115">
        <v>9</v>
      </c>
      <c r="I291" s="847"/>
      <c r="J291" s="114"/>
      <c r="K291" s="116"/>
      <c r="L291" s="114">
        <v>21</v>
      </c>
      <c r="M291" s="116"/>
      <c r="N291" s="114">
        <v>10</v>
      </c>
      <c r="O291" s="116"/>
      <c r="P291" s="114"/>
      <c r="Q291" s="114" t="s">
        <v>1033</v>
      </c>
      <c r="R291" s="114"/>
      <c r="S291" s="114" t="s">
        <v>677</v>
      </c>
      <c r="T291" s="114">
        <v>189</v>
      </c>
      <c r="U291" s="116">
        <v>285</v>
      </c>
      <c r="V291" s="155">
        <f t="shared" si="26"/>
        <v>237</v>
      </c>
      <c r="W291" s="155">
        <v>2.6</v>
      </c>
      <c r="X291" s="124">
        <f t="shared" si="27"/>
        <v>91.153846153846146</v>
      </c>
      <c r="Y291" s="114" t="s">
        <v>911</v>
      </c>
      <c r="Z291" s="114"/>
      <c r="AA291" s="114"/>
      <c r="AB291" s="114"/>
      <c r="AC291" s="10"/>
      <c r="AD291" s="791"/>
      <c r="AE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Aman"),IF(includeprebc,S291="Pre-BC"),IF(includesunwell,S291="Sunwell"))),MAX($AE$283:AE290)+1,"")</f>
        <v>6</v>
      </c>
      <c r="AF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Aman"),IF(includeprebc,$S291="Pre-BC"),IF(includesunwell,$S291="Sunwell"))),MAX($AF$150:AF290)+1,"")</f>
        <v>75</v>
      </c>
      <c r="AG291" s="114"/>
      <c r="AK291" s="48">
        <v>138</v>
      </c>
      <c r="AL291" s="151" t="str">
        <f>IF('Gear &amp; Buffs'!$Y$48="Dagger",IF(ISNA(INDEX($A$151:$A$210,MATCH(AK291,AE$151:AE$210,0))),"",INDEX($A$151:$A$210,MATCH(AK291,AE$151:AE$210,0))),"")&amp;
IF('Gear &amp; Buffs'!$Y$48="Sword",IF(ISNA(INDEX($A$212:$A$260,MATCH(AK291,AE$212:AE$260,0))),"",INDEX($A$212:$A$260,MATCH(AK291,AE$212:AE$260,0))),"")&amp;
IF('Gear &amp; Buffs'!$Y$48="Fist",IF(ISNA(INDEX($A$262:$A$281,MATCH(AK291,AE$262:AE$281,0))),"",INDEX($A$262:$A$281,MATCH(AK291,AE$262:AE$281,0))),"")&amp;
IF('Gear &amp; Buffs'!$Y$48="Mace",IF(ISNA(INDEX($A$283:$A$310,MATCH(AK291,AE$283:AE$310,0))),"",INDEX($A$283:$A$310,MATCH(AK291,AE$283:AE$310,0))),"")&amp;
IF('Gear &amp; Buffs'!$Y$48="All",IF(ISNA(INDEX($A$151:$A$310,MATCH(AK291,AF$151:AF$310,0))),"",INDEX($A$151:$A$310,MATCH(AK291,AF$151:AF$310,0))),"")</f>
        <v/>
      </c>
    </row>
    <row r="292" spans="1:38">
      <c r="A292" s="10" t="s">
        <v>952</v>
      </c>
      <c r="B292" s="116">
        <v>28950</v>
      </c>
      <c r="C292" s="116">
        <v>1</v>
      </c>
      <c r="D292" s="114"/>
      <c r="E292" s="114"/>
      <c r="F292" s="114">
        <v>26</v>
      </c>
      <c r="G292" s="115">
        <v>13</v>
      </c>
      <c r="H292" s="115">
        <v>8</v>
      </c>
      <c r="I292" s="847"/>
      <c r="J292" s="114"/>
      <c r="K292" s="116"/>
      <c r="L292" s="114">
        <v>18</v>
      </c>
      <c r="M292" s="116"/>
      <c r="N292" s="114">
        <v>9</v>
      </c>
      <c r="O292" s="116"/>
      <c r="P292" s="114"/>
      <c r="Q292" s="114" t="s">
        <v>1033</v>
      </c>
      <c r="R292" s="114"/>
      <c r="S292" s="114" t="s">
        <v>677</v>
      </c>
      <c r="T292" s="114">
        <v>103</v>
      </c>
      <c r="U292" s="116">
        <v>155</v>
      </c>
      <c r="V292" s="155">
        <f t="shared" si="26"/>
        <v>129</v>
      </c>
      <c r="W292" s="155">
        <v>1.8</v>
      </c>
      <c r="X292" s="124">
        <f t="shared" si="27"/>
        <v>71.666666666666671</v>
      </c>
      <c r="Y292" s="114" t="s">
        <v>911</v>
      </c>
      <c r="Z292" s="114"/>
      <c r="AA292" s="114"/>
      <c r="AB292" s="114"/>
      <c r="AC292" s="10"/>
      <c r="AD292" s="791"/>
      <c r="AE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Aman"),IF(includeprebc,S292="Pre-BC"),IF(includesunwell,S292="Sunwell"))),MAX($AE$283:AE291)+1,"")</f>
        <v>7</v>
      </c>
      <c r="AF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Aman"),IF(includeprebc,$S292="Pre-BC"),IF(includesunwell,$S292="Sunwell"))),MAX($AF$150:AF291)+1,"")</f>
        <v>76</v>
      </c>
      <c r="AG292" s="114"/>
      <c r="AK292" s="48">
        <v>139</v>
      </c>
      <c r="AL292" s="151" t="str">
        <f>IF('Gear &amp; Buffs'!$Y$48="Dagger",IF(ISNA(INDEX($A$151:$A$210,MATCH(AK292,AE$151:AE$210,0))),"",INDEX($A$151:$A$210,MATCH(AK292,AE$151:AE$210,0))),"")&amp;
IF('Gear &amp; Buffs'!$Y$48="Sword",IF(ISNA(INDEX($A$212:$A$260,MATCH(AK292,AE$212:AE$260,0))),"",INDEX($A$212:$A$260,MATCH(AK292,AE$212:AE$260,0))),"")&amp;
IF('Gear &amp; Buffs'!$Y$48="Fist",IF(ISNA(INDEX($A$262:$A$281,MATCH(AK292,AE$262:AE$281,0))),"",INDEX($A$262:$A$281,MATCH(AK292,AE$262:AE$281,0))),"")&amp;
IF('Gear &amp; Buffs'!$Y$48="Mace",IF(ISNA(INDEX($A$283:$A$310,MATCH(AK292,AE$283:AE$310,0))),"",INDEX($A$283:$A$310,MATCH(AK292,AE$283:AE$310,0))),"")&amp;
IF('Gear &amp; Buffs'!$Y$48="All",IF(ISNA(INDEX($A$151:$A$310,MATCH(AK292,AF$151:AF$310,0))),"",INDEX($A$151:$A$310,MATCH(AK292,AF$151:AF$310,0))),"")</f>
        <v/>
      </c>
    </row>
    <row r="293" spans="1:38">
      <c r="A293" s="10" t="s">
        <v>953</v>
      </c>
      <c r="B293" s="116">
        <v>28951</v>
      </c>
      <c r="C293" s="116">
        <v>1</v>
      </c>
      <c r="D293" s="114"/>
      <c r="E293" s="114"/>
      <c r="F293" s="114">
        <v>26</v>
      </c>
      <c r="G293" s="115">
        <v>13</v>
      </c>
      <c r="H293" s="115">
        <v>8</v>
      </c>
      <c r="I293" s="847"/>
      <c r="J293" s="114"/>
      <c r="K293" s="116"/>
      <c r="L293" s="114">
        <v>18</v>
      </c>
      <c r="M293" s="116"/>
      <c r="N293" s="114">
        <v>9</v>
      </c>
      <c r="O293" s="116"/>
      <c r="P293" s="114"/>
      <c r="Q293" s="114" t="s">
        <v>1033</v>
      </c>
      <c r="R293" s="114"/>
      <c r="S293" s="114" t="s">
        <v>677</v>
      </c>
      <c r="T293" s="114">
        <v>149</v>
      </c>
      <c r="U293" s="116">
        <v>224</v>
      </c>
      <c r="V293" s="155">
        <f t="shared" si="26"/>
        <v>186.5</v>
      </c>
      <c r="W293" s="155">
        <v>2.6</v>
      </c>
      <c r="X293" s="124">
        <f t="shared" si="27"/>
        <v>71.730769230769226</v>
      </c>
      <c r="Y293" s="114" t="s">
        <v>911</v>
      </c>
      <c r="Z293" s="114"/>
      <c r="AA293" s="114"/>
      <c r="AB293" s="114"/>
      <c r="AC293" s="10"/>
      <c r="AD293" s="791"/>
      <c r="AE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Aman"),IF(includeprebc,S293="Pre-BC"),IF(includesunwell,S293="Sunwell"))),MAX($AE$283:AE292)+1,"")</f>
        <v>8</v>
      </c>
      <c r="AF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Aman"),IF(includeprebc,$S293="Pre-BC"),IF(includesunwell,$S293="Sunwell"))),MAX($AF$150:AF292)+1,"")</f>
        <v>77</v>
      </c>
      <c r="AG293" s="114"/>
      <c r="AK293" s="48">
        <v>140</v>
      </c>
      <c r="AL293" s="151" t="str">
        <f>IF('Gear &amp; Buffs'!$Y$48="Dagger",IF(ISNA(INDEX($A$151:$A$210,MATCH(AK293,AE$151:AE$210,0))),"",INDEX($A$151:$A$210,MATCH(AK293,AE$151:AE$210,0))),"")&amp;
IF('Gear &amp; Buffs'!$Y$48="Sword",IF(ISNA(INDEX($A$212:$A$260,MATCH(AK293,AE$212:AE$260,0))),"",INDEX($A$212:$A$260,MATCH(AK293,AE$212:AE$260,0))),"")&amp;
IF('Gear &amp; Buffs'!$Y$48="Fist",IF(ISNA(INDEX($A$262:$A$281,MATCH(AK293,AE$262:AE$281,0))),"",INDEX($A$262:$A$281,MATCH(AK293,AE$262:AE$281,0))),"")&amp;
IF('Gear &amp; Buffs'!$Y$48="Mace",IF(ISNA(INDEX($A$283:$A$310,MATCH(AK293,AE$283:AE$310,0))),"",INDEX($A$283:$A$310,MATCH(AK293,AE$283:AE$310,0))),"")&amp;
IF('Gear &amp; Buffs'!$Y$48="All",IF(ISNA(INDEX($A$151:$A$310,MATCH(AK293,AF$151:AF$310,0))),"",INDEX($A$151:$A$310,MATCH(AK293,AF$151:AF$310,0))),"")</f>
        <v/>
      </c>
    </row>
    <row r="294" spans="1:38">
      <c r="A294" s="10" t="s">
        <v>954</v>
      </c>
      <c r="B294" s="116">
        <v>28924</v>
      </c>
      <c r="C294" s="116">
        <v>1</v>
      </c>
      <c r="D294" s="114"/>
      <c r="E294" s="114"/>
      <c r="F294" s="114">
        <v>26</v>
      </c>
      <c r="G294" s="115">
        <v>13</v>
      </c>
      <c r="H294" s="115">
        <v>8</v>
      </c>
      <c r="I294" s="847"/>
      <c r="J294" s="114"/>
      <c r="K294" s="116"/>
      <c r="L294" s="114">
        <v>18</v>
      </c>
      <c r="M294" s="116"/>
      <c r="N294" s="114">
        <v>9</v>
      </c>
      <c r="O294" s="116"/>
      <c r="P294" s="114"/>
      <c r="Q294" s="114" t="s">
        <v>1033</v>
      </c>
      <c r="R294" s="114"/>
      <c r="S294" s="114" t="s">
        <v>677</v>
      </c>
      <c r="T294" s="114">
        <v>103</v>
      </c>
      <c r="U294" s="116">
        <v>155</v>
      </c>
      <c r="V294" s="155">
        <f t="shared" si="26"/>
        <v>129</v>
      </c>
      <c r="W294" s="155">
        <v>1.8</v>
      </c>
      <c r="X294" s="124">
        <f t="shared" si="27"/>
        <v>71.666666666666671</v>
      </c>
      <c r="Y294" s="114" t="s">
        <v>911</v>
      </c>
      <c r="Z294" s="114"/>
      <c r="AA294" s="114"/>
      <c r="AB294" s="114"/>
      <c r="AC294" s="10"/>
      <c r="AD294" s="791"/>
      <c r="AE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Aman"),IF(includeprebc,S294="Pre-BC"),IF(includesunwell,S294="Sunwell"))),MAX($AE$283:AE293)+1,"")</f>
        <v>9</v>
      </c>
      <c r="AF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Aman"),IF(includeprebc,$S294="Pre-BC"),IF(includesunwell,$S294="Sunwell"))),MAX($AF$150:AF293)+1,"")</f>
        <v>78</v>
      </c>
      <c r="AG294" s="114"/>
      <c r="AK294" s="48">
        <v>141</v>
      </c>
      <c r="AL294" s="151" t="str">
        <f>IF('Gear &amp; Buffs'!$Y$48="Dagger",IF(ISNA(INDEX($A$151:$A$210,MATCH(AK294,AE$151:AE$210,0))),"",INDEX($A$151:$A$210,MATCH(AK294,AE$151:AE$210,0))),"")&amp;
IF('Gear &amp; Buffs'!$Y$48="Sword",IF(ISNA(INDEX($A$212:$A$260,MATCH(AK294,AE$212:AE$260,0))),"",INDEX($A$212:$A$260,MATCH(AK294,AE$212:AE$260,0))),"")&amp;
IF('Gear &amp; Buffs'!$Y$48="Fist",IF(ISNA(INDEX($A$262:$A$281,MATCH(AK294,AE$262:AE$281,0))),"",INDEX($A$262:$A$281,MATCH(AK294,AE$262:AE$281,0))),"")&amp;
IF('Gear &amp; Buffs'!$Y$48="Mace",IF(ISNA(INDEX($A$283:$A$310,MATCH(AK294,AE$283:AE$310,0))),"",INDEX($A$283:$A$310,MATCH(AK294,AE$283:AE$310,0))),"")&amp;
IF('Gear &amp; Buffs'!$Y$48="All",IF(ISNA(INDEX($A$151:$A$310,MATCH(AK294,AF$151:AF$310,0))),"",INDEX($A$151:$A$310,MATCH(AK294,AF$151:AF$310,0))),"")</f>
        <v/>
      </c>
    </row>
    <row r="295" spans="1:38">
      <c r="A295" s="10" t="s">
        <v>855</v>
      </c>
      <c r="B295" s="116">
        <v>28925</v>
      </c>
      <c r="C295" s="116">
        <v>1</v>
      </c>
      <c r="D295" s="114"/>
      <c r="E295" s="114"/>
      <c r="F295" s="114">
        <v>26</v>
      </c>
      <c r="G295" s="115">
        <v>13</v>
      </c>
      <c r="H295" s="115">
        <v>8</v>
      </c>
      <c r="I295" s="847"/>
      <c r="J295" s="114"/>
      <c r="K295" s="116"/>
      <c r="L295" s="114">
        <v>18</v>
      </c>
      <c r="M295" s="116"/>
      <c r="N295" s="114">
        <v>9</v>
      </c>
      <c r="O295" s="116"/>
      <c r="P295" s="114"/>
      <c r="Q295" s="114" t="s">
        <v>1033</v>
      </c>
      <c r="R295" s="114"/>
      <c r="S295" s="114" t="s">
        <v>677</v>
      </c>
      <c r="T295" s="114">
        <v>149</v>
      </c>
      <c r="U295" s="116">
        <v>224</v>
      </c>
      <c r="V295" s="155">
        <f t="shared" si="26"/>
        <v>186.5</v>
      </c>
      <c r="W295" s="155">
        <v>2.6</v>
      </c>
      <c r="X295" s="124">
        <f t="shared" si="27"/>
        <v>71.730769230769226</v>
      </c>
      <c r="Y295" s="114" t="s">
        <v>911</v>
      </c>
      <c r="Z295" s="114"/>
      <c r="AA295" s="114"/>
      <c r="AB295" s="114"/>
      <c r="AC295" s="10"/>
      <c r="AD295" s="791"/>
      <c r="AE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Aman"),IF(includeprebc,S295="Pre-BC"),IF(includesunwell,S295="Sunwell"))),MAX($AE$283:AE294)+1,"")</f>
        <v>10</v>
      </c>
      <c r="AF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Aman"),IF(includeprebc,$S295="Pre-BC"),IF(includesunwell,$S295="Sunwell"))),MAX($AF$150:AF294)+1,"")</f>
        <v>79</v>
      </c>
      <c r="AG295" s="114"/>
      <c r="AK295" s="48">
        <v>142</v>
      </c>
      <c r="AL295" s="151" t="str">
        <f>IF('Gear &amp; Buffs'!$Y$48="Dagger",IF(ISNA(INDEX($A$151:$A$210,MATCH(AK295,AE$151:AE$210,0))),"",INDEX($A$151:$A$210,MATCH(AK295,AE$151:AE$210,0))),"")&amp;
IF('Gear &amp; Buffs'!$Y$48="Sword",IF(ISNA(INDEX($A$212:$A$260,MATCH(AK295,AE$212:AE$260,0))),"",INDEX($A$212:$A$260,MATCH(AK295,AE$212:AE$260,0))),"")&amp;
IF('Gear &amp; Buffs'!$Y$48="Fist",IF(ISNA(INDEX($A$262:$A$281,MATCH(AK295,AE$262:AE$281,0))),"",INDEX($A$262:$A$281,MATCH(AK295,AE$262:AE$281,0))),"")&amp;
IF('Gear &amp; Buffs'!$Y$48="Mace",IF(ISNA(INDEX($A$283:$A$310,MATCH(AK295,AE$283:AE$310,0))),"",INDEX($A$283:$A$310,MATCH(AK295,AE$283:AE$310,0))),"")&amp;
IF('Gear &amp; Buffs'!$Y$48="All",IF(ISNA(INDEX($A$151:$A$310,MATCH(AK295,AF$151:AF$310,0))),"",INDEX($A$151:$A$310,MATCH(AK295,AF$151:AF$310,0))),"")</f>
        <v/>
      </c>
    </row>
    <row r="296" spans="1:38">
      <c r="A296" s="10" t="s">
        <v>1626</v>
      </c>
      <c r="B296" s="116">
        <v>31958</v>
      </c>
      <c r="C296" s="116">
        <v>2</v>
      </c>
      <c r="D296" s="114"/>
      <c r="E296" s="114"/>
      <c r="F296" s="114">
        <v>30</v>
      </c>
      <c r="G296" s="115">
        <v>19</v>
      </c>
      <c r="H296" s="115">
        <v>10</v>
      </c>
      <c r="I296" s="115"/>
      <c r="J296" s="114"/>
      <c r="K296" s="116"/>
      <c r="L296" s="114">
        <v>27</v>
      </c>
      <c r="M296" s="114"/>
      <c r="N296" s="114">
        <v>12</v>
      </c>
      <c r="O296" s="116"/>
      <c r="P296" s="114"/>
      <c r="Q296" s="114" t="s">
        <v>1033</v>
      </c>
      <c r="R296" s="114"/>
      <c r="S296" s="114" t="s">
        <v>677</v>
      </c>
      <c r="T296" s="115">
        <v>102</v>
      </c>
      <c r="U296" s="114">
        <v>191</v>
      </c>
      <c r="V296" s="155">
        <f t="shared" si="26"/>
        <v>146.5</v>
      </c>
      <c r="W296" s="155">
        <v>1.5</v>
      </c>
      <c r="X296" s="124">
        <f t="shared" si="27"/>
        <v>97.666666666666671</v>
      </c>
      <c r="Y296" s="114" t="s">
        <v>911</v>
      </c>
      <c r="Z296" s="114"/>
      <c r="AA296" s="114"/>
      <c r="AB296" s="114"/>
      <c r="AC296" s="10"/>
      <c r="AD296" s="116"/>
      <c r="AE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Aman"),IF(includeprebc,S296="Pre-BC"),IF(includesunwell,S296="Sunwell"))),MAX($AE$283:AE295)+1,"")</f>
        <v/>
      </c>
      <c r="AF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Aman"),IF(includeprebc,$S296="Pre-BC"),IF(includesunwell,$S296="Sunwell"))),MAX($AF$150:AF295)+1,"")</f>
        <v/>
      </c>
      <c r="AG296" s="114"/>
      <c r="AK296" s="48">
        <v>143</v>
      </c>
      <c r="AL296" s="151" t="str">
        <f>IF('Gear &amp; Buffs'!$Y$48="Dagger",IF(ISNA(INDEX($A$151:$A$210,MATCH(AK296,AE$151:AE$210,0))),"",INDEX($A$151:$A$210,MATCH(AK296,AE$151:AE$210,0))),"")&amp;
IF('Gear &amp; Buffs'!$Y$48="Sword",IF(ISNA(INDEX($A$212:$A$260,MATCH(AK296,AE$212:AE$260,0))),"",INDEX($A$212:$A$260,MATCH(AK296,AE$212:AE$260,0))),"")&amp;
IF('Gear &amp; Buffs'!$Y$48="Fist",IF(ISNA(INDEX($A$262:$A$281,MATCH(AK296,AE$262:AE$281,0))),"",INDEX($A$262:$A$281,MATCH(AK296,AE$262:AE$281,0))),"")&amp;
IF('Gear &amp; Buffs'!$Y$48="Mace",IF(ISNA(INDEX($A$283:$A$310,MATCH(AK296,AE$283:AE$310,0))),"",INDEX($A$283:$A$310,MATCH(AK296,AE$283:AE$310,0))),"")&amp;
IF('Gear &amp; Buffs'!$Y$48="All",IF(ISNA(INDEX($A$151:$A$310,MATCH(AK296,AF$151:AF$310,0))),"",INDEX($A$151:$A$310,MATCH(AK296,AF$151:AF$310,0))),"")</f>
        <v/>
      </c>
    </row>
    <row r="297" spans="1:38">
      <c r="A297" s="10" t="s">
        <v>233</v>
      </c>
      <c r="B297" s="116">
        <v>32026</v>
      </c>
      <c r="C297" s="116">
        <v>2</v>
      </c>
      <c r="D297" s="114"/>
      <c r="E297" s="114"/>
      <c r="F297" s="114">
        <v>30</v>
      </c>
      <c r="G297" s="115">
        <v>19</v>
      </c>
      <c r="H297" s="115">
        <v>10</v>
      </c>
      <c r="I297" s="115"/>
      <c r="J297" s="114"/>
      <c r="K297" s="116"/>
      <c r="L297" s="114">
        <v>27</v>
      </c>
      <c r="M297" s="114"/>
      <c r="N297" s="114">
        <v>12</v>
      </c>
      <c r="O297" s="116"/>
      <c r="P297" s="114"/>
      <c r="Q297" s="114" t="s">
        <v>1033</v>
      </c>
      <c r="R297" s="114"/>
      <c r="S297" s="114" t="s">
        <v>677</v>
      </c>
      <c r="T297" s="115">
        <v>177</v>
      </c>
      <c r="U297" s="114">
        <v>330</v>
      </c>
      <c r="V297" s="155">
        <f t="shared" si="26"/>
        <v>253.5</v>
      </c>
      <c r="W297" s="155">
        <v>2.6</v>
      </c>
      <c r="X297" s="124">
        <f t="shared" si="27"/>
        <v>97.5</v>
      </c>
      <c r="Y297" s="114" t="s">
        <v>911</v>
      </c>
      <c r="Z297" s="114"/>
      <c r="AA297" s="114"/>
      <c r="AB297" s="114"/>
      <c r="AC297" s="10"/>
      <c r="AD297" s="116"/>
      <c r="AE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Aman"),IF(includeprebc,S297="Pre-BC"),IF(includesunwell,S297="Sunwell"))),MAX($AE$283:AE296)+1,"")</f>
        <v/>
      </c>
      <c r="AF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Aman"),IF(includeprebc,$S297="Pre-BC"),IF(includesunwell,$S297="Sunwell"))),MAX($AF$150:AF296)+1,"")</f>
        <v/>
      </c>
      <c r="AG297" s="114"/>
      <c r="AK297" s="48">
        <v>144</v>
      </c>
      <c r="AL297" s="151" t="str">
        <f>IF('Gear &amp; Buffs'!$Y$48="Dagger",IF(ISNA(INDEX($A$151:$A$210,MATCH(AK297,AE$151:AE$210,0))),"",INDEX($A$151:$A$210,MATCH(AK297,AE$151:AE$210,0))),"")&amp;
IF('Gear &amp; Buffs'!$Y$48="Sword",IF(ISNA(INDEX($A$212:$A$260,MATCH(AK297,AE$212:AE$260,0))),"",INDEX($A$212:$A$260,MATCH(AK297,AE$212:AE$260,0))),"")&amp;
IF('Gear &amp; Buffs'!$Y$48="Fist",IF(ISNA(INDEX($A$262:$A$281,MATCH(AK297,AE$262:AE$281,0))),"",INDEX($A$262:$A$281,MATCH(AK297,AE$262:AE$281,0))),"")&amp;
IF('Gear &amp; Buffs'!$Y$48="Mace",IF(ISNA(INDEX($A$283:$A$310,MATCH(AK297,AE$283:AE$310,0))),"",INDEX($A$283:$A$310,MATCH(AK297,AE$283:AE$310,0))),"")&amp;
IF('Gear &amp; Buffs'!$Y$48="All",IF(ISNA(INDEX($A$151:$A$310,MATCH(AK297,AF$151:AF$310,0))),"",INDEX($A$151:$A$310,MATCH(AK297,AF$151:AF$310,0))),"")</f>
        <v/>
      </c>
    </row>
    <row r="298" spans="1:38">
      <c r="A298" s="10" t="s">
        <v>813</v>
      </c>
      <c r="B298" s="116">
        <v>29996</v>
      </c>
      <c r="C298" s="116">
        <v>2</v>
      </c>
      <c r="D298" s="114"/>
      <c r="E298" s="114"/>
      <c r="F298" s="114">
        <v>52</v>
      </c>
      <c r="G298" s="115"/>
      <c r="H298" s="115"/>
      <c r="I298" s="115"/>
      <c r="J298" s="114"/>
      <c r="K298" s="116"/>
      <c r="L298" s="114"/>
      <c r="M298" s="116"/>
      <c r="N298" s="114"/>
      <c r="O298" s="116"/>
      <c r="P298" s="114"/>
      <c r="Q298" s="114" t="s">
        <v>1033</v>
      </c>
      <c r="R298" s="114"/>
      <c r="S298" s="114" t="s">
        <v>680</v>
      </c>
      <c r="T298" s="114">
        <v>189</v>
      </c>
      <c r="U298" s="116">
        <v>352</v>
      </c>
      <c r="V298" s="155">
        <f t="shared" si="26"/>
        <v>270.5</v>
      </c>
      <c r="W298" s="155">
        <v>2.7</v>
      </c>
      <c r="X298" s="124">
        <f t="shared" si="27"/>
        <v>100.18518518518518</v>
      </c>
      <c r="Y298" s="115" t="s">
        <v>911</v>
      </c>
      <c r="Z298" s="114"/>
      <c r="AA298" s="114"/>
      <c r="AB298" s="114"/>
      <c r="AC298" s="10" t="s">
        <v>615</v>
      </c>
      <c r="AD298" s="115"/>
      <c r="AE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Aman"),IF(includeprebc,S298="Pre-BC"),IF(includesunwell,S298="Sunwell"))),MAX($AE$283:AE297)+1,"")</f>
        <v/>
      </c>
      <c r="AF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Aman"),IF(includeprebc,$S298="Pre-BC"),IF(includesunwell,$S298="Sunwell"))),MAX($AF$150:AF297)+1,"")</f>
        <v/>
      </c>
      <c r="AG298" s="114"/>
      <c r="AK298" s="48">
        <v>145</v>
      </c>
      <c r="AL298" s="151" t="str">
        <f>IF('Gear &amp; Buffs'!$Y$48="Dagger",IF(ISNA(INDEX($A$151:$A$210,MATCH(AK298,AE$151:AE$210,0))),"",INDEX($A$151:$A$210,MATCH(AK298,AE$151:AE$210,0))),"")&amp;
IF('Gear &amp; Buffs'!$Y$48="Sword",IF(ISNA(INDEX($A$212:$A$260,MATCH(AK298,AE$212:AE$260,0))),"",INDEX($A$212:$A$260,MATCH(AK298,AE$212:AE$260,0))),"")&amp;
IF('Gear &amp; Buffs'!$Y$48="Fist",IF(ISNA(INDEX($A$262:$A$281,MATCH(AK298,AE$262:AE$281,0))),"",INDEX($A$262:$A$281,MATCH(AK298,AE$262:AE$281,0))),"")&amp;
IF('Gear &amp; Buffs'!$Y$48="Mace",IF(ISNA(INDEX($A$283:$A$310,MATCH(AK298,AE$283:AE$310,0))),"",INDEX($A$283:$A$310,MATCH(AK298,AE$283:AE$310,0))),"")&amp;
IF('Gear &amp; Buffs'!$Y$48="All",IF(ISNA(INDEX($A$151:$A$310,MATCH(AK298,AF$151:AF$310,0))),"",INDEX($A$151:$A$310,MATCH(AK298,AF$151:AF$310,0))),"")</f>
        <v/>
      </c>
    </row>
    <row r="299" spans="1:38">
      <c r="A299" s="10" t="s">
        <v>234</v>
      </c>
      <c r="B299" s="116">
        <v>23544</v>
      </c>
      <c r="C299" s="116">
        <v>1</v>
      </c>
      <c r="D299" s="114"/>
      <c r="E299" s="114"/>
      <c r="F299" s="114">
        <v>50</v>
      </c>
      <c r="G299" s="115"/>
      <c r="H299" s="115"/>
      <c r="I299" s="847"/>
      <c r="J299" s="114"/>
      <c r="K299" s="116"/>
      <c r="L299" s="114">
        <v>16</v>
      </c>
      <c r="M299" s="116"/>
      <c r="N299" s="114"/>
      <c r="O299" s="116"/>
      <c r="P299" s="114"/>
      <c r="Q299" s="114" t="s">
        <v>1033</v>
      </c>
      <c r="R299" s="114"/>
      <c r="S299" s="114" t="s">
        <v>685</v>
      </c>
      <c r="T299" s="114">
        <v>140</v>
      </c>
      <c r="U299" s="116">
        <v>261</v>
      </c>
      <c r="V299" s="155">
        <f t="shared" si="26"/>
        <v>200.5</v>
      </c>
      <c r="W299" s="155">
        <v>2.4</v>
      </c>
      <c r="X299" s="124">
        <f t="shared" si="27"/>
        <v>83.541666666666671</v>
      </c>
      <c r="Y299" s="114" t="s">
        <v>911</v>
      </c>
      <c r="Z299" s="114"/>
      <c r="AA299" s="114"/>
      <c r="AB299" s="114"/>
      <c r="AC299" s="10"/>
      <c r="AD299" s="791"/>
      <c r="AE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Aman"),IF(includeprebc,S299="Pre-BC"),IF(includesunwell,S299="Sunwell"))),MAX($AE$283:AE298)+1,"")</f>
        <v>11</v>
      </c>
      <c r="AF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Aman"),IF(includeprebc,$S299="Pre-BC"),IF(includesunwell,$S299="Sunwell"))),MAX($AF$150:AF298)+1,"")</f>
        <v>80</v>
      </c>
      <c r="AG299" s="114"/>
      <c r="AK299" s="48">
        <v>146</v>
      </c>
      <c r="AL299" s="151" t="str">
        <f>IF('Gear &amp; Buffs'!$Y$48="Dagger",IF(ISNA(INDEX($A$151:$A$210,MATCH(AK299,AE$151:AE$210,0))),"",INDEX($A$151:$A$210,MATCH(AK299,AE$151:AE$210,0))),"")&amp;
IF('Gear &amp; Buffs'!$Y$48="Sword",IF(ISNA(INDEX($A$212:$A$260,MATCH(AK299,AE$212:AE$260,0))),"",INDEX($A$212:$A$260,MATCH(AK299,AE$212:AE$260,0))),"")&amp;
IF('Gear &amp; Buffs'!$Y$48="Fist",IF(ISNA(INDEX($A$262:$A$281,MATCH(AK299,AE$262:AE$281,0))),"",INDEX($A$262:$A$281,MATCH(AK299,AE$262:AE$281,0))),"")&amp;
IF('Gear &amp; Buffs'!$Y$48="Mace",IF(ISNA(INDEX($A$283:$A$310,MATCH(AK299,AE$283:AE$310,0))),"",INDEX($A$283:$A$310,MATCH(AK299,AE$283:AE$310,0))),"")&amp;
IF('Gear &amp; Buffs'!$Y$48="All",IF(ISNA(INDEX($A$151:$A$310,MATCH(AK299,AF$151:AF$310,0))),"",INDEX($A$151:$A$310,MATCH(AK299,AF$151:AF$310,0))),"")</f>
        <v/>
      </c>
    </row>
    <row r="300" spans="1:38">
      <c r="A300" s="10" t="s">
        <v>1627</v>
      </c>
      <c r="B300" s="116">
        <v>32943</v>
      </c>
      <c r="C300" s="116">
        <v>3</v>
      </c>
      <c r="D300" s="114"/>
      <c r="E300" s="114"/>
      <c r="F300" s="114">
        <v>40</v>
      </c>
      <c r="G300" s="115"/>
      <c r="H300" s="115">
        <v>19</v>
      </c>
      <c r="I300" s="115">
        <v>27</v>
      </c>
      <c r="J300" s="114"/>
      <c r="K300" s="116"/>
      <c r="L300" s="114"/>
      <c r="M300" s="116"/>
      <c r="N300" s="114"/>
      <c r="O300" s="116"/>
      <c r="P300" s="114"/>
      <c r="Q300" s="114" t="s">
        <v>1033</v>
      </c>
      <c r="R300" s="114"/>
      <c r="S300" s="114" t="s">
        <v>683</v>
      </c>
      <c r="T300" s="114">
        <v>105</v>
      </c>
      <c r="U300" s="116">
        <v>196</v>
      </c>
      <c r="V300" s="155">
        <f t="shared" si="26"/>
        <v>150.5</v>
      </c>
      <c r="W300" s="155">
        <v>1.5</v>
      </c>
      <c r="X300" s="124">
        <f t="shared" si="27"/>
        <v>100.33333333333333</v>
      </c>
      <c r="Y300" s="114" t="s">
        <v>911</v>
      </c>
      <c r="Z300" s="114"/>
      <c r="AA300" s="114"/>
      <c r="AB300" s="114"/>
      <c r="AC300" s="10"/>
      <c r="AD300" s="791"/>
      <c r="AE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Aman"),IF(includeprebc,S300="Pre-BC"),IF(includesunwell,S300="Sunwell"))),MAX($AE$283:AE299)+1,"")</f>
        <v/>
      </c>
      <c r="AF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Aman"),IF(includeprebc,$S300="Pre-BC"),IF(includesunwell,$S300="Sunwell"))),MAX($AF$150:AF299)+1,"")</f>
        <v/>
      </c>
      <c r="AG300" s="114"/>
      <c r="AK300" s="48">
        <v>147</v>
      </c>
      <c r="AL300" s="151" t="str">
        <f>IF('Gear &amp; Buffs'!$Y$48="Dagger",IF(ISNA(INDEX($A$151:$A$210,MATCH(AK300,AE$151:AE$210,0))),"",INDEX($A$151:$A$210,MATCH(AK300,AE$151:AE$210,0))),"")&amp;
IF('Gear &amp; Buffs'!$Y$48="Sword",IF(ISNA(INDEX($A$212:$A$260,MATCH(AK300,AE$212:AE$260,0))),"",INDEX($A$212:$A$260,MATCH(AK300,AE$212:AE$260,0))),"")&amp;
IF('Gear &amp; Buffs'!$Y$48="Fist",IF(ISNA(INDEX($A$262:$A$281,MATCH(AK300,AE$262:AE$281,0))),"",INDEX($A$262:$A$281,MATCH(AK300,AE$262:AE$281,0))),"")&amp;
IF('Gear &amp; Buffs'!$Y$48="Mace",IF(ISNA(INDEX($A$283:$A$310,MATCH(AK300,AE$283:AE$310,0))),"",INDEX($A$283:$A$310,MATCH(AK300,AE$283:AE$310,0))),"")&amp;
IF('Gear &amp; Buffs'!$Y$48="All",IF(ISNA(INDEX($A$151:$A$310,MATCH(AK300,AF$151:AF$310,0))),"",INDEX($A$151:$A$310,MATCH(AK300,AF$151:AF$310,0))),"")</f>
        <v/>
      </c>
    </row>
    <row r="301" spans="1:38">
      <c r="A301" s="10" t="s">
        <v>529</v>
      </c>
      <c r="B301" s="116">
        <v>32262</v>
      </c>
      <c r="C301" s="116">
        <v>3</v>
      </c>
      <c r="D301" s="114"/>
      <c r="E301" s="114"/>
      <c r="F301" s="114">
        <v>50</v>
      </c>
      <c r="G301" s="115"/>
      <c r="H301" s="115"/>
      <c r="I301" s="847"/>
      <c r="J301" s="114"/>
      <c r="K301" s="116"/>
      <c r="L301" s="114"/>
      <c r="M301" s="116"/>
      <c r="N301" s="114"/>
      <c r="O301" s="116"/>
      <c r="P301" s="114"/>
      <c r="Q301" s="114" t="s">
        <v>1033</v>
      </c>
      <c r="R301" s="114"/>
      <c r="S301" s="114" t="s">
        <v>683</v>
      </c>
      <c r="T301" s="114">
        <v>196</v>
      </c>
      <c r="U301" s="116">
        <v>365</v>
      </c>
      <c r="V301" s="155">
        <f t="shared" si="26"/>
        <v>280.5</v>
      </c>
      <c r="W301" s="155">
        <v>2.8</v>
      </c>
      <c r="X301" s="124">
        <f t="shared" si="27"/>
        <v>100.17857142857143</v>
      </c>
      <c r="Y301" s="114" t="s">
        <v>911</v>
      </c>
      <c r="Z301" s="114"/>
      <c r="AA301" s="114"/>
      <c r="AB301" s="114"/>
      <c r="AC301" s="10" t="s">
        <v>616</v>
      </c>
      <c r="AD301" s="791"/>
      <c r="AE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Aman"),IF(includeprebc,S301="Pre-BC"),IF(includesunwell,S301="Sunwell"))),MAX($AE$283:AE300)+1,"")</f>
        <v/>
      </c>
      <c r="AF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Aman"),IF(includeprebc,$S301="Pre-BC"),IF(includesunwell,$S301="Sunwell"))),MAX($AF$150:AF300)+1,"")</f>
        <v/>
      </c>
      <c r="AG301" s="114"/>
      <c r="AK301" s="48">
        <v>148</v>
      </c>
      <c r="AL301" s="151" t="str">
        <f>IF('Gear &amp; Buffs'!$Y$48="Dagger",IF(ISNA(INDEX($A$151:$A$210,MATCH(AK301,AE$151:AE$210,0))),"",INDEX($A$151:$A$210,MATCH(AK301,AE$151:AE$210,0))),"")&amp;
IF('Gear &amp; Buffs'!$Y$48="Sword",IF(ISNA(INDEX($A$212:$A$260,MATCH(AK301,AE$212:AE$260,0))),"",INDEX($A$212:$A$260,MATCH(AK301,AE$212:AE$260,0))),"")&amp;
IF('Gear &amp; Buffs'!$Y$48="Fist",IF(ISNA(INDEX($A$262:$A$281,MATCH(AK301,AE$262:AE$281,0))),"",INDEX($A$262:$A$281,MATCH(AK301,AE$262:AE$281,0))),"")&amp;
IF('Gear &amp; Buffs'!$Y$48="Mace",IF(ISNA(INDEX($A$283:$A$310,MATCH(AK301,AE$283:AE$310,0))),"",INDEX($A$283:$A$310,MATCH(AK301,AE$283:AE$310,0))),"")&amp;
IF('Gear &amp; Buffs'!$Y$48="All",IF(ISNA(INDEX($A$151:$A$310,MATCH(AK301,AF$151:AF$310,0))),"",INDEX($A$151:$A$310,MATCH(AK301,AF$151:AF$310,0))),"")</f>
        <v/>
      </c>
    </row>
    <row r="302" spans="1:38">
      <c r="A302" s="10" t="s">
        <v>1233</v>
      </c>
      <c r="B302" s="116">
        <v>32536</v>
      </c>
      <c r="C302" s="116">
        <v>3</v>
      </c>
      <c r="D302" s="114"/>
      <c r="E302" s="114">
        <v>14</v>
      </c>
      <c r="F302" s="114">
        <v>28</v>
      </c>
      <c r="G302" s="115"/>
      <c r="H302" s="115"/>
      <c r="I302" s="847"/>
      <c r="J302" s="114"/>
      <c r="K302" s="116"/>
      <c r="L302" s="114">
        <v>21</v>
      </c>
      <c r="M302" s="116"/>
      <c r="N302" s="114"/>
      <c r="O302" s="116"/>
      <c r="P302" s="114"/>
      <c r="Q302" s="114" t="s">
        <v>1033</v>
      </c>
      <c r="R302" s="114"/>
      <c r="S302" s="114" t="s">
        <v>675</v>
      </c>
      <c r="T302" s="114">
        <v>125</v>
      </c>
      <c r="U302" s="116">
        <v>233</v>
      </c>
      <c r="V302" s="155">
        <f t="shared" si="26"/>
        <v>179</v>
      </c>
      <c r="W302" s="155">
        <v>2.5</v>
      </c>
      <c r="X302" s="124">
        <f t="shared" si="27"/>
        <v>71.599999999999994</v>
      </c>
      <c r="Y302" s="114" t="s">
        <v>911</v>
      </c>
      <c r="Z302" s="114"/>
      <c r="AA302" s="114"/>
      <c r="AB302" s="114"/>
      <c r="AC302" s="10"/>
      <c r="AD302" s="791"/>
      <c r="AE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Aman"),IF(includeprebc,S302="Pre-BC"),IF(includesunwell,S302="Sunwell"))),MAX($AE$283:AE301)+1,"")</f>
        <v/>
      </c>
      <c r="AF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Aman"),IF(includeprebc,$S302="Pre-BC"),IF(includesunwell,$S302="Sunwell"))),MAX($AF$150:AF301)+1,"")</f>
        <v/>
      </c>
      <c r="AG302" s="114"/>
      <c r="AK302" s="48">
        <v>149</v>
      </c>
      <c r="AL302" s="151" t="str">
        <f>IF('Gear &amp; Buffs'!$Y$48="Dagger",IF(ISNA(INDEX($A$151:$A$210,MATCH(AK302,AE$151:AE$210,0))),"",INDEX($A$151:$A$210,MATCH(AK302,AE$151:AE$210,0))),"")&amp;
IF('Gear &amp; Buffs'!$Y$48="Sword",IF(ISNA(INDEX($A$212:$A$260,MATCH(AK302,AE$212:AE$260,0))),"",INDEX($A$212:$A$260,MATCH(AK302,AE$212:AE$260,0))),"")&amp;
IF('Gear &amp; Buffs'!$Y$48="Fist",IF(ISNA(INDEX($A$262:$A$281,MATCH(AK302,AE$262:AE$281,0))),"",INDEX($A$262:$A$281,MATCH(AK302,AE$262:AE$281,0))),"")&amp;
IF('Gear &amp; Buffs'!$Y$48="Mace",IF(ISNA(INDEX($A$283:$A$310,MATCH(AK302,AE$283:AE$310,0))),"",INDEX($A$283:$A$310,MATCH(AK302,AE$283:AE$310,0))),"")&amp;
IF('Gear &amp; Buffs'!$Y$48="All",IF(ISNA(INDEX($A$151:$A$310,MATCH(AK302,AF$151:AF$310,0))),"",INDEX($A$151:$A$310,MATCH(AK302,AF$151:AF$310,0))),"")</f>
        <v/>
      </c>
    </row>
    <row r="303" spans="1:38">
      <c r="A303" s="10" t="s">
        <v>1234</v>
      </c>
      <c r="B303" s="116">
        <v>32536</v>
      </c>
      <c r="C303" s="116">
        <v>3</v>
      </c>
      <c r="D303" s="114">
        <v>14</v>
      </c>
      <c r="E303" s="114">
        <v>14</v>
      </c>
      <c r="F303" s="114"/>
      <c r="G303" s="115"/>
      <c r="H303" s="115"/>
      <c r="I303" s="847"/>
      <c r="J303" s="114"/>
      <c r="K303" s="116"/>
      <c r="L303" s="114">
        <v>21</v>
      </c>
      <c r="M303" s="116"/>
      <c r="N303" s="114"/>
      <c r="O303" s="116"/>
      <c r="P303" s="114"/>
      <c r="Q303" s="114" t="s">
        <v>1033</v>
      </c>
      <c r="R303" s="114"/>
      <c r="S303" s="114" t="s">
        <v>675</v>
      </c>
      <c r="T303" s="114">
        <v>125</v>
      </c>
      <c r="U303" s="116">
        <v>233</v>
      </c>
      <c r="V303" s="155">
        <f t="shared" si="26"/>
        <v>179</v>
      </c>
      <c r="W303" s="155">
        <v>2.5</v>
      </c>
      <c r="X303" s="124">
        <f t="shared" si="27"/>
        <v>71.599999999999994</v>
      </c>
      <c r="Y303" s="114" t="s">
        <v>911</v>
      </c>
      <c r="Z303" s="114"/>
      <c r="AA303" s="114"/>
      <c r="AB303" s="114"/>
      <c r="AC303" s="10"/>
      <c r="AD303" s="791"/>
      <c r="AE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Aman"),IF(includeprebc,S303="Pre-BC"),IF(includesunwell,S303="Sunwell"))),MAX($AE$283:AE302)+1,"")</f>
        <v/>
      </c>
      <c r="AF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Aman"),IF(includeprebc,$S303="Pre-BC"),IF(includesunwell,$S303="Sunwell"))),MAX($AF$150:AF302)+1,"")</f>
        <v/>
      </c>
      <c r="AG303" s="114"/>
      <c r="AK303" s="48">
        <v>150</v>
      </c>
      <c r="AL303" s="151" t="str">
        <f>IF('Gear &amp; Buffs'!$Y$48="Dagger",IF(ISNA(INDEX($A$151:$A$210,MATCH(AK303,AE$151:AE$210,0))),"",INDEX($A$151:$A$210,MATCH(AK303,AE$151:AE$210,0))),"")&amp;
IF('Gear &amp; Buffs'!$Y$48="Sword",IF(ISNA(INDEX($A$212:$A$260,MATCH(AK303,AE$212:AE$260,0))),"",INDEX($A$212:$A$260,MATCH(AK303,AE$212:AE$260,0))),"")&amp;
IF('Gear &amp; Buffs'!$Y$48="Fist",IF(ISNA(INDEX($A$262:$A$281,MATCH(AK303,AE$262:AE$281,0))),"",INDEX($A$262:$A$281,MATCH(AK303,AE$262:AE$281,0))),"")&amp;
IF('Gear &amp; Buffs'!$Y$48="Mace",IF(ISNA(INDEX($A$283:$A$310,MATCH(AK303,AE$283:AE$310,0))),"",INDEX($A$283:$A$310,MATCH(AK303,AE$283:AE$310,0))),"")&amp;
IF('Gear &amp; Buffs'!$Y$48="All",IF(ISNA(INDEX($A$151:$A$310,MATCH(AK303,AF$151:AF$310,0))),"",INDEX($A$151:$A$310,MATCH(AK303,AF$151:AF$310,0))),"")</f>
        <v/>
      </c>
    </row>
    <row r="304" spans="1:38">
      <c r="A304" s="10" t="s">
        <v>1235</v>
      </c>
      <c r="B304" s="116">
        <v>32536</v>
      </c>
      <c r="C304" s="116">
        <v>3</v>
      </c>
      <c r="D304" s="114">
        <v>14</v>
      </c>
      <c r="E304" s="114"/>
      <c r="F304" s="114"/>
      <c r="G304" s="115"/>
      <c r="H304" s="115"/>
      <c r="I304" s="847"/>
      <c r="J304" s="114"/>
      <c r="K304" s="116"/>
      <c r="L304" s="114">
        <v>21</v>
      </c>
      <c r="M304" s="116"/>
      <c r="N304" s="114"/>
      <c r="O304" s="116">
        <v>14</v>
      </c>
      <c r="P304" s="114"/>
      <c r="Q304" s="114" t="s">
        <v>1033</v>
      </c>
      <c r="R304" s="114"/>
      <c r="S304" s="114" t="s">
        <v>675</v>
      </c>
      <c r="T304" s="114">
        <v>125</v>
      </c>
      <c r="U304" s="116">
        <v>233</v>
      </c>
      <c r="V304" s="155">
        <f t="shared" si="26"/>
        <v>179</v>
      </c>
      <c r="W304" s="155">
        <v>2.5</v>
      </c>
      <c r="X304" s="124">
        <f t="shared" si="27"/>
        <v>71.599999999999994</v>
      </c>
      <c r="Y304" s="114" t="s">
        <v>911</v>
      </c>
      <c r="Z304" s="114"/>
      <c r="AA304" s="114"/>
      <c r="AB304" s="114"/>
      <c r="AC304" s="10"/>
      <c r="AD304" s="791"/>
      <c r="AE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Aman"),IF(includeprebc,S304="Pre-BC"),IF(includesunwell,S304="Sunwell"))),MAX($AE$283:AE303)+1,"")</f>
        <v/>
      </c>
      <c r="AF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Aman"),IF(includeprebc,$S304="Pre-BC"),IF(includesunwell,$S304="Sunwell"))),MAX($AF$150:AF303)+1,"")</f>
        <v/>
      </c>
      <c r="AG304" s="114"/>
      <c r="AK304" s="48">
        <v>151</v>
      </c>
      <c r="AL304" s="151" t="str">
        <f>IF('Gear &amp; Buffs'!$Y$48="Dagger",IF(ISNA(INDEX($A$151:$A$210,MATCH(AK304,AE$151:AE$210,0))),"",INDEX($A$151:$A$210,MATCH(AK304,AE$151:AE$210,0))),"")&amp;
IF('Gear &amp; Buffs'!$Y$48="Sword",IF(ISNA(INDEX($A$212:$A$260,MATCH(AK304,AE$212:AE$260,0))),"",INDEX($A$212:$A$260,MATCH(AK304,AE$212:AE$260,0))),"")&amp;
IF('Gear &amp; Buffs'!$Y$48="Fist",IF(ISNA(INDEX($A$262:$A$281,MATCH(AK304,AE$262:AE$281,0))),"",INDEX($A$262:$A$281,MATCH(AK304,AE$262:AE$281,0))),"")&amp;
IF('Gear &amp; Buffs'!$Y$48="Mace",IF(ISNA(INDEX($A$283:$A$310,MATCH(AK304,AE$283:AE$310,0))),"",INDEX($A$283:$A$310,MATCH(AK304,AE$283:AE$310,0))),"")&amp;
IF('Gear &amp; Buffs'!$Y$48="All",IF(ISNA(INDEX($A$151:$A$310,MATCH(AK304,AF$151:AF$310,0))),"",INDEX($A$151:$A$310,MATCH(AK304,AF$151:AF$310,0))),"")</f>
        <v/>
      </c>
    </row>
    <row r="305" spans="1:38">
      <c r="A305" s="10" t="s">
        <v>1236</v>
      </c>
      <c r="B305" s="116">
        <v>32536</v>
      </c>
      <c r="C305" s="116">
        <v>3</v>
      </c>
      <c r="D305" s="114">
        <v>14</v>
      </c>
      <c r="E305" s="114"/>
      <c r="F305" s="114"/>
      <c r="G305" s="115">
        <v>14</v>
      </c>
      <c r="H305" s="115"/>
      <c r="I305" s="847"/>
      <c r="J305" s="114"/>
      <c r="K305" s="116"/>
      <c r="L305" s="114">
        <v>21</v>
      </c>
      <c r="M305" s="116"/>
      <c r="N305" s="114"/>
      <c r="O305" s="116"/>
      <c r="P305" s="114"/>
      <c r="Q305" s="114" t="s">
        <v>1033</v>
      </c>
      <c r="R305" s="114"/>
      <c r="S305" s="114" t="s">
        <v>675</v>
      </c>
      <c r="T305" s="114">
        <v>125</v>
      </c>
      <c r="U305" s="116">
        <v>233</v>
      </c>
      <c r="V305" s="155">
        <f t="shared" si="26"/>
        <v>179</v>
      </c>
      <c r="W305" s="155">
        <v>2.5</v>
      </c>
      <c r="X305" s="124">
        <f t="shared" si="27"/>
        <v>71.599999999999994</v>
      </c>
      <c r="Y305" s="114" t="s">
        <v>911</v>
      </c>
      <c r="Z305" s="114"/>
      <c r="AA305" s="114"/>
      <c r="AB305" s="114"/>
      <c r="AC305" s="10"/>
      <c r="AD305" s="791"/>
      <c r="AE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Aman"),IF(includeprebc,S305="Pre-BC"),IF(includesunwell,S305="Sunwell"))),MAX($AE$283:AE304)+1,"")</f>
        <v/>
      </c>
      <c r="AF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Aman"),IF(includeprebc,$S305="Pre-BC"),IF(includesunwell,$S305="Sunwell"))),MAX($AF$150:AF304)+1,"")</f>
        <v/>
      </c>
      <c r="AG305" s="114"/>
      <c r="AK305" s="48">
        <v>152</v>
      </c>
      <c r="AL305" s="151" t="str">
        <f>IF('Gear &amp; Buffs'!$Y$48="Dagger",IF(ISNA(INDEX($A$151:$A$210,MATCH(AK305,AE$151:AE$210,0))),"",INDEX($A$151:$A$210,MATCH(AK305,AE$151:AE$210,0))),"")&amp;
IF('Gear &amp; Buffs'!$Y$48="Sword",IF(ISNA(INDEX($A$212:$A$260,MATCH(AK305,AE$212:AE$260,0))),"",INDEX($A$212:$A$260,MATCH(AK305,AE$212:AE$260,0))),"")&amp;
IF('Gear &amp; Buffs'!$Y$48="Fist",IF(ISNA(INDEX($A$262:$A$281,MATCH(AK305,AE$262:AE$281,0))),"",INDEX($A$262:$A$281,MATCH(AK305,AE$262:AE$281,0))),"")&amp;
IF('Gear &amp; Buffs'!$Y$48="Mace",IF(ISNA(INDEX($A$283:$A$310,MATCH(AK305,AE$283:AE$310,0))),"",INDEX($A$283:$A$310,MATCH(AK305,AE$283:AE$310,0))),"")&amp;
IF('Gear &amp; Buffs'!$Y$48="All",IF(ISNA(INDEX($A$151:$A$310,MATCH(AK305,AF$151:AF$310,0))),"",INDEX($A$151:$A$310,MATCH(AK305,AF$151:AF$310,0))),"")</f>
        <v/>
      </c>
    </row>
    <row r="306" spans="1:38">
      <c r="A306" s="10" t="s">
        <v>235</v>
      </c>
      <c r="B306" s="116">
        <v>27980</v>
      </c>
      <c r="C306" s="116">
        <v>3</v>
      </c>
      <c r="D306" s="114"/>
      <c r="E306" s="114"/>
      <c r="F306" s="114"/>
      <c r="G306" s="115"/>
      <c r="H306" s="115"/>
      <c r="I306" s="847"/>
      <c r="J306" s="114"/>
      <c r="K306" s="116">
        <v>19</v>
      </c>
      <c r="L306" s="114">
        <v>25</v>
      </c>
      <c r="M306" s="116"/>
      <c r="N306" s="114"/>
      <c r="O306" s="116"/>
      <c r="P306" s="114"/>
      <c r="Q306" s="114" t="s">
        <v>1033</v>
      </c>
      <c r="R306" s="114"/>
      <c r="S306" s="114" t="s">
        <v>673</v>
      </c>
      <c r="T306" s="114">
        <v>100</v>
      </c>
      <c r="U306" s="116">
        <v>187</v>
      </c>
      <c r="V306" s="155">
        <f t="shared" si="26"/>
        <v>143.5</v>
      </c>
      <c r="W306" s="155">
        <v>2</v>
      </c>
      <c r="X306" s="124">
        <f t="shared" si="27"/>
        <v>71.75</v>
      </c>
      <c r="Y306" s="114" t="s">
        <v>911</v>
      </c>
      <c r="Z306" s="114"/>
      <c r="AA306" s="114"/>
      <c r="AB306" s="114"/>
      <c r="AC306" s="10"/>
      <c r="AD306" s="791"/>
      <c r="AE306" s="114" t="str">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Aman"),IF(includeprebc,S306="Pre-BC"),IF(includesunwell,S306="Sunwell"))),MAX($AE$283:AE305)+1,"")</f>
        <v/>
      </c>
      <c r="AF306" s="114" t="str">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Aman"),IF(includeprebc,$S306="Pre-BC"),IF(includesunwell,$S306="Sunwell"))),MAX($AF$150:AF305)+1,"")</f>
        <v/>
      </c>
      <c r="AG306" s="114"/>
      <c r="AK306" s="48">
        <v>153</v>
      </c>
      <c r="AL306" s="151" t="str">
        <f>IF('Gear &amp; Buffs'!$Y$48="Dagger",IF(ISNA(INDEX($A$151:$A$210,MATCH(AK306,AE$151:AE$210,0))),"",INDEX($A$151:$A$210,MATCH(AK306,AE$151:AE$210,0))),"")&amp;
IF('Gear &amp; Buffs'!$Y$48="Sword",IF(ISNA(INDEX($A$212:$A$260,MATCH(AK306,AE$212:AE$260,0))),"",INDEX($A$212:$A$260,MATCH(AK306,AE$212:AE$260,0))),"")&amp;
IF('Gear &amp; Buffs'!$Y$48="Fist",IF(ISNA(INDEX($A$262:$A$281,MATCH(AK306,AE$262:AE$281,0))),"",INDEX($A$262:$A$281,MATCH(AK306,AE$262:AE$281,0))),"")&amp;
IF('Gear &amp; Buffs'!$Y$48="Mace",IF(ISNA(INDEX($A$283:$A$310,MATCH(AK306,AE$283:AE$310,0))),"",INDEX($A$283:$A$310,MATCH(AK306,AE$283:AE$310,0))),"")&amp;
IF('Gear &amp; Buffs'!$Y$48="All",IF(ISNA(INDEX($A$151:$A$310,MATCH(AK306,AF$151:AF$310,0))),"",INDEX($A$151:$A$310,MATCH(AK306,AF$151:AF$310,0))),"")</f>
        <v/>
      </c>
    </row>
    <row r="307" spans="1:38">
      <c r="A307" s="10" t="s">
        <v>236</v>
      </c>
      <c r="B307" s="116">
        <v>27476</v>
      </c>
      <c r="C307" s="116">
        <v>1</v>
      </c>
      <c r="D307" s="114"/>
      <c r="E307" s="114"/>
      <c r="F307" s="114"/>
      <c r="G307" s="115"/>
      <c r="H307" s="115">
        <v>14</v>
      </c>
      <c r="I307" s="847"/>
      <c r="J307" s="114"/>
      <c r="K307" s="116"/>
      <c r="L307" s="114">
        <v>19</v>
      </c>
      <c r="M307" s="116"/>
      <c r="N307" s="114"/>
      <c r="O307" s="116">
        <v>15</v>
      </c>
      <c r="P307" s="114"/>
      <c r="Q307" s="114" t="s">
        <v>1033</v>
      </c>
      <c r="R307" s="114"/>
      <c r="S307" s="114" t="s">
        <v>691</v>
      </c>
      <c r="T307" s="114">
        <v>90</v>
      </c>
      <c r="U307" s="116">
        <v>168</v>
      </c>
      <c r="V307" s="155">
        <f t="shared" si="26"/>
        <v>129</v>
      </c>
      <c r="W307" s="155">
        <v>1.8</v>
      </c>
      <c r="X307" s="124">
        <f t="shared" si="27"/>
        <v>71.666666666666671</v>
      </c>
      <c r="Y307" s="114" t="s">
        <v>911</v>
      </c>
      <c r="Z307" s="114"/>
      <c r="AA307" s="114"/>
      <c r="AB307" s="114"/>
      <c r="AC307" s="10"/>
      <c r="AD307" s="791"/>
      <c r="AE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Aman"),IF(includeprebc,S307="Pre-BC"),IF(includesunwell,S307="Sunwell"))),MAX($AE$283:AE306)+1,"")</f>
        <v>12</v>
      </c>
      <c r="AF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Aman"),IF(includeprebc,$S307="Pre-BC"),IF(includesunwell,$S307="Sunwell"))),MAX($AF$150:AF306)+1,"")</f>
        <v>81</v>
      </c>
      <c r="AG307" s="114"/>
      <c r="AK307" s="48">
        <v>154</v>
      </c>
      <c r="AL307" s="151" t="str">
        <f>IF('Gear &amp; Buffs'!$Y$48="Dagger",IF(ISNA(INDEX($A$151:$A$210,MATCH(AK307,AE$151:AE$210,0))),"",INDEX($A$151:$A$210,MATCH(AK307,AE$151:AE$210,0))),"")&amp;
IF('Gear &amp; Buffs'!$Y$48="Sword",IF(ISNA(INDEX($A$212:$A$260,MATCH(AK307,AE$212:AE$260,0))),"",INDEX($A$212:$A$260,MATCH(AK307,AE$212:AE$260,0))),"")&amp;
IF('Gear &amp; Buffs'!$Y$48="Fist",IF(ISNA(INDEX($A$262:$A$281,MATCH(AK307,AE$262:AE$281,0))),"",INDEX($A$262:$A$281,MATCH(AK307,AE$262:AE$281,0))),"")&amp;
IF('Gear &amp; Buffs'!$Y$48="Mace",IF(ISNA(INDEX($A$283:$A$310,MATCH(AK307,AE$283:AE$310,0))),"",INDEX($A$283:$A$310,MATCH(AK307,AE$283:AE$310,0))),"")&amp;
IF('Gear &amp; Buffs'!$Y$48="All",IF(ISNA(INDEX($A$151:$A$310,MATCH(AK307,AF$151:AF$310,0))),"",INDEX($A$151:$A$310,MATCH(AK307,AF$151:AF$310,0))),"")</f>
        <v/>
      </c>
    </row>
    <row r="308" spans="1:38">
      <c r="A308" s="10" t="s">
        <v>1763</v>
      </c>
      <c r="B308" s="116">
        <v>33662</v>
      </c>
      <c r="C308" s="116">
        <v>3</v>
      </c>
      <c r="D308" s="114"/>
      <c r="E308" s="114"/>
      <c r="F308" s="114">
        <v>34</v>
      </c>
      <c r="G308" s="115">
        <v>21</v>
      </c>
      <c r="H308" s="115">
        <v>8</v>
      </c>
      <c r="I308" s="847"/>
      <c r="J308" s="114">
        <v>49</v>
      </c>
      <c r="K308" s="116"/>
      <c r="L308" s="114">
        <v>30</v>
      </c>
      <c r="M308" s="116"/>
      <c r="N308" s="114">
        <v>12</v>
      </c>
      <c r="O308" s="116"/>
      <c r="P308" s="114"/>
      <c r="Q308" s="114" t="s">
        <v>1033</v>
      </c>
      <c r="R308" s="114"/>
      <c r="S308" s="114" t="s">
        <v>677</v>
      </c>
      <c r="T308" s="114">
        <v>108</v>
      </c>
      <c r="U308" s="116">
        <v>201</v>
      </c>
      <c r="V308" s="155">
        <f t="shared" si="26"/>
        <v>154.5</v>
      </c>
      <c r="W308" s="155">
        <v>1.5</v>
      </c>
      <c r="X308" s="124">
        <f t="shared" si="27"/>
        <v>103</v>
      </c>
      <c r="Y308" s="114" t="s">
        <v>911</v>
      </c>
      <c r="Z308" s="114"/>
      <c r="AA308" s="114"/>
      <c r="AB308" s="114"/>
      <c r="AC308" s="10"/>
      <c r="AD308" s="791"/>
      <c r="AE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Aman"),IF(includeprebc,S308="Pre-BC"),IF(includesunwell,S308="Sunwell"))),MAX($AE$283:AE307)+1,"")</f>
        <v/>
      </c>
      <c r="AF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Aman"),IF(includeprebc,$S308="Pre-BC"),IF(includesunwell,$S308="Sunwell"))),MAX($AF$150:AF307)+1,"")</f>
        <v/>
      </c>
      <c r="AK308" s="48">
        <v>155</v>
      </c>
      <c r="AL308" s="151" t="str">
        <f>IF('Gear &amp; Buffs'!$Y$48="Dagger",IF(ISNA(INDEX($A$151:$A$210,MATCH(AK308,AE$151:AE$210,0))),"",INDEX($A$151:$A$210,MATCH(AK308,AE$151:AE$210,0))),"")&amp;
IF('Gear &amp; Buffs'!$Y$48="Sword",IF(ISNA(INDEX($A$212:$A$260,MATCH(AK308,AE$212:AE$260,0))),"",INDEX($A$212:$A$260,MATCH(AK308,AE$212:AE$260,0))),"")&amp;
IF('Gear &amp; Buffs'!$Y$48="Fist",IF(ISNA(INDEX($A$262:$A$281,MATCH(AK308,AE$262:AE$281,0))),"",INDEX($A$262:$A$281,MATCH(AK308,AE$262:AE$281,0))),"")&amp;
IF('Gear &amp; Buffs'!$Y$48="Mace",IF(ISNA(INDEX($A$283:$A$310,MATCH(AK308,AE$283:AE$310,0))),"",INDEX($A$283:$A$310,MATCH(AK308,AE$283:AE$310,0))),"")&amp;
IF('Gear &amp; Buffs'!$Y$48="All",IF(ISNA(INDEX($A$151:$A$310,MATCH(AK308,AF$151:AF$310,0))),"",INDEX($A$151:$A$310,MATCH(AK308,AF$151:AF$310,0))),"")</f>
        <v/>
      </c>
    </row>
    <row r="309" spans="1:38">
      <c r="A309" s="10" t="s">
        <v>1766</v>
      </c>
      <c r="B309" s="116">
        <v>33733</v>
      </c>
      <c r="C309" s="116">
        <v>3</v>
      </c>
      <c r="D309" s="114"/>
      <c r="E309" s="114"/>
      <c r="F309" s="114">
        <v>34</v>
      </c>
      <c r="G309" s="115">
        <v>21</v>
      </c>
      <c r="H309" s="115">
        <v>8</v>
      </c>
      <c r="I309" s="847"/>
      <c r="J309" s="114">
        <v>49</v>
      </c>
      <c r="K309" s="116"/>
      <c r="L309" s="114">
        <v>30</v>
      </c>
      <c r="M309" s="116"/>
      <c r="N309" s="114">
        <v>12</v>
      </c>
      <c r="O309" s="116"/>
      <c r="P309" s="114"/>
      <c r="Q309" s="114" t="s">
        <v>1033</v>
      </c>
      <c r="R309" s="114"/>
      <c r="S309" s="114" t="s">
        <v>677</v>
      </c>
      <c r="T309" s="114">
        <v>187</v>
      </c>
      <c r="U309" s="116">
        <v>349</v>
      </c>
      <c r="V309" s="155">
        <f>(U309+T309)/2</f>
        <v>268</v>
      </c>
      <c r="W309" s="155">
        <v>2.6</v>
      </c>
      <c r="X309" s="124">
        <f>V309/W309</f>
        <v>103.07692307692308</v>
      </c>
      <c r="Y309" s="114" t="s">
        <v>911</v>
      </c>
      <c r="Z309" s="114"/>
      <c r="AA309" s="114"/>
      <c r="AB309" s="114"/>
      <c r="AC309" s="10"/>
      <c r="AD309" s="791"/>
      <c r="AE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Aman"),IF(includeprebc,S309="Pre-BC"),IF(includesunwell,S309="Sunwell"))),MAX($AE$283:AE308)+1,"")</f>
        <v/>
      </c>
      <c r="AF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Aman"),IF(includeprebc,$S309="Pre-BC"),IF(includesunwell,$S309="Sunwell"))),MAX($AF$150:AF308)+1,"")</f>
        <v/>
      </c>
      <c r="AK309" s="48">
        <v>156</v>
      </c>
      <c r="AL309" s="151" t="str">
        <f>IF('Gear &amp; Buffs'!$Y$48="Dagger",IF(ISNA(INDEX($A$151:$A$210,MATCH(AK309,AE$151:AE$210,0))),"",INDEX($A$151:$A$210,MATCH(AK309,AE$151:AE$210,0))),"")&amp;
IF('Gear &amp; Buffs'!$Y$48="Sword",IF(ISNA(INDEX($A$212:$A$260,MATCH(AK309,AE$212:AE$260,0))),"",INDEX($A$212:$A$260,MATCH(AK309,AE$212:AE$260,0))),"")&amp;
IF('Gear &amp; Buffs'!$Y$48="Fist",IF(ISNA(INDEX($A$262:$A$281,MATCH(AK309,AE$262:AE$281,0))),"",INDEX($A$262:$A$281,MATCH(AK309,AE$262:AE$281,0))),"")&amp;
IF('Gear &amp; Buffs'!$Y$48="Mace",IF(ISNA(INDEX($A$283:$A$310,MATCH(AK309,AE$283:AE$310,0))),"",INDEX($A$283:$A$310,MATCH(AK309,AE$283:AE$310,0))),"")&amp;
IF('Gear &amp; Buffs'!$Y$48="All",IF(ISNA(INDEX($A$151:$A$310,MATCH(AK309,AF$151:AF$310,0))),"",INDEX($A$151:$A$310,MATCH(AK309,AF$151:AF$310,0))),"")</f>
        <v/>
      </c>
    </row>
    <row r="310" spans="1:38">
      <c r="A310" s="10" t="str">
        <f>'Gear &amp; Buffs'!$B$152</f>
        <v>(Unmodeled OH Mace)</v>
      </c>
      <c r="B310" s="114"/>
      <c r="C310" s="114"/>
      <c r="D310" s="114">
        <f>'Gear &amp; Buffs'!$D$152</f>
        <v>0</v>
      </c>
      <c r="E310" s="114">
        <f>'Gear &amp; Buffs'!$E$152</f>
        <v>0</v>
      </c>
      <c r="F310" s="114">
        <f>'Gear &amp; Buffs'!$I$152</f>
        <v>0</v>
      </c>
      <c r="G310" s="115">
        <f>'Gear &amp; Buffs'!$G$152</f>
        <v>0</v>
      </c>
      <c r="H310" s="115">
        <f>'Gear &amp; Buffs'!$H$152</f>
        <v>0</v>
      </c>
      <c r="I310" s="115">
        <f>'Gear &amp; Buffs'!$P$152</f>
        <v>0</v>
      </c>
      <c r="J310" s="114">
        <f>'Gear &amp; Buffs'!$Q$152</f>
        <v>0</v>
      </c>
      <c r="K310" s="116">
        <f>'Gear &amp; Buffs'!$L$152</f>
        <v>0</v>
      </c>
      <c r="L310" s="114">
        <f>'Gear &amp; Buffs'!$F$152</f>
        <v>0</v>
      </c>
      <c r="M310" s="116">
        <f>'Gear &amp; Buffs'!$K$152</f>
        <v>0</v>
      </c>
      <c r="N310" s="114">
        <f>'Gear &amp; Buffs'!$J$152</f>
        <v>0</v>
      </c>
      <c r="O310" s="115">
        <f>'Gear &amp; Buffs'!M152</f>
        <v>0</v>
      </c>
      <c r="P310" s="114"/>
      <c r="Q310" s="114" t="str">
        <f>'Gear &amp; Buffs'!$R$152</f>
        <v>0 0 0</v>
      </c>
      <c r="R310" s="720">
        <f>'Gear &amp; Buffs'!$S$152</f>
        <v>0</v>
      </c>
      <c r="S310" s="114"/>
      <c r="T310" s="114">
        <f>'Gear &amp; Buffs'!$T$152</f>
        <v>1</v>
      </c>
      <c r="U310" s="116">
        <f>'Gear &amp; Buffs'!$U$152</f>
        <v>1</v>
      </c>
      <c r="V310" s="155">
        <f>(U310+T310)/2</f>
        <v>1</v>
      </c>
      <c r="W310" s="155">
        <f>'Gear &amp; Buffs'!$V$152</f>
        <v>2</v>
      </c>
      <c r="X310" s="124">
        <f>V310/W310</f>
        <v>0.5</v>
      </c>
      <c r="Y310" s="114" t="s">
        <v>911</v>
      </c>
      <c r="Z310" s="114"/>
      <c r="AA310" s="114"/>
      <c r="AB310" s="114"/>
      <c r="AC310" s="10"/>
      <c r="AD310" s="791"/>
      <c r="AE310" s="114">
        <f>MAX($AE$283:$AE309)+1</f>
        <v>13</v>
      </c>
      <c r="AF310" s="114">
        <f>MAX(AF$150:AF309)+1</f>
        <v>82</v>
      </c>
      <c r="AK310" s="48">
        <v>157</v>
      </c>
      <c r="AL310" s="151" t="str">
        <f>IF('Gear &amp; Buffs'!$Y$48="Dagger",IF(ISNA(INDEX($A$151:$A$210,MATCH(AK310,AE$151:AE$210,0))),"",INDEX($A$151:$A$210,MATCH(AK310,AE$151:AE$210,0))),"")&amp;
IF('Gear &amp; Buffs'!$Y$48="Sword",IF(ISNA(INDEX($A$212:$A$260,MATCH(AK310,AE$212:AE$260,0))),"",INDEX($A$212:$A$260,MATCH(AK310,AE$212:AE$260,0))),"")&amp;
IF('Gear &amp; Buffs'!$Y$48="Fist",IF(ISNA(INDEX($A$262:$A$281,MATCH(AK310,AE$262:AE$281,0))),"",INDEX($A$262:$A$281,MATCH(AK310,AE$262:AE$281,0))),"")&amp;
IF('Gear &amp; Buffs'!$Y$48="Mace",IF(ISNA(INDEX($A$283:$A$310,MATCH(AK310,AE$283:AE$310,0))),"",INDEX($A$283:$A$310,MATCH(AK310,AE$283:AE$310,0))),"")&amp;
IF('Gear &amp; Buffs'!$Y$48="All",IF(ISNA(INDEX($A$151:$A$310,MATCH(AK310,AF$151:AF$310,0))),"",INDEX($A$151:$A$310,MATCH(AK310,AF$151:AF$310,0))),"")</f>
        <v/>
      </c>
    </row>
    <row r="311" spans="1:38">
      <c r="A311" s="10"/>
      <c r="B311" s="116"/>
      <c r="C311" s="116"/>
      <c r="D311" s="114"/>
      <c r="E311" s="114"/>
      <c r="F311" s="114"/>
      <c r="G311" s="115"/>
      <c r="H311" s="115"/>
      <c r="I311" s="115"/>
      <c r="J311" s="114"/>
      <c r="K311" s="116"/>
      <c r="L311" s="114"/>
      <c r="M311" s="116"/>
      <c r="N311" s="114"/>
      <c r="O311" s="116"/>
      <c r="P311" s="114"/>
      <c r="Q311" s="114"/>
      <c r="R311" s="114"/>
      <c r="S311" s="114"/>
      <c r="T311" s="114"/>
      <c r="U311" s="116"/>
      <c r="V311" s="155"/>
      <c r="W311" s="114"/>
      <c r="X311" s="124"/>
      <c r="Y311" s="114"/>
      <c r="Z311" s="114"/>
      <c r="AA311" s="114"/>
      <c r="AB311" s="114"/>
      <c r="AC311" s="289"/>
      <c r="AD311" s="115"/>
      <c r="AF311" s="114"/>
      <c r="AK311" s="48">
        <v>158</v>
      </c>
      <c r="AL311" s="151" t="str">
        <f>IF('Gear &amp; Buffs'!$Y$48="Dagger",IF(ISNA(INDEX($A$151:$A$210,MATCH(AK311,AE$151:AE$210,0))),"",INDEX($A$151:$A$210,MATCH(AK311,AE$151:AE$210,0))),"")&amp;
IF('Gear &amp; Buffs'!$Y$48="Sword",IF(ISNA(INDEX($A$212:$A$260,MATCH(AK311,AE$212:AE$260,0))),"",INDEX($A$212:$A$260,MATCH(AK311,AE$212:AE$260,0))),"")&amp;
IF('Gear &amp; Buffs'!$Y$48="Fist",IF(ISNA(INDEX($A$262:$A$281,MATCH(AK311,AE$262:AE$281,0))),"",INDEX($A$262:$A$281,MATCH(AK311,AE$262:AE$281,0))),"")&amp;
IF('Gear &amp; Buffs'!$Y$48="Mace",IF(ISNA(INDEX($A$283:$A$310,MATCH(AK311,AE$283:AE$310,0))),"",INDEX($A$283:$A$310,MATCH(AK311,AE$283:AE$310,0))),"")&amp;
IF('Gear &amp; Buffs'!$Y$48="All",IF(ISNA(INDEX($A$151:$A$310,MATCH(AK311,AF$151:AF$310,0))),"",INDEX($A$151:$A$310,MATCH(AK311,AF$151:AF$310,0))),"")</f>
        <v/>
      </c>
    </row>
    <row r="312" spans="1:38">
      <c r="B312" s="129"/>
      <c r="C312" s="129"/>
      <c r="I312" s="304"/>
      <c r="K312" s="129"/>
      <c r="M312" s="129"/>
      <c r="O312" s="129"/>
      <c r="U312" s="129"/>
      <c r="AC312" s="151"/>
      <c r="AD312" s="129"/>
      <c r="AF312" s="114"/>
      <c r="AK312" s="48">
        <v>159</v>
      </c>
      <c r="AL312" s="151" t="str">
        <f>IF('Gear &amp; Buffs'!$Y$48="Dagger",IF(ISNA(INDEX($A$151:$A$210,MATCH(AK312,AE$151:AE$210,0))),"",INDEX($A$151:$A$210,MATCH(AK312,AE$151:AE$210,0))),"")&amp;
IF('Gear &amp; Buffs'!$Y$48="Sword",IF(ISNA(INDEX($A$212:$A$260,MATCH(AK312,AE$212:AE$260,0))),"",INDEX($A$212:$A$260,MATCH(AK312,AE$212:AE$260,0))),"")&amp;
IF('Gear &amp; Buffs'!$Y$48="Fist",IF(ISNA(INDEX($A$262:$A$281,MATCH(AK312,AE$262:AE$281,0))),"",INDEX($A$262:$A$281,MATCH(AK312,AE$262:AE$281,0))),"")&amp;
IF('Gear &amp; Buffs'!$Y$48="Mace",IF(ISNA(INDEX($A$283:$A$310,MATCH(AK312,AE$283:AE$310,0))),"",INDEX($A$283:$A$310,MATCH(AK312,AE$283:AE$310,0))),"")&amp;
IF('Gear &amp; Buffs'!$Y$48="All",IF(ISNA(INDEX($A$151:$A$310,MATCH(AK312,AF$151:AF$310,0))),"",INDEX($A$151:$A$310,MATCH(AK312,AF$151:AF$310,0))),"")</f>
        <v/>
      </c>
    </row>
    <row r="313" spans="1:38">
      <c r="B313" s="129"/>
      <c r="C313" s="129"/>
      <c r="I313" s="304"/>
      <c r="K313" s="129"/>
      <c r="M313" s="129"/>
      <c r="O313" s="129"/>
      <c r="U313" s="129"/>
      <c r="AC313" s="151"/>
      <c r="AD313" s="129"/>
      <c r="AF313" s="114"/>
    </row>
    <row r="314" spans="1:38">
      <c r="B314" s="129"/>
      <c r="C314" s="129"/>
      <c r="I314" s="304"/>
      <c r="K314" s="129"/>
      <c r="M314" s="129"/>
      <c r="O314" s="129"/>
      <c r="U314" s="129"/>
      <c r="AC314" s="151"/>
      <c r="AD314" s="129"/>
      <c r="AF314" s="114"/>
    </row>
    <row r="315" spans="1:38">
      <c r="A315" s="300" t="s">
        <v>608</v>
      </c>
      <c r="B315" s="237"/>
      <c r="C315" s="237"/>
      <c r="D315" s="237"/>
      <c r="E315" s="237"/>
      <c r="F315" s="237"/>
      <c r="G315" s="237"/>
      <c r="H315" s="237"/>
      <c r="I315" s="305"/>
      <c r="J315" s="237"/>
      <c r="K315" s="237"/>
      <c r="L315" s="237"/>
      <c r="M315" s="237"/>
      <c r="N315" s="237"/>
      <c r="O315" s="237"/>
      <c r="P315" s="237"/>
      <c r="Q315" s="237"/>
      <c r="R315" s="237"/>
      <c r="S315" s="292"/>
      <c r="T315" s="237"/>
      <c r="U315" s="129"/>
      <c r="AC315" s="151"/>
      <c r="AD315" s="129"/>
      <c r="AF315" s="114"/>
    </row>
    <row r="316" spans="1:38">
      <c r="A316" s="295" t="s">
        <v>3130</v>
      </c>
      <c r="B316" s="237"/>
      <c r="C316" s="237"/>
      <c r="D316" s="237"/>
      <c r="E316" s="237"/>
      <c r="F316" s="237"/>
      <c r="G316" s="237"/>
      <c r="H316" s="237"/>
      <c r="I316" s="305"/>
      <c r="J316" s="237"/>
      <c r="K316" s="237"/>
      <c r="L316" s="237"/>
      <c r="M316" s="237"/>
      <c r="N316" s="237"/>
      <c r="O316" s="237"/>
      <c r="P316" s="237"/>
      <c r="Q316" s="237"/>
      <c r="R316" s="237"/>
      <c r="S316" s="292"/>
      <c r="T316" s="237"/>
      <c r="U316" s="129"/>
      <c r="AC316" s="151"/>
      <c r="AD316" s="129"/>
      <c r="AE316" s="172"/>
      <c r="AF316" s="114"/>
    </row>
    <row r="317" spans="1:38">
      <c r="A317" s="238" t="s">
        <v>3131</v>
      </c>
      <c r="B317" s="293"/>
      <c r="C317" s="293"/>
      <c r="D317" s="236"/>
      <c r="E317" s="236"/>
      <c r="F317" s="236"/>
      <c r="G317" s="294"/>
      <c r="H317" s="294"/>
      <c r="I317" s="306"/>
      <c r="J317" s="236"/>
      <c r="K317" s="293"/>
      <c r="L317" s="236"/>
      <c r="M317" s="293"/>
      <c r="N317" s="236"/>
      <c r="O317" s="293"/>
      <c r="P317" s="236"/>
      <c r="Q317" s="236"/>
      <c r="R317" s="236"/>
      <c r="S317" s="236"/>
      <c r="T317" s="236"/>
      <c r="U317" s="129"/>
      <c r="AC317" s="151"/>
      <c r="AD317" s="129"/>
      <c r="AE317" s="172"/>
      <c r="AF317" s="114"/>
    </row>
    <row r="318" spans="1:38">
      <c r="A318" s="295" t="s">
        <v>3132</v>
      </c>
      <c r="B318" s="237"/>
      <c r="C318" s="237"/>
      <c r="D318" s="237"/>
      <c r="E318" s="237"/>
      <c r="F318" s="237"/>
      <c r="G318" s="237"/>
      <c r="H318" s="237"/>
      <c r="I318" s="305"/>
      <c r="J318" s="237"/>
      <c r="K318" s="237"/>
      <c r="L318" s="237"/>
      <c r="M318" s="237"/>
      <c r="N318" s="237"/>
      <c r="O318" s="237"/>
      <c r="P318" s="237"/>
      <c r="Q318" s="237"/>
      <c r="R318" s="237"/>
      <c r="S318" s="292"/>
      <c r="T318" s="237"/>
      <c r="U318" s="129"/>
      <c r="AC318" s="151"/>
      <c r="AD318" s="129"/>
      <c r="AE318" s="172"/>
      <c r="AF318" s="114"/>
    </row>
    <row r="319" spans="1:38">
      <c r="A319" s="295" t="s">
        <v>3133</v>
      </c>
      <c r="B319" s="237"/>
      <c r="C319" s="237"/>
      <c r="D319" s="237"/>
      <c r="E319" s="237"/>
      <c r="F319" s="237"/>
      <c r="G319" s="237"/>
      <c r="H319" s="237"/>
      <c r="I319" s="305"/>
      <c r="J319" s="237"/>
      <c r="K319" s="237"/>
      <c r="L319" s="237"/>
      <c r="M319" s="237"/>
      <c r="N319" s="237"/>
      <c r="O319" s="237"/>
      <c r="P319" s="237"/>
      <c r="Q319" s="237"/>
      <c r="R319" s="237"/>
      <c r="S319" s="292"/>
      <c r="T319" s="237"/>
      <c r="U319" s="129"/>
      <c r="AC319" s="151"/>
      <c r="AD319" s="129"/>
      <c r="AE319" s="172"/>
      <c r="AF319" s="114"/>
    </row>
    <row r="320" spans="1:38">
      <c r="A320" s="295" t="s">
        <v>3134</v>
      </c>
      <c r="B320" s="237"/>
      <c r="C320" s="237"/>
      <c r="D320" s="237"/>
      <c r="E320" s="237"/>
      <c r="F320" s="237"/>
      <c r="G320" s="237"/>
      <c r="H320" s="237"/>
      <c r="I320" s="305"/>
      <c r="J320" s="237"/>
      <c r="K320" s="237"/>
      <c r="L320" s="237"/>
      <c r="M320" s="237"/>
      <c r="N320" s="237"/>
      <c r="O320" s="237"/>
      <c r="P320" s="237"/>
      <c r="Q320" s="237"/>
      <c r="R320" s="237"/>
      <c r="S320" s="292"/>
      <c r="T320" s="237"/>
      <c r="U320" s="129"/>
      <c r="AC320" s="151"/>
      <c r="AD320" s="129"/>
      <c r="AE320" s="172"/>
      <c r="AF320" s="114"/>
    </row>
    <row r="321" spans="2:32">
      <c r="U321" s="129"/>
      <c r="AC321" s="151"/>
      <c r="AD321" s="129"/>
      <c r="AE321" s="172"/>
      <c r="AF321" s="114"/>
    </row>
    <row r="322" spans="2:32">
      <c r="U322" s="116"/>
      <c r="V322" s="155"/>
      <c r="W322" s="155"/>
      <c r="X322" s="124"/>
      <c r="Y322" s="114"/>
      <c r="AC322" s="151"/>
      <c r="AD322" s="129"/>
      <c r="AE322" s="172"/>
      <c r="AF322" s="114"/>
    </row>
    <row r="323" spans="2:32">
      <c r="U323" s="129"/>
      <c r="AC323" s="151"/>
      <c r="AD323" s="129"/>
      <c r="AE323" s="172"/>
      <c r="AF323" s="114"/>
    </row>
    <row r="324" spans="2:32">
      <c r="U324" s="129"/>
      <c r="AC324" s="151"/>
      <c r="AD324" s="129"/>
      <c r="AE324" s="172"/>
      <c r="AF324" s="114"/>
    </row>
    <row r="325" spans="2:32">
      <c r="U325" s="129"/>
      <c r="AC325" s="151"/>
      <c r="AD325" s="129"/>
      <c r="AE325" s="172"/>
      <c r="AF325" s="114"/>
    </row>
    <row r="326" spans="2:32">
      <c r="K326" s="129"/>
      <c r="M326" s="129"/>
      <c r="O326" s="129"/>
      <c r="S326" s="172"/>
      <c r="U326" s="129"/>
      <c r="AC326" s="151"/>
      <c r="AD326" s="129"/>
      <c r="AE326" s="172"/>
      <c r="AF326" s="114"/>
    </row>
    <row r="327" spans="2:32">
      <c r="K327" s="129"/>
      <c r="M327" s="129"/>
      <c r="O327" s="129"/>
      <c r="S327" s="172"/>
      <c r="U327" s="129"/>
      <c r="AC327" s="151"/>
      <c r="AD327" s="129"/>
      <c r="AE327" s="172"/>
      <c r="AF327" s="114"/>
    </row>
    <row r="328" spans="2:32">
      <c r="K328" s="129"/>
      <c r="M328" s="129"/>
      <c r="O328" s="129"/>
      <c r="S328" s="172"/>
      <c r="U328" s="129"/>
      <c r="AC328" s="151"/>
      <c r="AD328" s="129"/>
      <c r="AE328" s="172"/>
      <c r="AF328" s="114"/>
    </row>
    <row r="329" spans="2:32">
      <c r="K329" s="129"/>
      <c r="M329" s="129"/>
      <c r="O329" s="129"/>
      <c r="S329" s="172"/>
      <c r="U329" s="129"/>
      <c r="AC329" s="151"/>
      <c r="AD329" s="129"/>
      <c r="AE329" s="172"/>
      <c r="AF329" s="114"/>
    </row>
    <row r="330" spans="2:32">
      <c r="K330" s="129"/>
      <c r="M330" s="129"/>
      <c r="O330" s="129"/>
      <c r="S330" s="172"/>
      <c r="U330" s="129"/>
      <c r="AC330" s="151"/>
      <c r="AD330" s="129"/>
      <c r="AE330" s="172"/>
      <c r="AF330" s="114"/>
    </row>
    <row r="331" spans="2:32">
      <c r="K331" s="129"/>
      <c r="M331" s="129"/>
      <c r="O331" s="129"/>
      <c r="S331" s="172"/>
      <c r="U331" s="129"/>
      <c r="AC331" s="151"/>
      <c r="AD331" s="129"/>
      <c r="AE331" s="172"/>
      <c r="AF331" s="114"/>
    </row>
    <row r="332" spans="2:32">
      <c r="K332" s="129"/>
      <c r="M332" s="129"/>
      <c r="O332" s="129"/>
      <c r="S332" s="172"/>
      <c r="U332" s="129"/>
      <c r="AC332" s="151"/>
      <c r="AD332" s="129"/>
      <c r="AE332" s="172"/>
      <c r="AF332" s="114"/>
    </row>
    <row r="333" spans="2:32">
      <c r="B333" s="129"/>
      <c r="C333" s="129"/>
      <c r="I333" s="304"/>
      <c r="K333" s="129"/>
      <c r="M333" s="129"/>
      <c r="O333" s="129"/>
      <c r="S333" s="172"/>
      <c r="U333" s="129"/>
      <c r="AC333" s="151"/>
      <c r="AD333" s="129"/>
      <c r="AE333" s="172"/>
    </row>
    <row r="334" spans="2:32">
      <c r="B334" s="129"/>
      <c r="C334" s="129"/>
      <c r="I334" s="304"/>
      <c r="K334" s="129"/>
      <c r="M334" s="129"/>
      <c r="O334" s="129"/>
      <c r="S334" s="172"/>
      <c r="U334" s="129"/>
      <c r="AC334" s="151"/>
      <c r="AD334" s="129"/>
      <c r="AE334" s="172"/>
    </row>
    <row r="335" spans="2:32">
      <c r="B335" s="129"/>
      <c r="C335" s="129"/>
      <c r="I335" s="304"/>
      <c r="K335" s="129"/>
      <c r="M335" s="129"/>
      <c r="O335" s="129"/>
      <c r="S335" s="172"/>
      <c r="U335" s="129"/>
      <c r="AC335" s="151"/>
      <c r="AD335" s="129"/>
      <c r="AE335" s="172"/>
    </row>
    <row r="336" spans="2:32">
      <c r="B336" s="129"/>
      <c r="C336" s="129"/>
      <c r="I336" s="304"/>
      <c r="K336" s="129"/>
      <c r="M336" s="129"/>
      <c r="O336" s="129"/>
      <c r="S336" s="172"/>
      <c r="U336" s="129"/>
      <c r="AC336" s="151"/>
      <c r="AD336" s="129"/>
      <c r="AE336" s="172"/>
    </row>
    <row r="337" spans="2:31">
      <c r="B337" s="129"/>
      <c r="C337" s="129"/>
      <c r="I337" s="304"/>
      <c r="K337" s="129"/>
      <c r="M337" s="129"/>
      <c r="O337" s="129"/>
      <c r="S337" s="172"/>
      <c r="U337" s="129"/>
      <c r="AC337" s="151"/>
      <c r="AD337" s="129"/>
      <c r="AE337" s="172"/>
    </row>
    <row r="338" spans="2:31">
      <c r="B338" s="129"/>
      <c r="C338" s="129"/>
      <c r="I338" s="304"/>
      <c r="K338" s="129"/>
      <c r="M338" s="129"/>
      <c r="O338" s="129"/>
      <c r="S338" s="172"/>
      <c r="U338" s="129"/>
      <c r="AC338" s="151"/>
      <c r="AD338" s="129"/>
      <c r="AE338" s="172"/>
    </row>
    <row r="339" spans="2:31">
      <c r="B339" s="129"/>
      <c r="C339" s="129"/>
      <c r="I339" s="304"/>
      <c r="K339" s="129"/>
      <c r="M339" s="129"/>
      <c r="O339" s="129"/>
      <c r="S339" s="172"/>
      <c r="U339" s="129"/>
      <c r="AC339" s="151"/>
      <c r="AD339" s="129"/>
      <c r="AE339" s="172"/>
    </row>
    <row r="340" spans="2:31">
      <c r="B340" s="129"/>
      <c r="C340" s="129"/>
      <c r="I340" s="304"/>
      <c r="K340" s="129"/>
      <c r="M340" s="129"/>
      <c r="O340" s="129"/>
      <c r="S340" s="172"/>
      <c r="U340" s="129"/>
      <c r="AC340" s="151"/>
      <c r="AD340" s="129"/>
      <c r="AE340" s="172"/>
    </row>
    <row r="341" spans="2:31">
      <c r="B341" s="129"/>
      <c r="C341" s="129"/>
      <c r="I341" s="304"/>
      <c r="K341" s="129"/>
      <c r="M341" s="129"/>
      <c r="O341" s="129"/>
      <c r="S341" s="172"/>
      <c r="U341" s="129"/>
      <c r="AC341" s="151"/>
      <c r="AD341" s="129"/>
      <c r="AE341" s="172"/>
    </row>
    <row r="342" spans="2:31">
      <c r="B342" s="129"/>
      <c r="C342" s="129"/>
      <c r="I342" s="304"/>
      <c r="K342" s="129"/>
      <c r="M342" s="129"/>
      <c r="O342" s="129"/>
      <c r="S342" s="172"/>
      <c r="U342" s="129"/>
      <c r="AC342" s="151"/>
      <c r="AD342" s="129"/>
      <c r="AE342" s="172"/>
    </row>
    <row r="343" spans="2:31">
      <c r="B343" s="129"/>
      <c r="C343" s="129"/>
      <c r="I343" s="304"/>
      <c r="K343" s="129"/>
      <c r="M343" s="129"/>
      <c r="O343" s="129"/>
      <c r="S343" s="172"/>
      <c r="U343" s="129"/>
      <c r="AC343" s="151"/>
      <c r="AD343" s="129"/>
      <c r="AE343" s="172"/>
    </row>
    <row r="344" spans="2:31">
      <c r="B344" s="129"/>
      <c r="C344" s="129"/>
      <c r="I344" s="304"/>
      <c r="K344" s="129"/>
      <c r="M344" s="129"/>
      <c r="O344" s="129"/>
      <c r="S344" s="172"/>
      <c r="U344" s="129"/>
      <c r="AC344" s="151"/>
      <c r="AD344" s="129"/>
      <c r="AE344" s="172"/>
    </row>
    <row r="345" spans="2:31">
      <c r="B345" s="129"/>
      <c r="C345" s="129"/>
      <c r="I345" s="304"/>
      <c r="K345" s="129"/>
      <c r="M345" s="129"/>
      <c r="O345" s="129"/>
      <c r="S345" s="172"/>
      <c r="U345" s="129"/>
      <c r="AC345" s="151"/>
      <c r="AD345" s="129"/>
      <c r="AE345" s="172"/>
    </row>
    <row r="346" spans="2:31">
      <c r="B346" s="129"/>
      <c r="C346" s="129"/>
      <c r="I346" s="304"/>
      <c r="K346" s="129"/>
      <c r="M346" s="129"/>
      <c r="O346" s="129"/>
      <c r="S346" s="172"/>
      <c r="U346" s="129"/>
      <c r="AC346" s="151"/>
      <c r="AD346" s="129"/>
      <c r="AE346" s="172"/>
    </row>
    <row r="347" spans="2:31">
      <c r="B347" s="129"/>
      <c r="C347" s="129"/>
      <c r="I347" s="304"/>
      <c r="K347" s="129"/>
      <c r="M347" s="129"/>
      <c r="O347" s="129"/>
      <c r="S347" s="172"/>
      <c r="U347" s="129"/>
      <c r="AC347" s="151"/>
      <c r="AD347" s="129"/>
      <c r="AE347" s="172"/>
    </row>
    <row r="348" spans="2:31">
      <c r="B348" s="129"/>
      <c r="C348" s="129"/>
      <c r="I348" s="304"/>
      <c r="K348" s="129"/>
      <c r="M348" s="129"/>
      <c r="O348" s="129"/>
      <c r="S348" s="172"/>
      <c r="U348" s="129"/>
      <c r="AC348" s="151"/>
      <c r="AD348" s="129"/>
      <c r="AE348" s="172"/>
    </row>
    <row r="349" spans="2:31">
      <c r="B349" s="129"/>
      <c r="C349" s="129"/>
      <c r="I349" s="304"/>
      <c r="K349" s="129"/>
      <c r="M349" s="129"/>
      <c r="O349" s="129"/>
      <c r="S349" s="172"/>
      <c r="U349" s="129"/>
      <c r="AC349" s="151"/>
      <c r="AD349" s="129"/>
      <c r="AE349" s="172"/>
    </row>
    <row r="350" spans="2:31">
      <c r="B350" s="129"/>
      <c r="C350" s="129"/>
      <c r="I350" s="304"/>
      <c r="K350" s="129"/>
      <c r="M350" s="129"/>
      <c r="O350" s="129"/>
      <c r="S350" s="172"/>
      <c r="U350" s="129"/>
      <c r="AC350" s="151"/>
      <c r="AD350" s="129"/>
      <c r="AE350" s="172"/>
    </row>
    <row r="351" spans="2:31">
      <c r="B351" s="129"/>
      <c r="C351" s="129"/>
      <c r="I351" s="304"/>
      <c r="K351" s="129"/>
      <c r="M351" s="129"/>
      <c r="O351" s="129"/>
      <c r="S351" s="172"/>
      <c r="U351" s="129"/>
      <c r="AC351" s="151"/>
      <c r="AD351" s="129"/>
      <c r="AE351" s="172"/>
    </row>
    <row r="352" spans="2:31">
      <c r="B352" s="129"/>
      <c r="C352" s="129"/>
      <c r="I352" s="304"/>
      <c r="K352" s="129"/>
      <c r="M352" s="129"/>
      <c r="O352" s="129"/>
      <c r="S352" s="172"/>
      <c r="U352" s="129"/>
      <c r="AC352" s="151"/>
      <c r="AD352" s="129"/>
      <c r="AE352" s="172"/>
    </row>
    <row r="353" spans="2:31">
      <c r="B353" s="129"/>
      <c r="C353" s="129"/>
      <c r="I353" s="304"/>
      <c r="K353" s="129"/>
      <c r="M353" s="129"/>
      <c r="O353" s="129"/>
      <c r="S353" s="172"/>
      <c r="U353" s="129"/>
      <c r="AC353" s="151"/>
      <c r="AD353" s="129"/>
      <c r="AE353" s="172"/>
    </row>
    <row r="354" spans="2:31">
      <c r="B354" s="129"/>
      <c r="C354" s="129"/>
      <c r="I354" s="304"/>
      <c r="K354" s="129"/>
      <c r="M354" s="129"/>
      <c r="O354" s="129"/>
      <c r="S354" s="172"/>
      <c r="U354" s="129"/>
      <c r="AC354" s="151"/>
      <c r="AD354" s="129"/>
      <c r="AE354" s="172"/>
    </row>
    <row r="355" spans="2:31">
      <c r="B355" s="129"/>
      <c r="C355" s="129"/>
      <c r="I355" s="304"/>
      <c r="K355" s="129"/>
      <c r="M355" s="129"/>
      <c r="O355" s="129"/>
      <c r="S355" s="172"/>
      <c r="U355" s="129"/>
      <c r="AC355" s="151"/>
      <c r="AD355" s="129"/>
      <c r="AE355" s="172"/>
    </row>
    <row r="356" spans="2:31">
      <c r="B356" s="129"/>
      <c r="C356" s="129"/>
      <c r="I356" s="304"/>
      <c r="K356" s="129"/>
      <c r="M356" s="129"/>
      <c r="O356" s="129"/>
      <c r="S356" s="172"/>
      <c r="U356" s="129"/>
      <c r="AC356" s="151"/>
      <c r="AD356" s="129"/>
      <c r="AE356" s="172"/>
    </row>
    <row r="357" spans="2:31">
      <c r="B357" s="129"/>
      <c r="C357" s="129"/>
      <c r="I357" s="304"/>
      <c r="K357" s="129"/>
      <c r="M357" s="129"/>
      <c r="O357" s="129"/>
      <c r="S357" s="172"/>
      <c r="U357" s="129"/>
      <c r="AC357" s="151"/>
      <c r="AD357" s="129"/>
      <c r="AE357" s="172"/>
    </row>
    <row r="358" spans="2:31">
      <c r="B358" s="129"/>
      <c r="C358" s="129"/>
      <c r="I358" s="304"/>
      <c r="K358" s="129"/>
      <c r="M358" s="129"/>
      <c r="O358" s="129"/>
      <c r="S358" s="172"/>
      <c r="U358" s="129"/>
      <c r="AC358" s="151"/>
      <c r="AD358" s="129"/>
      <c r="AE358" s="172"/>
    </row>
    <row r="359" spans="2:31">
      <c r="B359" s="129"/>
      <c r="C359" s="129"/>
      <c r="I359" s="304"/>
      <c r="K359" s="129"/>
      <c r="M359" s="129"/>
      <c r="O359" s="129"/>
      <c r="S359" s="172"/>
      <c r="U359" s="129"/>
      <c r="AC359" s="151"/>
      <c r="AD359" s="129"/>
      <c r="AE359" s="172"/>
    </row>
    <row r="360" spans="2:31">
      <c r="B360" s="129"/>
      <c r="C360" s="129"/>
      <c r="I360" s="304"/>
      <c r="K360" s="129"/>
      <c r="M360" s="129"/>
      <c r="O360" s="129"/>
      <c r="S360" s="172"/>
      <c r="U360" s="129"/>
      <c r="AC360" s="151"/>
      <c r="AD360" s="129"/>
      <c r="AE360" s="172"/>
    </row>
    <row r="361" spans="2:31">
      <c r="B361" s="129"/>
      <c r="C361" s="129"/>
      <c r="I361" s="304"/>
      <c r="K361" s="129"/>
      <c r="M361" s="129"/>
      <c r="O361" s="129"/>
      <c r="S361" s="172"/>
      <c r="U361" s="129"/>
      <c r="AC361" s="151"/>
      <c r="AD361" s="129"/>
      <c r="AE361" s="172"/>
    </row>
    <row r="362" spans="2:31">
      <c r="B362" s="129"/>
      <c r="C362" s="129"/>
      <c r="I362" s="304"/>
      <c r="K362" s="129"/>
      <c r="M362" s="129"/>
      <c r="O362" s="129"/>
      <c r="S362" s="172"/>
      <c r="U362" s="129"/>
      <c r="AC362" s="151"/>
      <c r="AD362" s="129"/>
      <c r="AE362" s="172"/>
    </row>
    <row r="363" spans="2:31">
      <c r="B363" s="129"/>
      <c r="C363" s="129"/>
      <c r="I363" s="304"/>
      <c r="K363" s="129"/>
      <c r="M363" s="129"/>
      <c r="O363" s="129"/>
      <c r="S363" s="172"/>
      <c r="U363" s="129"/>
      <c r="AC363" s="151"/>
      <c r="AD363" s="129"/>
      <c r="AE363" s="172"/>
    </row>
    <row r="364" spans="2:31">
      <c r="B364" s="129"/>
      <c r="C364" s="129"/>
      <c r="I364" s="304"/>
      <c r="K364" s="129"/>
      <c r="M364" s="129"/>
      <c r="O364" s="129"/>
      <c r="S364" s="172"/>
      <c r="U364" s="129"/>
      <c r="AC364" s="151"/>
      <c r="AD364" s="129"/>
      <c r="AE364" s="172"/>
    </row>
    <row r="365" spans="2:31">
      <c r="B365" s="129"/>
      <c r="C365" s="129"/>
      <c r="I365" s="304"/>
      <c r="K365" s="129"/>
      <c r="M365" s="129"/>
      <c r="O365" s="129"/>
      <c r="S365" s="172"/>
      <c r="U365" s="129"/>
      <c r="AC365" s="151"/>
      <c r="AD365" s="129"/>
      <c r="AE365" s="172"/>
    </row>
    <row r="366" spans="2:31">
      <c r="B366" s="129"/>
      <c r="C366" s="129"/>
      <c r="I366" s="304"/>
      <c r="K366" s="129"/>
      <c r="M366" s="129"/>
      <c r="O366" s="129"/>
      <c r="S366" s="172"/>
      <c r="U366" s="129"/>
      <c r="AC366" s="151"/>
      <c r="AD366" s="129"/>
      <c r="AE366" s="172"/>
    </row>
    <row r="367" spans="2:31">
      <c r="B367" s="129"/>
      <c r="C367" s="129"/>
      <c r="I367" s="304"/>
      <c r="K367" s="129"/>
      <c r="M367" s="129"/>
      <c r="O367" s="129"/>
      <c r="S367" s="172"/>
      <c r="U367" s="129"/>
      <c r="AC367" s="151"/>
      <c r="AD367" s="129"/>
      <c r="AE367" s="172"/>
    </row>
    <row r="368" spans="2:31">
      <c r="B368" s="129"/>
      <c r="C368" s="129"/>
      <c r="I368" s="304"/>
      <c r="K368" s="129"/>
      <c r="M368" s="129"/>
      <c r="O368" s="129"/>
      <c r="S368" s="172"/>
      <c r="U368" s="129"/>
      <c r="AC368" s="151"/>
      <c r="AD368" s="129"/>
      <c r="AE368" s="172"/>
    </row>
    <row r="369" spans="2:31">
      <c r="B369" s="129"/>
      <c r="C369" s="129"/>
      <c r="I369" s="304"/>
      <c r="K369" s="129"/>
      <c r="M369" s="129"/>
      <c r="O369" s="129"/>
      <c r="S369" s="172"/>
      <c r="U369" s="129"/>
      <c r="AC369" s="151"/>
      <c r="AD369" s="129"/>
      <c r="AE369" s="172"/>
    </row>
    <row r="370" spans="2:31">
      <c r="B370" s="129"/>
      <c r="C370" s="129"/>
      <c r="I370" s="304"/>
      <c r="K370" s="129"/>
      <c r="M370" s="129"/>
      <c r="O370" s="129"/>
      <c r="S370" s="172"/>
      <c r="U370" s="129"/>
      <c r="AC370" s="151"/>
      <c r="AD370" s="129"/>
      <c r="AE370" s="172"/>
    </row>
    <row r="371" spans="2:31">
      <c r="B371" s="129"/>
      <c r="C371" s="129"/>
      <c r="I371" s="304"/>
      <c r="K371" s="129"/>
      <c r="M371" s="129"/>
      <c r="O371" s="129"/>
      <c r="S371" s="172"/>
      <c r="U371" s="129"/>
      <c r="AC371" s="151"/>
      <c r="AD371" s="129"/>
      <c r="AE371" s="172"/>
    </row>
    <row r="372" spans="2:31">
      <c r="B372" s="129"/>
      <c r="C372" s="129"/>
      <c r="I372" s="304"/>
      <c r="K372" s="129"/>
      <c r="M372" s="129"/>
      <c r="O372" s="129"/>
      <c r="S372" s="172"/>
      <c r="U372" s="129"/>
      <c r="AC372" s="151"/>
      <c r="AD372" s="129"/>
      <c r="AE372" s="172"/>
    </row>
    <row r="373" spans="2:31">
      <c r="B373" s="129"/>
      <c r="C373" s="129"/>
      <c r="I373" s="304"/>
      <c r="K373" s="129"/>
      <c r="M373" s="129"/>
      <c r="O373" s="129"/>
      <c r="S373" s="172"/>
      <c r="U373" s="129"/>
      <c r="AC373" s="151"/>
      <c r="AD373" s="129"/>
      <c r="AE373" s="172"/>
    </row>
    <row r="374" spans="2:31">
      <c r="B374" s="129"/>
      <c r="C374" s="129"/>
      <c r="I374" s="304"/>
      <c r="K374" s="129"/>
      <c r="M374" s="129"/>
      <c r="O374" s="129"/>
      <c r="S374" s="172"/>
      <c r="U374" s="129"/>
      <c r="AC374" s="151"/>
      <c r="AD374" s="129"/>
      <c r="AE374" s="172"/>
    </row>
    <row r="375" spans="2:31">
      <c r="B375" s="129"/>
      <c r="C375" s="129"/>
      <c r="I375" s="304"/>
      <c r="K375" s="129"/>
      <c r="M375" s="129"/>
      <c r="O375" s="129"/>
      <c r="S375" s="172"/>
      <c r="U375" s="129"/>
      <c r="AC375" s="151"/>
      <c r="AD375" s="129"/>
      <c r="AE375" s="172"/>
    </row>
    <row r="376" spans="2:31">
      <c r="B376" s="129"/>
      <c r="C376" s="129"/>
      <c r="I376" s="304"/>
      <c r="K376" s="129"/>
      <c r="M376" s="129"/>
      <c r="O376" s="129"/>
      <c r="S376" s="172"/>
      <c r="U376" s="129"/>
      <c r="AC376" s="151"/>
      <c r="AD376" s="129"/>
      <c r="AE376" s="172"/>
    </row>
    <row r="377" spans="2:31">
      <c r="B377" s="129"/>
      <c r="C377" s="129"/>
      <c r="I377" s="304"/>
      <c r="K377" s="129"/>
      <c r="M377" s="129"/>
      <c r="O377" s="129"/>
      <c r="S377" s="172"/>
      <c r="U377" s="129"/>
      <c r="AC377" s="151"/>
      <c r="AD377" s="129"/>
      <c r="AE377" s="172"/>
    </row>
    <row r="378" spans="2:31">
      <c r="B378" s="129"/>
      <c r="C378" s="129"/>
      <c r="I378" s="304"/>
      <c r="K378" s="129"/>
      <c r="M378" s="129"/>
      <c r="O378" s="129"/>
      <c r="S378" s="172"/>
      <c r="U378" s="129"/>
      <c r="AC378" s="151"/>
      <c r="AD378" s="129"/>
      <c r="AE378" s="172"/>
    </row>
    <row r="379" spans="2:31">
      <c r="B379" s="129"/>
      <c r="C379" s="129"/>
      <c r="I379" s="304"/>
      <c r="K379" s="129"/>
      <c r="M379" s="129"/>
      <c r="O379" s="129"/>
      <c r="S379" s="172"/>
      <c r="U379" s="129"/>
      <c r="AC379" s="151"/>
      <c r="AD379" s="129"/>
      <c r="AE379" s="172"/>
    </row>
    <row r="380" spans="2:31">
      <c r="B380" s="129"/>
      <c r="C380" s="129"/>
      <c r="I380" s="304"/>
      <c r="K380" s="129"/>
      <c r="M380" s="129"/>
      <c r="O380" s="129"/>
      <c r="S380" s="172"/>
      <c r="U380" s="129"/>
      <c r="AC380" s="151"/>
      <c r="AD380" s="129"/>
      <c r="AE380" s="172"/>
    </row>
    <row r="381" spans="2:31">
      <c r="B381" s="129"/>
      <c r="C381" s="129"/>
      <c r="I381" s="304"/>
      <c r="K381" s="129"/>
      <c r="M381" s="129"/>
      <c r="O381" s="129"/>
      <c r="S381" s="172"/>
      <c r="U381" s="129"/>
      <c r="AC381" s="151"/>
      <c r="AD381" s="129"/>
      <c r="AE381" s="172"/>
    </row>
    <row r="382" spans="2:31">
      <c r="B382" s="129"/>
      <c r="C382" s="129"/>
      <c r="I382" s="304"/>
      <c r="K382" s="129"/>
      <c r="M382" s="129"/>
      <c r="O382" s="129"/>
      <c r="S382" s="172"/>
      <c r="U382" s="129"/>
      <c r="AC382" s="151"/>
      <c r="AD382" s="129"/>
      <c r="AE382" s="172"/>
    </row>
    <row r="383" spans="2:31">
      <c r="B383" s="129"/>
      <c r="C383" s="129"/>
      <c r="I383" s="304"/>
      <c r="K383" s="129"/>
      <c r="M383" s="129"/>
      <c r="O383" s="129"/>
      <c r="S383" s="172"/>
      <c r="U383" s="129"/>
      <c r="AC383" s="151"/>
      <c r="AD383" s="129"/>
      <c r="AE383" s="172"/>
    </row>
    <row r="384" spans="2:31">
      <c r="B384" s="129"/>
      <c r="C384" s="129"/>
      <c r="I384" s="304"/>
      <c r="K384" s="129"/>
      <c r="M384" s="129"/>
      <c r="O384" s="129"/>
      <c r="S384" s="172"/>
      <c r="U384" s="129"/>
      <c r="AC384" s="151"/>
      <c r="AD384" s="129"/>
      <c r="AE384" s="172"/>
    </row>
    <row r="385" spans="2:31">
      <c r="B385" s="129"/>
      <c r="C385" s="129"/>
      <c r="I385" s="304"/>
      <c r="K385" s="129"/>
      <c r="M385" s="129"/>
      <c r="O385" s="129"/>
      <c r="S385" s="172"/>
      <c r="U385" s="129"/>
      <c r="AC385" s="151"/>
      <c r="AD385" s="129"/>
      <c r="AE385" s="172"/>
    </row>
    <row r="386" spans="2:31">
      <c r="B386" s="129"/>
      <c r="C386" s="129"/>
      <c r="I386" s="304"/>
      <c r="K386" s="129"/>
      <c r="M386" s="129"/>
      <c r="O386" s="129"/>
      <c r="S386" s="172"/>
      <c r="U386" s="129"/>
      <c r="AC386" s="151"/>
      <c r="AD386" s="129"/>
      <c r="AE386" s="172"/>
    </row>
    <row r="387" spans="2:31">
      <c r="B387" s="129"/>
      <c r="C387" s="129"/>
      <c r="I387" s="304"/>
      <c r="K387" s="129"/>
      <c r="M387" s="129"/>
      <c r="O387" s="129"/>
      <c r="S387" s="172"/>
      <c r="U387" s="129"/>
      <c r="AC387" s="151"/>
      <c r="AD387" s="129"/>
      <c r="AE387" s="172"/>
    </row>
    <row r="388" spans="2:31">
      <c r="B388" s="129"/>
      <c r="C388" s="129"/>
      <c r="I388" s="304"/>
      <c r="K388" s="129"/>
      <c r="M388" s="129"/>
      <c r="O388" s="129"/>
      <c r="S388" s="172"/>
      <c r="U388" s="129"/>
      <c r="AC388" s="151"/>
      <c r="AD388" s="129"/>
      <c r="AE388" s="172"/>
    </row>
    <row r="389" spans="2:31">
      <c r="B389" s="129"/>
      <c r="C389" s="129"/>
      <c r="I389" s="304"/>
      <c r="K389" s="129"/>
      <c r="M389" s="129"/>
      <c r="O389" s="129"/>
      <c r="S389" s="172"/>
      <c r="U389" s="129"/>
      <c r="AC389" s="151"/>
      <c r="AD389" s="129"/>
      <c r="AE389" s="172"/>
    </row>
    <row r="390" spans="2:31">
      <c r="B390" s="129"/>
      <c r="C390" s="129"/>
      <c r="I390" s="304"/>
      <c r="K390" s="129"/>
      <c r="M390" s="129"/>
      <c r="O390" s="129"/>
      <c r="S390" s="172"/>
      <c r="U390" s="129"/>
      <c r="AC390" s="151"/>
      <c r="AD390" s="129"/>
      <c r="AE390" s="172"/>
    </row>
    <row r="391" spans="2:31">
      <c r="B391" s="129"/>
      <c r="C391" s="129"/>
      <c r="I391" s="304"/>
      <c r="K391" s="129"/>
      <c r="M391" s="129"/>
      <c r="O391" s="129"/>
      <c r="S391" s="172"/>
      <c r="U391" s="129"/>
      <c r="AC391" s="151"/>
      <c r="AD391" s="129"/>
      <c r="AE391" s="172"/>
    </row>
    <row r="392" spans="2:31">
      <c r="B392" s="129"/>
      <c r="C392" s="129"/>
      <c r="I392" s="304"/>
      <c r="K392" s="129"/>
      <c r="M392" s="129"/>
      <c r="O392" s="129"/>
      <c r="S392" s="172"/>
      <c r="U392" s="129"/>
      <c r="AC392" s="151"/>
      <c r="AD392" s="129"/>
      <c r="AE392" s="172"/>
    </row>
    <row r="393" spans="2:31">
      <c r="B393" s="129"/>
      <c r="C393" s="129"/>
      <c r="I393" s="304"/>
      <c r="K393" s="129"/>
      <c r="M393" s="129"/>
      <c r="O393" s="129"/>
      <c r="S393" s="172"/>
      <c r="U393" s="129"/>
      <c r="AC393" s="151"/>
      <c r="AD393" s="129"/>
      <c r="AE393" s="172"/>
    </row>
    <row r="394" spans="2:31">
      <c r="B394" s="129"/>
      <c r="C394" s="129"/>
      <c r="I394" s="304"/>
      <c r="K394" s="129"/>
      <c r="M394" s="129"/>
      <c r="O394" s="129"/>
      <c r="S394" s="172"/>
      <c r="U394" s="129"/>
      <c r="AC394" s="151"/>
      <c r="AD394" s="129"/>
      <c r="AE394" s="172"/>
    </row>
    <row r="395" spans="2:31">
      <c r="B395" s="129"/>
      <c r="C395" s="129"/>
      <c r="I395" s="304"/>
      <c r="K395" s="129"/>
      <c r="M395" s="129"/>
      <c r="O395" s="129"/>
      <c r="S395" s="172"/>
      <c r="U395" s="129"/>
      <c r="AC395" s="151"/>
      <c r="AD395" s="129"/>
      <c r="AE395" s="172"/>
    </row>
    <row r="396" spans="2:31">
      <c r="B396" s="129"/>
      <c r="C396" s="129"/>
      <c r="I396" s="304"/>
      <c r="K396" s="129"/>
      <c r="M396" s="129"/>
      <c r="O396" s="129"/>
      <c r="S396" s="172"/>
      <c r="U396" s="129"/>
      <c r="AC396" s="151"/>
      <c r="AD396" s="129"/>
      <c r="AE396" s="172"/>
    </row>
    <row r="397" spans="2:31">
      <c r="B397" s="129"/>
      <c r="C397" s="129"/>
      <c r="I397" s="304"/>
      <c r="K397" s="129"/>
      <c r="M397" s="129"/>
      <c r="O397" s="129"/>
      <c r="S397" s="172"/>
      <c r="U397" s="129"/>
      <c r="AC397" s="151"/>
      <c r="AD397" s="129"/>
      <c r="AE397" s="172"/>
    </row>
    <row r="398" spans="2:31">
      <c r="B398" s="129"/>
      <c r="C398" s="129"/>
      <c r="I398" s="304"/>
      <c r="K398" s="129"/>
      <c r="M398" s="129"/>
      <c r="O398" s="129"/>
      <c r="S398" s="172"/>
      <c r="U398" s="129"/>
      <c r="AC398" s="151"/>
      <c r="AD398" s="129"/>
      <c r="AE398" s="172"/>
    </row>
    <row r="399" spans="2:31">
      <c r="B399" s="129"/>
      <c r="C399" s="129"/>
      <c r="I399" s="304"/>
      <c r="K399" s="129"/>
      <c r="M399" s="129"/>
      <c r="O399" s="129"/>
      <c r="S399" s="172"/>
      <c r="U399" s="129"/>
      <c r="AC399" s="151"/>
      <c r="AD399" s="129"/>
      <c r="AE399" s="172"/>
    </row>
    <row r="400" spans="2:31">
      <c r="B400" s="129"/>
      <c r="C400" s="129"/>
      <c r="I400" s="304"/>
      <c r="K400" s="129"/>
      <c r="M400" s="129"/>
      <c r="O400" s="129"/>
      <c r="S400" s="172"/>
      <c r="U400" s="129"/>
      <c r="AC400" s="151"/>
      <c r="AD400" s="129"/>
      <c r="AE400" s="172"/>
    </row>
    <row r="401" spans="1:31">
      <c r="A401" s="172"/>
      <c r="B401" s="173"/>
      <c r="C401" s="173"/>
      <c r="D401" s="172"/>
      <c r="E401" s="172"/>
      <c r="F401" s="172"/>
      <c r="G401" s="172"/>
      <c r="H401" s="172"/>
      <c r="I401" s="307"/>
      <c r="J401" s="172"/>
      <c r="K401" s="173"/>
      <c r="L401" s="172"/>
      <c r="M401" s="173"/>
      <c r="N401" s="172"/>
      <c r="O401" s="173"/>
      <c r="P401" s="172"/>
      <c r="Q401" s="172"/>
      <c r="R401" s="172"/>
      <c r="S401" s="172"/>
      <c r="T401" s="172"/>
      <c r="U401" s="129"/>
      <c r="AC401" s="151"/>
      <c r="AD401" s="129"/>
      <c r="AE401" s="172"/>
    </row>
    <row r="402" spans="1:31">
      <c r="A402" s="172"/>
      <c r="B402" s="173"/>
      <c r="C402" s="173"/>
      <c r="D402" s="172"/>
      <c r="E402" s="172"/>
      <c r="F402" s="172"/>
      <c r="G402" s="172"/>
      <c r="H402" s="172"/>
      <c r="I402" s="307"/>
      <c r="J402" s="172"/>
      <c r="K402" s="173"/>
      <c r="L402" s="172"/>
      <c r="M402" s="173"/>
      <c r="N402" s="172"/>
      <c r="O402" s="173"/>
      <c r="P402" s="172"/>
      <c r="Q402" s="172"/>
      <c r="R402" s="172"/>
      <c r="S402" s="172"/>
      <c r="T402" s="172"/>
      <c r="U402" s="129"/>
      <c r="AC402" s="151"/>
      <c r="AD402" s="129"/>
      <c r="AE402" s="172"/>
    </row>
    <row r="403" spans="1:31">
      <c r="A403" s="172"/>
      <c r="B403" s="173"/>
      <c r="C403" s="173"/>
      <c r="D403" s="172"/>
      <c r="E403" s="172"/>
      <c r="F403" s="172"/>
      <c r="G403" s="172"/>
      <c r="H403" s="172"/>
      <c r="I403" s="307"/>
      <c r="J403" s="172"/>
      <c r="K403" s="173"/>
      <c r="L403" s="172"/>
      <c r="M403" s="173"/>
      <c r="N403" s="172"/>
      <c r="O403" s="173"/>
      <c r="P403" s="172"/>
      <c r="Q403" s="172"/>
      <c r="R403" s="172"/>
      <c r="S403" s="172"/>
      <c r="T403" s="172"/>
      <c r="U403" s="129"/>
      <c r="AC403" s="151"/>
      <c r="AD403" s="129"/>
      <c r="AE403" s="172"/>
    </row>
    <row r="404" spans="1:31">
      <c r="A404" s="172"/>
      <c r="B404" s="173"/>
      <c r="C404" s="173"/>
      <c r="D404" s="172"/>
      <c r="E404" s="172"/>
      <c r="F404" s="172"/>
      <c r="G404" s="172"/>
      <c r="H404" s="172"/>
      <c r="I404" s="307"/>
      <c r="J404" s="172"/>
      <c r="K404" s="173"/>
      <c r="L404" s="172"/>
      <c r="M404" s="173"/>
      <c r="N404" s="172"/>
      <c r="O404" s="173"/>
      <c r="P404" s="172"/>
      <c r="Q404" s="172"/>
      <c r="R404" s="172"/>
      <c r="S404" s="172"/>
      <c r="T404" s="172"/>
      <c r="U404" s="129"/>
      <c r="AC404" s="151"/>
      <c r="AD404" s="129"/>
      <c r="AE404" s="172"/>
    </row>
    <row r="405" spans="1:31">
      <c r="A405" s="172"/>
      <c r="B405" s="173"/>
      <c r="C405" s="173"/>
      <c r="D405" s="172"/>
      <c r="E405" s="172"/>
      <c r="F405" s="172"/>
      <c r="G405" s="172"/>
      <c r="H405" s="172"/>
      <c r="I405" s="307"/>
      <c r="J405" s="172"/>
      <c r="K405" s="173"/>
      <c r="L405" s="172"/>
      <c r="M405" s="173"/>
      <c r="N405" s="172"/>
      <c r="O405" s="173"/>
      <c r="P405" s="172"/>
      <c r="Q405" s="172"/>
      <c r="R405" s="172"/>
      <c r="S405" s="172"/>
      <c r="T405" s="172"/>
      <c r="U405" s="129"/>
      <c r="AC405" s="151"/>
      <c r="AD405" s="129"/>
      <c r="AE405" s="172"/>
    </row>
    <row r="406" spans="1:31">
      <c r="A406" s="172"/>
      <c r="B406" s="173"/>
      <c r="C406" s="173"/>
      <c r="D406" s="172"/>
      <c r="E406" s="172"/>
      <c r="F406" s="172"/>
      <c r="G406" s="172"/>
      <c r="H406" s="172"/>
      <c r="I406" s="307"/>
      <c r="J406" s="172"/>
      <c r="K406" s="173"/>
      <c r="L406" s="172"/>
      <c r="M406" s="173"/>
      <c r="N406" s="172"/>
      <c r="O406" s="173"/>
      <c r="P406" s="172"/>
      <c r="Q406" s="172"/>
      <c r="R406" s="172"/>
      <c r="S406" s="172"/>
      <c r="T406" s="172"/>
      <c r="U406" s="129"/>
      <c r="AC406" s="151"/>
      <c r="AD406" s="129"/>
      <c r="AE406" s="172"/>
    </row>
    <row r="407" spans="1:31">
      <c r="U407" s="129"/>
      <c r="AC407" s="151"/>
      <c r="AD407" s="129"/>
      <c r="AE407" s="172"/>
    </row>
    <row r="408" spans="1:31">
      <c r="U408" s="129"/>
      <c r="AC408" s="151"/>
      <c r="AD408" s="129"/>
      <c r="AE408" s="172"/>
    </row>
    <row r="409" spans="1:31">
      <c r="U409" s="173"/>
      <c r="V409" s="172"/>
      <c r="W409" s="172"/>
      <c r="X409" s="172"/>
      <c r="Y409" s="172"/>
      <c r="Z409" s="172"/>
      <c r="AA409" s="172"/>
      <c r="AB409" s="172"/>
      <c r="AC409" s="291"/>
      <c r="AD409" s="174"/>
      <c r="AE409" s="172"/>
    </row>
    <row r="410" spans="1:31">
      <c r="U410" s="173"/>
      <c r="V410" s="172"/>
      <c r="W410" s="172"/>
      <c r="X410" s="172"/>
      <c r="Y410" s="172"/>
      <c r="Z410" s="172"/>
      <c r="AA410" s="172"/>
      <c r="AB410" s="172"/>
      <c r="AC410" s="291"/>
      <c r="AD410" s="174"/>
      <c r="AE410" s="172"/>
    </row>
    <row r="411" spans="1:31">
      <c r="U411" s="173"/>
      <c r="V411" s="172"/>
      <c r="W411" s="172"/>
      <c r="X411" s="172"/>
      <c r="Y411" s="172"/>
      <c r="Z411" s="172"/>
      <c r="AA411" s="172"/>
      <c r="AB411" s="172"/>
      <c r="AC411" s="291"/>
      <c r="AD411" s="174"/>
      <c r="AE411" s="172"/>
    </row>
    <row r="412" spans="1:31">
      <c r="U412" s="173"/>
      <c r="V412" s="172"/>
      <c r="W412" s="172"/>
      <c r="X412" s="172"/>
      <c r="Y412" s="172"/>
      <c r="Z412" s="172"/>
      <c r="AA412" s="172"/>
      <c r="AB412" s="172"/>
      <c r="AC412" s="291"/>
      <c r="AD412" s="174"/>
      <c r="AE412" s="172"/>
    </row>
    <row r="413" spans="1:31">
      <c r="U413" s="173"/>
      <c r="V413" s="172"/>
      <c r="W413" s="172"/>
      <c r="X413" s="172"/>
      <c r="Y413" s="172"/>
      <c r="Z413" s="172"/>
      <c r="AA413" s="172"/>
      <c r="AB413" s="172"/>
      <c r="AC413" s="291"/>
      <c r="AD413" s="174"/>
      <c r="AE413" s="172"/>
    </row>
    <row r="414" spans="1:31">
      <c r="U414" s="173"/>
      <c r="V414" s="172"/>
      <c r="W414" s="172"/>
      <c r="X414" s="172"/>
      <c r="Y414" s="172"/>
      <c r="Z414" s="172"/>
      <c r="AA414" s="172"/>
      <c r="AB414" s="172"/>
      <c r="AC414" s="291"/>
      <c r="AD414" s="174"/>
      <c r="AE414" s="172"/>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dimension ref="A1:AM72"/>
  <sheetViews>
    <sheetView zoomScaleNormal="100" workbookViewId="0">
      <selection activeCell="D11" sqref="D11"/>
    </sheetView>
  </sheetViews>
  <sheetFormatPr defaultColWidth="11.42578125" defaultRowHeight="12.75"/>
  <cols>
    <col min="1" max="1" width="23.7109375" bestFit="1" customWidth="1"/>
    <col min="2" max="2" width="2" style="44" bestFit="1" customWidth="1"/>
    <col min="3" max="4" width="4.85546875" style="44" bestFit="1" customWidth="1"/>
    <col min="5" max="5" width="3.42578125" style="44" bestFit="1" customWidth="1"/>
    <col min="6" max="6" width="3.85546875" style="44" bestFit="1" customWidth="1"/>
    <col min="7" max="7" width="3" style="44" bestFit="1" customWidth="1"/>
    <col min="8" max="8" width="4.85546875" style="44" bestFit="1" customWidth="1"/>
    <col min="9" max="9" width="6.42578125" style="44" bestFit="1" customWidth="1"/>
    <col min="10" max="10" width="5.42578125" style="44" bestFit="1" customWidth="1"/>
    <col min="11" max="11" width="3.85546875" style="120" bestFit="1" customWidth="1"/>
    <col min="12" max="12" width="4.140625" style="120" bestFit="1" customWidth="1"/>
    <col min="13" max="13" width="4" style="120" bestFit="1" customWidth="1"/>
    <col min="14" max="14" width="6.42578125" style="44" bestFit="1" customWidth="1"/>
    <col min="15" max="15" width="6.5703125" style="44" bestFit="1" customWidth="1"/>
    <col min="16" max="16" width="8" style="44" bestFit="1" customWidth="1"/>
    <col min="17" max="17" width="8.5703125" style="44" bestFit="1" customWidth="1"/>
    <col min="18" max="19" width="2.7109375" style="314" bestFit="1" customWidth="1"/>
    <col min="20" max="20" width="23" style="676" bestFit="1" customWidth="1"/>
    <col min="21" max="21" width="8" customWidth="1"/>
    <col min="22" max="22" width="21.5703125" bestFit="1" customWidth="1"/>
    <col min="23" max="23" width="14" bestFit="1" customWidth="1"/>
    <col min="24" max="24" width="22.85546875" bestFit="1" customWidth="1"/>
    <col min="25" max="25" width="10.42578125" bestFit="1" customWidth="1"/>
    <col min="26" max="26" width="12.140625" bestFit="1" customWidth="1"/>
    <col min="27" max="27" width="10.7109375" bestFit="1" customWidth="1"/>
    <col min="28" max="28" width="13.7109375" bestFit="1" customWidth="1"/>
    <col min="29" max="29" width="15.85546875" bestFit="1" customWidth="1"/>
    <col min="30" max="30" width="11.28515625" bestFit="1" customWidth="1"/>
    <col min="31" max="32" width="10.42578125" bestFit="1" customWidth="1"/>
    <col min="33" max="33" width="6.85546875" bestFit="1" customWidth="1"/>
    <col min="34" max="34" width="6.7109375" bestFit="1" customWidth="1"/>
    <col min="35" max="39" width="1.85546875" bestFit="1" customWidth="1"/>
  </cols>
  <sheetData>
    <row r="1" spans="1:39" ht="11.25" customHeight="1" thickBot="1">
      <c r="A1" s="800" t="s">
        <v>164</v>
      </c>
      <c r="B1" s="801" t="s">
        <v>2798</v>
      </c>
      <c r="C1" s="801" t="s">
        <v>1214</v>
      </c>
      <c r="D1" s="801" t="s">
        <v>1215</v>
      </c>
      <c r="E1" s="801" t="s">
        <v>1216</v>
      </c>
      <c r="F1" s="801" t="s">
        <v>2140</v>
      </c>
      <c r="G1" s="801" t="s">
        <v>2139</v>
      </c>
      <c r="H1" s="801" t="s">
        <v>768</v>
      </c>
      <c r="I1" s="801" t="s">
        <v>1219</v>
      </c>
      <c r="J1" s="801" t="s">
        <v>771</v>
      </c>
      <c r="K1" s="801" t="s">
        <v>1222</v>
      </c>
      <c r="L1" s="801" t="s">
        <v>1223</v>
      </c>
      <c r="M1" s="801" t="s">
        <v>1705</v>
      </c>
      <c r="N1" s="801" t="s">
        <v>1934</v>
      </c>
      <c r="O1" s="801" t="s">
        <v>1225</v>
      </c>
      <c r="P1" s="801" t="s">
        <v>1226</v>
      </c>
      <c r="Q1" s="801" t="s">
        <v>147</v>
      </c>
      <c r="R1" s="801">
        <v>0</v>
      </c>
      <c r="S1" s="802"/>
      <c r="T1" s="803" t="s">
        <v>1689</v>
      </c>
      <c r="U1" s="133"/>
      <c r="V1" s="6"/>
      <c r="W1" s="48"/>
      <c r="X1" s="48" t="s">
        <v>1538</v>
      </c>
      <c r="Y1" s="48"/>
      <c r="Z1" s="47" t="s">
        <v>1316</v>
      </c>
      <c r="AA1" s="48" t="s">
        <v>1966</v>
      </c>
      <c r="AB1" s="48" t="s">
        <v>1967</v>
      </c>
      <c r="AC1" s="48" t="s">
        <v>1968</v>
      </c>
      <c r="AD1" s="48" t="s">
        <v>1969</v>
      </c>
      <c r="AE1" s="48" t="s">
        <v>1970</v>
      </c>
      <c r="AF1" s="48" t="s">
        <v>1971</v>
      </c>
      <c r="AG1" s="48" t="s">
        <v>1972</v>
      </c>
      <c r="AH1" s="48" t="s">
        <v>1973</v>
      </c>
      <c r="AI1" s="6">
        <v>1</v>
      </c>
      <c r="AJ1" s="6">
        <v>2</v>
      </c>
      <c r="AK1" s="6">
        <v>3</v>
      </c>
      <c r="AL1" s="6">
        <v>4</v>
      </c>
      <c r="AM1" s="6">
        <v>5</v>
      </c>
    </row>
    <row r="2" spans="1:39" ht="11.25" customHeight="1">
      <c r="A2" s="10" t="s">
        <v>2207</v>
      </c>
      <c r="B2" s="114"/>
      <c r="C2" s="114"/>
      <c r="D2" s="114"/>
      <c r="E2" s="114"/>
      <c r="F2" s="115"/>
      <c r="G2" s="115"/>
      <c r="H2" s="114"/>
      <c r="I2" s="114"/>
      <c r="J2" s="116"/>
      <c r="K2" s="769"/>
      <c r="L2" s="769"/>
      <c r="M2" s="786"/>
      <c r="N2" s="787"/>
      <c r="O2" s="114" t="s">
        <v>1974</v>
      </c>
      <c r="P2" s="124"/>
      <c r="Q2" s="793"/>
      <c r="R2" s="792"/>
      <c r="S2" s="751"/>
      <c r="T2" s="714"/>
      <c r="U2" s="124"/>
      <c r="W2" s="6" t="s">
        <v>1651</v>
      </c>
      <c r="X2" s="48">
        <f>VLOOKUP('Gear &amp; Buffs'!$B$11,MHEnchantStats,17,FALSE)</f>
        <v>0</v>
      </c>
      <c r="Y2" s="48"/>
      <c r="Z2" s="48">
        <f>Talents!$C$31*0.02</f>
        <v>0</v>
      </c>
      <c r="AA2" s="128">
        <f>fullresist</f>
        <v>0.83</v>
      </c>
      <c r="AB2" s="140">
        <f>0.3+0.01*bfInPres+Talents!$C$24*0.02</f>
        <v>0.3</v>
      </c>
      <c r="AC2" s="48">
        <f>180</f>
        <v>180</v>
      </c>
      <c r="AD2" s="140">
        <f>0.2+0.01*bfInPres+Talents!$C$24*0.02</f>
        <v>0.2</v>
      </c>
      <c r="AE2" s="48">
        <f>(146+194)/2</f>
        <v>170</v>
      </c>
      <c r="AF2" s="6">
        <f>(134+172)/2</f>
        <v>153</v>
      </c>
      <c r="AG2" s="326">
        <f>0.3+0.01*bfInPres+Talents!$C$24*0.02</f>
        <v>0.3</v>
      </c>
      <c r="AH2" s="6">
        <v>65</v>
      </c>
      <c r="AI2" s="6"/>
      <c r="AJ2" s="6"/>
      <c r="AK2" s="6"/>
      <c r="AL2" s="6"/>
      <c r="AM2" s="6"/>
    </row>
    <row r="3" spans="1:39" ht="11.25" customHeight="1">
      <c r="A3" s="10" t="s">
        <v>1975</v>
      </c>
      <c r="B3" s="114">
        <v>1</v>
      </c>
      <c r="C3" s="114"/>
      <c r="D3" s="114">
        <v>15</v>
      </c>
      <c r="E3" s="114"/>
      <c r="F3" s="115"/>
      <c r="G3" s="115"/>
      <c r="H3" s="114"/>
      <c r="I3" s="114"/>
      <c r="J3" s="116"/>
      <c r="K3" s="769"/>
      <c r="L3" s="769"/>
      <c r="M3" s="786"/>
      <c r="N3" s="787">
        <v>2564</v>
      </c>
      <c r="O3" s="114" t="s">
        <v>1974</v>
      </c>
      <c r="P3" s="124"/>
      <c r="Q3" s="794"/>
      <c r="R3" s="116">
        <f>IF(OR(IF(includep1,$B3&lt;=1), IF(includep2,$B3&lt;=2), IF(includep3,$B3&lt;=3), IF(includep4,$B3&lt;=4), IF(includep5,$B3&lt;=5)),MAX($R$1:R2)+1,"")</f>
        <v>1</v>
      </c>
      <c r="S3" s="751">
        <v>1</v>
      </c>
      <c r="T3" s="714" t="str">
        <f>IF(ISNA(INDEX($A$3:$A$12,MATCH(S3,R$3:R$12,0))), "", INDEX($A$3:$A$12,MATCH(S3,R$3:R$12,0)))</f>
        <v>Agility (+15 Agility)</v>
      </c>
      <c r="U3" s="124"/>
      <c r="W3" s="6" t="s">
        <v>1273</v>
      </c>
      <c r="X3" s="48">
        <f>VLOOKUP('Gear &amp; Buffs'!$B$12,MHTempEnchantStats,17,FALSE)</f>
        <v>0</v>
      </c>
      <c r="Y3" s="48"/>
      <c r="Z3" s="48"/>
      <c r="AA3" s="141" t="s">
        <v>1976</v>
      </c>
      <c r="AB3" s="140"/>
      <c r="AC3" s="48"/>
      <c r="AD3" s="140"/>
      <c r="AE3" s="6"/>
      <c r="AF3" s="6"/>
      <c r="AG3" s="6"/>
      <c r="AH3" s="6"/>
      <c r="AI3" s="6"/>
      <c r="AJ3" s="6"/>
      <c r="AK3" s="6"/>
      <c r="AL3" s="6"/>
      <c r="AM3" s="6"/>
    </row>
    <row r="4" spans="1:39" ht="11.25" customHeight="1">
      <c r="A4" s="10" t="s">
        <v>1977</v>
      </c>
      <c r="B4" s="114">
        <v>1</v>
      </c>
      <c r="C4" s="124">
        <f>(100-IF(CharLevel&gt;60,(CharLevel-60)*4,0))*enCrMHup</f>
        <v>33.876973758418337</v>
      </c>
      <c r="D4" s="114"/>
      <c r="E4" s="114"/>
      <c r="F4" s="115"/>
      <c r="G4" s="115"/>
      <c r="H4" s="114"/>
      <c r="I4" s="114"/>
      <c r="J4" s="116"/>
      <c r="K4" s="769"/>
      <c r="L4" s="769"/>
      <c r="M4" s="786"/>
      <c r="N4" s="787">
        <v>1900</v>
      </c>
      <c r="O4" s="114" t="s">
        <v>1974</v>
      </c>
      <c r="P4" s="124"/>
      <c r="Q4" s="794"/>
      <c r="R4" s="116">
        <f>IF(OR(IF(includep1,$B4&lt;=1), IF(includep2,$B4&lt;=2), IF(includep3,$B4&lt;=3), IF(includep4,$B4&lt;=4), IF(includep5,$B4&lt;=5)),MAX($R$1:R3)+1,"")</f>
        <v>2</v>
      </c>
      <c r="S4" s="751">
        <v>2</v>
      </c>
      <c r="T4" s="714" t="str">
        <f t="shared" ref="T4:T12" si="0">IF(ISNA(INDEX($A$3:$A$12,MATCH(S4,R$3:R$12,0))), "", INDEX($A$3:$A$12,MATCH(S4,R$3:R$12,0)))</f>
        <v>Crusader</v>
      </c>
      <c r="U4" s="124"/>
      <c r="W4" s="6" t="s">
        <v>1276</v>
      </c>
      <c r="X4" s="48">
        <f>VLOOKUP('Gear &amp; Buffs'!$B$17,OHEnchantStats,17,FALSE)</f>
        <v>0</v>
      </c>
      <c r="Y4" s="143"/>
      <c r="Z4" s="6"/>
      <c r="AA4" s="144">
        <f>($AA$2+mpsn)*AE2*(Talents!$C$23*0.04+1)</f>
        <v>158.03200000000001</v>
      </c>
      <c r="AB4" s="141"/>
      <c r="AC4" s="48"/>
      <c r="AD4" s="48"/>
      <c r="AE4" s="6"/>
      <c r="AF4" s="6"/>
      <c r="AG4" s="6"/>
      <c r="AH4" s="6"/>
      <c r="AI4" s="6"/>
      <c r="AJ4" s="6"/>
      <c r="AK4" s="6"/>
      <c r="AL4" s="6"/>
      <c r="AM4" s="6"/>
    </row>
    <row r="5" spans="1:39" ht="11.25" customHeight="1">
      <c r="A5" s="10" t="s">
        <v>2843</v>
      </c>
      <c r="B5" s="114">
        <v>1</v>
      </c>
      <c r="C5" s="124"/>
      <c r="D5" s="114"/>
      <c r="E5" s="114"/>
      <c r="F5" s="115"/>
      <c r="G5" s="115"/>
      <c r="H5" s="114"/>
      <c r="I5" s="114"/>
      <c r="J5" s="116"/>
      <c r="K5" s="769"/>
      <c r="L5" s="769"/>
      <c r="M5" s="786"/>
      <c r="N5" s="787">
        <v>912</v>
      </c>
      <c r="O5" s="114" t="s">
        <v>1974</v>
      </c>
      <c r="P5" s="124"/>
      <c r="Q5" s="794">
        <f>'Damage Calc'!I48*'Damage Calc'!L48*6*$AA$2*100</f>
        <v>27.818134119832962</v>
      </c>
      <c r="R5" s="116">
        <f>IF(OR(IF(includep1,$B5&lt;=1), IF(includep2,$B5&lt;=2), IF(includep3,$B5&lt;=3), IF(includep4,$B5&lt;=4), IF(includep5,$B5&lt;=5)),MAX($R$1:R4)+1,"")</f>
        <v>3</v>
      </c>
      <c r="S5" s="751">
        <v>3</v>
      </c>
      <c r="T5" s="714" t="str">
        <f t="shared" si="0"/>
        <v>Demonslaying</v>
      </c>
      <c r="U5" s="124"/>
      <c r="W5" s="6" t="s">
        <v>1279</v>
      </c>
      <c r="X5" s="1347">
        <f>VLOOKUP('Gear &amp; Buffs'!$B$18,OHTempEnchantStats,17,FALSE)</f>
        <v>77.558933726510688</v>
      </c>
      <c r="Y5" s="48"/>
      <c r="Z5" s="48"/>
      <c r="AA5" s="141"/>
      <c r="AB5" s="141"/>
      <c r="AC5" s="48"/>
      <c r="AD5" s="48"/>
      <c r="AE5" s="6"/>
      <c r="AF5" s="6"/>
      <c r="AG5" s="6"/>
      <c r="AH5" s="6"/>
      <c r="AI5" s="6"/>
      <c r="AJ5" s="6"/>
      <c r="AK5" s="6"/>
      <c r="AL5" s="6"/>
      <c r="AM5" s="6"/>
    </row>
    <row r="6" spans="1:39" ht="11.25" customHeight="1">
      <c r="A6" s="10" t="s">
        <v>1665</v>
      </c>
      <c r="B6" s="114">
        <v>4</v>
      </c>
      <c r="C6" s="114"/>
      <c r="D6" s="114"/>
      <c r="E6" s="114"/>
      <c r="F6" s="115"/>
      <c r="G6" s="115"/>
      <c r="H6" s="114"/>
      <c r="I6" s="124">
        <f>840*IF('Gear &amp; Buffs'!B17="Executioner",enExBHup,enExMHup)</f>
        <v>474.27763261785674</v>
      </c>
      <c r="J6" s="116"/>
      <c r="K6" s="769"/>
      <c r="L6" s="769"/>
      <c r="M6" s="786"/>
      <c r="N6" s="787">
        <v>3225</v>
      </c>
      <c r="O6" s="114" t="s">
        <v>1974</v>
      </c>
      <c r="P6" s="124"/>
      <c r="Q6" s="794"/>
      <c r="R6" s="116" t="str">
        <f>IF(OR(IF(includep1,$B6&lt;=1), IF(includep2,$B6&lt;=2), IF(includep3,$B6&lt;=3), IF(includep4,$B6&lt;=4), IF(includep5,$B6&lt;=5)),MAX($R$1:R5)+1,"")</f>
        <v/>
      </c>
      <c r="S6" s="751">
        <v>4</v>
      </c>
      <c r="T6" s="714" t="str">
        <f t="shared" si="0"/>
        <v>Fiery Weapon</v>
      </c>
      <c r="U6" s="124"/>
      <c r="V6" s="6"/>
      <c r="W6" s="795"/>
      <c r="X6" s="795">
        <f>X2+X4</f>
        <v>0</v>
      </c>
      <c r="Y6" s="48"/>
      <c r="Z6" s="48"/>
      <c r="AA6" s="141"/>
      <c r="AB6" s="141"/>
      <c r="AC6" s="48"/>
      <c r="AD6" s="48"/>
      <c r="AE6" s="6"/>
      <c r="AF6" s="6"/>
      <c r="AG6" s="6"/>
      <c r="AH6" s="6"/>
      <c r="AI6" s="6"/>
      <c r="AJ6" s="6"/>
      <c r="AK6" s="6"/>
      <c r="AL6" s="6"/>
      <c r="AM6" s="6"/>
    </row>
    <row r="7" spans="1:39" ht="11.25" customHeight="1">
      <c r="A7" s="10" t="s">
        <v>1978</v>
      </c>
      <c r="B7" s="114">
        <v>1</v>
      </c>
      <c r="C7" s="114"/>
      <c r="D7" s="114"/>
      <c r="E7" s="114"/>
      <c r="F7" s="115"/>
      <c r="G7" s="115"/>
      <c r="H7" s="114"/>
      <c r="I7" s="114"/>
      <c r="J7" s="116"/>
      <c r="K7" s="769"/>
      <c r="L7" s="769"/>
      <c r="M7" s="786"/>
      <c r="N7" s="787">
        <v>803</v>
      </c>
      <c r="O7" s="114" t="s">
        <v>1974</v>
      </c>
      <c r="P7" s="124"/>
      <c r="Q7" s="794">
        <f>'Damage Calc'!I48*'Damage Calc'!L48*6*$AA$2*40*(1+(0.01*miseryimp)*misery)*IF(CoE,1.25,1)</f>
        <v>14.604520412912304</v>
      </c>
      <c r="R7" s="116">
        <f>IF(OR(IF(includep1,$B7&lt;=1), IF(includep2,$B7&lt;=2), IF(includep3,$B7&lt;=3), IF(includep4,$B7&lt;=4), IF(includep5,$B7&lt;=5)),MAX($R$1:R6)+1,"")</f>
        <v>4</v>
      </c>
      <c r="S7" s="751">
        <v>5</v>
      </c>
      <c r="T7" s="714" t="str">
        <f t="shared" si="0"/>
        <v>Greater Agility (+20 Agility)</v>
      </c>
      <c r="U7" s="124"/>
      <c r="V7" s="6"/>
      <c r="W7" s="48"/>
      <c r="X7" s="48"/>
      <c r="Y7" s="145"/>
      <c r="Z7" s="145"/>
      <c r="AA7" s="141"/>
      <c r="AB7" s="141"/>
      <c r="AC7" s="48"/>
      <c r="AD7" s="48"/>
      <c r="AE7" s="6"/>
      <c r="AF7" s="6"/>
      <c r="AG7" s="6"/>
      <c r="AH7" s="6"/>
      <c r="AI7" s="6"/>
      <c r="AJ7" s="6"/>
      <c r="AK7" s="6"/>
      <c r="AL7" s="6"/>
      <c r="AM7" s="6"/>
    </row>
    <row r="8" spans="1:39" ht="11.25" customHeight="1">
      <c r="A8" s="10" t="s">
        <v>1469</v>
      </c>
      <c r="B8" s="114">
        <v>1</v>
      </c>
      <c r="C8" s="114"/>
      <c r="D8" s="114">
        <v>20</v>
      </c>
      <c r="E8" s="114"/>
      <c r="F8" s="115"/>
      <c r="G8" s="115"/>
      <c r="H8" s="114"/>
      <c r="I8" s="114"/>
      <c r="J8" s="116"/>
      <c r="K8" s="769"/>
      <c r="L8" s="769"/>
      <c r="M8" s="786"/>
      <c r="N8" s="787">
        <v>3222</v>
      </c>
      <c r="O8" s="114" t="s">
        <v>1974</v>
      </c>
      <c r="P8" s="124"/>
      <c r="Q8" s="794"/>
      <c r="R8" s="116">
        <f>IF(OR(IF(includep1,$B8&lt;=1), IF(includep2,$B8&lt;=2), IF(includep3,$B8&lt;=3), IF(includep4,$B8&lt;=4), IF(includep5,$B8&lt;=5)),MAX($R$1:R7)+1,"")</f>
        <v>5</v>
      </c>
      <c r="S8" s="751">
        <v>6</v>
      </c>
      <c r="T8" s="714" t="str">
        <f t="shared" si="0"/>
        <v>Lifestealing</v>
      </c>
      <c r="U8" s="124"/>
      <c r="V8" s="6"/>
      <c r="W8" s="48"/>
      <c r="X8" s="48"/>
      <c r="Y8" s="145"/>
      <c r="Z8" s="145"/>
      <c r="AA8" s="6"/>
      <c r="AB8" s="6"/>
      <c r="AC8" s="6"/>
      <c r="AD8" s="6"/>
      <c r="AE8" s="6"/>
      <c r="AF8" s="6"/>
    </row>
    <row r="9" spans="1:39" ht="11.25" customHeight="1">
      <c r="A9" s="10" t="s">
        <v>1639</v>
      </c>
      <c r="B9" s="114">
        <v>1</v>
      </c>
      <c r="C9" s="114"/>
      <c r="D9" s="114"/>
      <c r="E9" s="114"/>
      <c r="F9" s="115"/>
      <c r="G9" s="115"/>
      <c r="H9" s="114"/>
      <c r="I9" s="114"/>
      <c r="J9" s="116"/>
      <c r="K9" s="769"/>
      <c r="L9" s="769"/>
      <c r="M9" s="786"/>
      <c r="N9" s="787">
        <v>1898</v>
      </c>
      <c r="O9" s="114" t="s">
        <v>1974</v>
      </c>
      <c r="P9" s="124"/>
      <c r="Q9" s="794">
        <f>'Damage Calc'!I48*'Damage Calc'!L48*6*$AA$2*19*IF(SW,1.1,1)*(1+(0.01*miseryimp)*misery)</f>
        <v>6.1046895325973436</v>
      </c>
      <c r="R9" s="116">
        <f>IF(OR(IF(includep1,$B9&lt;=1), IF(includep2,$B9&lt;=2), IF(includep3,$B9&lt;=3), IF(includep4,$B9&lt;=4), IF(includep5,$B9&lt;=5)),MAX($R$1:R8)+1,"")</f>
        <v>6</v>
      </c>
      <c r="S9" s="751">
        <v>7</v>
      </c>
      <c r="T9" s="714" t="str">
        <f t="shared" si="0"/>
        <v>Mongoose</v>
      </c>
      <c r="U9" s="124"/>
      <c r="V9" s="6"/>
      <c r="W9" s="48"/>
      <c r="X9" s="48"/>
      <c r="Y9" s="146"/>
      <c r="Z9" s="146"/>
      <c r="AA9" s="6"/>
      <c r="AB9" s="6"/>
      <c r="AC9" s="6"/>
      <c r="AD9" s="6"/>
      <c r="AE9" s="6"/>
      <c r="AF9" s="6"/>
    </row>
    <row r="10" spans="1:39" ht="11.25" customHeight="1">
      <c r="A10" s="10" t="s">
        <v>1640</v>
      </c>
      <c r="B10" s="114">
        <v>2</v>
      </c>
      <c r="C10" s="114"/>
      <c r="D10" s="114"/>
      <c r="E10" s="114"/>
      <c r="F10" s="115"/>
      <c r="G10" s="115"/>
      <c r="H10" s="114"/>
      <c r="I10" s="114"/>
      <c r="J10" s="116"/>
      <c r="K10" s="769">
        <v>7</v>
      </c>
      <c r="L10" s="769">
        <v>7</v>
      </c>
      <c r="M10" s="786">
        <v>7</v>
      </c>
      <c r="N10" s="787">
        <v>963</v>
      </c>
      <c r="O10" s="114" t="s">
        <v>1974</v>
      </c>
      <c r="P10" s="124"/>
      <c r="Q10" s="794"/>
      <c r="R10" s="116" t="str">
        <f>IF(OR(IF(includep1,$B10&lt;=1), IF(includep2,$B10&lt;=2), IF(includep3,$B10&lt;=3), IF(includep4,$B10&lt;=4), IF(includep5,$B10&lt;=5)),MAX($R$1:R9)+1,"")</f>
        <v/>
      </c>
      <c r="S10" s="751">
        <v>8</v>
      </c>
      <c r="T10" s="714" t="str">
        <f t="shared" si="0"/>
        <v>Superior Striking</v>
      </c>
      <c r="U10" s="124"/>
      <c r="V10" s="6"/>
      <c r="W10" s="48"/>
      <c r="X10" s="48"/>
      <c r="Y10" s="6"/>
      <c r="Z10" s="6"/>
      <c r="AA10" s="6"/>
      <c r="AB10" s="6"/>
      <c r="AC10" s="6"/>
      <c r="AD10" s="6"/>
      <c r="AE10" s="6"/>
      <c r="AF10" s="6"/>
    </row>
    <row r="11" spans="1:39" ht="11.25" customHeight="1">
      <c r="A11" s="10" t="s">
        <v>1229</v>
      </c>
      <c r="B11" s="114">
        <v>1</v>
      </c>
      <c r="C11" s="21"/>
      <c r="D11" s="790">
        <f>120*enMnMHup</f>
        <v>67.753947516836675</v>
      </c>
      <c r="E11" s="21"/>
      <c r="F11" s="21"/>
      <c r="G11" s="21"/>
      <c r="H11" s="21"/>
      <c r="I11" s="21"/>
      <c r="J11" s="790">
        <f>2*hasterate*enMnMHup</f>
        <v>17.807127231989124</v>
      </c>
      <c r="K11" s="769"/>
      <c r="L11" s="769"/>
      <c r="M11" s="769"/>
      <c r="N11" s="787">
        <v>2673</v>
      </c>
      <c r="O11" s="114" t="s">
        <v>1974</v>
      </c>
      <c r="P11" s="769"/>
      <c r="Q11" s="794"/>
      <c r="R11" s="116">
        <f>IF(OR(IF(includep1,$B11&lt;=1), IF(includep2,$B11&lt;=2), IF(includep3,$B11&lt;=3), IF(includep4,$B11&lt;=4), IF(includep5,$B11&lt;=5)),MAX($R$1:R10)+1,"")</f>
        <v>7</v>
      </c>
      <c r="S11" s="751">
        <v>9</v>
      </c>
      <c r="T11" s="714" t="str">
        <f t="shared" si="0"/>
        <v/>
      </c>
      <c r="U11" s="47"/>
      <c r="V11" s="141"/>
      <c r="W11" s="6"/>
      <c r="X11" s="48"/>
      <c r="Y11" s="327"/>
      <c r="Z11" s="327"/>
      <c r="AA11" s="6"/>
      <c r="AB11" s="6"/>
      <c r="AC11" s="6"/>
      <c r="AD11" s="6"/>
      <c r="AE11" s="6"/>
      <c r="AF11" s="6"/>
    </row>
    <row r="12" spans="1:39" ht="11.25" customHeight="1">
      <c r="A12" s="10" t="s">
        <v>2842</v>
      </c>
      <c r="B12" s="114">
        <v>1</v>
      </c>
      <c r="C12" s="21"/>
      <c r="D12" s="790"/>
      <c r="E12" s="21"/>
      <c r="F12" s="21"/>
      <c r="G12" s="21"/>
      <c r="H12" s="21"/>
      <c r="I12" s="21"/>
      <c r="J12" s="790"/>
      <c r="K12" s="769">
        <v>5</v>
      </c>
      <c r="L12" s="769">
        <v>5</v>
      </c>
      <c r="M12" s="769">
        <v>5</v>
      </c>
      <c r="N12" s="787">
        <v>1897</v>
      </c>
      <c r="O12" s="114" t="s">
        <v>1974</v>
      </c>
      <c r="P12" s="769"/>
      <c r="Q12" s="794"/>
      <c r="R12" s="116">
        <f>IF(OR(IF(includep1,$B12&lt;=1), IF(includep2,$B12&lt;=2), IF(includep3,$B12&lt;=3), IF(includep4,$B12&lt;=4), IF(includep5,$B12&lt;=5)),MAX($R$1:R11)+1,"")</f>
        <v>8</v>
      </c>
      <c r="S12" s="751">
        <v>10</v>
      </c>
      <c r="T12" s="714" t="str">
        <f t="shared" si="0"/>
        <v/>
      </c>
      <c r="U12" s="47"/>
      <c r="V12" s="48"/>
      <c r="W12" s="48"/>
      <c r="X12" s="48"/>
      <c r="Y12" s="6"/>
      <c r="Z12" s="6"/>
      <c r="AA12" s="6"/>
      <c r="AB12" s="6"/>
      <c r="AC12" s="6"/>
      <c r="AD12" s="6"/>
      <c r="AE12" s="6"/>
      <c r="AF12" s="6"/>
    </row>
    <row r="13" spans="1:39" ht="11.25" customHeight="1">
      <c r="A13" s="10"/>
      <c r="B13" s="114"/>
      <c r="C13" s="114"/>
      <c r="D13" s="114"/>
      <c r="E13" s="114"/>
      <c r="F13" s="115"/>
      <c r="G13" s="115"/>
      <c r="H13" s="114"/>
      <c r="I13" s="114"/>
      <c r="J13" s="116"/>
      <c r="K13" s="791"/>
      <c r="L13" s="114"/>
      <c r="M13" s="116"/>
      <c r="N13" s="114"/>
      <c r="O13" s="114"/>
      <c r="P13" s="114"/>
      <c r="Q13" s="114"/>
      <c r="R13" s="116"/>
      <c r="S13" s="116"/>
      <c r="T13" s="10"/>
      <c r="U13" s="47"/>
      <c r="V13" s="48" t="s">
        <v>3107</v>
      </c>
      <c r="W13" s="48"/>
      <c r="X13" s="48"/>
      <c r="Y13" s="48"/>
      <c r="Z13" s="48"/>
      <c r="AA13" s="6"/>
      <c r="AB13" s="796" t="s">
        <v>1641</v>
      </c>
      <c r="AC13" s="797">
        <f>AC14*12</f>
        <v>13.397746339819724</v>
      </c>
      <c r="AD13" s="797"/>
      <c r="AE13" s="6"/>
      <c r="AF13" s="6"/>
      <c r="AG13" s="6"/>
    </row>
    <row r="14" spans="1:39" ht="11.25" customHeight="1">
      <c r="A14" s="10"/>
      <c r="B14" s="114"/>
      <c r="C14" s="114"/>
      <c r="D14" s="114"/>
      <c r="E14" s="114"/>
      <c r="F14" s="115"/>
      <c r="G14" s="115"/>
      <c r="H14" s="114"/>
      <c r="I14" s="114"/>
      <c r="J14" s="116"/>
      <c r="K14" s="791"/>
      <c r="L14" s="114"/>
      <c r="M14" s="116"/>
      <c r="N14" s="114"/>
      <c r="O14" s="114"/>
      <c r="P14" s="114"/>
      <c r="Q14" s="114"/>
      <c r="R14" s="116"/>
      <c r="S14" s="116"/>
      <c r="T14" s="10"/>
      <c r="U14" s="133"/>
      <c r="V14" s="48" t="s">
        <v>1288</v>
      </c>
      <c r="W14" s="48"/>
      <c r="X14" s="48"/>
      <c r="Y14" s="6"/>
      <c r="Z14" s="6"/>
      <c r="AA14" s="48"/>
      <c r="AB14" s="796" t="s">
        <v>1642</v>
      </c>
      <c r="AC14" s="798">
        <f>IF(mhtemp="deadly poison VII",'Damage Calc'!K48,0)+IF(ohtemp="deadly poison VII",'Damage Calc'!K49,0)</f>
        <v>1.1164788616516437</v>
      </c>
      <c r="AD14" s="798"/>
      <c r="AE14" s="6"/>
      <c r="AF14" s="6"/>
      <c r="AG14" s="6"/>
    </row>
    <row r="15" spans="1:39" ht="11.25" customHeight="1">
      <c r="A15" s="10"/>
      <c r="B15" s="114"/>
      <c r="C15" s="114"/>
      <c r="D15" s="114"/>
      <c r="E15" s="114"/>
      <c r="F15" s="115"/>
      <c r="G15" s="115"/>
      <c r="H15" s="114"/>
      <c r="I15" s="114"/>
      <c r="J15" s="116"/>
      <c r="K15" s="791"/>
      <c r="L15" s="114"/>
      <c r="M15" s="116"/>
      <c r="N15" s="114"/>
      <c r="O15" s="114"/>
      <c r="P15" s="114"/>
      <c r="Q15" s="114"/>
      <c r="R15" s="116"/>
      <c r="S15" s="116"/>
      <c r="T15" s="10"/>
      <c r="U15" s="124"/>
      <c r="V15" s="6" t="s">
        <v>3108</v>
      </c>
      <c r="W15" s="145">
        <f>bMHthit</f>
        <v>0.97956097560975608</v>
      </c>
      <c r="X15" s="145"/>
      <c r="Y15" s="48"/>
      <c r="Z15" s="149"/>
      <c r="AA15" s="6"/>
      <c r="AB15" s="796" t="s">
        <v>1643</v>
      </c>
      <c r="AC15" s="799">
        <f>$AB$2*($AA$2+mpsn)</f>
        <v>0.24899999999999997</v>
      </c>
      <c r="AD15" s="799"/>
      <c r="AE15" s="6"/>
      <c r="AF15" s="6"/>
      <c r="AG15" s="6"/>
    </row>
    <row r="16" spans="1:39" ht="11.25" customHeight="1" thickBot="1">
      <c r="A16" s="800" t="s">
        <v>1645</v>
      </c>
      <c r="B16" s="801" t="s">
        <v>2798</v>
      </c>
      <c r="C16" s="801" t="s">
        <v>1214</v>
      </c>
      <c r="D16" s="801" t="s">
        <v>1215</v>
      </c>
      <c r="E16" s="801" t="s">
        <v>1216</v>
      </c>
      <c r="F16" s="801" t="s">
        <v>2140</v>
      </c>
      <c r="G16" s="801" t="s">
        <v>2139</v>
      </c>
      <c r="H16" s="801" t="s">
        <v>768</v>
      </c>
      <c r="I16" s="801" t="s">
        <v>1219</v>
      </c>
      <c r="J16" s="801" t="s">
        <v>1017</v>
      </c>
      <c r="K16" s="801" t="s">
        <v>1222</v>
      </c>
      <c r="L16" s="801" t="s">
        <v>1223</v>
      </c>
      <c r="M16" s="801" t="s">
        <v>1705</v>
      </c>
      <c r="N16" s="801" t="s">
        <v>146</v>
      </c>
      <c r="O16" s="801" t="s">
        <v>1225</v>
      </c>
      <c r="P16" s="801" t="s">
        <v>1226</v>
      </c>
      <c r="Q16" s="801" t="s">
        <v>147</v>
      </c>
      <c r="R16" s="801">
        <v>0</v>
      </c>
      <c r="S16" s="802"/>
      <c r="T16" s="803" t="s">
        <v>1689</v>
      </c>
      <c r="U16" s="124"/>
      <c r="V16" s="6" t="s">
        <v>1188</v>
      </c>
      <c r="W16" s="145">
        <f>bMHcrit</f>
        <v>0.22111169225206101</v>
      </c>
      <c r="X16" s="145"/>
      <c r="Y16" s="48"/>
      <c r="Z16" s="48"/>
      <c r="AA16" s="48"/>
      <c r="AB16" s="796" t="s">
        <v>1644</v>
      </c>
      <c r="AC16" s="797">
        <f>IF(AC13*AC15&gt;0,AC13*AC15,1)</f>
        <v>3.336038838615111</v>
      </c>
      <c r="AD16" s="797"/>
      <c r="AE16" s="6"/>
      <c r="AF16" s="6"/>
      <c r="AG16" s="6"/>
    </row>
    <row r="17" spans="1:39" ht="11.25" customHeight="1">
      <c r="A17" s="10" t="s">
        <v>2207</v>
      </c>
      <c r="B17" s="114"/>
      <c r="C17" s="114"/>
      <c r="D17" s="114"/>
      <c r="E17" s="114"/>
      <c r="F17" s="115"/>
      <c r="G17" s="115"/>
      <c r="H17" s="114"/>
      <c r="I17" s="114"/>
      <c r="J17" s="116"/>
      <c r="K17" s="769"/>
      <c r="L17" s="769"/>
      <c r="M17" s="786"/>
      <c r="N17" s="787"/>
      <c r="O17" s="114" t="s">
        <v>1974</v>
      </c>
      <c r="P17" s="124"/>
      <c r="Q17" s="793"/>
      <c r="R17" s="792"/>
      <c r="S17" s="749"/>
      <c r="T17" s="713"/>
      <c r="U17" s="124"/>
      <c r="V17" s="6" t="s">
        <v>1186</v>
      </c>
      <c r="W17" s="145">
        <f>bMHhit</f>
        <v>0.51844928335769502</v>
      </c>
      <c r="X17" s="145"/>
      <c r="Y17" s="48"/>
      <c r="Z17" s="48"/>
      <c r="AA17" s="6"/>
      <c r="AB17" s="48"/>
      <c r="AC17" s="48"/>
      <c r="AD17" s="48"/>
      <c r="AE17" s="6"/>
      <c r="AF17" s="6"/>
      <c r="AG17" s="6"/>
    </row>
    <row r="18" spans="1:39" ht="11.25" customHeight="1">
      <c r="A18" s="10" t="s">
        <v>1286</v>
      </c>
      <c r="B18" s="114">
        <v>1</v>
      </c>
      <c r="C18" s="114"/>
      <c r="D18" s="114"/>
      <c r="E18" s="114"/>
      <c r="F18" s="115">
        <v>14</v>
      </c>
      <c r="G18" s="115"/>
      <c r="H18" s="114"/>
      <c r="I18" s="114"/>
      <c r="J18" s="116"/>
      <c r="K18" s="769">
        <v>12</v>
      </c>
      <c r="L18" s="769">
        <v>12</v>
      </c>
      <c r="M18" s="786">
        <v>12</v>
      </c>
      <c r="N18" s="787"/>
      <c r="O18" s="114" t="s">
        <v>1974</v>
      </c>
      <c r="P18" s="124"/>
      <c r="Q18" s="794"/>
      <c r="R18" s="116">
        <f>IF(OR(IF(includep1,$B18&lt;=1), IF(includep2,$B18&lt;=2), IF(includep3,$B18&lt;=3), IF(includep4,$B18&lt;=4), IF(includep5,$B18&lt;=5)),MAX($R$16:R17)+1,"")</f>
        <v>1</v>
      </c>
      <c r="S18" s="751">
        <v>1</v>
      </c>
      <c r="T18" s="714" t="str">
        <f>IF(ISNA(INDEX($A$18:$A$29,MATCH(S18,R$18:R$29,0))), "", INDEX($A$18:$A$29,MATCH(S18,R$18:R$29,0)))</f>
        <v>Adamantite Sharpening Stone</v>
      </c>
      <c r="U18" s="124"/>
      <c r="V18" s="48" t="s">
        <v>1103</v>
      </c>
      <c r="W18" s="145">
        <f>bMHglan</f>
        <v>0.24</v>
      </c>
      <c r="X18" s="48"/>
      <c r="Y18" s="48"/>
      <c r="Z18" s="149"/>
      <c r="AA18" s="48"/>
      <c r="AB18" s="48"/>
      <c r="AC18" s="6" t="s">
        <v>1646</v>
      </c>
      <c r="AD18" s="147"/>
      <c r="AE18" s="6"/>
      <c r="AF18" s="6"/>
      <c r="AG18" s="6"/>
    </row>
    <row r="19" spans="1:39" ht="11.25" customHeight="1">
      <c r="A19" s="10" t="s">
        <v>1650</v>
      </c>
      <c r="B19" s="114">
        <v>1</v>
      </c>
      <c r="C19" s="114"/>
      <c r="D19" s="114"/>
      <c r="E19" s="114"/>
      <c r="F19" s="115"/>
      <c r="G19" s="115"/>
      <c r="H19" s="114"/>
      <c r="I19" s="114"/>
      <c r="J19" s="116"/>
      <c r="K19" s="769"/>
      <c r="L19" s="769"/>
      <c r="M19" s="786"/>
      <c r="N19" s="787"/>
      <c r="O19" s="114" t="s">
        <v>1974</v>
      </c>
      <c r="P19" s="124"/>
      <c r="Q19" s="794">
        <f>IF(Talents!$O$18="Yes",'Damage Calc'!K48*($AA$2+mpsn)*$AD$2*$AF$2*(Talents!$C$23*0.04+1)*(1+(0.01*miseryimp)*misery)*(1+(thunderfury*thunderfurydps)),0)</f>
        <v>38.502009507025427</v>
      </c>
      <c r="R19" s="116">
        <f>IF(OR(IF(includep1,$B19&lt;=1), IF(includep2,$B19&lt;=2), IF(includep3,$B19&lt;=3), IF(includep4,$B19&lt;=4), IF(includep5,$B19&lt;=5)),MAX($R$16:R18)+1,"")</f>
        <v>2</v>
      </c>
      <c r="S19" s="751">
        <v>2</v>
      </c>
      <c r="T19" s="714" t="str">
        <f t="shared" ref="T19:T29" si="1">IF(ISNA(INDEX($A$18:$A$29,MATCH(S19,R$18:R$29,0))), "", INDEX($A$18:$A$29,MATCH(S19,R$18:R$29,0)))</f>
        <v>Anesthetic Poison</v>
      </c>
      <c r="U19" s="124"/>
      <c r="V19" s="48" t="s">
        <v>1264</v>
      </c>
      <c r="W19" s="145">
        <f>bMHgfact</f>
        <v>0.75</v>
      </c>
      <c r="X19" s="48" t="s">
        <v>91</v>
      </c>
      <c r="Y19" s="48" t="s">
        <v>92</v>
      </c>
      <c r="Z19" s="48" t="s">
        <v>93</v>
      </c>
      <c r="AA19" s="48"/>
      <c r="AB19" s="6"/>
      <c r="AC19" s="6" t="s">
        <v>1026</v>
      </c>
      <c r="AD19" s="6" t="s">
        <v>1647</v>
      </c>
      <c r="AE19" s="6" t="s">
        <v>1648</v>
      </c>
      <c r="AF19" s="6" t="s">
        <v>1649</v>
      </c>
      <c r="AG19" s="6"/>
    </row>
    <row r="20" spans="1:39" ht="11.25" customHeight="1">
      <c r="A20" s="10" t="s">
        <v>98</v>
      </c>
      <c r="B20" s="114">
        <v>1</v>
      </c>
      <c r="C20" s="114"/>
      <c r="D20" s="114"/>
      <c r="E20" s="114"/>
      <c r="F20" s="115"/>
      <c r="G20" s="115"/>
      <c r="H20" s="114">
        <f>IF(OR(mobtype="Undead",mobtype="Any"),100,0)</f>
        <v>100</v>
      </c>
      <c r="I20" s="114"/>
      <c r="J20" s="116"/>
      <c r="K20" s="769"/>
      <c r="L20" s="769"/>
      <c r="M20" s="786"/>
      <c r="N20" s="787"/>
      <c r="O20" s="114" t="s">
        <v>1974</v>
      </c>
      <c r="P20" s="124"/>
      <c r="Q20" s="794"/>
      <c r="R20" s="116">
        <f>IF(OR(IF(includep1,$B20&lt;=1), IF(includep2,$B20&lt;=2), IF(includep3,$B20&lt;=3), IF(includep4,$B20&lt;=4), IF(includep5,$B20&lt;=5)),MAX($R$16:R19)+1,"")</f>
        <v>3</v>
      </c>
      <c r="S20" s="751">
        <v>3</v>
      </c>
      <c r="T20" s="714" t="str">
        <f t="shared" si="1"/>
        <v>Consecrated Sharpening Stone</v>
      </c>
      <c r="U20" s="124"/>
      <c r="V20" s="48" t="s">
        <v>1265</v>
      </c>
      <c r="W20" s="1347">
        <f>bfWFea</f>
        <v>0.15313810351325544</v>
      </c>
      <c r="X20" s="1347">
        <f>SUM('Damage Calc'!F5:F7)*bfWFea</f>
        <v>0.17454294295415593</v>
      </c>
      <c r="Y20" s="1347">
        <f>instsec*bfWFea</f>
        <v>4.7299592110256798E-2</v>
      </c>
      <c r="Z20" s="48" t="s">
        <v>95</v>
      </c>
      <c r="AA20" s="48"/>
      <c r="AB20" s="148" t="s">
        <v>1652</v>
      </c>
      <c r="AC20" s="6">
        <f>12/AC16</f>
        <v>3.5970804239741878</v>
      </c>
      <c r="AD20" s="48">
        <v>1</v>
      </c>
      <c r="AE20" s="6">
        <v>0</v>
      </c>
      <c r="AF20" s="6">
        <v>0</v>
      </c>
      <c r="AG20" s="6">
        <v>0</v>
      </c>
    </row>
    <row r="21" spans="1:39" ht="11.25" customHeight="1">
      <c r="A21" s="10" t="s">
        <v>2206</v>
      </c>
      <c r="B21" s="114">
        <v>1</v>
      </c>
      <c r="C21" s="114"/>
      <c r="D21" s="114"/>
      <c r="E21" s="114"/>
      <c r="F21" s="115"/>
      <c r="G21" s="115"/>
      <c r="H21" s="114"/>
      <c r="I21" s="114"/>
      <c r="J21" s="116"/>
      <c r="K21" s="769"/>
      <c r="L21" s="769"/>
      <c r="M21" s="786"/>
      <c r="N21" s="787"/>
      <c r="O21" s="114" t="s">
        <v>1974</v>
      </c>
      <c r="P21" s="124"/>
      <c r="Q21" s="794">
        <f>IF(Talents!$O$18="Yes",($AD$28*$AC$2/12*(Talents!$C$23*0.04+1)*(1+(0.01*miseryimp)*misery)*(1+(thunderfury*thunderfurydps)))-lostdp,0)</f>
        <v>77.558933726510688</v>
      </c>
      <c r="R21" s="116">
        <f>IF(OR(IF(includep1,$B21&lt;=1), IF(includep2,$B21&lt;=2), IF(includep3,$B21&lt;=3), IF(includep4,$B21&lt;=4), IF(includep5,$B21&lt;=5)),MAX($R$16:R20)+1,"")</f>
        <v>4</v>
      </c>
      <c r="S21" s="751">
        <v>4</v>
      </c>
      <c r="T21" s="714" t="str">
        <f t="shared" si="1"/>
        <v>Deadly Poison VII</v>
      </c>
      <c r="U21" s="124"/>
      <c r="V21" s="145" t="s">
        <v>3111</v>
      </c>
      <c r="W21" s="1347">
        <f>445*(1+15%*bfWFtl)/14*bMHspd*(W17+W18*W19+W16*bMHcfact)</f>
        <v>123.97430039356702</v>
      </c>
      <c r="X21" s="1347">
        <f>445*(1+15%*bfWFtl)/14*bOHspd*(W17+W18*W19+W16*bOHcfact)*bOHdamfac</f>
        <v>50.066544389709762</v>
      </c>
      <c r="Y21" s="1347">
        <f>IF(instatk="bs",(1.5+talSCallInstBon)*(445*(1+15%*bfWFtl)/14*MHnorm)*(1+sa*0.1+0.04*opp+0.02*agg+Slayer4value-1),IF(instatk="hemo",Slayer4value*(445*(1+15%*bfWFtl)/14*MHnorm)*(1.1+talSCallInstBon),IF(instatk="ss",(445*(1+15%*bfWFtl)/14*MHnorm)*(1+sa*0.1+0.02*agg+Slayer4value-1),IF(instatk="v",(445*(1+15%*bfWFtl)/APtoDPS*OHnorm)*(1+sa*0.1)*(0.5+0.05*dws),Slayer4value*(1+0.04*opp)*(445*(1+15%*bfWFtl)/14*MHnorm+(0.5+0.05*dws)*(445*(1+15%*bfWFtl)/14*OHnorm))*(1+0.5*IF(Talents!$O$18="Yes",1,0)))))*(IF(IF(Talents!$O$27="Instants",1,0),1+Talents!I37*20%/(30*instsec),1))*(insthit+instcrit*(1+((Talents!$C$22*0.06+2)-1)*(cfact-1)))*fwfactor)</f>
        <v>147.08846114176649</v>
      </c>
      <c r="Z21" s="48" t="s">
        <v>95</v>
      </c>
      <c r="AA21" s="48"/>
      <c r="AB21" s="131" t="s">
        <v>1274</v>
      </c>
      <c r="AC21" s="6">
        <f>12/(1+AC16/(1-EXP(-AC16)))</f>
        <v>2.6911226696331791</v>
      </c>
      <c r="AD21" s="48">
        <f>1-EXP(-AC13*AC15)</f>
        <v>0.96442239238532301</v>
      </c>
      <c r="AE21" s="6">
        <v>12</v>
      </c>
      <c r="AF21" s="6">
        <f>AD20-AD21</f>
        <v>3.5577607614676987E-2</v>
      </c>
      <c r="AG21" s="6">
        <v>1</v>
      </c>
    </row>
    <row r="22" spans="1:39" ht="11.25" customHeight="1">
      <c r="A22" s="10" t="s">
        <v>2841</v>
      </c>
      <c r="B22" s="114">
        <v>1</v>
      </c>
      <c r="C22" s="114"/>
      <c r="D22" s="114"/>
      <c r="E22" s="114"/>
      <c r="F22" s="115"/>
      <c r="G22" s="115"/>
      <c r="H22" s="114"/>
      <c r="I22" s="114"/>
      <c r="J22" s="116"/>
      <c r="K22" s="769">
        <v>8</v>
      </c>
      <c r="L22" s="769">
        <v>8</v>
      </c>
      <c r="M22" s="786">
        <v>8</v>
      </c>
      <c r="N22" s="787"/>
      <c r="O22" s="114" t="s">
        <v>1974</v>
      </c>
      <c r="P22" s="124"/>
      <c r="Q22" s="794"/>
      <c r="R22" s="116">
        <f>IF(OR(IF(includep1,$B22&lt;=1), IF(includep2,$B22&lt;=2), IF(includep3,$B22&lt;=3), IF(includep4,$B22&lt;=4), IF(includep5,$B22&lt;=5)),MAX($R$16:R21)+1,"")</f>
        <v>5</v>
      </c>
      <c r="S22" s="751">
        <v>5</v>
      </c>
      <c r="T22" s="714" t="str">
        <f t="shared" si="1"/>
        <v>Dense Sharpening Stone</v>
      </c>
      <c r="U22" s="124"/>
      <c r="V22" s="145" t="s">
        <v>2253</v>
      </c>
      <c r="W22" s="1347">
        <f>W21*W20*armor*bGlobDam+X21*X20*armor*bGlobDam+Y21*Y20*armor*bGlobDam</f>
        <v>27.290231355562383</v>
      </c>
      <c r="X22" s="48" t="s">
        <v>3109</v>
      </c>
      <c r="Y22" s="48"/>
      <c r="Z22" s="48"/>
      <c r="AA22" s="48"/>
      <c r="AB22" s="131" t="s">
        <v>1277</v>
      </c>
      <c r="AC22" s="6">
        <f>12/(1+AC16/(1-EXP(-AC16)))</f>
        <v>2.6911226696331791</v>
      </c>
      <c r="AD22" s="48">
        <f>(1-EXP(-AC13*AC15))^2</f>
        <v>0.9301105509342299</v>
      </c>
      <c r="AE22" s="6">
        <v>12</v>
      </c>
      <c r="AF22" s="6">
        <f>AD21-AD22</f>
        <v>3.4311841451093117E-2</v>
      </c>
      <c r="AG22" s="6">
        <v>2</v>
      </c>
    </row>
    <row r="23" spans="1:39" ht="11.25" customHeight="1">
      <c r="A23" s="10" t="s">
        <v>1281</v>
      </c>
      <c r="B23" s="114">
        <v>1</v>
      </c>
      <c r="C23" s="114"/>
      <c r="D23" s="114"/>
      <c r="E23" s="114"/>
      <c r="F23" s="115">
        <v>28</v>
      </c>
      <c r="G23" s="115"/>
      <c r="H23" s="114"/>
      <c r="I23" s="114"/>
      <c r="J23" s="116"/>
      <c r="K23" s="769"/>
      <c r="L23" s="769"/>
      <c r="M23" s="786"/>
      <c r="N23" s="787"/>
      <c r="O23" s="114" t="s">
        <v>1974</v>
      </c>
      <c r="P23" s="124"/>
      <c r="Q23" s="794"/>
      <c r="R23" s="116">
        <f>IF(OR(IF(includep1,$B23&lt;=1), IF(includep2,$B23&lt;=2), IF(includep3,$B23&lt;=3), IF(includep4,$B23&lt;=4), IF(includep5,$B23&lt;=5)),MAX($R$16:R22)+1,"")</f>
        <v>6</v>
      </c>
      <c r="S23" s="751">
        <v>6</v>
      </c>
      <c r="T23" s="714" t="str">
        <f t="shared" si="1"/>
        <v>Elemental Sharpening Stone</v>
      </c>
      <c r="U23" s="124"/>
      <c r="V23" s="6"/>
      <c r="W23" s="6"/>
      <c r="X23" s="6"/>
      <c r="Y23" s="48"/>
      <c r="Z23" s="48"/>
      <c r="AA23" s="48"/>
      <c r="AB23" s="131" t="s">
        <v>1280</v>
      </c>
      <c r="AC23" s="6">
        <f>12/(1+AC16/(1-EXP(-AC16)))</f>
        <v>2.6911226696331791</v>
      </c>
      <c r="AD23" s="48">
        <f>(1-EXP(-AC13*AC15))^3</f>
        <v>0.89701944271482081</v>
      </c>
      <c r="AE23" s="6">
        <v>12</v>
      </c>
      <c r="AF23" s="6">
        <f>AD22-AD23</f>
        <v>3.3091108219409082E-2</v>
      </c>
      <c r="AG23" s="6">
        <v>3</v>
      </c>
    </row>
    <row r="24" spans="1:39" ht="11.25" customHeight="1">
      <c r="A24" s="10" t="s">
        <v>1275</v>
      </c>
      <c r="B24" s="114">
        <v>1</v>
      </c>
      <c r="C24" s="114"/>
      <c r="D24" s="114"/>
      <c r="E24" s="114"/>
      <c r="F24" s="115"/>
      <c r="G24" s="115"/>
      <c r="H24" s="114"/>
      <c r="I24" s="114"/>
      <c r="J24" s="116"/>
      <c r="K24" s="769">
        <v>12</v>
      </c>
      <c r="L24" s="769">
        <v>12</v>
      </c>
      <c r="M24" s="786">
        <v>12</v>
      </c>
      <c r="N24" s="787"/>
      <c r="O24" s="114" t="s">
        <v>1974</v>
      </c>
      <c r="P24" s="124"/>
      <c r="Q24" s="794"/>
      <c r="R24" s="116">
        <f>IF(OR(IF(includep1,$B24&lt;=1), IF(includep2,$B24&lt;=2), IF(includep3,$B24&lt;=3), IF(includep4,$B24&lt;=4), IF(includep5,$B24&lt;=5)),MAX($R$16:R23)+1,"")</f>
        <v>7</v>
      </c>
      <c r="S24" s="751">
        <v>7</v>
      </c>
      <c r="T24" s="714" t="str">
        <f t="shared" si="1"/>
        <v>Fel Sharpening Stone</v>
      </c>
      <c r="U24" s="124"/>
      <c r="V24" s="6"/>
      <c r="W24" s="6"/>
      <c r="X24" s="6"/>
      <c r="Y24" s="48"/>
      <c r="Z24" s="6"/>
      <c r="AA24" s="6"/>
      <c r="AB24" s="131" t="s">
        <v>1282</v>
      </c>
      <c r="AC24" s="6">
        <f>12/(1+AC16/(1-EXP(-AC16)))</f>
        <v>2.6911226696331791</v>
      </c>
      <c r="AD24" s="48">
        <f>(1-EXP(-AC13*AC15))^4</f>
        <v>0.86510563695917664</v>
      </c>
      <c r="AE24" s="6">
        <v>12</v>
      </c>
      <c r="AF24" s="6">
        <f>AD23-AD24</f>
        <v>3.1913805755644176E-2</v>
      </c>
      <c r="AG24" s="6">
        <v>4</v>
      </c>
    </row>
    <row r="25" spans="1:39" ht="11.25" customHeight="1">
      <c r="A25" s="10" t="s">
        <v>1278</v>
      </c>
      <c r="B25" s="114">
        <v>1</v>
      </c>
      <c r="C25" s="114"/>
      <c r="D25" s="114"/>
      <c r="E25" s="114"/>
      <c r="F25" s="115"/>
      <c r="G25" s="115"/>
      <c r="H25" s="114"/>
      <c r="I25" s="114"/>
      <c r="J25" s="116"/>
      <c r="K25" s="769"/>
      <c r="L25" s="769"/>
      <c r="M25" s="786"/>
      <c r="N25" s="787"/>
      <c r="O25" s="114" t="s">
        <v>1974</v>
      </c>
      <c r="P25" s="124"/>
      <c r="Q25" s="794">
        <f>IF(Talents!O36="No",W25*AA2*'Damage Calc'!K48*MHspd*(1+(0.01*miseryimp)*misery),0)</f>
        <v>61.0282015398449</v>
      </c>
      <c r="R25" s="116">
        <f>IF(OR(IF(includep1,$B25&lt;=1), IF(includep2,$B25&lt;=2), IF(includep3,$B25&lt;=3), IF(includep4,$B25&lt;=4), IF(includep5,$B25&lt;=5)),MAX($R$16:R24)+1,"")</f>
        <v>8</v>
      </c>
      <c r="S25" s="751">
        <v>8</v>
      </c>
      <c r="T25" s="714" t="str">
        <f t="shared" si="1"/>
        <v>Flametongue</v>
      </c>
      <c r="U25" s="124"/>
      <c r="V25" s="6" t="s">
        <v>3110</v>
      </c>
      <c r="W25" s="1348">
        <f>14.924*(1+'Gear &amp; Buffs'!C111*0.06)*IF(CoE,1.25,1)</f>
        <v>20.893599999999999</v>
      </c>
      <c r="X25" s="6"/>
      <c r="Y25" s="6"/>
      <c r="Z25" s="6"/>
      <c r="AA25" s="6"/>
      <c r="AB25" s="131" t="s">
        <v>1284</v>
      </c>
      <c r="AC25" s="6">
        <f>IF(time=0, AC24/EXP(-AC13*AC15), MIN(AC24/EXP(-AC13*AC15), time-SUMPRODUCT(AC21:AC24,AD21:AD24)))</f>
        <v>75.640911518822918</v>
      </c>
      <c r="AD25" s="48">
        <f>(1-EXP(-AC13*AC15))^5</f>
        <v>0.83432724806219782</v>
      </c>
      <c r="AE25" s="6">
        <v>0</v>
      </c>
      <c r="AF25" s="6">
        <v>0</v>
      </c>
      <c r="AG25" s="6">
        <v>5</v>
      </c>
    </row>
    <row r="26" spans="1:39" ht="11.25" customHeight="1">
      <c r="A26" s="10" t="s">
        <v>1283</v>
      </c>
      <c r="B26" s="114">
        <v>1</v>
      </c>
      <c r="C26" s="114"/>
      <c r="D26" s="114"/>
      <c r="E26" s="114"/>
      <c r="F26" s="115"/>
      <c r="G26" s="115"/>
      <c r="H26" s="114"/>
      <c r="I26" s="114"/>
      <c r="J26" s="116"/>
      <c r="K26" s="769"/>
      <c r="L26" s="769"/>
      <c r="M26" s="786"/>
      <c r="N26" s="787"/>
      <c r="O26" s="114" t="s">
        <v>1974</v>
      </c>
      <c r="P26" s="124"/>
      <c r="Q26" s="794">
        <f>IF(Talents!$O$18="Yes",'Damage Calc'!K48*($AA$2+mpsn)*$AD$2*$AE$2*(Talents!$C$23*0.04+1)*(1+(0.01*miseryimp)*misery)*(1+(thunderfury*thunderfurydps)),0)</f>
        <v>42.780010563361593</v>
      </c>
      <c r="R26" s="116">
        <f>IF(OR(IF(includep1,$B26&lt;=1), IF(includep2,$B26&lt;=2), IF(includep3,$B26&lt;=3), IF(includep4,$B26&lt;=4), IF(includep5,$B26&lt;=5)),MAX($R$16:R25)+1,"")</f>
        <v>9</v>
      </c>
      <c r="S26" s="751">
        <v>9</v>
      </c>
      <c r="T26" s="714" t="str">
        <f t="shared" si="1"/>
        <v>Instant Poison VII</v>
      </c>
      <c r="U26" s="124"/>
      <c r="V26" s="6"/>
      <c r="W26" s="6"/>
      <c r="X26" s="6"/>
      <c r="Y26" s="6"/>
      <c r="Z26" s="327"/>
      <c r="AA26" s="6"/>
      <c r="AB26" s="131"/>
      <c r="AC26" s="6">
        <f>SUMPRODUCT(AC20:AC25,AD20:AD25)</f>
        <v>76.546869273163907</v>
      </c>
      <c r="AD26" s="48"/>
      <c r="AE26" s="6">
        <f>SUMPRODUCT(AE20:AE25,AF20:AF25)</f>
        <v>1.6187323564898803</v>
      </c>
      <c r="AF26" s="6"/>
      <c r="AG26" s="6"/>
      <c r="AH26" s="6"/>
      <c r="AI26" s="6"/>
      <c r="AJ26" s="6"/>
      <c r="AK26" s="6"/>
      <c r="AL26" s="6"/>
      <c r="AM26" s="6"/>
    </row>
    <row r="27" spans="1:39" ht="11.25" customHeight="1">
      <c r="A27" s="10" t="s">
        <v>97</v>
      </c>
      <c r="B27" s="114">
        <v>5</v>
      </c>
      <c r="C27" s="114"/>
      <c r="D27" s="114"/>
      <c r="E27" s="114"/>
      <c r="F27" s="115"/>
      <c r="G27" s="115"/>
      <c r="H27" s="124">
        <f>300*IF('Gear &amp; Buffs'!B18="Righteous Weapon Coating",enRWCbhUP,enRWCmhUP)</f>
        <v>59.794681295664603</v>
      </c>
      <c r="I27" s="114"/>
      <c r="J27" s="116"/>
      <c r="K27" s="769"/>
      <c r="L27" s="769"/>
      <c r="M27" s="786"/>
      <c r="N27" s="787"/>
      <c r="O27" s="114" t="s">
        <v>1974</v>
      </c>
      <c r="P27" s="124"/>
      <c r="Q27" s="794"/>
      <c r="R27" s="116" t="str">
        <f>IF(OR(IF(includep1,$B27&lt;=1), IF(includep2,$B27&lt;=2), IF(includep3,$B27&lt;=3), IF(includep4,$B27&lt;=4), IF(includep5,$B27&lt;=5)),MAX($R$16:R26)+1,"")</f>
        <v/>
      </c>
      <c r="S27" s="751">
        <v>10</v>
      </c>
      <c r="T27" s="714" t="str">
        <f t="shared" si="1"/>
        <v>Windfury</v>
      </c>
      <c r="U27" s="47"/>
      <c r="V27" s="6"/>
      <c r="W27" s="6"/>
      <c r="X27" s="6"/>
      <c r="Y27" s="6"/>
      <c r="Z27" s="6"/>
      <c r="AA27" s="6"/>
      <c r="AB27" s="131"/>
      <c r="AC27" s="6">
        <f>SUMPRODUCT(AC20:AC25,AD20:AD25,$AG20:$AG25)</f>
        <v>339.70221952026475</v>
      </c>
      <c r="AD27" s="48"/>
      <c r="AE27" s="6">
        <f>SUMPRODUCT(AE20:AE25,AF20:AF25,$AG20:$AG25)</f>
        <v>3.973558058372006</v>
      </c>
      <c r="AF27" s="6"/>
      <c r="AG27" s="6"/>
      <c r="AH27" s="6"/>
      <c r="AI27" s="6"/>
      <c r="AJ27" s="6"/>
      <c r="AK27" s="6"/>
      <c r="AL27" s="6"/>
      <c r="AM27" s="6"/>
    </row>
    <row r="28" spans="1:39" ht="11.25" customHeight="1">
      <c r="A28" s="10" t="s">
        <v>521</v>
      </c>
      <c r="B28" s="114">
        <v>1</v>
      </c>
      <c r="C28" s="114"/>
      <c r="D28" s="114"/>
      <c r="E28" s="114"/>
      <c r="F28" s="115"/>
      <c r="G28" s="115"/>
      <c r="H28" s="114"/>
      <c r="I28" s="114"/>
      <c r="J28" s="116"/>
      <c r="K28" s="769"/>
      <c r="L28" s="769"/>
      <c r="M28" s="786"/>
      <c r="N28" s="787"/>
      <c r="O28" s="114" t="s">
        <v>1974</v>
      </c>
      <c r="P28" s="124"/>
      <c r="Q28" s="794"/>
      <c r="R28" s="116">
        <f>IF(OR(IF(includep1,$B28&lt;=1), IF(includep2,$B28&lt;=2), IF(includep3,$B28&lt;=3), IF(includep4,$B28&lt;=4), IF(includep5,$B28&lt;=5)),MAX($R$16:R27)+1,"")</f>
        <v>10</v>
      </c>
      <c r="S28" s="751">
        <v>11</v>
      </c>
      <c r="T28" s="714" t="str">
        <f t="shared" si="1"/>
        <v>Wound Poison</v>
      </c>
      <c r="U28" s="47"/>
      <c r="V28" s="6"/>
      <c r="W28" s="6"/>
      <c r="X28" s="6"/>
      <c r="Y28" s="6"/>
      <c r="Z28" s="6"/>
      <c r="AA28" s="6"/>
      <c r="AB28" s="131"/>
      <c r="AC28" s="6"/>
      <c r="AD28" s="48">
        <f>IF(OR(mhtemp="Deadly Poison VII",ohtemp="Deadly Poison VII"),IF(AND(mhtemp="Deadly Poison VII",ohtemp="Deadly Poison VII"),(AC27+AE27)/(AC26+AE26)/2,(AC27+AE27)/(AC26+AE26)),0)</f>
        <v>4.3967649504824644</v>
      </c>
      <c r="AE28" s="6"/>
      <c r="AF28" s="6"/>
      <c r="AG28" s="6"/>
      <c r="AH28" s="6"/>
      <c r="AI28" s="6"/>
      <c r="AJ28" s="6"/>
      <c r="AK28" s="6"/>
      <c r="AL28" s="6"/>
      <c r="AM28" s="6"/>
    </row>
    <row r="29" spans="1:39" ht="11.25" customHeight="1">
      <c r="A29" s="10" t="s">
        <v>1285</v>
      </c>
      <c r="B29" s="114">
        <v>1</v>
      </c>
      <c r="C29" s="114"/>
      <c r="D29" s="114"/>
      <c r="E29" s="114"/>
      <c r="F29" s="115"/>
      <c r="G29" s="115"/>
      <c r="H29" s="114"/>
      <c r="I29" s="114"/>
      <c r="J29" s="116"/>
      <c r="K29" s="769"/>
      <c r="L29" s="769"/>
      <c r="M29" s="786"/>
      <c r="N29" s="787"/>
      <c r="O29" s="114" t="s">
        <v>1974</v>
      </c>
      <c r="P29" s="124"/>
      <c r="Q29" s="794">
        <f>IF(Talents!$O$18="Yes",'Damage Calc'!K48*($AA$2+mpsn)*$AG$2*$AH$2*(Talents!$C$23*0.04+1)*(1+(0.01*miseryimp)*misery)*(1+(thunderfury*thunderfurydps)),0)</f>
        <v>24.535594293692672</v>
      </c>
      <c r="R29" s="116">
        <f>IF(OR(IF(includep1,$B29&lt;=1), IF(includep2,$B29&lt;=2), IF(includep3,$B29&lt;=3), IF(includep4,$B29&lt;=4), IF(includep5,$B29&lt;=5)),MAX($R$16:R28)+1,"")</f>
        <v>11</v>
      </c>
      <c r="S29" s="751">
        <v>12</v>
      </c>
      <c r="T29" s="714" t="str">
        <f t="shared" si="1"/>
        <v/>
      </c>
      <c r="U29" s="47"/>
      <c r="X29" s="48"/>
      <c r="AH29" s="6"/>
      <c r="AI29" s="6"/>
      <c r="AJ29" s="6"/>
      <c r="AK29" s="6"/>
      <c r="AL29" s="6"/>
      <c r="AM29" s="6"/>
    </row>
    <row r="30" spans="1:39" ht="11.25" customHeight="1">
      <c r="A30" s="47"/>
      <c r="B30" s="114"/>
      <c r="C30" s="114"/>
      <c r="D30" s="114"/>
      <c r="E30" s="114"/>
      <c r="F30" s="115"/>
      <c r="G30" s="115"/>
      <c r="H30" s="114"/>
      <c r="I30" s="114"/>
      <c r="J30" s="116"/>
      <c r="K30" s="791"/>
      <c r="L30" s="114"/>
      <c r="M30" s="116"/>
      <c r="N30" s="114"/>
      <c r="O30" s="114"/>
      <c r="P30" s="114"/>
      <c r="Q30" s="114"/>
      <c r="R30" s="116"/>
      <c r="S30" s="116"/>
      <c r="T30" s="10"/>
      <c r="U30" s="133"/>
      <c r="V30" s="48"/>
      <c r="W30" s="48"/>
      <c r="AH30" s="6"/>
      <c r="AI30" s="6"/>
      <c r="AJ30" s="6"/>
      <c r="AK30" s="6"/>
      <c r="AL30" s="6"/>
      <c r="AM30" s="6"/>
    </row>
    <row r="31" spans="1:39" ht="11.25" customHeight="1">
      <c r="A31" s="47"/>
      <c r="B31" s="114"/>
      <c r="C31" s="114"/>
      <c r="D31" s="114"/>
      <c r="E31" s="114"/>
      <c r="F31" s="115"/>
      <c r="G31" s="115"/>
      <c r="H31" s="114"/>
      <c r="I31" s="114"/>
      <c r="J31" s="116"/>
      <c r="K31" s="791"/>
      <c r="L31" s="114"/>
      <c r="M31" s="116"/>
      <c r="N31" s="114"/>
      <c r="O31" s="114"/>
      <c r="P31" s="114"/>
      <c r="Q31" s="114"/>
      <c r="R31" s="116"/>
      <c r="S31" s="116"/>
      <c r="T31" s="10"/>
      <c r="U31" s="124"/>
      <c r="AH31" s="6"/>
      <c r="AI31" s="6"/>
      <c r="AJ31" s="6"/>
      <c r="AK31" s="6"/>
      <c r="AL31" s="6"/>
      <c r="AM31" s="6"/>
    </row>
    <row r="32" spans="1:39" ht="11.25" customHeight="1">
      <c r="A32" s="47"/>
      <c r="B32" s="114"/>
      <c r="C32" s="114"/>
      <c r="D32" s="114"/>
      <c r="E32" s="114"/>
      <c r="F32" s="115"/>
      <c r="G32" s="115"/>
      <c r="H32" s="114"/>
      <c r="I32" s="114"/>
      <c r="J32" s="116"/>
      <c r="K32" s="791"/>
      <c r="L32" s="114"/>
      <c r="M32" s="116"/>
      <c r="N32" s="114"/>
      <c r="O32" s="114"/>
      <c r="P32" s="114"/>
      <c r="Q32" s="114"/>
      <c r="R32" s="116"/>
      <c r="S32" s="116"/>
      <c r="T32" s="10"/>
      <c r="U32" s="124"/>
      <c r="X32" s="48"/>
      <c r="AH32" s="6"/>
      <c r="AI32" s="6"/>
      <c r="AJ32" s="6"/>
      <c r="AK32" s="6"/>
      <c r="AL32" s="6"/>
      <c r="AM32" s="6"/>
    </row>
    <row r="33" spans="1:39" ht="11.25" customHeight="1" thickBot="1">
      <c r="A33" s="800" t="s">
        <v>1289</v>
      </c>
      <c r="B33" s="801" t="s">
        <v>2798</v>
      </c>
      <c r="C33" s="801" t="s">
        <v>1214</v>
      </c>
      <c r="D33" s="801" t="s">
        <v>1215</v>
      </c>
      <c r="E33" s="801" t="s">
        <v>1216</v>
      </c>
      <c r="F33" s="801" t="s">
        <v>2140</v>
      </c>
      <c r="G33" s="801" t="s">
        <v>2139</v>
      </c>
      <c r="H33" s="801" t="s">
        <v>768</v>
      </c>
      <c r="I33" s="801" t="s">
        <v>1219</v>
      </c>
      <c r="J33" s="801" t="s">
        <v>771</v>
      </c>
      <c r="K33" s="801" t="s">
        <v>1222</v>
      </c>
      <c r="L33" s="801" t="s">
        <v>1223</v>
      </c>
      <c r="M33" s="801" t="s">
        <v>1705</v>
      </c>
      <c r="N33" s="801" t="s">
        <v>146</v>
      </c>
      <c r="O33" s="801" t="s">
        <v>1225</v>
      </c>
      <c r="P33" s="801" t="s">
        <v>1226</v>
      </c>
      <c r="Q33" s="801" t="s">
        <v>147</v>
      </c>
      <c r="R33" s="801">
        <v>0</v>
      </c>
      <c r="S33" s="802"/>
      <c r="T33" s="803" t="s">
        <v>1689</v>
      </c>
      <c r="U33" s="124"/>
      <c r="V33" s="48"/>
      <c r="W33" s="48"/>
      <c r="X33" s="48"/>
      <c r="AH33" s="6"/>
      <c r="AI33" s="6"/>
      <c r="AJ33" s="6"/>
      <c r="AK33" s="6"/>
      <c r="AL33" s="6"/>
      <c r="AM33" s="6"/>
    </row>
    <row r="34" spans="1:39" ht="11.25" customHeight="1">
      <c r="A34" s="10" t="s">
        <v>2207</v>
      </c>
      <c r="B34" s="114"/>
      <c r="C34" s="114"/>
      <c r="D34" s="114"/>
      <c r="E34" s="114"/>
      <c r="F34" s="115"/>
      <c r="G34" s="115"/>
      <c r="H34" s="114"/>
      <c r="I34" s="114"/>
      <c r="J34" s="116"/>
      <c r="K34" s="769"/>
      <c r="L34" s="769"/>
      <c r="M34" s="786"/>
      <c r="N34" s="787"/>
      <c r="O34" s="114" t="s">
        <v>1974</v>
      </c>
      <c r="P34" s="124"/>
      <c r="Q34" s="793"/>
      <c r="R34" s="792"/>
      <c r="S34" s="751"/>
      <c r="T34" s="714"/>
      <c r="U34" s="124"/>
      <c r="V34" s="48"/>
      <c r="W34" s="48"/>
      <c r="X34" s="48"/>
      <c r="AH34" s="6"/>
      <c r="AI34" s="6"/>
      <c r="AJ34" s="6"/>
      <c r="AK34" s="6"/>
      <c r="AL34" s="6"/>
      <c r="AM34" s="6"/>
    </row>
    <row r="35" spans="1:39" ht="11.25" customHeight="1">
      <c r="A35" s="10" t="s">
        <v>1975</v>
      </c>
      <c r="B35" s="114">
        <v>1</v>
      </c>
      <c r="C35" s="114"/>
      <c r="D35" s="114">
        <v>15</v>
      </c>
      <c r="E35" s="114"/>
      <c r="F35" s="115"/>
      <c r="G35" s="115"/>
      <c r="H35" s="114"/>
      <c r="I35" s="114"/>
      <c r="J35" s="116"/>
      <c r="K35" s="769"/>
      <c r="L35" s="769"/>
      <c r="M35" s="786"/>
      <c r="N35" s="787">
        <v>2564</v>
      </c>
      <c r="O35" s="114" t="s">
        <v>1974</v>
      </c>
      <c r="P35" s="124"/>
      <c r="Q35" s="794"/>
      <c r="R35" s="116">
        <f>IF(OR(IF(includep1,$B35&lt;=1), IF(includep2,$B35&lt;=2), IF(includep3,$B35&lt;=3), IF(includep4,$B35&lt;=4), IF(includep5,$B35&lt;=5)),MAX($R$33:R34)+1,"")</f>
        <v>1</v>
      </c>
      <c r="S35" s="751">
        <v>1</v>
      </c>
      <c r="T35" s="714" t="str">
        <f>IF(ISNA(INDEX($A$35:$A$44,MATCH(S35,R$35:R$44,0))), "", INDEX($A$35:$A$44,MATCH(S35,R$35:R$44,0)))</f>
        <v>Agility (+15 Agility)</v>
      </c>
      <c r="U35" s="124"/>
      <c r="V35" s="48"/>
      <c r="W35" s="48"/>
      <c r="X35" s="48"/>
      <c r="AH35" s="6"/>
      <c r="AI35" s="6"/>
      <c r="AJ35" s="6"/>
      <c r="AK35" s="6"/>
      <c r="AL35" s="6"/>
      <c r="AM35" s="6"/>
    </row>
    <row r="36" spans="1:39" ht="11.25" customHeight="1">
      <c r="A36" s="10" t="s">
        <v>1977</v>
      </c>
      <c r="B36" s="114">
        <v>1</v>
      </c>
      <c r="C36" s="124">
        <f>(100-IF(CharLevel&gt;60,(CharLevel-60)*4,0))*enCrOHup</f>
        <v>18.581213318271931</v>
      </c>
      <c r="D36" s="114"/>
      <c r="E36" s="114"/>
      <c r="F36" s="115"/>
      <c r="G36" s="115"/>
      <c r="H36" s="114"/>
      <c r="I36" s="114"/>
      <c r="J36" s="116"/>
      <c r="K36" s="769"/>
      <c r="L36" s="769"/>
      <c r="M36" s="786"/>
      <c r="N36" s="787">
        <v>1900</v>
      </c>
      <c r="O36" s="114" t="s">
        <v>1974</v>
      </c>
      <c r="P36" s="124"/>
      <c r="Q36" s="794"/>
      <c r="R36" s="116">
        <f>IF(OR(IF(includep1,$B36&lt;=1), IF(includep2,$B36&lt;=2), IF(includep3,$B36&lt;=3), IF(includep4,$B36&lt;=4), IF(includep5,$B36&lt;=5)),MAX($R$33:R35)+1,"")</f>
        <v>2</v>
      </c>
      <c r="S36" s="751">
        <v>2</v>
      </c>
      <c r="T36" s="714" t="str">
        <f t="shared" ref="T36:T44" si="2">IF(ISNA(INDEX($A$35:$A$44,MATCH(S36,R$35:R$44,0))), "", INDEX($A$35:$A$44,MATCH(S36,R$35:R$44,0)))</f>
        <v>Crusader</v>
      </c>
      <c r="U36" s="124"/>
      <c r="V36" s="48"/>
      <c r="W36" s="48"/>
      <c r="X36" s="48"/>
      <c r="AH36" s="6"/>
      <c r="AI36" s="6"/>
      <c r="AJ36" s="6"/>
      <c r="AK36" s="6"/>
      <c r="AL36" s="6"/>
      <c r="AM36" s="6"/>
    </row>
    <row r="37" spans="1:39" ht="11.25" customHeight="1">
      <c r="A37" s="10" t="s">
        <v>2843</v>
      </c>
      <c r="B37" s="114">
        <v>1</v>
      </c>
      <c r="C37" s="124"/>
      <c r="D37" s="114"/>
      <c r="E37" s="114"/>
      <c r="F37" s="115"/>
      <c r="G37" s="115"/>
      <c r="H37" s="114"/>
      <c r="I37" s="114"/>
      <c r="J37" s="116"/>
      <c r="K37" s="769"/>
      <c r="L37" s="769"/>
      <c r="M37" s="786"/>
      <c r="N37" s="787">
        <v>912</v>
      </c>
      <c r="O37" s="114" t="s">
        <v>1974</v>
      </c>
      <c r="P37" s="124"/>
      <c r="Q37" s="794">
        <f>'Damage Calc'!I49*'Damage Calc'!L49*6*$AA$2*100</f>
        <v>12.973484372392097</v>
      </c>
      <c r="R37" s="116">
        <f>IF(OR(IF(includep1,$B37&lt;=1), IF(includep2,$B37&lt;=2), IF(includep3,$B37&lt;=3), IF(includep4,$B37&lt;=4), IF(includep5,$B37&lt;=5)),MAX($R$33:R36)+1,"")</f>
        <v>3</v>
      </c>
      <c r="S37" s="751">
        <v>3</v>
      </c>
      <c r="T37" s="714" t="str">
        <f t="shared" si="2"/>
        <v>Demonslaying</v>
      </c>
      <c r="U37" s="124"/>
      <c r="V37" s="48"/>
      <c r="W37" s="48"/>
      <c r="AH37" s="6"/>
      <c r="AI37" s="6"/>
      <c r="AJ37" s="6"/>
      <c r="AK37" s="6"/>
      <c r="AL37" s="6"/>
      <c r="AM37" s="6"/>
    </row>
    <row r="38" spans="1:39" ht="11.25" customHeight="1">
      <c r="A38" s="10" t="s">
        <v>1665</v>
      </c>
      <c r="B38" s="114">
        <v>4</v>
      </c>
      <c r="C38" s="114"/>
      <c r="D38" s="114"/>
      <c r="E38" s="114"/>
      <c r="F38" s="115"/>
      <c r="G38" s="115"/>
      <c r="H38" s="114"/>
      <c r="I38" s="124">
        <f>840*IF('Gear &amp; Buffs'!B11="Executioner",0,enExOHup)</f>
        <v>260.13698645580706</v>
      </c>
      <c r="J38" s="116"/>
      <c r="K38" s="769"/>
      <c r="L38" s="769"/>
      <c r="M38" s="786"/>
      <c r="N38" s="787">
        <v>3225</v>
      </c>
      <c r="O38" s="114" t="s">
        <v>1974</v>
      </c>
      <c r="P38" s="124"/>
      <c r="Q38" s="794"/>
      <c r="R38" s="116" t="str">
        <f>IF(OR(IF(includep1,$B38&lt;=1), IF(includep2,$B38&lt;=2), IF(includep3,$B38&lt;=3), IF(includep4,$B38&lt;=4), IF(includep5,$B38&lt;=5)),MAX($R$33:R37)+1,"")</f>
        <v/>
      </c>
      <c r="S38" s="751">
        <v>4</v>
      </c>
      <c r="T38" s="714" t="str">
        <f t="shared" si="2"/>
        <v>Fiery Weapon</v>
      </c>
      <c r="U38" s="124"/>
      <c r="AH38" s="6"/>
      <c r="AI38" s="6"/>
      <c r="AJ38" s="6"/>
      <c r="AK38" s="6"/>
      <c r="AL38" s="6"/>
      <c r="AM38" s="6"/>
    </row>
    <row r="39" spans="1:39" ht="11.25" customHeight="1">
      <c r="A39" s="10" t="s">
        <v>1978</v>
      </c>
      <c r="B39" s="114">
        <v>1</v>
      </c>
      <c r="C39" s="114"/>
      <c r="D39" s="114"/>
      <c r="E39" s="114"/>
      <c r="F39" s="115"/>
      <c r="G39" s="115"/>
      <c r="H39" s="114"/>
      <c r="I39" s="114"/>
      <c r="J39" s="116"/>
      <c r="K39" s="769"/>
      <c r="L39" s="769"/>
      <c r="M39" s="786"/>
      <c r="N39" s="787">
        <v>803</v>
      </c>
      <c r="O39" s="114" t="s">
        <v>1974</v>
      </c>
      <c r="P39" s="124"/>
      <c r="Q39" s="794">
        <f>'Damage Calc'!I49*'Damage Calc'!L49*6*$AA$2*40*(1+(0.01*miseryimp)*misery)*IF(CoE,1.25,1)</f>
        <v>6.8110792955058503</v>
      </c>
      <c r="R39" s="116">
        <f>IF(OR(IF(includep1,$B39&lt;=1), IF(includep2,$B39&lt;=2), IF(includep3,$B39&lt;=3), IF(includep4,$B39&lt;=4), IF(includep5,$B39&lt;=5)),MAX($R$33:R38)+1,"")</f>
        <v>4</v>
      </c>
      <c r="S39" s="751">
        <v>5</v>
      </c>
      <c r="T39" s="714" t="str">
        <f t="shared" si="2"/>
        <v>Greater Agility (+20 Agility)</v>
      </c>
      <c r="U39" s="124"/>
      <c r="AH39" s="6"/>
      <c r="AI39" s="6"/>
      <c r="AJ39" s="6"/>
      <c r="AK39" s="6"/>
      <c r="AL39" s="6"/>
      <c r="AM39" s="6"/>
    </row>
    <row r="40" spans="1:39" ht="11.25" customHeight="1">
      <c r="A40" s="10" t="s">
        <v>1469</v>
      </c>
      <c r="B40" s="114">
        <v>1</v>
      </c>
      <c r="C40" s="114"/>
      <c r="D40" s="114">
        <v>20</v>
      </c>
      <c r="E40" s="114"/>
      <c r="F40" s="115"/>
      <c r="G40" s="115"/>
      <c r="H40" s="114"/>
      <c r="I40" s="114"/>
      <c r="J40" s="116"/>
      <c r="K40" s="769"/>
      <c r="L40" s="769"/>
      <c r="M40" s="786"/>
      <c r="N40" s="787">
        <v>3222</v>
      </c>
      <c r="O40" s="114" t="s">
        <v>1974</v>
      </c>
      <c r="P40" s="124"/>
      <c r="Q40" s="794"/>
      <c r="R40" s="116">
        <f>IF(OR(IF(includep1,$B40&lt;=1), IF(includep2,$B40&lt;=2), IF(includep3,$B40&lt;=3), IF(includep4,$B40&lt;=4), IF(includep5,$B40&lt;=5)),MAX($R$33:R39)+1,"")</f>
        <v>5</v>
      </c>
      <c r="S40" s="751">
        <v>6</v>
      </c>
      <c r="T40" s="714" t="str">
        <f t="shared" si="2"/>
        <v>Lifestealing</v>
      </c>
      <c r="U40" s="47"/>
      <c r="AH40" s="6"/>
      <c r="AI40" s="6"/>
      <c r="AJ40" s="6"/>
      <c r="AK40" s="6"/>
      <c r="AL40" s="6"/>
      <c r="AM40" s="6"/>
    </row>
    <row r="41" spans="1:39" ht="11.25" customHeight="1">
      <c r="A41" s="10" t="s">
        <v>1639</v>
      </c>
      <c r="B41" s="114">
        <v>1</v>
      </c>
      <c r="C41" s="114"/>
      <c r="D41" s="114"/>
      <c r="E41" s="114"/>
      <c r="F41" s="115"/>
      <c r="G41" s="115"/>
      <c r="H41" s="114"/>
      <c r="I41" s="114"/>
      <c r="J41" s="116"/>
      <c r="K41" s="769"/>
      <c r="L41" s="769"/>
      <c r="M41" s="786"/>
      <c r="N41" s="787">
        <v>1898</v>
      </c>
      <c r="O41" s="114" t="s">
        <v>1974</v>
      </c>
      <c r="P41" s="124"/>
      <c r="Q41" s="794">
        <f>'Damage Calc'!I49*'Damage Calc'!L49*6*$AA$2*19*IF(SW,1.1,1)*(1+(0.01*miseryimp)*misery)</f>
        <v>2.8470311455214459</v>
      </c>
      <c r="R41" s="116">
        <f>IF(OR(IF(includep1,$B41&lt;=1), IF(includep2,$B41&lt;=2), IF(includep3,$B41&lt;=3), IF(includep4,$B41&lt;=4), IF(includep5,$B41&lt;=5)),MAX($R$33:R40)+1,"")</f>
        <v>6</v>
      </c>
      <c r="S41" s="751">
        <v>7</v>
      </c>
      <c r="T41" s="714" t="str">
        <f t="shared" si="2"/>
        <v>Mongoose</v>
      </c>
      <c r="U41" s="47"/>
      <c r="AH41" s="6"/>
      <c r="AI41" s="6"/>
      <c r="AJ41" s="6"/>
      <c r="AK41" s="6"/>
      <c r="AL41" s="6"/>
      <c r="AM41" s="6"/>
    </row>
    <row r="42" spans="1:39" ht="11.25" customHeight="1">
      <c r="A42" s="10" t="s">
        <v>1640</v>
      </c>
      <c r="B42" s="114">
        <v>2</v>
      </c>
      <c r="C42" s="114"/>
      <c r="D42" s="114"/>
      <c r="E42" s="114"/>
      <c r="F42" s="115"/>
      <c r="G42" s="115"/>
      <c r="H42" s="114"/>
      <c r="I42" s="114"/>
      <c r="J42" s="116"/>
      <c r="K42" s="769">
        <v>7</v>
      </c>
      <c r="L42" s="769">
        <v>7</v>
      </c>
      <c r="M42" s="786">
        <v>7</v>
      </c>
      <c r="N42" s="787">
        <v>963</v>
      </c>
      <c r="O42" s="114" t="s">
        <v>1974</v>
      </c>
      <c r="P42" s="124"/>
      <c r="Q42" s="794"/>
      <c r="R42" s="116" t="str">
        <f>IF(OR(IF(includep1,$B42&lt;=1), IF(includep2,$B42&lt;=2), IF(includep3,$B42&lt;=3), IF(includep4,$B42&lt;=4), IF(includep5,$B42&lt;=5)),MAX($R$33:R41)+1,"")</f>
        <v/>
      </c>
      <c r="S42" s="751">
        <v>8</v>
      </c>
      <c r="T42" s="714" t="str">
        <f t="shared" si="2"/>
        <v>Superior Striking</v>
      </c>
      <c r="U42" s="47"/>
    </row>
    <row r="43" spans="1:39" ht="11.25" customHeight="1">
      <c r="A43" s="10" t="s">
        <v>1229</v>
      </c>
      <c r="B43" s="114">
        <v>1</v>
      </c>
      <c r="C43" s="21"/>
      <c r="D43" s="790">
        <f>120*enMnOHup</f>
        <v>37.162426636543863</v>
      </c>
      <c r="E43" s="21"/>
      <c r="F43" s="21"/>
      <c r="G43" s="21"/>
      <c r="H43" s="21"/>
      <c r="I43" s="21"/>
      <c r="J43" s="790">
        <f>2*hasterate*enMnOHup</f>
        <v>9.7670480262711425</v>
      </c>
      <c r="K43" s="769"/>
      <c r="L43" s="769"/>
      <c r="M43" s="769"/>
      <c r="N43" s="787">
        <v>2673</v>
      </c>
      <c r="O43" s="114" t="s">
        <v>1974</v>
      </c>
      <c r="P43" s="124"/>
      <c r="Q43" s="794"/>
      <c r="R43" s="116">
        <f>IF(OR(IF(includep1,$B43&lt;=1), IF(includep2,$B43&lt;=2), IF(includep3,$B43&lt;=3), IF(includep4,$B43&lt;=4), IF(includep5,$B43&lt;=5)),MAX($R$33:R42)+1,"")</f>
        <v>7</v>
      </c>
      <c r="S43" s="751">
        <v>9</v>
      </c>
      <c r="T43" s="714" t="str">
        <f t="shared" si="2"/>
        <v/>
      </c>
      <c r="U43" s="133"/>
      <c r="Y43" s="48"/>
      <c r="Z43" s="48"/>
      <c r="AA43" s="48"/>
      <c r="AB43" s="131"/>
      <c r="AC43" s="48"/>
    </row>
    <row r="44" spans="1:39" ht="11.25" customHeight="1">
      <c r="A44" s="10" t="s">
        <v>2842</v>
      </c>
      <c r="B44" s="114">
        <v>1</v>
      </c>
      <c r="C44" s="21"/>
      <c r="D44" s="790"/>
      <c r="E44" s="21"/>
      <c r="F44" s="21"/>
      <c r="G44" s="21"/>
      <c r="H44" s="21"/>
      <c r="I44" s="21"/>
      <c r="J44" s="790"/>
      <c r="K44" s="769">
        <v>5</v>
      </c>
      <c r="L44" s="769">
        <v>5</v>
      </c>
      <c r="M44" s="769">
        <v>5</v>
      </c>
      <c r="N44" s="787">
        <v>1897</v>
      </c>
      <c r="O44" s="114" t="s">
        <v>1974</v>
      </c>
      <c r="P44" s="769"/>
      <c r="Q44" s="794"/>
      <c r="R44" s="116">
        <f>IF(OR(IF(includep1,$B44&lt;=1), IF(includep2,$B44&lt;=2), IF(includep3,$B44&lt;=3), IF(includep4,$B44&lt;=4), IF(includep5,$B44&lt;=5)),MAX($R$33:R43)+1,"")</f>
        <v>8</v>
      </c>
      <c r="S44" s="751">
        <v>10</v>
      </c>
      <c r="T44" s="714" t="str">
        <f t="shared" si="2"/>
        <v/>
      </c>
      <c r="U44" s="124"/>
    </row>
    <row r="45" spans="1:39" ht="11.25" customHeight="1">
      <c r="A45" s="47"/>
      <c r="B45" s="114"/>
      <c r="C45" s="114"/>
      <c r="D45" s="114"/>
      <c r="E45" s="114"/>
      <c r="F45" s="115"/>
      <c r="G45" s="115"/>
      <c r="H45" s="114"/>
      <c r="I45" s="114"/>
      <c r="J45" s="116"/>
      <c r="K45" s="791"/>
      <c r="L45" s="114"/>
      <c r="M45" s="116"/>
      <c r="N45" s="114"/>
      <c r="O45" s="114"/>
      <c r="P45" s="114"/>
      <c r="Q45" s="114"/>
      <c r="R45" s="116"/>
      <c r="S45" s="116"/>
      <c r="T45" s="10"/>
      <c r="U45" s="124"/>
    </row>
    <row r="46" spans="1:39" ht="11.25" customHeight="1">
      <c r="A46" s="47"/>
      <c r="B46" s="114"/>
      <c r="C46" s="114"/>
      <c r="D46" s="114"/>
      <c r="E46" s="114"/>
      <c r="F46" s="115"/>
      <c r="G46" s="115"/>
      <c r="H46" s="114"/>
      <c r="I46" s="114"/>
      <c r="J46" s="116"/>
      <c r="K46" s="791"/>
      <c r="L46" s="114"/>
      <c r="M46" s="116"/>
      <c r="N46" s="114"/>
      <c r="O46" s="114"/>
      <c r="P46" s="114"/>
      <c r="Q46" s="114"/>
      <c r="R46" s="116"/>
      <c r="S46" s="116"/>
      <c r="T46" s="10"/>
      <c r="U46" s="124"/>
      <c r="Y46" s="48"/>
      <c r="Z46" s="48"/>
      <c r="AA46" s="48"/>
      <c r="AB46" s="48"/>
      <c r="AC46" s="48"/>
      <c r="AD46" s="48"/>
    </row>
    <row r="47" spans="1:39" ht="11.25" customHeight="1">
      <c r="A47" s="47"/>
      <c r="B47" s="114"/>
      <c r="C47" s="114"/>
      <c r="D47" s="114"/>
      <c r="E47" s="114"/>
      <c r="F47" s="115"/>
      <c r="G47" s="115"/>
      <c r="H47" s="114"/>
      <c r="I47" s="114"/>
      <c r="J47" s="116"/>
      <c r="K47" s="791"/>
      <c r="L47" s="114"/>
      <c r="M47" s="116"/>
      <c r="N47" s="114"/>
      <c r="O47" s="114"/>
      <c r="P47" s="114"/>
      <c r="Q47" s="114"/>
      <c r="R47" s="116"/>
      <c r="S47" s="116"/>
      <c r="T47" s="10"/>
      <c r="U47" s="124"/>
      <c r="Y47" s="48"/>
      <c r="Z47" s="48"/>
      <c r="AA47" s="48"/>
      <c r="AB47" s="48"/>
      <c r="AC47" s="48"/>
      <c r="AD47" s="48"/>
    </row>
    <row r="48" spans="1:39" ht="11.25" customHeight="1" thickBot="1">
      <c r="A48" s="800" t="s">
        <v>563</v>
      </c>
      <c r="B48" s="801" t="s">
        <v>2798</v>
      </c>
      <c r="C48" s="801" t="s">
        <v>1214</v>
      </c>
      <c r="D48" s="801" t="s">
        <v>1215</v>
      </c>
      <c r="E48" s="801" t="s">
        <v>1216</v>
      </c>
      <c r="F48" s="801" t="s">
        <v>2140</v>
      </c>
      <c r="G48" s="801" t="s">
        <v>2139</v>
      </c>
      <c r="H48" s="801" t="s">
        <v>768</v>
      </c>
      <c r="I48" s="801" t="s">
        <v>1219</v>
      </c>
      <c r="J48" s="801" t="s">
        <v>1017</v>
      </c>
      <c r="K48" s="801" t="s">
        <v>1222</v>
      </c>
      <c r="L48" s="801" t="s">
        <v>1223</v>
      </c>
      <c r="M48" s="801" t="s">
        <v>1705</v>
      </c>
      <c r="N48" s="801" t="s">
        <v>146</v>
      </c>
      <c r="O48" s="801" t="s">
        <v>1225</v>
      </c>
      <c r="P48" s="801" t="s">
        <v>1226</v>
      </c>
      <c r="Q48" s="801" t="s">
        <v>147</v>
      </c>
      <c r="R48" s="801">
        <v>0</v>
      </c>
      <c r="S48" s="802"/>
      <c r="T48" s="803" t="s">
        <v>1689</v>
      </c>
      <c r="U48" s="124"/>
      <c r="Y48" s="48"/>
      <c r="Z48" s="48"/>
      <c r="AA48" s="48"/>
      <c r="AB48" s="48"/>
      <c r="AC48" s="48"/>
      <c r="AD48" s="48"/>
    </row>
    <row r="49" spans="1:30" ht="11.25" customHeight="1">
      <c r="A49" s="10" t="s">
        <v>2207</v>
      </c>
      <c r="B49" s="114"/>
      <c r="C49" s="114"/>
      <c r="D49" s="114"/>
      <c r="E49" s="114"/>
      <c r="F49" s="115"/>
      <c r="G49" s="115"/>
      <c r="H49" s="114"/>
      <c r="I49" s="114"/>
      <c r="J49" s="116"/>
      <c r="K49" s="769"/>
      <c r="L49" s="769"/>
      <c r="M49" s="786"/>
      <c r="N49" s="787"/>
      <c r="O49" s="114" t="s">
        <v>1974</v>
      </c>
      <c r="P49" s="124"/>
      <c r="Q49" s="793"/>
      <c r="R49" s="792"/>
      <c r="S49" s="751"/>
      <c r="T49" s="714"/>
      <c r="U49" s="124"/>
      <c r="Y49" s="48"/>
      <c r="Z49" s="48"/>
      <c r="AA49" s="48"/>
      <c r="AB49" s="48"/>
      <c r="AC49" s="48"/>
      <c r="AD49" s="48"/>
    </row>
    <row r="50" spans="1:30" ht="11.25" customHeight="1">
      <c r="A50" s="10" t="s">
        <v>1286</v>
      </c>
      <c r="B50" s="114">
        <v>1</v>
      </c>
      <c r="C50" s="114"/>
      <c r="D50" s="114"/>
      <c r="E50" s="114"/>
      <c r="F50" s="115">
        <v>14</v>
      </c>
      <c r="G50" s="115"/>
      <c r="H50" s="114"/>
      <c r="I50" s="114"/>
      <c r="J50" s="116"/>
      <c r="K50" s="769">
        <v>12</v>
      </c>
      <c r="L50" s="769">
        <v>12</v>
      </c>
      <c r="M50" s="786">
        <v>12</v>
      </c>
      <c r="N50" s="787"/>
      <c r="O50" s="114" t="s">
        <v>1974</v>
      </c>
      <c r="P50" s="124"/>
      <c r="Q50" s="794"/>
      <c r="R50" s="116">
        <f>IF(OR(IF(includep1,$B50&lt;=1), IF(includep2,$B50&lt;=2), IF(includep3,$B50&lt;=3), IF(includep4,$B50&lt;=4), IF(includep5,$B50&lt;=5)),MAX($R$48:R49)+1,"")</f>
        <v>1</v>
      </c>
      <c r="S50" s="751">
        <v>1</v>
      </c>
      <c r="T50" s="714" t="str">
        <f>IF(ISNA(INDEX($A$50:$A$59,MATCH(S50,R$50:R$59,0))), "", INDEX($A$50:$A$59,MATCH(S50,R$50:R$59,0)))</f>
        <v>Adamantite Sharpening Stone</v>
      </c>
      <c r="U50" s="124"/>
      <c r="Y50" s="48"/>
      <c r="Z50" s="48"/>
      <c r="AA50" s="48"/>
      <c r="AB50" s="48"/>
      <c r="AC50" s="48"/>
      <c r="AD50" s="48"/>
    </row>
    <row r="51" spans="1:30" ht="11.25" customHeight="1">
      <c r="A51" s="10" t="s">
        <v>1650</v>
      </c>
      <c r="B51" s="114">
        <v>1</v>
      </c>
      <c r="C51" s="114"/>
      <c r="D51" s="114"/>
      <c r="E51" s="114"/>
      <c r="F51" s="115"/>
      <c r="G51" s="115"/>
      <c r="H51" s="114"/>
      <c r="I51" s="114"/>
      <c r="J51" s="116"/>
      <c r="K51" s="769"/>
      <c r="L51" s="769"/>
      <c r="M51" s="786"/>
      <c r="N51" s="787"/>
      <c r="O51" s="114" t="s">
        <v>1974</v>
      </c>
      <c r="P51" s="124"/>
      <c r="Q51" s="794">
        <f>IF(Talents!$O$18="Yes",'Damage Calc'!K49*($AA$2+mpsn)*$AD$2*$AF$2*(Talents!$C$23*0.04+1)*(1+(0.01*miseryimp)*misery)*(1+(thunderfury*thunderfurydps)),0)</f>
        <v>33.347044230796655</v>
      </c>
      <c r="R51" s="116">
        <f>IF(OR(IF(includep1,$B51&lt;=1), IF(includep2,$B51&lt;=2), IF(includep3,$B51&lt;=3), IF(includep4,$B51&lt;=4), IF(includep5,$B51&lt;=5)),MAX($R$48:R50)+1,"")</f>
        <v>2</v>
      </c>
      <c r="S51" s="751">
        <v>2</v>
      </c>
      <c r="T51" s="714" t="str">
        <f t="shared" ref="T51:T59" si="3">IF(ISNA(INDEX($A$50:$A$59,MATCH(S51,R$50:R$59,0))), "", INDEX($A$50:$A$59,MATCH(S51,R$50:R$59,0)))</f>
        <v>Anesthetic Poison</v>
      </c>
      <c r="U51" s="124"/>
      <c r="Y51" s="48"/>
      <c r="AD51" s="48"/>
    </row>
    <row r="52" spans="1:30" ht="11.25" customHeight="1">
      <c r="A52" s="10" t="s">
        <v>98</v>
      </c>
      <c r="B52" s="114">
        <v>1</v>
      </c>
      <c r="C52" s="114"/>
      <c r="D52" s="114"/>
      <c r="E52" s="114"/>
      <c r="F52" s="115"/>
      <c r="G52" s="115"/>
      <c r="H52" s="114">
        <f>IF(OR(mobtype="Undead",mobtype="Any"),100,0)</f>
        <v>100</v>
      </c>
      <c r="I52" s="114"/>
      <c r="J52" s="116"/>
      <c r="K52" s="769"/>
      <c r="L52" s="769"/>
      <c r="M52" s="786"/>
      <c r="N52" s="787"/>
      <c r="O52" s="114" t="s">
        <v>1974</v>
      </c>
      <c r="P52" s="124"/>
      <c r="Q52" s="794"/>
      <c r="R52" s="116">
        <f>IF(OR(IF(includep1,$B52&lt;=1), IF(includep2,$B52&lt;=2), IF(includep3,$B52&lt;=3), IF(includep4,$B52&lt;=4), IF(includep5,$B52&lt;=5)),MAX($R$48:R51)+1,"")</f>
        <v>3</v>
      </c>
      <c r="S52" s="751">
        <v>3</v>
      </c>
      <c r="T52" s="714" t="str">
        <f t="shared" si="3"/>
        <v>Consecrated Sharpening Stone</v>
      </c>
      <c r="U52" s="124"/>
      <c r="AD52" s="48"/>
    </row>
    <row r="53" spans="1:30" ht="11.25" customHeight="1">
      <c r="A53" s="10" t="s">
        <v>2206</v>
      </c>
      <c r="B53" s="114">
        <v>1</v>
      </c>
      <c r="C53" s="114"/>
      <c r="D53" s="114"/>
      <c r="E53" s="114"/>
      <c r="F53" s="115"/>
      <c r="G53" s="115"/>
      <c r="H53" s="114"/>
      <c r="I53" s="114"/>
      <c r="J53" s="116"/>
      <c r="K53" s="769"/>
      <c r="L53" s="769"/>
      <c r="M53" s="786"/>
      <c r="N53" s="787"/>
      <c r="O53" s="114" t="s">
        <v>1974</v>
      </c>
      <c r="P53" s="124"/>
      <c r="Q53" s="794">
        <f>IF(Talents!$O$18="Yes",($AD$28*$AC$2/12*(Talents!$C$23*0.04+1)*(1+(0.01*miseryimp)*misery)*(1+(thunderfury*thunderfurydps)))-lostdp,0)</f>
        <v>77.558933726510688</v>
      </c>
      <c r="R53" s="116">
        <f>IF(OR(IF(includep1,$B53&lt;=1), IF(includep2,$B53&lt;=2), IF(includep3,$B53&lt;=3), IF(includep4,$B53&lt;=4), IF(includep5,$B53&lt;=5)),MAX($R$48:R52)+1,"")</f>
        <v>4</v>
      </c>
      <c r="S53" s="751">
        <v>4</v>
      </c>
      <c r="T53" s="714" t="str">
        <f t="shared" si="3"/>
        <v>Deadly Poison VII</v>
      </c>
      <c r="U53" s="124"/>
      <c r="AD53" s="48"/>
    </row>
    <row r="54" spans="1:30" ht="11.1" customHeight="1">
      <c r="A54" s="10" t="s">
        <v>2841</v>
      </c>
      <c r="B54" s="114">
        <v>1</v>
      </c>
      <c r="C54" s="114"/>
      <c r="D54" s="114"/>
      <c r="E54" s="114"/>
      <c r="F54" s="115"/>
      <c r="G54" s="115"/>
      <c r="H54" s="114"/>
      <c r="I54" s="114"/>
      <c r="J54" s="116"/>
      <c r="K54" s="769">
        <v>8</v>
      </c>
      <c r="L54" s="769">
        <v>8</v>
      </c>
      <c r="M54" s="786">
        <v>8</v>
      </c>
      <c r="N54" s="787"/>
      <c r="O54" s="114" t="s">
        <v>1974</v>
      </c>
      <c r="P54" s="124"/>
      <c r="Q54" s="794"/>
      <c r="R54" s="116">
        <f>IF(OR(IF(includep1,$B54&lt;=1), IF(includep2,$B54&lt;=2), IF(includep3,$B54&lt;=3), IF(includep4,$B54&lt;=4), IF(includep5,$B54&lt;=5)),MAX($R$48:R53)+1,"")</f>
        <v>5</v>
      </c>
      <c r="S54" s="751">
        <v>5</v>
      </c>
      <c r="T54" s="714" t="str">
        <f t="shared" si="3"/>
        <v>Dense Sharpening Stone</v>
      </c>
      <c r="U54" s="189"/>
      <c r="AD54" s="48"/>
    </row>
    <row r="55" spans="1:30" ht="11.1" customHeight="1">
      <c r="A55" s="10" t="s">
        <v>1281</v>
      </c>
      <c r="B55" s="114">
        <v>1</v>
      </c>
      <c r="C55" s="114"/>
      <c r="D55" s="114"/>
      <c r="E55" s="114"/>
      <c r="F55" s="115">
        <v>28</v>
      </c>
      <c r="G55" s="115"/>
      <c r="H55" s="114"/>
      <c r="I55" s="114"/>
      <c r="J55" s="116"/>
      <c r="K55" s="769"/>
      <c r="L55" s="769"/>
      <c r="M55" s="786"/>
      <c r="N55" s="787"/>
      <c r="O55" s="114" t="s">
        <v>1974</v>
      </c>
      <c r="P55" s="124"/>
      <c r="Q55" s="794"/>
      <c r="R55" s="116">
        <f>IF(OR(IF(includep1,$B55&lt;=1), IF(includep2,$B55&lt;=2), IF(includep3,$B55&lt;=3), IF(includep4,$B55&lt;=4), IF(includep5,$B55&lt;=5)),MAX($R$48:R54)+1,"")</f>
        <v>6</v>
      </c>
      <c r="S55" s="751">
        <v>6</v>
      </c>
      <c r="T55" s="714" t="str">
        <f t="shared" si="3"/>
        <v>Elemental Sharpening Stone</v>
      </c>
      <c r="U55" s="189"/>
      <c r="AD55" s="48"/>
    </row>
    <row r="56" spans="1:30" ht="11.1" customHeight="1">
      <c r="A56" s="10" t="s">
        <v>1275</v>
      </c>
      <c r="B56" s="114">
        <v>1</v>
      </c>
      <c r="C56" s="114"/>
      <c r="D56" s="114"/>
      <c r="E56" s="114"/>
      <c r="F56" s="115"/>
      <c r="G56" s="115"/>
      <c r="H56" s="114"/>
      <c r="I56" s="114"/>
      <c r="J56" s="116"/>
      <c r="K56" s="769">
        <v>12</v>
      </c>
      <c r="L56" s="769">
        <v>12</v>
      </c>
      <c r="M56" s="786">
        <v>12</v>
      </c>
      <c r="N56" s="787"/>
      <c r="O56" s="114" t="s">
        <v>1974</v>
      </c>
      <c r="P56" s="124"/>
      <c r="Q56" s="794"/>
      <c r="R56" s="116">
        <f>IF(OR(IF(includep1,$B56&lt;=1), IF(includep2,$B56&lt;=2), IF(includep3,$B56&lt;=3), IF(includep4,$B56&lt;=4), IF(includep5,$B56&lt;=5)),MAX($R$48:R55)+1,"")</f>
        <v>7</v>
      </c>
      <c r="S56" s="751">
        <v>7</v>
      </c>
      <c r="T56" s="714" t="str">
        <f t="shared" si="3"/>
        <v>Fel Sharpening Stone</v>
      </c>
      <c r="U56" s="48"/>
      <c r="AD56" s="48"/>
    </row>
    <row r="57" spans="1:30" ht="11.1" customHeight="1">
      <c r="A57" s="10" t="s">
        <v>1283</v>
      </c>
      <c r="B57" s="114">
        <v>1</v>
      </c>
      <c r="C57" s="114"/>
      <c r="D57" s="114"/>
      <c r="E57" s="114"/>
      <c r="F57" s="115"/>
      <c r="G57" s="115"/>
      <c r="H57" s="114"/>
      <c r="I57" s="114"/>
      <c r="J57" s="116"/>
      <c r="K57" s="769"/>
      <c r="L57" s="769"/>
      <c r="M57" s="786"/>
      <c r="N57" s="787"/>
      <c r="O57" s="114" t="s">
        <v>1974</v>
      </c>
      <c r="P57" s="124"/>
      <c r="Q57" s="794">
        <f>IF(Talents!$O$18="Yes",'Damage Calc'!K49*($AA$2+mpsn)*$AD$2*$AE$2*(Talents!$C$23*0.04+1)*(1+(0.01*miseryimp)*misery)*(1+(thunderfury*thunderfurydps)),0)</f>
        <v>37.052271367551839</v>
      </c>
      <c r="R57" s="116">
        <f>IF(OR(IF(includep1,$B57&lt;=1), IF(includep2,$B57&lt;=2), IF(includep3,$B57&lt;=3), IF(includep4,$B57&lt;=4), IF(includep5,$B57&lt;=5)),MAX($R$48:R56)+1,"")</f>
        <v>8</v>
      </c>
      <c r="S57" s="751">
        <v>8</v>
      </c>
      <c r="T57" s="714" t="str">
        <f t="shared" si="3"/>
        <v>Instant Poison VII</v>
      </c>
      <c r="U57" s="48"/>
      <c r="AD57" s="48"/>
    </row>
    <row r="58" spans="1:30" ht="11.1" customHeight="1">
      <c r="A58" s="10" t="s">
        <v>97</v>
      </c>
      <c r="B58" s="114">
        <v>5</v>
      </c>
      <c r="C58" s="114"/>
      <c r="D58" s="114"/>
      <c r="E58" s="114"/>
      <c r="F58" s="115"/>
      <c r="G58" s="115"/>
      <c r="H58" s="124">
        <f>300*IF('Gear &amp; Buffs'!B12="Righteous Weapon Coating",0,enRWCohUP)</f>
        <v>58.856819863347049</v>
      </c>
      <c r="I58" s="114"/>
      <c r="J58" s="116"/>
      <c r="K58" s="769"/>
      <c r="L58" s="769"/>
      <c r="M58" s="786"/>
      <c r="N58" s="787"/>
      <c r="O58" s="114" t="s">
        <v>1974</v>
      </c>
      <c r="P58" s="124"/>
      <c r="Q58" s="794"/>
      <c r="R58" s="116" t="str">
        <f>IF(OR(IF(includep1,$B58&lt;=1), IF(includep2,$B58&lt;=2), IF(includep3,$B58&lt;=3), IF(includep4,$B58&lt;=4), IF(includep5,$B58&lt;=5)),MAX($R$48:R57)+1,"")</f>
        <v/>
      </c>
      <c r="S58" s="751">
        <v>9</v>
      </c>
      <c r="T58" s="714" t="str">
        <f t="shared" si="3"/>
        <v>Wound Poison</v>
      </c>
      <c r="U58" s="48"/>
      <c r="AD58" s="48"/>
    </row>
    <row r="59" spans="1:30" ht="11.1" customHeight="1">
      <c r="A59" s="10" t="s">
        <v>1285</v>
      </c>
      <c r="B59" s="114">
        <v>1</v>
      </c>
      <c r="C59" s="114"/>
      <c r="D59" s="114"/>
      <c r="E59" s="114"/>
      <c r="F59" s="115"/>
      <c r="G59" s="115"/>
      <c r="H59" s="114"/>
      <c r="I59" s="114"/>
      <c r="J59" s="116"/>
      <c r="K59" s="769"/>
      <c r="L59" s="769"/>
      <c r="M59" s="786"/>
      <c r="N59" s="787"/>
      <c r="O59" s="114" t="s">
        <v>1974</v>
      </c>
      <c r="P59" s="124"/>
      <c r="Q59" s="794">
        <f>IF(Talents!$O$18="Yes",'Damage Calc'!K49*($AA$2+mpsn)*$AG$2*$AH$2*(Talents!$C$23*0.04+1)*(1+(0.01*miseryimp)*misery)*(1+(thunderfury*thunderfurydps)),0)</f>
        <v>21.250567401978262</v>
      </c>
      <c r="R59" s="116">
        <f>IF(OR(IF(includep1,$B59&lt;=1), IF(includep2,$B59&lt;=2), IF(includep3,$B59&lt;=3), IF(includep4,$B59&lt;=4), IF(includep5,$B59&lt;=5)),MAX($R$48:R58)+1,"")</f>
        <v>9</v>
      </c>
      <c r="S59" s="751">
        <v>10</v>
      </c>
      <c r="T59" s="714" t="str">
        <f t="shared" si="3"/>
        <v/>
      </c>
      <c r="U59" s="48"/>
      <c r="AD59" s="48"/>
    </row>
    <row r="60" spans="1:30" ht="11.1" customHeight="1">
      <c r="A60" s="189"/>
      <c r="B60" s="21"/>
      <c r="C60" s="21"/>
      <c r="D60" s="21"/>
      <c r="E60" s="21"/>
      <c r="F60" s="21"/>
      <c r="G60" s="21"/>
      <c r="H60" s="21"/>
      <c r="I60" s="21"/>
      <c r="J60" s="21"/>
      <c r="K60" s="769"/>
      <c r="L60" s="769"/>
      <c r="M60" s="769"/>
      <c r="N60" s="21"/>
      <c r="O60" s="21"/>
      <c r="P60" s="21"/>
      <c r="Q60" s="21"/>
      <c r="R60" s="50"/>
      <c r="S60" s="50"/>
      <c r="T60" s="789"/>
      <c r="U60" s="48"/>
      <c r="AD60" s="48"/>
    </row>
    <row r="61" spans="1:30" ht="11.1" customHeight="1">
      <c r="A61" s="189"/>
      <c r="B61" s="21"/>
      <c r="C61" s="21"/>
      <c r="D61" s="21"/>
      <c r="E61" s="21"/>
      <c r="F61" s="21"/>
      <c r="G61" s="21"/>
      <c r="H61" s="21"/>
      <c r="I61" s="21"/>
      <c r="J61" s="21"/>
      <c r="K61" s="769"/>
      <c r="L61" s="769"/>
      <c r="M61" s="769"/>
      <c r="N61" s="21"/>
      <c r="O61" s="21"/>
      <c r="P61" s="21"/>
      <c r="Q61" s="21"/>
      <c r="R61" s="50"/>
      <c r="S61" s="50"/>
      <c r="T61" s="789"/>
      <c r="U61" s="48"/>
      <c r="AD61" s="48"/>
    </row>
    <row r="62" spans="1:30" ht="11.1" customHeight="1">
      <c r="A62" s="48"/>
      <c r="B62" s="129"/>
      <c r="C62" s="129"/>
      <c r="D62" s="129"/>
      <c r="E62" s="129"/>
      <c r="F62" s="129"/>
      <c r="G62" s="129"/>
      <c r="H62" s="129"/>
      <c r="I62" s="129"/>
      <c r="J62" s="125"/>
      <c r="K62" s="150"/>
      <c r="L62" s="129"/>
      <c r="M62" s="125"/>
      <c r="N62" s="129"/>
      <c r="O62" s="129"/>
      <c r="P62" s="129"/>
      <c r="Q62" s="129"/>
      <c r="R62" s="125"/>
      <c r="S62" s="125"/>
      <c r="T62" s="151"/>
      <c r="U62" s="48"/>
      <c r="AD62" s="48"/>
    </row>
    <row r="63" spans="1:30" ht="11.1" customHeight="1">
      <c r="A63" s="48"/>
      <c r="B63" s="129"/>
      <c r="C63" s="129"/>
      <c r="D63" s="129"/>
      <c r="E63" s="129"/>
      <c r="F63" s="129"/>
      <c r="G63" s="129"/>
      <c r="H63" s="129"/>
      <c r="I63" s="129"/>
      <c r="J63" s="125"/>
      <c r="K63" s="150"/>
      <c r="L63" s="129"/>
      <c r="M63" s="125"/>
      <c r="N63" s="129"/>
      <c r="O63" s="129"/>
      <c r="P63" s="129"/>
      <c r="Q63" s="129"/>
      <c r="R63" s="125"/>
      <c r="S63" s="125"/>
      <c r="T63" s="151"/>
      <c r="U63" s="48"/>
      <c r="AD63" s="48"/>
    </row>
    <row r="64" spans="1:30" ht="11.1" customHeight="1">
      <c r="A64" s="48"/>
      <c r="B64" s="129"/>
      <c r="C64" s="129"/>
      <c r="D64" s="129"/>
      <c r="E64" s="129"/>
      <c r="F64" s="129"/>
      <c r="G64" s="129"/>
      <c r="H64" s="129"/>
      <c r="I64" s="129"/>
      <c r="J64" s="125"/>
      <c r="K64" s="150"/>
      <c r="L64" s="129"/>
      <c r="M64" s="125"/>
      <c r="N64" s="129"/>
      <c r="O64" s="129"/>
      <c r="P64" s="129"/>
      <c r="Q64" s="129"/>
      <c r="R64" s="125"/>
      <c r="S64" s="125"/>
      <c r="T64" s="151"/>
      <c r="U64" s="48"/>
    </row>
    <row r="65" spans="1:21" ht="11.1" customHeight="1">
      <c r="A65" s="48"/>
      <c r="B65" s="129"/>
      <c r="C65" s="129"/>
      <c r="D65" s="129"/>
      <c r="E65" s="129"/>
      <c r="F65" s="129"/>
      <c r="G65" s="129"/>
      <c r="H65" s="129"/>
      <c r="I65" s="129"/>
      <c r="J65" s="125"/>
      <c r="K65" s="150"/>
      <c r="L65" s="129"/>
      <c r="M65" s="125"/>
      <c r="N65" s="129"/>
      <c r="O65" s="129"/>
      <c r="P65" s="129"/>
      <c r="Q65" s="129"/>
      <c r="R65" s="125"/>
      <c r="S65" s="125"/>
      <c r="T65" s="151"/>
      <c r="U65" s="48"/>
    </row>
    <row r="66" spans="1:21" ht="11.1" customHeight="1">
      <c r="A66" s="175"/>
      <c r="B66" s="172"/>
      <c r="C66" s="172"/>
      <c r="D66" s="129"/>
      <c r="E66" s="129"/>
      <c r="F66" s="129"/>
      <c r="G66" s="129"/>
      <c r="H66" s="129"/>
      <c r="I66" s="129"/>
      <c r="J66" s="125"/>
      <c r="K66" s="150"/>
      <c r="L66" s="129"/>
      <c r="M66" s="125"/>
      <c r="N66" s="129"/>
      <c r="O66" s="129"/>
      <c r="P66" s="129"/>
      <c r="Q66" s="129"/>
      <c r="R66" s="125"/>
      <c r="S66" s="125"/>
      <c r="T66" s="151"/>
      <c r="U66" s="48"/>
    </row>
    <row r="67" spans="1:21">
      <c r="D67" s="129"/>
      <c r="E67" s="129"/>
      <c r="F67" s="129"/>
      <c r="G67" s="129"/>
      <c r="H67" s="129"/>
      <c r="I67" s="129"/>
      <c r="J67" s="125"/>
      <c r="K67" s="150"/>
      <c r="L67" s="129"/>
      <c r="M67" s="125"/>
      <c r="N67" s="129"/>
      <c r="O67" s="129"/>
      <c r="P67" s="129"/>
      <c r="Q67" s="129"/>
      <c r="R67" s="125"/>
      <c r="S67" s="125"/>
      <c r="T67" s="151"/>
    </row>
    <row r="68" spans="1:21">
      <c r="A68" s="175"/>
      <c r="B68" s="172"/>
      <c r="C68" s="172"/>
      <c r="D68" s="129"/>
      <c r="E68" s="129"/>
      <c r="F68" s="129"/>
      <c r="G68" s="129"/>
      <c r="H68" s="129"/>
      <c r="I68" s="129"/>
      <c r="J68" s="125"/>
      <c r="K68" s="150"/>
      <c r="L68" s="129"/>
      <c r="M68" s="125"/>
      <c r="N68" s="129"/>
      <c r="O68" s="129"/>
      <c r="P68" s="129"/>
      <c r="Q68" s="129"/>
      <c r="R68" s="125"/>
      <c r="S68" s="125"/>
      <c r="T68" s="151"/>
    </row>
    <row r="69" spans="1:21">
      <c r="A69" s="48"/>
      <c r="B69" s="129"/>
      <c r="C69" s="129"/>
      <c r="D69" s="129"/>
      <c r="E69" s="129"/>
      <c r="F69" s="129"/>
      <c r="G69" s="129"/>
      <c r="H69" s="129"/>
      <c r="I69" s="129"/>
      <c r="J69" s="125"/>
      <c r="K69" s="150"/>
      <c r="L69" s="129"/>
      <c r="M69" s="125"/>
      <c r="N69" s="129"/>
      <c r="O69" s="129"/>
      <c r="P69" s="129"/>
      <c r="Q69" s="129"/>
      <c r="R69" s="125"/>
      <c r="S69" s="125"/>
      <c r="T69" s="151"/>
    </row>
    <row r="70" spans="1:21">
      <c r="A70" s="48"/>
      <c r="B70" s="129"/>
      <c r="C70" s="129"/>
      <c r="D70" s="129"/>
      <c r="E70" s="129"/>
      <c r="F70" s="129"/>
      <c r="G70" s="129"/>
      <c r="H70" s="129"/>
      <c r="I70" s="129"/>
      <c r="J70" s="125"/>
      <c r="K70" s="150"/>
      <c r="L70" s="129"/>
      <c r="M70" s="125"/>
      <c r="N70" s="129"/>
      <c r="O70" s="129"/>
      <c r="P70" s="129"/>
      <c r="Q70" s="129"/>
      <c r="R70" s="125"/>
      <c r="S70" s="125"/>
      <c r="T70" s="151"/>
    </row>
    <row r="71" spans="1:21">
      <c r="A71" s="48"/>
      <c r="B71" s="129"/>
      <c r="C71" s="129"/>
      <c r="D71" s="129"/>
      <c r="E71" s="129"/>
      <c r="F71" s="129"/>
      <c r="G71" s="129"/>
      <c r="H71" s="129"/>
      <c r="I71" s="129"/>
      <c r="J71" s="125"/>
      <c r="K71" s="150"/>
      <c r="L71" s="129"/>
      <c r="M71" s="125"/>
      <c r="N71" s="129"/>
      <c r="O71" s="129"/>
      <c r="P71" s="129"/>
      <c r="Q71" s="129"/>
      <c r="R71" s="125"/>
      <c r="S71" s="125"/>
      <c r="T71" s="151"/>
    </row>
    <row r="72" spans="1:21">
      <c r="A72" s="48"/>
      <c r="B72" s="129"/>
      <c r="C72" s="129"/>
      <c r="D72" s="129"/>
      <c r="E72" s="129"/>
      <c r="F72" s="129"/>
      <c r="G72" s="129"/>
      <c r="H72" s="129"/>
      <c r="I72" s="129"/>
      <c r="J72" s="125"/>
      <c r="K72" s="150"/>
      <c r="L72" s="129"/>
      <c r="M72" s="125"/>
      <c r="N72" s="129"/>
      <c r="O72" s="129"/>
      <c r="P72" s="129"/>
      <c r="Q72" s="129"/>
      <c r="R72" s="125"/>
      <c r="S72" s="125"/>
      <c r="T72" s="151"/>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0D5AF-9303-4E13-95C3-A9B6E0B8C481}">
  <sheetPr codeName="Sheet24"/>
  <dimension ref="A1:Q112"/>
  <sheetViews>
    <sheetView workbookViewId="0">
      <selection activeCell="I4" sqref="I4"/>
    </sheetView>
  </sheetViews>
  <sheetFormatPr defaultRowHeight="11.25"/>
  <cols>
    <col min="1" max="1" width="25.140625" style="6" customWidth="1"/>
    <col min="2" max="3" width="4.42578125" style="6" customWidth="1"/>
    <col min="4" max="4" width="4" style="6" customWidth="1"/>
    <col min="5" max="5" width="4.7109375" style="6" customWidth="1"/>
    <col min="6" max="6" width="4.85546875" style="6" customWidth="1"/>
    <col min="7" max="7" width="4.85546875" style="6" bestFit="1" customWidth="1"/>
    <col min="8" max="8" width="4.5703125" style="6" customWidth="1"/>
    <col min="9" max="9" width="8.5703125" style="6" bestFit="1" customWidth="1"/>
    <col min="10" max="12" width="4.5703125" style="6" customWidth="1"/>
    <col min="13" max="13" width="6.140625" style="6" customWidth="1"/>
    <col min="14" max="16384" width="9.140625" style="6"/>
  </cols>
  <sheetData>
    <row r="1" spans="1:17" ht="12" thickBot="1">
      <c r="A1" s="700" t="s">
        <v>3104</v>
      </c>
      <c r="B1" s="700" t="s">
        <v>1214</v>
      </c>
      <c r="C1" s="700" t="s">
        <v>1215</v>
      </c>
      <c r="D1" s="700" t="s">
        <v>1216</v>
      </c>
      <c r="E1" s="700" t="s">
        <v>2140</v>
      </c>
      <c r="F1" s="700" t="s">
        <v>2139</v>
      </c>
      <c r="G1" s="700" t="s">
        <v>768</v>
      </c>
      <c r="H1" s="700" t="s">
        <v>264</v>
      </c>
      <c r="I1" s="700" t="s">
        <v>2426</v>
      </c>
      <c r="J1" s="700"/>
      <c r="K1" s="700"/>
      <c r="L1" s="700"/>
      <c r="M1" s="700" t="s">
        <v>1218</v>
      </c>
      <c r="O1" s="6" t="s">
        <v>3103</v>
      </c>
    </row>
    <row r="2" spans="1:17">
      <c r="A2" s="142" t="s">
        <v>2464</v>
      </c>
      <c r="B2" s="120">
        <f>23+74</f>
        <v>97</v>
      </c>
      <c r="C2" s="120">
        <f>19+135</f>
        <v>154</v>
      </c>
      <c r="D2" s="120">
        <f>24+68</f>
        <v>92</v>
      </c>
      <c r="E2" s="338"/>
      <c r="F2" s="338"/>
      <c r="G2" s="120"/>
      <c r="H2" s="120"/>
      <c r="I2" s="120"/>
      <c r="J2" s="120"/>
      <c r="K2" s="120"/>
      <c r="L2" s="120"/>
      <c r="M2" s="120"/>
      <c r="N2" s="218"/>
      <c r="O2" s="120">
        <v>0</v>
      </c>
      <c r="P2" s="120"/>
      <c r="Q2" s="120" t="s">
        <v>144</v>
      </c>
    </row>
    <row r="3" spans="1:17">
      <c r="A3" s="142" t="s">
        <v>2465</v>
      </c>
      <c r="B3" s="120">
        <f>16+74</f>
        <v>90</v>
      </c>
      <c r="C3" s="120">
        <f>26+135</f>
        <v>161</v>
      </c>
      <c r="D3" s="120">
        <f>20+68</f>
        <v>88</v>
      </c>
      <c r="E3" s="338"/>
      <c r="F3" s="120"/>
      <c r="G3" s="120"/>
      <c r="H3" s="120"/>
      <c r="I3" s="120"/>
      <c r="J3" s="120"/>
      <c r="K3" s="120"/>
      <c r="L3" s="120"/>
      <c r="M3" s="120"/>
      <c r="N3" s="120"/>
      <c r="O3" s="120">
        <v>1</v>
      </c>
      <c r="P3" s="120"/>
      <c r="Q3" s="120" t="s">
        <v>751</v>
      </c>
    </row>
    <row r="4" spans="1:17">
      <c r="A4" s="142" t="s">
        <v>2466</v>
      </c>
      <c r="B4" s="120">
        <f>21+74</f>
        <v>95</v>
      </c>
      <c r="C4" s="120">
        <f>23+135</f>
        <v>158</v>
      </c>
      <c r="D4" s="120">
        <f>21+68</f>
        <v>89</v>
      </c>
      <c r="E4" s="218"/>
      <c r="F4" s="120"/>
      <c r="G4" s="120"/>
      <c r="H4" s="120"/>
      <c r="I4" s="120"/>
      <c r="J4" s="120"/>
      <c r="K4" s="120"/>
      <c r="L4" s="120"/>
      <c r="M4" s="120"/>
      <c r="N4" s="120"/>
      <c r="O4" s="120">
        <v>2</v>
      </c>
      <c r="P4" s="120"/>
      <c r="Q4" s="120"/>
    </row>
    <row r="5" spans="1:17">
      <c r="A5" s="142" t="s">
        <v>2467</v>
      </c>
      <c r="B5" s="120">
        <f>18+74</f>
        <v>92</v>
      </c>
      <c r="C5" s="120">
        <f>28+135</f>
        <v>163</v>
      </c>
      <c r="D5" s="120">
        <f>20+68</f>
        <v>88</v>
      </c>
      <c r="E5" s="338"/>
      <c r="F5" s="120"/>
      <c r="G5" s="120"/>
      <c r="H5" s="654">
        <f>IF(includeracials,1*dorate,0)</f>
        <v>18.923076923076923</v>
      </c>
      <c r="I5" s="120"/>
      <c r="J5" s="120"/>
      <c r="K5" s="120"/>
      <c r="L5" s="120"/>
      <c r="M5" s="120"/>
      <c r="N5" s="120"/>
      <c r="O5" s="120">
        <v>3</v>
      </c>
      <c r="P5" s="120"/>
      <c r="Q5" s="120"/>
    </row>
    <row r="6" spans="1:17">
      <c r="A6" s="142" t="s">
        <v>2468</v>
      </c>
      <c r="B6" s="120">
        <f>24+74</f>
        <v>98</v>
      </c>
      <c r="C6" s="120">
        <f>20+135</f>
        <v>155</v>
      </c>
      <c r="D6" s="120">
        <f>23+68</f>
        <v>91</v>
      </c>
      <c r="E6" s="338"/>
      <c r="F6" s="120"/>
      <c r="G6" s="218">
        <f>IF(AND(time=0,includeracials), (2+CharLevel*4)*15/120, 0)</f>
        <v>0</v>
      </c>
      <c r="H6" s="120"/>
      <c r="I6" s="120"/>
      <c r="J6" s="120"/>
      <c r="K6" s="120"/>
      <c r="L6" s="120"/>
      <c r="M6" s="120"/>
      <c r="N6" s="120"/>
      <c r="O6" s="120">
        <v>4</v>
      </c>
      <c r="P6" s="120"/>
      <c r="Q6" s="120"/>
    </row>
    <row r="7" spans="1:17">
      <c r="A7" s="142" t="s">
        <v>2469</v>
      </c>
      <c r="B7" s="120">
        <f>22+74</f>
        <v>96</v>
      </c>
      <c r="C7" s="120">
        <f>25+135</f>
        <v>160</v>
      </c>
      <c r="D7" s="120">
        <f>22+68</f>
        <v>90</v>
      </c>
      <c r="E7" s="120"/>
      <c r="F7" s="120"/>
      <c r="G7" s="120"/>
      <c r="H7" s="120"/>
      <c r="I7" s="120"/>
      <c r="J7" s="120"/>
      <c r="K7" s="120"/>
      <c r="L7" s="120"/>
      <c r="M7" s="218">
        <f>IF(AND(time=0,includeracials), MIN(10+ 33*(1-berserkinghp), 30)*hasterate*10/180, 0)</f>
        <v>0</v>
      </c>
      <c r="N7" s="120"/>
      <c r="O7" s="120">
        <v>5</v>
      </c>
      <c r="P7" s="120"/>
      <c r="Q7" s="120"/>
    </row>
    <row r="8" spans="1:17">
      <c r="A8" s="142" t="s">
        <v>145</v>
      </c>
      <c r="B8" s="120">
        <f>20+74</f>
        <v>94</v>
      </c>
      <c r="C8" s="120">
        <f>21+135</f>
        <v>156</v>
      </c>
      <c r="D8" s="120">
        <f>22+68</f>
        <v>90</v>
      </c>
      <c r="E8" s="338"/>
      <c r="F8" s="120"/>
      <c r="G8" s="120"/>
      <c r="H8" s="338"/>
      <c r="I8" s="120"/>
      <c r="J8" s="120"/>
      <c r="K8" s="120"/>
      <c r="L8" s="120"/>
      <c r="M8" s="120"/>
      <c r="N8" s="120"/>
      <c r="O8" s="120"/>
      <c r="P8" s="120"/>
      <c r="Q8" s="120"/>
    </row>
    <row r="9" spans="1:17">
      <c r="A9" s="142" t="s">
        <v>2470</v>
      </c>
      <c r="B9" s="120">
        <f>18+74</f>
        <v>92</v>
      </c>
      <c r="C9" s="120">
        <f>25+135</f>
        <v>160</v>
      </c>
      <c r="D9" s="120">
        <f>19+68</f>
        <v>87</v>
      </c>
      <c r="E9" s="338"/>
      <c r="F9" s="338"/>
      <c r="G9" s="120"/>
      <c r="H9" s="338"/>
      <c r="I9" s="120"/>
      <c r="J9" s="120"/>
      <c r="K9" s="120"/>
      <c r="L9" s="120"/>
      <c r="M9" s="120"/>
      <c r="N9" s="120"/>
      <c r="O9" s="120"/>
      <c r="P9" s="120"/>
      <c r="Q9" s="120"/>
    </row>
    <row r="10" spans="1:17">
      <c r="A10" s="142"/>
      <c r="B10" s="120"/>
      <c r="C10" s="120"/>
      <c r="D10" s="120"/>
      <c r="E10" s="338"/>
      <c r="F10" s="338"/>
      <c r="G10" s="120"/>
      <c r="H10" s="120"/>
      <c r="I10" s="120"/>
      <c r="J10" s="120"/>
      <c r="K10" s="120"/>
      <c r="L10" s="120"/>
      <c r="M10" s="120"/>
      <c r="N10" s="120"/>
      <c r="O10" s="120"/>
      <c r="P10" s="120"/>
      <c r="Q10" s="120"/>
    </row>
    <row r="11" spans="1:17">
      <c r="A11" s="142"/>
      <c r="B11" s="120"/>
      <c r="C11" s="120"/>
      <c r="D11" s="120"/>
      <c r="E11" s="338"/>
      <c r="F11" s="120"/>
      <c r="G11" s="120"/>
      <c r="H11" s="120"/>
      <c r="I11" s="120"/>
      <c r="J11" s="120"/>
      <c r="K11" s="120"/>
      <c r="L11" s="120"/>
      <c r="M11" s="120"/>
    </row>
    <row r="12" spans="1:17">
      <c r="A12" s="142"/>
      <c r="B12" s="120"/>
      <c r="C12" s="120"/>
      <c r="D12" s="120"/>
      <c r="E12" s="218"/>
      <c r="F12" s="120"/>
      <c r="G12" s="120"/>
      <c r="H12" s="120"/>
      <c r="I12" s="120"/>
      <c r="J12" s="120"/>
      <c r="K12" s="120"/>
      <c r="L12" s="120"/>
      <c r="M12" s="120"/>
    </row>
    <row r="13" spans="1:17">
      <c r="A13" s="142"/>
      <c r="B13" s="120"/>
      <c r="C13" s="120"/>
      <c r="D13" s="120"/>
      <c r="E13" s="338"/>
      <c r="F13" s="120"/>
      <c r="G13" s="120"/>
      <c r="H13" s="654"/>
      <c r="I13" s="120"/>
      <c r="J13" s="120"/>
      <c r="K13" s="120"/>
      <c r="L13" s="120"/>
      <c r="M13" s="120"/>
    </row>
    <row r="14" spans="1:17">
      <c r="A14" s="142"/>
      <c r="B14" s="120"/>
      <c r="C14" s="120"/>
      <c r="D14" s="120"/>
      <c r="E14" s="338"/>
      <c r="F14" s="120"/>
      <c r="G14" s="120"/>
      <c r="H14" s="338"/>
      <c r="I14" s="120"/>
      <c r="J14" s="120"/>
      <c r="K14" s="120"/>
      <c r="L14" s="120"/>
      <c r="M14" s="120"/>
    </row>
    <row r="15" spans="1:17">
      <c r="A15" s="142"/>
      <c r="B15" s="120"/>
      <c r="C15" s="120"/>
      <c r="D15" s="120"/>
      <c r="E15" s="338"/>
      <c r="F15" s="338"/>
      <c r="G15" s="120"/>
      <c r="H15" s="338"/>
      <c r="I15" s="120"/>
      <c r="J15" s="120"/>
      <c r="K15" s="120"/>
      <c r="L15" s="120"/>
      <c r="M15" s="120"/>
    </row>
    <row r="16" spans="1:17">
      <c r="A16" s="142"/>
      <c r="B16" s="120"/>
      <c r="C16" s="120"/>
      <c r="D16" s="120"/>
      <c r="E16" s="120"/>
      <c r="F16" s="338"/>
      <c r="G16" s="120"/>
      <c r="H16" s="120"/>
      <c r="I16" s="120"/>
      <c r="J16" s="120"/>
      <c r="K16" s="120"/>
      <c r="L16" s="120"/>
      <c r="M16" s="120"/>
    </row>
    <row r="17" spans="1:14">
      <c r="A17" s="142"/>
      <c r="B17" s="120"/>
      <c r="C17" s="120"/>
      <c r="D17" s="120"/>
      <c r="E17" s="120"/>
      <c r="F17" s="338"/>
      <c r="G17" s="120"/>
      <c r="H17" s="120"/>
      <c r="I17" s="120"/>
      <c r="J17" s="120"/>
      <c r="K17" s="120"/>
      <c r="L17" s="120"/>
      <c r="M17" s="120"/>
    </row>
    <row r="18" spans="1:14">
      <c r="A18" s="142"/>
      <c r="B18" s="120"/>
      <c r="C18" s="120"/>
      <c r="D18" s="120"/>
      <c r="E18" s="120"/>
      <c r="F18" s="338"/>
      <c r="G18" s="120"/>
      <c r="H18" s="120"/>
      <c r="I18" s="120"/>
      <c r="J18" s="120"/>
      <c r="K18" s="120"/>
      <c r="L18" s="120"/>
      <c r="M18" s="120"/>
    </row>
    <row r="19" spans="1:14">
      <c r="A19" s="142"/>
      <c r="B19" s="120"/>
      <c r="C19" s="120"/>
      <c r="D19" s="120"/>
      <c r="E19" s="120"/>
      <c r="F19" s="120"/>
      <c r="G19" s="120"/>
      <c r="H19" s="120"/>
      <c r="I19" s="120"/>
      <c r="J19" s="120"/>
      <c r="K19" s="120"/>
      <c r="L19" s="120"/>
      <c r="M19" s="120"/>
    </row>
    <row r="20" spans="1:14">
      <c r="A20" s="142"/>
      <c r="B20" s="317"/>
      <c r="C20" s="317"/>
      <c r="D20" s="317"/>
      <c r="E20" s="317"/>
      <c r="F20" s="317"/>
      <c r="G20" s="317"/>
      <c r="H20" s="317"/>
      <c r="I20" s="317"/>
      <c r="J20" s="317"/>
      <c r="K20" s="317"/>
      <c r="L20" s="317"/>
      <c r="M20" s="317"/>
    </row>
    <row r="21" spans="1:14">
      <c r="A21" s="142"/>
      <c r="B21" s="200"/>
      <c r="C21" s="200"/>
      <c r="D21" s="200"/>
      <c r="E21" s="200"/>
      <c r="F21" s="200"/>
      <c r="G21" s="200"/>
      <c r="H21" s="200"/>
      <c r="I21" s="200"/>
      <c r="J21" s="200"/>
      <c r="K21" s="200"/>
      <c r="L21" s="200"/>
      <c r="M21" s="200"/>
    </row>
    <row r="22" spans="1:14">
      <c r="A22" s="142"/>
      <c r="B22" s="120"/>
      <c r="C22" s="120"/>
      <c r="D22" s="120"/>
      <c r="E22" s="338"/>
      <c r="F22" s="338"/>
      <c r="G22" s="120"/>
      <c r="H22" s="338"/>
      <c r="I22" s="120"/>
      <c r="J22" s="120"/>
      <c r="K22" s="120"/>
      <c r="L22" s="120"/>
      <c r="M22" s="120"/>
    </row>
    <row r="23" spans="1:14">
      <c r="A23" s="142"/>
      <c r="B23" s="120"/>
      <c r="C23" s="120"/>
      <c r="D23" s="120"/>
      <c r="E23" s="120"/>
      <c r="F23" s="338"/>
      <c r="G23" s="120"/>
      <c r="H23" s="120"/>
      <c r="I23" s="120"/>
      <c r="J23" s="120"/>
      <c r="K23" s="120"/>
      <c r="L23" s="120"/>
      <c r="M23" s="120"/>
    </row>
    <row r="24" spans="1:14">
      <c r="A24" s="142"/>
      <c r="B24" s="120"/>
      <c r="C24" s="120"/>
      <c r="D24" s="120"/>
      <c r="E24" s="338"/>
      <c r="F24" s="338"/>
      <c r="G24" s="120"/>
      <c r="H24" s="120"/>
      <c r="I24" s="120"/>
      <c r="J24" s="120"/>
      <c r="K24" s="120"/>
      <c r="L24" s="120"/>
      <c r="M24" s="120"/>
    </row>
    <row r="25" spans="1:14">
      <c r="A25" s="142"/>
      <c r="B25" s="120"/>
      <c r="C25" s="120"/>
      <c r="D25" s="120"/>
      <c r="E25" s="338"/>
      <c r="F25" s="120"/>
      <c r="G25" s="120"/>
      <c r="H25" s="120"/>
      <c r="I25" s="120"/>
      <c r="J25" s="120"/>
      <c r="K25" s="120"/>
      <c r="L25" s="120"/>
      <c r="M25" s="120"/>
    </row>
    <row r="26" spans="1:14">
      <c r="A26" s="142"/>
      <c r="B26" s="120"/>
      <c r="C26" s="120"/>
      <c r="D26" s="120"/>
      <c r="E26" s="120"/>
      <c r="F26" s="120"/>
      <c r="G26" s="120"/>
      <c r="H26" s="120"/>
      <c r="I26" s="120"/>
      <c r="J26" s="120"/>
      <c r="K26" s="120"/>
      <c r="L26" s="120"/>
      <c r="M26" s="120"/>
    </row>
    <row r="27" spans="1:14">
      <c r="A27" s="142"/>
      <c r="B27" s="120"/>
      <c r="C27" s="120"/>
      <c r="D27" s="120"/>
      <c r="E27" s="338"/>
      <c r="F27" s="120"/>
      <c r="G27" s="120"/>
      <c r="H27" s="120"/>
      <c r="I27" s="120"/>
      <c r="J27" s="120"/>
      <c r="K27" s="120"/>
      <c r="L27" s="120"/>
      <c r="M27" s="120"/>
    </row>
    <row r="28" spans="1:14">
      <c r="A28" s="655"/>
      <c r="H28" s="317"/>
      <c r="I28" s="317"/>
      <c r="J28" s="317"/>
      <c r="K28" s="317"/>
      <c r="L28" s="317"/>
      <c r="M28" s="317"/>
    </row>
    <row r="29" spans="1:14">
      <c r="A29" s="656"/>
      <c r="B29" s="200"/>
      <c r="C29" s="200"/>
      <c r="D29" s="200"/>
      <c r="E29" s="200"/>
      <c r="F29" s="200"/>
      <c r="G29" s="200"/>
      <c r="H29" s="200"/>
      <c r="I29" s="200"/>
      <c r="J29" s="200"/>
      <c r="K29" s="200"/>
      <c r="L29" s="200"/>
      <c r="M29" s="200"/>
    </row>
    <row r="30" spans="1:14">
      <c r="A30" s="142"/>
      <c r="B30" s="120"/>
      <c r="C30" s="120"/>
      <c r="D30" s="120"/>
      <c r="E30" s="338"/>
      <c r="F30" s="338"/>
      <c r="G30" s="120"/>
      <c r="H30" s="338"/>
      <c r="I30" s="120"/>
      <c r="J30" s="120"/>
      <c r="K30" s="120"/>
      <c r="L30" s="120"/>
      <c r="M30" s="120"/>
      <c r="N30" s="148"/>
    </row>
    <row r="31" spans="1:14">
      <c r="A31" s="142"/>
      <c r="B31" s="120"/>
      <c r="C31" s="120"/>
      <c r="D31" s="120"/>
      <c r="E31" s="338"/>
      <c r="F31" s="120"/>
      <c r="G31" s="120"/>
      <c r="H31" s="120"/>
      <c r="I31" s="120"/>
      <c r="J31" s="120"/>
      <c r="K31" s="120"/>
      <c r="L31" s="120"/>
      <c r="M31" s="120"/>
    </row>
    <row r="32" spans="1:14">
      <c r="A32" s="142"/>
      <c r="B32" s="120"/>
      <c r="C32" s="120"/>
      <c r="D32" s="120"/>
      <c r="E32" s="120"/>
      <c r="F32" s="120"/>
      <c r="G32" s="120"/>
      <c r="H32" s="338"/>
      <c r="I32" s="120"/>
      <c r="J32" s="120"/>
      <c r="K32" s="120"/>
      <c r="L32" s="120"/>
      <c r="M32" s="120"/>
    </row>
    <row r="33" spans="1:14">
      <c r="A33" s="142"/>
      <c r="B33" s="120"/>
      <c r="C33" s="120"/>
      <c r="D33" s="120"/>
      <c r="E33" s="338"/>
      <c r="F33" s="120"/>
      <c r="G33" s="120"/>
      <c r="H33" s="338"/>
      <c r="I33" s="120"/>
      <c r="J33" s="120"/>
      <c r="K33" s="120"/>
      <c r="L33" s="120"/>
      <c r="M33" s="120"/>
      <c r="N33" s="327"/>
    </row>
    <row r="34" spans="1:14">
      <c r="A34" s="142"/>
      <c r="B34" s="120"/>
      <c r="C34" s="120"/>
      <c r="D34" s="120"/>
      <c r="E34" s="338"/>
      <c r="F34" s="120"/>
      <c r="G34" s="120"/>
      <c r="H34" s="120"/>
      <c r="I34" s="120"/>
      <c r="J34" s="120"/>
      <c r="K34" s="120"/>
      <c r="L34" s="120"/>
      <c r="M34" s="120"/>
      <c r="N34" s="120"/>
    </row>
    <row r="35" spans="1:14">
      <c r="A35" s="142"/>
      <c r="B35" s="120"/>
      <c r="C35" s="120"/>
      <c r="D35" s="120"/>
      <c r="E35" s="338"/>
      <c r="F35" s="120"/>
      <c r="G35" s="120"/>
      <c r="H35" s="338"/>
      <c r="I35" s="120"/>
      <c r="J35" s="120"/>
      <c r="K35" s="120"/>
      <c r="L35" s="120"/>
      <c r="M35" s="120"/>
    </row>
    <row r="36" spans="1:14">
      <c r="A36" s="142"/>
      <c r="B36" s="120"/>
      <c r="C36" s="120"/>
      <c r="D36" s="120"/>
      <c r="E36" s="120"/>
      <c r="F36" s="120"/>
      <c r="G36" s="120"/>
      <c r="H36" s="120"/>
      <c r="I36" s="120"/>
      <c r="J36" s="120"/>
      <c r="K36" s="120"/>
      <c r="L36" s="120"/>
      <c r="M36" s="120"/>
    </row>
    <row r="37" spans="1:14">
      <c r="A37" s="657"/>
      <c r="B37" s="317"/>
      <c r="C37" s="317"/>
      <c r="D37" s="317"/>
      <c r="E37" s="317"/>
      <c r="F37" s="317"/>
      <c r="G37" s="317"/>
      <c r="H37" s="317"/>
      <c r="I37" s="317"/>
      <c r="J37" s="317"/>
      <c r="K37" s="317"/>
      <c r="L37" s="317"/>
      <c r="M37" s="317"/>
    </row>
    <row r="38" spans="1:14">
      <c r="A38" s="656"/>
      <c r="B38" s="200"/>
      <c r="C38" s="200"/>
      <c r="D38" s="200"/>
      <c r="E38" s="200"/>
      <c r="F38" s="200"/>
      <c r="G38" s="200"/>
      <c r="H38" s="200"/>
      <c r="I38" s="200"/>
      <c r="J38" s="200"/>
      <c r="K38" s="200"/>
      <c r="L38" s="200"/>
      <c r="M38" s="200"/>
    </row>
    <row r="39" spans="1:14">
      <c r="A39" s="142"/>
      <c r="B39" s="120"/>
      <c r="C39" s="120"/>
      <c r="D39" s="120"/>
      <c r="E39" s="338"/>
      <c r="F39" s="120"/>
      <c r="G39" s="120"/>
      <c r="H39" s="120"/>
      <c r="I39" s="120"/>
      <c r="J39" s="120"/>
      <c r="K39" s="120"/>
      <c r="L39" s="120"/>
      <c r="M39" s="120"/>
    </row>
    <row r="40" spans="1:14">
      <c r="A40" s="142"/>
      <c r="B40" s="120"/>
      <c r="C40" s="120"/>
      <c r="D40" s="120"/>
      <c r="E40" s="338"/>
      <c r="F40" s="120"/>
      <c r="G40" s="120"/>
      <c r="H40" s="338"/>
      <c r="I40" s="120"/>
      <c r="J40" s="120"/>
      <c r="K40" s="120"/>
      <c r="L40" s="120"/>
      <c r="M40" s="120"/>
    </row>
    <row r="41" spans="1:14">
      <c r="A41" s="142"/>
      <c r="B41" s="120"/>
      <c r="C41" s="120"/>
      <c r="D41" s="120"/>
      <c r="E41" s="338"/>
      <c r="F41" s="120"/>
      <c r="G41" s="120"/>
      <c r="H41" s="338"/>
      <c r="I41" s="120"/>
      <c r="J41" s="120"/>
      <c r="K41" s="120"/>
      <c r="L41" s="120"/>
      <c r="M41" s="120"/>
    </row>
    <row r="42" spans="1:14">
      <c r="A42" s="142"/>
      <c r="B42" s="120"/>
      <c r="C42" s="120"/>
      <c r="D42" s="120"/>
      <c r="E42" s="338"/>
      <c r="F42" s="120"/>
      <c r="G42" s="120"/>
      <c r="H42" s="120"/>
      <c r="I42" s="120"/>
      <c r="J42" s="120"/>
      <c r="K42" s="120"/>
      <c r="L42" s="120"/>
      <c r="M42" s="120"/>
    </row>
    <row r="43" spans="1:14">
      <c r="A43" s="657"/>
      <c r="B43" s="317"/>
      <c r="C43" s="317"/>
      <c r="D43" s="317"/>
      <c r="E43" s="317"/>
      <c r="F43" s="317"/>
      <c r="G43" s="317"/>
      <c r="H43" s="317"/>
      <c r="I43" s="317"/>
      <c r="J43" s="317"/>
      <c r="K43" s="317"/>
      <c r="L43" s="317"/>
      <c r="M43" s="317"/>
    </row>
    <row r="44" spans="1:14">
      <c r="A44" s="656"/>
      <c r="B44" s="200"/>
      <c r="C44" s="200"/>
      <c r="D44" s="200"/>
      <c r="E44" s="200"/>
      <c r="F44" s="200"/>
      <c r="G44" s="200"/>
      <c r="H44" s="200"/>
      <c r="I44" s="200"/>
      <c r="J44" s="200"/>
      <c r="K44" s="200"/>
      <c r="L44" s="200"/>
      <c r="M44" s="200"/>
    </row>
    <row r="45" spans="1:14">
      <c r="A45" s="142"/>
      <c r="B45" s="120"/>
      <c r="C45" s="120"/>
      <c r="D45" s="120"/>
      <c r="E45" s="120"/>
      <c r="F45" s="338"/>
      <c r="G45" s="120"/>
      <c r="H45" s="120"/>
      <c r="I45" s="120"/>
      <c r="J45" s="120"/>
      <c r="K45" s="120"/>
      <c r="L45" s="120"/>
      <c r="M45" s="120"/>
      <c r="N45" s="148"/>
    </row>
    <row r="46" spans="1:14">
      <c r="A46" s="142"/>
      <c r="B46" s="120"/>
      <c r="C46" s="120"/>
      <c r="D46" s="120"/>
      <c r="E46" s="120"/>
      <c r="F46" s="120"/>
      <c r="G46" s="120"/>
      <c r="H46" s="338"/>
      <c r="I46" s="120"/>
      <c r="J46" s="120"/>
      <c r="K46" s="120"/>
      <c r="L46" s="120"/>
      <c r="M46" s="120"/>
      <c r="N46" s="148"/>
    </row>
    <row r="47" spans="1:14">
      <c r="A47" s="142"/>
      <c r="B47" s="120"/>
      <c r="C47" s="120"/>
      <c r="D47" s="120"/>
      <c r="E47" s="120"/>
      <c r="F47" s="338"/>
      <c r="G47" s="120"/>
      <c r="H47" s="338"/>
      <c r="I47" s="120"/>
      <c r="J47" s="120"/>
      <c r="K47" s="120"/>
      <c r="L47" s="120"/>
      <c r="M47" s="120"/>
    </row>
    <row r="48" spans="1:14">
      <c r="A48" s="142"/>
      <c r="B48" s="120"/>
      <c r="C48" s="120"/>
      <c r="D48" s="120"/>
      <c r="E48" s="120"/>
      <c r="F48" s="338"/>
      <c r="G48" s="120"/>
      <c r="H48" s="120"/>
      <c r="I48" s="120"/>
      <c r="J48" s="120"/>
      <c r="K48" s="120"/>
      <c r="L48" s="120"/>
      <c r="M48" s="120"/>
    </row>
    <row r="49" spans="1:14">
      <c r="A49" s="142"/>
      <c r="B49" s="120"/>
      <c r="C49" s="120"/>
      <c r="D49" s="120"/>
      <c r="E49" s="120"/>
      <c r="F49" s="338"/>
      <c r="G49" s="120"/>
      <c r="H49" s="120"/>
      <c r="I49" s="120"/>
      <c r="J49" s="120"/>
      <c r="K49" s="120"/>
      <c r="L49" s="120"/>
      <c r="M49" s="120"/>
    </row>
    <row r="50" spans="1:14">
      <c r="A50" s="142"/>
      <c r="B50" s="120"/>
      <c r="C50" s="120"/>
      <c r="D50" s="120"/>
      <c r="E50" s="120"/>
      <c r="F50" s="338"/>
      <c r="G50" s="120"/>
      <c r="H50" s="120"/>
      <c r="I50" s="120"/>
      <c r="J50" s="120"/>
      <c r="K50" s="120"/>
      <c r="L50" s="120"/>
      <c r="M50" s="120"/>
    </row>
    <row r="51" spans="1:14">
      <c r="A51" s="142"/>
      <c r="B51" s="120"/>
      <c r="C51" s="120"/>
      <c r="D51" s="120"/>
      <c r="E51" s="120"/>
      <c r="F51" s="120"/>
      <c r="G51" s="120"/>
      <c r="H51" s="120"/>
      <c r="I51" s="120"/>
      <c r="J51" s="120"/>
      <c r="K51" s="120"/>
      <c r="L51" s="120"/>
      <c r="M51" s="120"/>
    </row>
    <row r="52" spans="1:14">
      <c r="A52" s="142"/>
      <c r="B52" s="120"/>
      <c r="C52" s="120"/>
      <c r="D52" s="120"/>
      <c r="E52" s="120"/>
      <c r="F52" s="338"/>
      <c r="G52" s="120"/>
      <c r="H52" s="120"/>
      <c r="I52" s="120"/>
      <c r="J52" s="120"/>
      <c r="K52" s="120"/>
      <c r="L52" s="120"/>
      <c r="M52" s="120"/>
    </row>
    <row r="53" spans="1:14">
      <c r="A53" s="657"/>
      <c r="B53" s="317"/>
      <c r="C53" s="317"/>
      <c r="D53" s="317"/>
      <c r="E53" s="317"/>
      <c r="F53" s="317"/>
      <c r="G53" s="317"/>
      <c r="H53" s="317"/>
      <c r="I53" s="317"/>
      <c r="J53" s="317"/>
      <c r="K53" s="317"/>
      <c r="L53" s="317"/>
      <c r="M53" s="317"/>
    </row>
    <row r="54" spans="1:14">
      <c r="A54" s="656"/>
      <c r="B54" s="200"/>
      <c r="C54" s="200"/>
      <c r="D54" s="200"/>
      <c r="E54" s="200"/>
      <c r="F54" s="200"/>
      <c r="G54" s="200"/>
      <c r="H54" s="200"/>
      <c r="I54" s="200"/>
      <c r="J54" s="200"/>
      <c r="K54" s="200"/>
      <c r="L54" s="200"/>
      <c r="M54" s="200"/>
    </row>
    <row r="55" spans="1:14">
      <c r="A55" s="142"/>
      <c r="B55" s="120"/>
      <c r="C55" s="120"/>
      <c r="D55" s="120"/>
      <c r="E55" s="120"/>
      <c r="F55" s="338"/>
      <c r="G55" s="120"/>
      <c r="H55" s="120"/>
      <c r="I55" s="120"/>
      <c r="J55" s="120"/>
      <c r="K55" s="120"/>
      <c r="L55" s="120"/>
      <c r="M55" s="120"/>
    </row>
    <row r="56" spans="1:14">
      <c r="A56" s="142"/>
      <c r="B56" s="120"/>
      <c r="C56" s="120"/>
      <c r="D56" s="120"/>
      <c r="E56" s="120"/>
      <c r="F56" s="120"/>
      <c r="G56" s="120"/>
      <c r="H56" s="120"/>
      <c r="I56" s="120"/>
      <c r="J56" s="120"/>
      <c r="K56" s="120"/>
      <c r="L56" s="120"/>
      <c r="M56" s="120"/>
    </row>
    <row r="57" spans="1:14">
      <c r="A57" s="142"/>
      <c r="B57" s="120"/>
      <c r="C57" s="120"/>
      <c r="D57" s="120"/>
      <c r="E57" s="120"/>
      <c r="F57" s="120"/>
      <c r="G57" s="120"/>
      <c r="H57" s="120"/>
      <c r="I57" s="120"/>
      <c r="J57" s="120"/>
      <c r="K57" s="120"/>
      <c r="L57" s="120"/>
      <c r="M57" s="120"/>
    </row>
    <row r="58" spans="1:14">
      <c r="A58" s="142"/>
      <c r="B58" s="120"/>
      <c r="C58" s="120"/>
      <c r="D58" s="120"/>
      <c r="E58" s="120"/>
      <c r="F58" s="120"/>
      <c r="G58" s="120"/>
      <c r="H58" s="338"/>
      <c r="I58" s="120"/>
      <c r="J58" s="120"/>
      <c r="K58" s="120"/>
      <c r="L58" s="120"/>
      <c r="M58" s="120"/>
    </row>
    <row r="59" spans="1:14">
      <c r="A59" s="142"/>
      <c r="B59" s="120"/>
      <c r="C59" s="120"/>
      <c r="D59" s="120"/>
      <c r="E59" s="120"/>
      <c r="F59" s="120"/>
      <c r="G59" s="120"/>
      <c r="H59" s="120"/>
      <c r="I59" s="120"/>
      <c r="J59" s="120"/>
      <c r="K59" s="120"/>
      <c r="L59" s="120"/>
      <c r="M59" s="120"/>
    </row>
    <row r="60" spans="1:14">
      <c r="A60" s="142"/>
      <c r="B60" s="120"/>
      <c r="C60" s="120"/>
      <c r="D60" s="120"/>
      <c r="E60" s="120"/>
      <c r="F60" s="338"/>
      <c r="G60" s="120"/>
      <c r="H60" s="120"/>
      <c r="I60" s="120"/>
      <c r="J60" s="120"/>
      <c r="K60" s="120"/>
      <c r="L60" s="120"/>
      <c r="M60" s="120"/>
    </row>
    <row r="61" spans="1:14">
      <c r="A61" s="142"/>
      <c r="B61" s="120"/>
      <c r="C61" s="120"/>
      <c r="D61" s="120"/>
      <c r="E61" s="338"/>
      <c r="F61" s="120"/>
      <c r="G61" s="120"/>
      <c r="H61" s="120"/>
      <c r="I61" s="120"/>
      <c r="J61" s="120"/>
      <c r="K61" s="120"/>
      <c r="L61" s="120"/>
      <c r="M61" s="120"/>
    </row>
    <row r="62" spans="1:14">
      <c r="A62" s="657"/>
      <c r="B62" s="317"/>
      <c r="C62" s="317"/>
      <c r="D62" s="317"/>
      <c r="E62" s="317"/>
      <c r="F62" s="317"/>
      <c r="G62" s="317"/>
      <c r="H62" s="317"/>
      <c r="I62" s="317"/>
      <c r="J62" s="317"/>
      <c r="K62" s="317"/>
      <c r="L62" s="317"/>
      <c r="M62" s="317"/>
    </row>
    <row r="63" spans="1:14">
      <c r="A63" s="656"/>
      <c r="B63" s="200"/>
      <c r="C63" s="200"/>
      <c r="D63" s="200"/>
      <c r="E63" s="200"/>
      <c r="F63" s="200"/>
      <c r="G63" s="200"/>
      <c r="H63" s="200"/>
      <c r="I63" s="200"/>
      <c r="J63" s="200"/>
      <c r="K63" s="200"/>
      <c r="L63" s="200"/>
      <c r="M63" s="200"/>
    </row>
    <row r="64" spans="1:14">
      <c r="A64" s="142"/>
      <c r="B64" s="120"/>
      <c r="C64" s="120"/>
      <c r="D64" s="120"/>
      <c r="E64" s="338"/>
      <c r="F64" s="338"/>
      <c r="G64" s="120"/>
      <c r="H64" s="338"/>
      <c r="I64" s="120"/>
      <c r="J64" s="120"/>
      <c r="K64" s="120"/>
      <c r="L64" s="120"/>
      <c r="M64" s="120"/>
      <c r="N64" s="327"/>
    </row>
    <row r="65" spans="1:14">
      <c r="A65" s="142"/>
      <c r="B65" s="120"/>
      <c r="C65" s="120"/>
      <c r="D65" s="120"/>
      <c r="E65" s="338"/>
      <c r="F65" s="338"/>
      <c r="G65" s="120"/>
      <c r="H65" s="338"/>
      <c r="I65" s="120"/>
      <c r="J65" s="120"/>
      <c r="K65" s="120"/>
      <c r="L65" s="120"/>
      <c r="M65" s="120"/>
      <c r="N65" s="120"/>
    </row>
    <row r="66" spans="1:14">
      <c r="A66" s="142"/>
      <c r="B66" s="120"/>
      <c r="C66" s="120"/>
      <c r="D66" s="120"/>
      <c r="E66" s="120"/>
      <c r="F66" s="120"/>
      <c r="G66" s="120"/>
      <c r="H66" s="120"/>
      <c r="I66" s="120"/>
      <c r="J66" s="120"/>
      <c r="K66" s="120"/>
      <c r="L66" s="120"/>
      <c r="M66" s="120"/>
    </row>
    <row r="67" spans="1:14">
      <c r="A67" s="142"/>
      <c r="B67" s="120"/>
      <c r="C67" s="120"/>
      <c r="D67" s="120"/>
      <c r="E67" s="120"/>
      <c r="F67" s="120"/>
      <c r="G67" s="120"/>
      <c r="H67" s="120"/>
      <c r="I67" s="120"/>
      <c r="J67" s="120"/>
      <c r="K67" s="120"/>
      <c r="L67" s="120"/>
      <c r="M67" s="120"/>
    </row>
    <row r="68" spans="1:14">
      <c r="A68" s="142"/>
      <c r="B68" s="120"/>
      <c r="C68" s="120"/>
      <c r="D68" s="120"/>
      <c r="E68" s="120"/>
      <c r="F68" s="338"/>
      <c r="G68" s="200"/>
      <c r="H68" s="120"/>
      <c r="I68" s="120"/>
      <c r="J68" s="120"/>
      <c r="K68" s="120"/>
      <c r="L68" s="120"/>
      <c r="M68" s="120"/>
    </row>
    <row r="69" spans="1:14">
      <c r="A69" s="142"/>
      <c r="B69" s="120"/>
      <c r="C69" s="120"/>
      <c r="D69" s="120"/>
      <c r="E69" s="120"/>
      <c r="F69" s="120"/>
      <c r="G69" s="120"/>
      <c r="H69" s="120"/>
      <c r="I69" s="120"/>
      <c r="J69" s="120"/>
      <c r="K69" s="120"/>
      <c r="L69" s="120"/>
      <c r="M69" s="120"/>
    </row>
    <row r="70" spans="1:14">
      <c r="A70" s="142"/>
      <c r="B70" s="120"/>
      <c r="C70" s="120"/>
      <c r="D70" s="120"/>
      <c r="E70" s="338"/>
      <c r="F70" s="338"/>
      <c r="G70" s="120"/>
      <c r="H70" s="120"/>
      <c r="I70" s="120"/>
      <c r="J70" s="120"/>
      <c r="K70" s="120"/>
      <c r="L70" s="120"/>
      <c r="M70" s="120"/>
    </row>
    <row r="71" spans="1:14">
      <c r="A71" s="658"/>
      <c r="B71" s="317"/>
      <c r="C71" s="317"/>
      <c r="D71" s="317"/>
      <c r="E71" s="317"/>
      <c r="F71" s="317"/>
      <c r="G71" s="317"/>
      <c r="H71" s="317"/>
      <c r="I71" s="317"/>
      <c r="J71" s="317"/>
      <c r="K71" s="317"/>
      <c r="L71" s="317"/>
      <c r="M71" s="317"/>
    </row>
    <row r="72" spans="1:14">
      <c r="A72" s="656"/>
      <c r="B72" s="200"/>
      <c r="C72" s="200"/>
      <c r="D72" s="200"/>
      <c r="E72" s="200"/>
      <c r="F72" s="200"/>
      <c r="G72" s="200"/>
      <c r="H72" s="200"/>
      <c r="I72" s="200"/>
      <c r="J72" s="200"/>
      <c r="K72" s="200"/>
      <c r="L72" s="200"/>
      <c r="M72" s="200"/>
    </row>
    <row r="73" spans="1:14">
      <c r="A73" s="142"/>
      <c r="B73" s="120"/>
      <c r="C73" s="120"/>
      <c r="D73" s="120"/>
      <c r="E73" s="338"/>
      <c r="F73" s="338"/>
      <c r="G73" s="120"/>
      <c r="H73" s="120"/>
      <c r="I73" s="120"/>
      <c r="J73" s="120"/>
      <c r="K73" s="120"/>
      <c r="L73" s="120"/>
      <c r="M73" s="120"/>
    </row>
    <row r="74" spans="1:14">
      <c r="A74" s="142"/>
      <c r="B74" s="120"/>
      <c r="C74" s="120"/>
      <c r="D74" s="120"/>
      <c r="E74" s="120"/>
      <c r="F74" s="338"/>
      <c r="G74" s="120"/>
      <c r="H74" s="120"/>
      <c r="I74" s="120"/>
      <c r="J74" s="120"/>
      <c r="K74" s="120"/>
      <c r="L74" s="120"/>
      <c r="M74" s="120"/>
    </row>
    <row r="75" spans="1:14">
      <c r="A75" s="142"/>
      <c r="B75" s="120"/>
      <c r="C75" s="120"/>
      <c r="D75" s="120"/>
      <c r="E75" s="120"/>
      <c r="F75" s="338"/>
      <c r="G75" s="120"/>
      <c r="H75" s="120"/>
      <c r="I75" s="120"/>
      <c r="J75" s="120"/>
      <c r="K75" s="120"/>
      <c r="L75" s="120"/>
      <c r="M75" s="120"/>
    </row>
    <row r="76" spans="1:14">
      <c r="A76" s="142"/>
      <c r="B76" s="120"/>
      <c r="C76" s="120"/>
      <c r="D76" s="120"/>
      <c r="E76" s="338"/>
      <c r="F76" s="338"/>
      <c r="G76" s="120"/>
      <c r="H76" s="120"/>
      <c r="I76" s="120"/>
      <c r="J76" s="120"/>
      <c r="K76" s="120"/>
      <c r="L76" s="120"/>
      <c r="M76" s="120"/>
    </row>
    <row r="77" spans="1:14">
      <c r="A77" s="142"/>
      <c r="B77" s="120"/>
      <c r="C77" s="120"/>
      <c r="D77" s="120"/>
      <c r="E77" s="338"/>
      <c r="F77" s="338"/>
      <c r="G77" s="120"/>
      <c r="H77" s="120"/>
      <c r="I77" s="120"/>
      <c r="J77" s="120"/>
      <c r="K77" s="120"/>
      <c r="L77" s="120"/>
      <c r="M77" s="120"/>
    </row>
    <row r="78" spans="1:14">
      <c r="A78" s="142"/>
      <c r="B78" s="120"/>
      <c r="C78" s="120"/>
      <c r="D78" s="120"/>
      <c r="E78" s="338"/>
      <c r="F78" s="120"/>
      <c r="G78" s="120"/>
      <c r="H78" s="120"/>
      <c r="I78" s="120"/>
      <c r="J78" s="120"/>
      <c r="K78" s="120"/>
      <c r="L78" s="120"/>
      <c r="M78" s="120"/>
      <c r="N78" s="148"/>
    </row>
    <row r="79" spans="1:14">
      <c r="A79" s="142"/>
      <c r="B79" s="120"/>
      <c r="C79" s="120"/>
      <c r="D79" s="120"/>
      <c r="E79" s="120"/>
      <c r="F79" s="338"/>
      <c r="G79" s="120"/>
      <c r="H79" s="338"/>
      <c r="I79" s="120"/>
      <c r="J79" s="120"/>
      <c r="K79" s="120"/>
      <c r="L79" s="120"/>
      <c r="M79" s="120"/>
    </row>
    <row r="80" spans="1:14">
      <c r="A80" s="142"/>
      <c r="B80" s="120"/>
      <c r="C80" s="120"/>
      <c r="D80" s="120"/>
      <c r="E80" s="338"/>
      <c r="F80" s="338"/>
      <c r="G80" s="120"/>
      <c r="H80" s="120"/>
      <c r="I80" s="120"/>
      <c r="J80" s="120"/>
      <c r="K80" s="120"/>
      <c r="L80" s="120"/>
      <c r="M80" s="120"/>
    </row>
    <row r="81" spans="1:13">
      <c r="A81" s="142"/>
      <c r="B81" s="120"/>
      <c r="C81" s="120"/>
      <c r="D81" s="120"/>
      <c r="E81" s="338"/>
      <c r="F81" s="338"/>
      <c r="G81" s="120"/>
      <c r="H81" s="120"/>
      <c r="I81" s="120"/>
      <c r="J81" s="120"/>
      <c r="K81" s="120"/>
      <c r="L81" s="120"/>
      <c r="M81" s="120"/>
    </row>
    <row r="82" spans="1:13">
      <c r="A82" s="142"/>
      <c r="B82" s="120"/>
      <c r="C82" s="120"/>
      <c r="D82" s="120"/>
      <c r="E82" s="120"/>
      <c r="F82" s="338"/>
      <c r="G82" s="120"/>
      <c r="H82" s="120"/>
      <c r="I82" s="120"/>
      <c r="J82" s="120"/>
      <c r="K82" s="120"/>
      <c r="L82" s="120"/>
      <c r="M82" s="120"/>
    </row>
    <row r="83" spans="1:13">
      <c r="A83" s="659"/>
      <c r="B83" s="120"/>
      <c r="C83" s="120"/>
      <c r="D83" s="120"/>
      <c r="E83" s="120"/>
      <c r="F83" s="120"/>
      <c r="G83" s="120"/>
      <c r="H83" s="120"/>
      <c r="I83" s="120"/>
      <c r="J83" s="120"/>
      <c r="K83" s="120"/>
      <c r="L83" s="120"/>
      <c r="M83" s="120"/>
    </row>
    <row r="84" spans="1:13">
      <c r="A84" s="656"/>
      <c r="B84" s="200"/>
      <c r="C84" s="200"/>
      <c r="D84" s="200"/>
      <c r="E84" s="200"/>
      <c r="F84" s="200"/>
      <c r="G84" s="200"/>
      <c r="H84" s="200"/>
      <c r="I84" s="200"/>
      <c r="J84" s="200"/>
      <c r="K84" s="200"/>
      <c r="L84" s="200"/>
      <c r="M84" s="200"/>
    </row>
    <row r="85" spans="1:13">
      <c r="A85" s="142"/>
      <c r="B85" s="120"/>
      <c r="C85" s="120"/>
      <c r="D85" s="120"/>
      <c r="E85" s="338"/>
      <c r="F85" s="120"/>
      <c r="G85" s="120"/>
      <c r="H85" s="120"/>
      <c r="I85" s="120"/>
      <c r="J85" s="120"/>
      <c r="K85" s="120"/>
      <c r="L85" s="120"/>
      <c r="M85" s="120"/>
    </row>
    <row r="86" spans="1:13">
      <c r="A86" s="142"/>
      <c r="B86" s="120"/>
      <c r="C86" s="120"/>
      <c r="D86" s="120"/>
      <c r="E86" s="120"/>
      <c r="F86" s="338"/>
      <c r="G86" s="120"/>
      <c r="H86" s="338"/>
      <c r="I86" s="120"/>
      <c r="J86" s="120"/>
      <c r="K86" s="120"/>
      <c r="L86" s="120"/>
      <c r="M86" s="120"/>
    </row>
    <row r="87" spans="1:13">
      <c r="A87" s="142"/>
      <c r="B87" s="120"/>
      <c r="C87" s="120"/>
      <c r="D87" s="120"/>
      <c r="E87" s="120"/>
      <c r="F87" s="338"/>
      <c r="G87" s="120"/>
      <c r="H87" s="338"/>
      <c r="I87" s="120"/>
      <c r="J87" s="120"/>
      <c r="K87" s="120"/>
      <c r="L87" s="120"/>
      <c r="M87" s="120"/>
    </row>
    <row r="88" spans="1:13">
      <c r="A88" s="142"/>
      <c r="B88" s="120"/>
      <c r="C88" s="120"/>
      <c r="D88" s="120"/>
      <c r="E88" s="120"/>
      <c r="F88" s="338"/>
      <c r="G88" s="120"/>
      <c r="H88" s="120"/>
      <c r="I88" s="120"/>
      <c r="J88" s="120"/>
      <c r="K88" s="120"/>
      <c r="L88" s="120"/>
      <c r="M88" s="120"/>
    </row>
    <row r="89" spans="1:13">
      <c r="A89" s="142"/>
      <c r="B89" s="120"/>
      <c r="C89" s="120"/>
      <c r="D89" s="120"/>
      <c r="E89" s="120"/>
      <c r="F89" s="338"/>
      <c r="G89" s="120"/>
      <c r="H89" s="120"/>
      <c r="I89" s="120"/>
      <c r="J89" s="120"/>
      <c r="K89" s="120"/>
      <c r="L89" s="120"/>
      <c r="M89" s="120"/>
    </row>
    <row r="90" spans="1:13">
      <c r="A90" s="659"/>
      <c r="B90" s="120"/>
      <c r="C90" s="120"/>
      <c r="D90" s="120"/>
      <c r="E90" s="120"/>
      <c r="F90" s="120"/>
      <c r="G90" s="120"/>
      <c r="H90" s="120"/>
      <c r="I90" s="120"/>
      <c r="J90" s="120"/>
      <c r="K90" s="120"/>
      <c r="L90" s="120"/>
      <c r="M90" s="120"/>
    </row>
    <row r="91" spans="1:13">
      <c r="A91" s="656"/>
      <c r="B91" s="200"/>
      <c r="C91" s="200"/>
      <c r="D91" s="200"/>
      <c r="E91" s="200"/>
      <c r="F91" s="200"/>
      <c r="G91" s="200"/>
      <c r="H91" s="200"/>
      <c r="I91" s="200"/>
      <c r="J91" s="200"/>
      <c r="K91" s="200"/>
      <c r="L91" s="200"/>
      <c r="M91" s="200"/>
    </row>
    <row r="92" spans="1:13">
      <c r="A92" s="142"/>
      <c r="B92" s="120"/>
      <c r="C92" s="120"/>
      <c r="D92" s="120"/>
      <c r="E92" s="120"/>
      <c r="F92" s="120"/>
      <c r="G92" s="120"/>
      <c r="H92" s="120"/>
      <c r="I92" s="120"/>
      <c r="J92" s="120"/>
      <c r="K92" s="120"/>
      <c r="L92" s="120"/>
      <c r="M92" s="120"/>
    </row>
    <row r="93" spans="1:13">
      <c r="A93" s="142"/>
      <c r="B93" s="120"/>
      <c r="C93" s="120"/>
      <c r="D93" s="120"/>
      <c r="E93" s="120"/>
      <c r="F93" s="338"/>
      <c r="G93" s="120"/>
      <c r="H93" s="120"/>
      <c r="I93" s="120"/>
      <c r="J93" s="120"/>
      <c r="K93" s="120"/>
      <c r="L93" s="120"/>
      <c r="M93" s="120"/>
    </row>
    <row r="94" spans="1:13">
      <c r="A94" s="142"/>
      <c r="B94" s="120"/>
      <c r="C94" s="120"/>
      <c r="D94" s="120"/>
      <c r="E94" s="120"/>
      <c r="F94" s="120"/>
      <c r="G94" s="120"/>
      <c r="H94" s="338"/>
      <c r="I94" s="120"/>
      <c r="J94" s="120"/>
      <c r="K94" s="120"/>
      <c r="L94" s="120"/>
      <c r="M94" s="120"/>
    </row>
    <row r="95" spans="1:13">
      <c r="A95" s="142"/>
      <c r="B95" s="120"/>
      <c r="C95" s="120"/>
      <c r="D95" s="120"/>
      <c r="E95" s="120"/>
      <c r="F95" s="120"/>
      <c r="G95" s="120"/>
      <c r="H95" s="120"/>
      <c r="I95" s="120"/>
      <c r="J95" s="120"/>
      <c r="K95" s="120"/>
      <c r="L95" s="120"/>
      <c r="M95" s="120"/>
    </row>
    <row r="96" spans="1:13">
      <c r="A96" s="142"/>
      <c r="B96" s="120"/>
      <c r="C96" s="120"/>
      <c r="D96" s="120"/>
      <c r="E96" s="338"/>
      <c r="F96" s="338"/>
      <c r="G96" s="120"/>
      <c r="H96" s="120"/>
      <c r="I96" s="120"/>
      <c r="J96" s="120"/>
      <c r="K96" s="120"/>
      <c r="L96" s="120"/>
      <c r="M96" s="120"/>
    </row>
    <row r="97" spans="1:13">
      <c r="A97" s="142"/>
      <c r="B97" s="120"/>
      <c r="C97" s="120"/>
      <c r="D97" s="120"/>
      <c r="E97" s="338"/>
      <c r="F97" s="338"/>
      <c r="G97" s="120"/>
      <c r="H97" s="120"/>
      <c r="I97" s="120"/>
      <c r="J97" s="120"/>
      <c r="K97" s="120"/>
      <c r="L97" s="120"/>
      <c r="M97" s="120"/>
    </row>
    <row r="98" spans="1:13">
      <c r="A98" s="142"/>
      <c r="B98" s="120"/>
      <c r="C98" s="120"/>
      <c r="D98" s="120"/>
      <c r="E98" s="120"/>
      <c r="F98" s="338"/>
      <c r="G98" s="120"/>
      <c r="H98" s="120"/>
      <c r="I98" s="120"/>
      <c r="J98" s="120"/>
      <c r="K98" s="120"/>
      <c r="L98" s="120"/>
      <c r="M98" s="120"/>
    </row>
    <row r="99" spans="1:13">
      <c r="A99" s="142"/>
      <c r="B99" s="120"/>
      <c r="C99" s="120"/>
      <c r="D99" s="120"/>
      <c r="E99" s="120"/>
      <c r="F99" s="120"/>
      <c r="G99" s="120"/>
      <c r="H99" s="338"/>
      <c r="I99" s="120"/>
      <c r="J99" s="120"/>
      <c r="K99" s="120"/>
      <c r="L99" s="120"/>
      <c r="M99" s="120"/>
    </row>
    <row r="100" spans="1:13">
      <c r="A100" s="142"/>
      <c r="B100" s="120"/>
      <c r="C100" s="120"/>
      <c r="D100" s="120"/>
      <c r="E100" s="338"/>
      <c r="F100" s="120"/>
      <c r="G100" s="120"/>
      <c r="H100" s="120"/>
      <c r="I100" s="120"/>
      <c r="J100" s="120"/>
      <c r="K100" s="120"/>
      <c r="L100" s="120"/>
      <c r="M100" s="120"/>
    </row>
    <row r="101" spans="1:13">
      <c r="A101" s="142"/>
      <c r="B101" s="120"/>
      <c r="C101" s="120"/>
      <c r="D101" s="120"/>
      <c r="E101" s="338"/>
      <c r="F101" s="338"/>
      <c r="G101" s="120"/>
      <c r="H101" s="120"/>
      <c r="I101" s="120"/>
      <c r="J101" s="120"/>
      <c r="K101" s="120"/>
      <c r="L101" s="120"/>
      <c r="M101" s="120"/>
    </row>
    <row r="102" spans="1:13">
      <c r="A102" s="142"/>
      <c r="B102" s="120"/>
      <c r="C102" s="120"/>
      <c r="D102" s="120"/>
      <c r="E102" s="120"/>
      <c r="F102" s="120"/>
      <c r="G102" s="120"/>
      <c r="H102" s="120"/>
      <c r="I102" s="120"/>
      <c r="J102" s="120"/>
      <c r="K102" s="120"/>
      <c r="L102" s="120"/>
      <c r="M102" s="120"/>
    </row>
    <row r="103" spans="1:13">
      <c r="A103" s="656"/>
      <c r="B103" s="200"/>
      <c r="C103" s="200"/>
      <c r="D103" s="200"/>
      <c r="E103" s="200"/>
      <c r="F103" s="200"/>
      <c r="G103" s="200"/>
      <c r="H103" s="200"/>
      <c r="I103" s="200"/>
      <c r="J103" s="200"/>
      <c r="K103" s="200"/>
      <c r="L103" s="200"/>
      <c r="M103" s="200"/>
    </row>
    <row r="104" spans="1:13">
      <c r="A104" s="142"/>
      <c r="B104" s="120"/>
      <c r="C104" s="120"/>
      <c r="D104" s="120"/>
      <c r="E104" s="338"/>
      <c r="F104" s="120"/>
      <c r="G104" s="120"/>
      <c r="H104" s="120"/>
      <c r="I104" s="120"/>
      <c r="J104" s="120"/>
      <c r="K104" s="120"/>
      <c r="L104" s="120"/>
      <c r="M104" s="120"/>
    </row>
    <row r="105" spans="1:13">
      <c r="A105" s="142"/>
      <c r="B105" s="120"/>
      <c r="C105" s="120"/>
      <c r="D105" s="120"/>
      <c r="E105" s="120"/>
      <c r="F105" s="338"/>
      <c r="G105" s="120"/>
      <c r="H105" s="120"/>
      <c r="I105" s="120"/>
      <c r="J105" s="120"/>
      <c r="K105" s="120"/>
      <c r="L105" s="120"/>
      <c r="M105" s="120"/>
    </row>
    <row r="106" spans="1:13">
      <c r="A106" s="142"/>
      <c r="B106" s="120"/>
      <c r="C106" s="120"/>
      <c r="D106" s="120"/>
      <c r="E106" s="120"/>
      <c r="F106" s="120"/>
      <c r="G106" s="120"/>
      <c r="H106" s="338"/>
      <c r="I106" s="120"/>
      <c r="J106" s="120"/>
      <c r="K106" s="120"/>
      <c r="L106" s="120"/>
      <c r="M106" s="120"/>
    </row>
    <row r="107" spans="1:13">
      <c r="A107" s="142"/>
      <c r="B107" s="120"/>
      <c r="C107" s="120"/>
      <c r="D107" s="120"/>
      <c r="E107" s="338"/>
      <c r="F107" s="120"/>
      <c r="G107" s="120"/>
      <c r="H107" s="120"/>
      <c r="I107" s="120"/>
      <c r="J107" s="120"/>
      <c r="K107" s="120"/>
      <c r="L107" s="120"/>
      <c r="M107" s="120"/>
    </row>
    <row r="108" spans="1:13">
      <c r="A108" s="142"/>
      <c r="B108" s="120"/>
      <c r="C108" s="120"/>
      <c r="D108" s="120"/>
      <c r="E108" s="120"/>
      <c r="F108" s="338"/>
      <c r="G108" s="120"/>
      <c r="H108" s="120"/>
      <c r="I108" s="120"/>
      <c r="J108" s="120"/>
      <c r="K108" s="120"/>
      <c r="L108" s="120"/>
      <c r="M108" s="120"/>
    </row>
    <row r="109" spans="1:13">
      <c r="A109" s="142"/>
      <c r="B109" s="120"/>
      <c r="C109" s="120"/>
      <c r="D109" s="120"/>
      <c r="E109" s="120"/>
      <c r="F109" s="338"/>
      <c r="G109" s="120"/>
      <c r="H109" s="120"/>
      <c r="I109" s="120"/>
      <c r="J109" s="120"/>
      <c r="K109" s="120"/>
      <c r="L109" s="120"/>
      <c r="M109" s="120"/>
    </row>
    <row r="110" spans="1:13">
      <c r="A110" s="142"/>
      <c r="B110" s="120"/>
      <c r="C110" s="120"/>
      <c r="D110" s="120"/>
      <c r="E110" s="338"/>
      <c r="F110" s="120"/>
      <c r="G110" s="120"/>
      <c r="H110" s="120"/>
      <c r="I110" s="120"/>
      <c r="J110" s="120"/>
      <c r="K110" s="120"/>
      <c r="L110" s="120"/>
      <c r="M110" s="120"/>
    </row>
    <row r="111" spans="1:13">
      <c r="A111" s="142"/>
      <c r="B111" s="120"/>
      <c r="C111" s="120"/>
      <c r="D111" s="120"/>
      <c r="E111" s="120"/>
      <c r="F111" s="120"/>
      <c r="G111" s="120"/>
      <c r="H111" s="120"/>
      <c r="I111" s="120"/>
      <c r="J111" s="120"/>
      <c r="K111" s="120"/>
      <c r="L111" s="120"/>
      <c r="M111" s="120"/>
    </row>
    <row r="112" spans="1:13">
      <c r="A112" s="142"/>
      <c r="B112" s="120"/>
      <c r="C112" s="120"/>
      <c r="D112" s="120"/>
      <c r="E112" s="120"/>
      <c r="F112" s="338"/>
      <c r="G112" s="120"/>
      <c r="H112" s="120"/>
      <c r="I112" s="120"/>
      <c r="J112" s="120"/>
      <c r="K112" s="120"/>
      <c r="L112" s="120"/>
      <c r="M112" s="120"/>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D7FD0-8390-46C9-8C3D-B54FF425D251}">
  <sheetPr codeName="Tabelle27">
    <tabColor indexed="53"/>
  </sheetPr>
  <dimension ref="A1:L24"/>
  <sheetViews>
    <sheetView workbookViewId="0"/>
  </sheetViews>
  <sheetFormatPr defaultColWidth="11.42578125" defaultRowHeight="12.75"/>
  <cols>
    <col min="1" max="16384" width="11.42578125" style="660"/>
  </cols>
  <sheetData>
    <row r="1" spans="1:12">
      <c r="A1" s="660">
        <v>29044</v>
      </c>
      <c r="B1" s="660" t="s">
        <v>462</v>
      </c>
      <c r="C1" s="660">
        <v>3003</v>
      </c>
      <c r="D1" s="660" t="s">
        <v>465</v>
      </c>
      <c r="E1" s="660">
        <v>24061</v>
      </c>
      <c r="F1" s="660" t="s">
        <v>303</v>
      </c>
      <c r="G1" s="660">
        <v>0</v>
      </c>
      <c r="H1" s="660" t="s">
        <v>1689</v>
      </c>
      <c r="J1" s="660" t="s">
        <v>1689</v>
      </c>
      <c r="K1" s="660">
        <v>25894</v>
      </c>
      <c r="L1" s="660" t="s">
        <v>293</v>
      </c>
    </row>
    <row r="2" spans="1:12">
      <c r="A2" s="660">
        <v>34679</v>
      </c>
      <c r="B2" s="660" t="s">
        <v>2029</v>
      </c>
      <c r="C2" s="660">
        <v>0</v>
      </c>
      <c r="D2" s="660" t="s">
        <v>1689</v>
      </c>
      <c r="E2" s="660">
        <v>0</v>
      </c>
      <c r="F2" s="660" t="s">
        <v>1689</v>
      </c>
      <c r="G2" s="660">
        <v>0</v>
      </c>
      <c r="H2" s="660" t="s">
        <v>1689</v>
      </c>
      <c r="I2" s="660">
        <v>0</v>
      </c>
      <c r="J2" s="660" t="s">
        <v>1689</v>
      </c>
    </row>
    <row r="3" spans="1:12">
      <c r="A3" s="660">
        <v>28755</v>
      </c>
      <c r="B3" s="660" t="s">
        <v>1445</v>
      </c>
      <c r="C3" s="660">
        <v>2996</v>
      </c>
      <c r="D3" s="660" t="s">
        <v>1409</v>
      </c>
      <c r="E3" s="660">
        <v>24061</v>
      </c>
      <c r="F3" s="660" t="s">
        <v>303</v>
      </c>
      <c r="G3" s="660">
        <v>24051</v>
      </c>
      <c r="H3" s="660" t="s">
        <v>1983</v>
      </c>
      <c r="I3" s="660">
        <v>0</v>
      </c>
      <c r="J3" s="660" t="s">
        <v>1689</v>
      </c>
    </row>
    <row r="4" spans="1:12">
      <c r="A4" s="660">
        <v>11840</v>
      </c>
      <c r="B4" s="660" t="s">
        <v>1689</v>
      </c>
      <c r="C4" s="660">
        <v>0</v>
      </c>
      <c r="D4" s="660" t="s">
        <v>1689</v>
      </c>
      <c r="E4" s="660">
        <v>0</v>
      </c>
      <c r="F4" s="660" t="s">
        <v>1689</v>
      </c>
      <c r="G4" s="660">
        <v>0</v>
      </c>
      <c r="H4" s="660" t="s">
        <v>1689</v>
      </c>
      <c r="I4" s="660">
        <v>0</v>
      </c>
      <c r="J4" s="660" t="s">
        <v>1689</v>
      </c>
    </row>
    <row r="5" spans="1:12">
      <c r="A5" s="660">
        <v>25831</v>
      </c>
      <c r="B5" s="660" t="s">
        <v>816</v>
      </c>
      <c r="C5" s="660">
        <v>0</v>
      </c>
      <c r="D5" s="660" t="s">
        <v>1689</v>
      </c>
      <c r="E5" s="660">
        <v>24061</v>
      </c>
      <c r="F5" s="660" t="s">
        <v>303</v>
      </c>
      <c r="G5" s="660">
        <v>24061</v>
      </c>
      <c r="H5" s="660" t="s">
        <v>303</v>
      </c>
      <c r="I5" s="660">
        <v>24051</v>
      </c>
      <c r="J5" s="660" t="s">
        <v>1983</v>
      </c>
    </row>
    <row r="6" spans="1:12">
      <c r="A6" s="660">
        <v>28750</v>
      </c>
      <c r="B6" s="660" t="s">
        <v>1523</v>
      </c>
      <c r="C6" s="660">
        <v>0</v>
      </c>
      <c r="D6" s="660" t="s">
        <v>1689</v>
      </c>
      <c r="E6" s="660">
        <v>24061</v>
      </c>
      <c r="F6" s="660" t="s">
        <v>303</v>
      </c>
      <c r="G6" s="660">
        <v>24061</v>
      </c>
      <c r="H6" s="660" t="s">
        <v>303</v>
      </c>
      <c r="I6" s="660">
        <v>0</v>
      </c>
      <c r="J6" s="660" t="s">
        <v>1689</v>
      </c>
    </row>
    <row r="7" spans="1:12">
      <c r="A7" s="660">
        <v>29046</v>
      </c>
      <c r="B7" s="660" t="s">
        <v>483</v>
      </c>
      <c r="C7" s="660">
        <v>3010</v>
      </c>
      <c r="D7" s="660" t="s">
        <v>1414</v>
      </c>
      <c r="E7" s="660">
        <v>0</v>
      </c>
      <c r="F7" s="660" t="s">
        <v>1689</v>
      </c>
      <c r="G7" s="660">
        <v>0</v>
      </c>
      <c r="H7" s="660" t="s">
        <v>1689</v>
      </c>
      <c r="I7" s="660">
        <v>0</v>
      </c>
      <c r="J7" s="660" t="s">
        <v>1689</v>
      </c>
    </row>
    <row r="8" spans="1:12">
      <c r="A8" s="660">
        <v>28545</v>
      </c>
      <c r="B8" s="660" t="s">
        <v>255</v>
      </c>
      <c r="C8" s="660">
        <v>2657</v>
      </c>
      <c r="D8" s="660" t="s">
        <v>257</v>
      </c>
      <c r="E8" s="660">
        <v>24061</v>
      </c>
      <c r="F8" s="660" t="s">
        <v>303</v>
      </c>
      <c r="G8" s="660">
        <v>24051</v>
      </c>
      <c r="H8" s="660" t="s">
        <v>1983</v>
      </c>
      <c r="I8" s="660">
        <v>0</v>
      </c>
      <c r="J8" s="660" t="s">
        <v>1689</v>
      </c>
    </row>
    <row r="9" spans="1:12">
      <c r="A9" s="660">
        <v>29966</v>
      </c>
      <c r="B9" s="660" t="s">
        <v>1305</v>
      </c>
      <c r="C9" s="660">
        <v>1593</v>
      </c>
      <c r="D9" s="660" t="s">
        <v>1271</v>
      </c>
      <c r="E9" s="660">
        <v>31863</v>
      </c>
      <c r="F9" s="660" t="s">
        <v>2286</v>
      </c>
      <c r="G9" s="660">
        <v>0</v>
      </c>
      <c r="H9" s="660" t="s">
        <v>1689</v>
      </c>
      <c r="I9" s="660">
        <v>0</v>
      </c>
      <c r="J9" s="660" t="s">
        <v>1689</v>
      </c>
    </row>
    <row r="10" spans="1:12">
      <c r="A10" s="660">
        <v>33539</v>
      </c>
      <c r="B10" s="660" t="s">
        <v>1434</v>
      </c>
      <c r="C10" s="660">
        <v>2564</v>
      </c>
      <c r="D10" s="660" t="s">
        <v>2077</v>
      </c>
      <c r="E10" s="660">
        <v>0</v>
      </c>
      <c r="F10" s="660" t="s">
        <v>1689</v>
      </c>
      <c r="G10" s="660">
        <v>0</v>
      </c>
      <c r="H10" s="660" t="s">
        <v>1689</v>
      </c>
      <c r="I10" s="660">
        <v>0</v>
      </c>
      <c r="J10" s="660" t="s">
        <v>1689</v>
      </c>
    </row>
    <row r="11" spans="1:12">
      <c r="A11" s="660">
        <v>33919</v>
      </c>
      <c r="B11" s="660" t="s">
        <v>159</v>
      </c>
      <c r="C11" s="660">
        <v>0</v>
      </c>
      <c r="D11" s="660" t="s">
        <v>1689</v>
      </c>
      <c r="E11" s="660">
        <v>0</v>
      </c>
      <c r="F11" s="660" t="s">
        <v>1689</v>
      </c>
      <c r="G11" s="660">
        <v>0</v>
      </c>
      <c r="H11" s="660" t="s">
        <v>1689</v>
      </c>
      <c r="I11" s="660">
        <v>0</v>
      </c>
      <c r="J11" s="660" t="s">
        <v>1689</v>
      </c>
    </row>
    <row r="12" spans="1:12">
      <c r="A12" s="660">
        <v>33057</v>
      </c>
      <c r="B12" s="660" t="s">
        <v>2471</v>
      </c>
      <c r="C12" s="660">
        <v>0</v>
      </c>
      <c r="D12" s="660" t="s">
        <v>1689</v>
      </c>
      <c r="E12" s="660">
        <v>0</v>
      </c>
      <c r="F12" s="660" t="s">
        <v>1689</v>
      </c>
      <c r="G12" s="660">
        <v>0</v>
      </c>
      <c r="H12" s="660" t="s">
        <v>1689</v>
      </c>
      <c r="I12" s="660">
        <v>0</v>
      </c>
      <c r="J12" s="660" t="s">
        <v>1689</v>
      </c>
    </row>
    <row r="13" spans="1:12">
      <c r="A13" s="660">
        <v>28041</v>
      </c>
      <c r="B13" s="660" t="s">
        <v>184</v>
      </c>
      <c r="C13" s="660">
        <v>0</v>
      </c>
      <c r="D13" s="660" t="s">
        <v>1689</v>
      </c>
      <c r="E13" s="660">
        <v>0</v>
      </c>
      <c r="F13" s="660" t="s">
        <v>1689</v>
      </c>
      <c r="G13" s="660">
        <v>0</v>
      </c>
      <c r="H13" s="660" t="s">
        <v>1689</v>
      </c>
      <c r="I13" s="660">
        <v>0</v>
      </c>
      <c r="J13" s="660" t="s">
        <v>1689</v>
      </c>
    </row>
    <row r="14" spans="1:12">
      <c r="A14" s="660">
        <v>34472</v>
      </c>
      <c r="B14" s="660" t="s">
        <v>991</v>
      </c>
      <c r="C14" s="660">
        <v>0</v>
      </c>
      <c r="D14" s="660" t="s">
        <v>1689</v>
      </c>
      <c r="E14" s="660">
        <v>0</v>
      </c>
      <c r="F14" s="660" t="s">
        <v>1689</v>
      </c>
      <c r="G14" s="660">
        <v>0</v>
      </c>
      <c r="H14" s="660" t="s">
        <v>1689</v>
      </c>
      <c r="I14" s="660">
        <v>0</v>
      </c>
      <c r="J14" s="660" t="s">
        <v>1689</v>
      </c>
    </row>
    <row r="15" spans="1:12">
      <c r="A15" s="660">
        <v>27519</v>
      </c>
      <c r="B15" s="660" t="s">
        <v>1413</v>
      </c>
      <c r="C15" s="660">
        <v>0</v>
      </c>
      <c r="D15" s="660" t="s">
        <v>1689</v>
      </c>
      <c r="E15" s="660">
        <v>0</v>
      </c>
      <c r="F15" s="660" t="s">
        <v>1689</v>
      </c>
      <c r="G15" s="660">
        <v>0</v>
      </c>
      <c r="H15" s="660" t="s">
        <v>1689</v>
      </c>
      <c r="I15" s="660">
        <v>0</v>
      </c>
      <c r="J15" s="660" t="s">
        <v>1689</v>
      </c>
    </row>
    <row r="16" spans="1:12">
      <c r="A16" s="660">
        <v>28295</v>
      </c>
      <c r="B16" s="660" t="s">
        <v>1385</v>
      </c>
      <c r="C16" s="660">
        <v>2673</v>
      </c>
      <c r="D16" s="660" t="s">
        <v>1229</v>
      </c>
      <c r="E16" s="660">
        <v>0</v>
      </c>
      <c r="F16" s="660" t="s">
        <v>1689</v>
      </c>
      <c r="G16" s="660">
        <v>0</v>
      </c>
      <c r="H16" s="660" t="s">
        <v>1689</v>
      </c>
      <c r="I16" s="660">
        <v>0</v>
      </c>
      <c r="J16" s="660" t="s">
        <v>1689</v>
      </c>
    </row>
    <row r="17" spans="1:10">
      <c r="A17" s="660">
        <v>32027</v>
      </c>
      <c r="B17" s="660" t="s">
        <v>522</v>
      </c>
      <c r="C17" s="660">
        <v>2673</v>
      </c>
      <c r="D17" s="660" t="s">
        <v>1229</v>
      </c>
      <c r="E17" s="660">
        <v>0</v>
      </c>
      <c r="F17" s="660" t="s">
        <v>1689</v>
      </c>
      <c r="G17" s="660">
        <v>0</v>
      </c>
      <c r="H17" s="660" t="s">
        <v>1689</v>
      </c>
      <c r="I17" s="660">
        <v>0</v>
      </c>
      <c r="J17" s="660" t="s">
        <v>1689</v>
      </c>
    </row>
    <row r="18" spans="1:10">
      <c r="A18" s="660">
        <v>28826</v>
      </c>
      <c r="B18" s="660" t="s">
        <v>1151</v>
      </c>
      <c r="C18" s="660">
        <v>0</v>
      </c>
      <c r="D18" s="660" t="s">
        <v>1689</v>
      </c>
      <c r="E18" s="660">
        <v>0</v>
      </c>
      <c r="F18" s="660" t="s">
        <v>1689</v>
      </c>
      <c r="G18" s="660">
        <v>0</v>
      </c>
      <c r="H18" s="660" t="s">
        <v>1689</v>
      </c>
      <c r="I18" s="660">
        <v>0</v>
      </c>
      <c r="J18" s="660" t="s">
        <v>1689</v>
      </c>
    </row>
    <row r="19" spans="1:10">
      <c r="A19" s="660">
        <v>35221</v>
      </c>
      <c r="B19" s="660" t="s">
        <v>1689</v>
      </c>
      <c r="C19" s="660">
        <v>0</v>
      </c>
      <c r="D19" s="660" t="s">
        <v>1689</v>
      </c>
      <c r="E19" s="660">
        <v>0</v>
      </c>
      <c r="F19" s="660" t="s">
        <v>1689</v>
      </c>
      <c r="G19" s="660">
        <v>0</v>
      </c>
      <c r="H19" s="660" t="s">
        <v>1689</v>
      </c>
      <c r="I19" s="660">
        <v>0</v>
      </c>
      <c r="J19" s="660" t="s">
        <v>1689</v>
      </c>
    </row>
    <row r="20" spans="1:10">
      <c r="B20" s="660" t="s">
        <v>1689</v>
      </c>
      <c r="D20" s="660" t="s">
        <v>1689</v>
      </c>
      <c r="F20" s="660" t="s">
        <v>1689</v>
      </c>
      <c r="H20" s="660" t="s">
        <v>1689</v>
      </c>
      <c r="J20" s="660" t="s">
        <v>1689</v>
      </c>
    </row>
    <row r="21" spans="1:10">
      <c r="B21" s="660" t="s">
        <v>1689</v>
      </c>
      <c r="D21" s="660" t="s">
        <v>1689</v>
      </c>
      <c r="F21" s="660" t="s">
        <v>1689</v>
      </c>
      <c r="H21" s="660" t="s">
        <v>1689</v>
      </c>
      <c r="J21" s="660" t="s">
        <v>1689</v>
      </c>
    </row>
    <row r="23" spans="1:10">
      <c r="A23" s="661" t="s">
        <v>2472</v>
      </c>
    </row>
    <row r="24" spans="1:10">
      <c r="A24" s="660" t="s">
        <v>2467</v>
      </c>
    </row>
  </sheetData>
  <pageMargins left="0.75" right="0.75" top="1" bottom="1" header="0.4921259845" footer="0.4921259845"/>
  <pageSetup paperSize="9" orientation="portrait" r:id="rId1"/>
  <headerFooter alignWithMargins="0"/>
  <drawing r:id="rId2"/>
  <legacyDrawing r:id="rId3"/>
  <controls>
    <mc:AlternateContent xmlns:mc="http://schemas.openxmlformats.org/markup-compatibility/2006">
      <mc:Choice Requires="x14">
        <control shapeId="72705" r:id="rId4" name="cmdCreateLookup">
          <controlPr defaultSize="0" autoLine="0" r:id="rId5">
            <anchor moveWithCells="1">
              <from>
                <xdr:col>10</xdr:col>
                <xdr:colOff>552450</xdr:colOff>
                <xdr:row>0</xdr:row>
                <xdr:rowOff>0</xdr:rowOff>
              </from>
              <to>
                <xdr:col>12</xdr:col>
                <xdr:colOff>733425</xdr:colOff>
                <xdr:row>1</xdr:row>
                <xdr:rowOff>123825</xdr:rowOff>
              </to>
            </anchor>
          </controlPr>
        </control>
      </mc:Choice>
      <mc:Fallback>
        <control shapeId="72705" r:id="rId4" name="cmdCreateLookup"/>
      </mc:Fallback>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C58B6-FAB2-46C2-8F67-D599A5D4A564}">
  <sheetPr codeName="Sheet5"/>
  <dimension ref="A1:D831"/>
  <sheetViews>
    <sheetView topLeftCell="A192" workbookViewId="0">
      <selection activeCell="B234" sqref="B234"/>
    </sheetView>
  </sheetViews>
  <sheetFormatPr defaultRowHeight="12.75"/>
  <sheetData>
    <row r="1" spans="1:4">
      <c r="A1">
        <v>0</v>
      </c>
      <c r="B1" t="s">
        <v>1689</v>
      </c>
    </row>
    <row r="2" spans="1:4">
      <c r="A2" s="254">
        <v>28362</v>
      </c>
      <c r="B2" s="662" t="s">
        <v>1694</v>
      </c>
      <c r="C2" s="6" t="b">
        <v>0</v>
      </c>
      <c r="D2" s="6">
        <v>2</v>
      </c>
    </row>
    <row r="3" spans="1:4">
      <c r="A3" s="254">
        <v>28595</v>
      </c>
      <c r="B3" s="662" t="s">
        <v>1695</v>
      </c>
      <c r="C3" s="6" t="b">
        <v>0</v>
      </c>
      <c r="D3" s="6">
        <v>3</v>
      </c>
    </row>
    <row r="4" spans="1:4">
      <c r="A4" s="254">
        <v>32197</v>
      </c>
      <c r="B4" s="662" t="s">
        <v>1696</v>
      </c>
      <c r="C4" s="6" t="b">
        <v>0</v>
      </c>
      <c r="D4" s="6">
        <v>4</v>
      </c>
    </row>
    <row r="5" spans="1:4">
      <c r="A5" s="254">
        <v>35487</v>
      </c>
      <c r="B5" s="662" t="s">
        <v>809</v>
      </c>
      <c r="C5" s="6" t="b">
        <v>0</v>
      </c>
      <c r="D5" s="6">
        <v>5</v>
      </c>
    </row>
    <row r="6" spans="1:4">
      <c r="A6" s="254">
        <v>24031</v>
      </c>
      <c r="B6" s="662" t="s">
        <v>1697</v>
      </c>
      <c r="C6" s="6" t="b">
        <v>0</v>
      </c>
      <c r="D6" s="6">
        <v>6</v>
      </c>
    </row>
    <row r="7" spans="1:4">
      <c r="A7" s="254">
        <v>33131</v>
      </c>
      <c r="B7" s="662" t="s">
        <v>1622</v>
      </c>
      <c r="C7" s="6" t="b">
        <v>0</v>
      </c>
      <c r="D7" s="6">
        <v>7</v>
      </c>
    </row>
    <row r="8" spans="1:4">
      <c r="A8" s="254">
        <v>23097</v>
      </c>
      <c r="B8" s="662" t="s">
        <v>1698</v>
      </c>
      <c r="C8" s="6" t="b">
        <v>0</v>
      </c>
      <c r="D8" s="6">
        <v>8</v>
      </c>
    </row>
    <row r="9" spans="1:4">
      <c r="A9" s="254">
        <v>32194</v>
      </c>
      <c r="B9" s="662" t="s">
        <v>1922</v>
      </c>
      <c r="C9" s="6" t="b">
        <v>0</v>
      </c>
      <c r="D9" s="6">
        <v>9</v>
      </c>
    </row>
    <row r="10" spans="1:4">
      <c r="A10" s="254">
        <v>24028</v>
      </c>
      <c r="B10" s="662" t="s">
        <v>1923</v>
      </c>
      <c r="C10" s="6" t="b">
        <v>0</v>
      </c>
      <c r="D10" s="6">
        <v>10</v>
      </c>
    </row>
    <row r="11" spans="1:4">
      <c r="A11" s="254">
        <v>32199</v>
      </c>
      <c r="B11" s="662" t="s">
        <v>86</v>
      </c>
      <c r="C11" s="6" t="b">
        <v>1</v>
      </c>
      <c r="D11" s="6">
        <v>11</v>
      </c>
    </row>
    <row r="12" spans="1:4">
      <c r="A12" s="254">
        <v>24036</v>
      </c>
      <c r="B12" s="662" t="s">
        <v>87</v>
      </c>
      <c r="C12" s="6" t="b">
        <v>1</v>
      </c>
      <c r="D12" s="6">
        <v>12</v>
      </c>
    </row>
    <row r="13" spans="1:4">
      <c r="A13" s="254">
        <v>28360</v>
      </c>
      <c r="B13" s="662" t="s">
        <v>1208</v>
      </c>
      <c r="C13" s="6" t="b">
        <v>0</v>
      </c>
      <c r="D13" s="6">
        <v>13</v>
      </c>
    </row>
    <row r="14" spans="1:4">
      <c r="A14" s="254">
        <v>28361</v>
      </c>
      <c r="B14" s="662" t="s">
        <v>604</v>
      </c>
      <c r="C14" s="6" t="b">
        <v>0</v>
      </c>
      <c r="D14" s="6">
        <v>14</v>
      </c>
    </row>
    <row r="15" spans="1:4">
      <c r="A15" s="254">
        <v>32198</v>
      </c>
      <c r="B15" s="662" t="s">
        <v>454</v>
      </c>
      <c r="C15" s="6" t="b">
        <v>1</v>
      </c>
      <c r="D15" s="6">
        <v>15</v>
      </c>
    </row>
    <row r="16" spans="1:4">
      <c r="A16" s="254">
        <v>24032</v>
      </c>
      <c r="B16" s="662" t="s">
        <v>455</v>
      </c>
      <c r="C16" s="6" t="b">
        <v>1</v>
      </c>
      <c r="D16" s="6">
        <v>16</v>
      </c>
    </row>
    <row r="17" spans="1:4">
      <c r="A17" s="259">
        <v>31863</v>
      </c>
      <c r="B17" s="663" t="s">
        <v>2286</v>
      </c>
      <c r="C17" s="6" t="b">
        <v>0</v>
      </c>
      <c r="D17" s="6">
        <v>19</v>
      </c>
    </row>
    <row r="18" spans="1:4">
      <c r="A18" s="259">
        <v>31862</v>
      </c>
      <c r="B18" s="663" t="s">
        <v>1496</v>
      </c>
      <c r="C18" s="6" t="b">
        <v>0</v>
      </c>
      <c r="D18" s="6">
        <v>20</v>
      </c>
    </row>
    <row r="19" spans="1:4">
      <c r="A19" s="259">
        <v>32213</v>
      </c>
      <c r="B19" s="663" t="s">
        <v>1718</v>
      </c>
      <c r="C19" s="6" t="b">
        <v>0</v>
      </c>
      <c r="D19" s="6">
        <v>21</v>
      </c>
    </row>
    <row r="20" spans="1:4">
      <c r="A20" s="259">
        <v>30574</v>
      </c>
      <c r="B20" s="663" t="s">
        <v>2287</v>
      </c>
      <c r="C20" s="6" t="b">
        <v>0</v>
      </c>
      <c r="D20" s="6">
        <v>22</v>
      </c>
    </row>
    <row r="21" spans="1:4">
      <c r="A21" s="259">
        <v>30566</v>
      </c>
      <c r="B21" s="663" t="s">
        <v>88</v>
      </c>
      <c r="C21" s="6" t="b">
        <v>1</v>
      </c>
      <c r="D21" s="6">
        <v>23</v>
      </c>
    </row>
    <row r="22" spans="1:4">
      <c r="A22" s="259">
        <v>31118</v>
      </c>
      <c r="B22" s="663" t="s">
        <v>2288</v>
      </c>
      <c r="C22" s="6" t="b">
        <v>0</v>
      </c>
      <c r="D22" s="6">
        <v>24</v>
      </c>
    </row>
    <row r="23" spans="1:4">
      <c r="A23" s="259">
        <v>30563</v>
      </c>
      <c r="B23" s="663" t="s">
        <v>81</v>
      </c>
      <c r="C23" s="6" t="b">
        <v>1</v>
      </c>
      <c r="D23" s="6">
        <v>25</v>
      </c>
    </row>
    <row r="24" spans="1:4">
      <c r="A24" s="259">
        <v>30563</v>
      </c>
      <c r="B24" s="663" t="s">
        <v>2289</v>
      </c>
      <c r="C24" s="6" t="b">
        <v>1</v>
      </c>
      <c r="D24" s="6">
        <v>26</v>
      </c>
    </row>
    <row r="25" spans="1:4">
      <c r="A25" s="259">
        <v>24055</v>
      </c>
      <c r="B25" s="663" t="s">
        <v>1979</v>
      </c>
      <c r="C25" s="6" t="b">
        <v>0</v>
      </c>
      <c r="D25" s="6">
        <v>27</v>
      </c>
    </row>
    <row r="26" spans="1:4">
      <c r="A26" s="259">
        <v>23110</v>
      </c>
      <c r="B26" s="663" t="s">
        <v>1980</v>
      </c>
      <c r="C26" s="6" t="b">
        <v>0</v>
      </c>
      <c r="D26" s="6">
        <v>28</v>
      </c>
    </row>
    <row r="27" spans="1:4">
      <c r="A27" s="259">
        <v>32212</v>
      </c>
      <c r="B27" s="663" t="s">
        <v>1981</v>
      </c>
      <c r="C27" s="6" t="b">
        <v>0</v>
      </c>
      <c r="D27" s="6">
        <v>29</v>
      </c>
    </row>
    <row r="28" spans="1:4">
      <c r="A28" s="259">
        <v>30549</v>
      </c>
      <c r="B28" s="663" t="s">
        <v>1350</v>
      </c>
      <c r="C28" s="6" t="b">
        <v>0</v>
      </c>
      <c r="D28" s="6">
        <v>30</v>
      </c>
    </row>
    <row r="29" spans="1:4">
      <c r="A29" s="259">
        <v>30546</v>
      </c>
      <c r="B29" s="663" t="s">
        <v>80</v>
      </c>
      <c r="C29" s="6" t="b">
        <v>0</v>
      </c>
      <c r="D29" s="6">
        <v>31</v>
      </c>
    </row>
    <row r="30" spans="1:4">
      <c r="A30" s="259">
        <v>32634</v>
      </c>
      <c r="B30" s="663" t="s">
        <v>1498</v>
      </c>
      <c r="C30" s="6" t="b">
        <v>0</v>
      </c>
      <c r="D30" s="6">
        <v>32</v>
      </c>
    </row>
    <row r="31" spans="1:4">
      <c r="A31" s="264">
        <v>34256</v>
      </c>
      <c r="B31" s="664" t="s">
        <v>1495</v>
      </c>
      <c r="C31" s="6" t="b">
        <v>1</v>
      </c>
      <c r="D31" s="6">
        <v>35</v>
      </c>
    </row>
    <row r="32" spans="1:4">
      <c r="A32" s="264">
        <v>34831</v>
      </c>
      <c r="B32" s="664" t="s">
        <v>84</v>
      </c>
      <c r="C32" s="6" t="b">
        <v>1</v>
      </c>
      <c r="D32" s="6">
        <v>36</v>
      </c>
    </row>
    <row r="33" spans="1:4">
      <c r="A33" s="264">
        <v>33135</v>
      </c>
      <c r="B33" s="664" t="s">
        <v>456</v>
      </c>
      <c r="C33" s="6" t="b">
        <v>1</v>
      </c>
      <c r="D33" s="6">
        <v>37</v>
      </c>
    </row>
    <row r="34" spans="1:4">
      <c r="A34" s="264">
        <v>23118</v>
      </c>
      <c r="B34" s="664" t="s">
        <v>457</v>
      </c>
      <c r="C34" s="6" t="b">
        <v>1</v>
      </c>
      <c r="D34" s="6">
        <v>38</v>
      </c>
    </row>
    <row r="35" spans="1:4">
      <c r="A35" s="264">
        <v>32200</v>
      </c>
      <c r="B35" s="664" t="s">
        <v>1709</v>
      </c>
      <c r="C35" s="6" t="b">
        <v>1</v>
      </c>
      <c r="D35" s="6">
        <v>39</v>
      </c>
    </row>
    <row r="36" spans="1:4">
      <c r="A36" s="264">
        <v>24033</v>
      </c>
      <c r="B36" s="664" t="s">
        <v>1710</v>
      </c>
      <c r="C36" s="6" t="b">
        <v>1</v>
      </c>
      <c r="D36" s="6">
        <v>40</v>
      </c>
    </row>
    <row r="37" spans="1:4">
      <c r="A37" s="269">
        <v>27786</v>
      </c>
      <c r="B37" s="665" t="s">
        <v>605</v>
      </c>
      <c r="C37" s="6" t="b">
        <v>0</v>
      </c>
      <c r="D37" s="6">
        <v>43</v>
      </c>
    </row>
    <row r="38" spans="1:4">
      <c r="A38" s="269">
        <v>27809</v>
      </c>
      <c r="B38" s="665" t="s">
        <v>1493</v>
      </c>
      <c r="C38" s="6" t="b">
        <v>0</v>
      </c>
      <c r="D38" s="6">
        <v>44</v>
      </c>
    </row>
    <row r="39" spans="1:4">
      <c r="A39" s="269">
        <v>30590</v>
      </c>
      <c r="B39" s="665" t="s">
        <v>89</v>
      </c>
      <c r="C39" s="6" t="b">
        <v>1</v>
      </c>
      <c r="D39" s="6">
        <v>45</v>
      </c>
    </row>
    <row r="40" spans="1:4">
      <c r="A40" s="269">
        <v>23105</v>
      </c>
      <c r="B40" s="665" t="s">
        <v>1864</v>
      </c>
      <c r="C40" s="6" t="b">
        <v>1</v>
      </c>
      <c r="D40" s="6">
        <v>46</v>
      </c>
    </row>
    <row r="41" spans="1:4">
      <c r="A41" s="269">
        <v>32223</v>
      </c>
      <c r="B41" s="665" t="s">
        <v>1858</v>
      </c>
      <c r="C41" s="6" t="b">
        <v>1</v>
      </c>
      <c r="D41" s="6">
        <v>47</v>
      </c>
    </row>
    <row r="42" spans="1:4">
      <c r="A42" s="269">
        <v>24062</v>
      </c>
      <c r="B42" s="665" t="s">
        <v>1863</v>
      </c>
      <c r="C42" s="6" t="b">
        <v>1</v>
      </c>
      <c r="D42" s="6">
        <v>48</v>
      </c>
    </row>
    <row r="43" spans="1:4">
      <c r="A43" s="269">
        <v>30602</v>
      </c>
      <c r="B43" s="665" t="s">
        <v>1711</v>
      </c>
      <c r="C43" s="6" t="b">
        <v>0</v>
      </c>
      <c r="D43" s="6">
        <v>49</v>
      </c>
    </row>
    <row r="44" spans="1:4">
      <c r="A44" s="269">
        <v>23104</v>
      </c>
      <c r="B44" s="665" t="s">
        <v>1712</v>
      </c>
      <c r="C44" s="6" t="b">
        <v>0</v>
      </c>
      <c r="D44" s="6">
        <v>50</v>
      </c>
    </row>
    <row r="45" spans="1:4">
      <c r="A45" s="269">
        <v>32226</v>
      </c>
      <c r="B45" s="665" t="s">
        <v>1713</v>
      </c>
      <c r="C45" s="6" t="b">
        <v>0</v>
      </c>
      <c r="D45" s="6">
        <v>51</v>
      </c>
    </row>
    <row r="46" spans="1:4">
      <c r="A46" s="269">
        <v>24067</v>
      </c>
      <c r="B46" s="665" t="s">
        <v>1714</v>
      </c>
      <c r="C46" s="6" t="b">
        <v>0</v>
      </c>
      <c r="D46" s="6">
        <v>52</v>
      </c>
    </row>
    <row r="47" spans="1:4">
      <c r="A47" s="269">
        <v>30592</v>
      </c>
      <c r="B47" s="665" t="s">
        <v>1715</v>
      </c>
      <c r="C47" s="6" t="b">
        <v>1</v>
      </c>
      <c r="D47" s="6">
        <v>53</v>
      </c>
    </row>
    <row r="48" spans="1:4">
      <c r="A48" s="269">
        <v>35758</v>
      </c>
      <c r="B48" s="665" t="s">
        <v>1859</v>
      </c>
      <c r="C48" s="6" t="b">
        <v>1</v>
      </c>
      <c r="D48" s="6">
        <v>54</v>
      </c>
    </row>
    <row r="49" spans="1:4">
      <c r="A49" s="269">
        <v>33782</v>
      </c>
      <c r="B49" s="665" t="s">
        <v>1499</v>
      </c>
      <c r="C49" s="6" t="b">
        <v>1</v>
      </c>
      <c r="D49" s="6">
        <v>55</v>
      </c>
    </row>
    <row r="50" spans="1:4">
      <c r="A50" s="274">
        <v>33144</v>
      </c>
      <c r="B50" s="666" t="s">
        <v>1867</v>
      </c>
      <c r="C50" s="6" t="b">
        <v>1</v>
      </c>
      <c r="D50" s="6">
        <v>58</v>
      </c>
    </row>
    <row r="51" spans="1:4">
      <c r="A51" s="274">
        <v>24053</v>
      </c>
      <c r="B51" s="666" t="s">
        <v>1500</v>
      </c>
      <c r="C51" s="6" t="b">
        <v>1</v>
      </c>
      <c r="D51" s="6">
        <v>59</v>
      </c>
    </row>
    <row r="52" spans="1:4">
      <c r="A52" s="274">
        <v>32209</v>
      </c>
      <c r="B52" s="666" t="s">
        <v>1982</v>
      </c>
      <c r="C52" s="6" t="b">
        <v>1</v>
      </c>
      <c r="D52" s="6">
        <v>60</v>
      </c>
    </row>
    <row r="53" spans="1:4">
      <c r="A53" s="274">
        <v>24051</v>
      </c>
      <c r="B53" s="666" t="s">
        <v>1983</v>
      </c>
      <c r="C53" s="6" t="b">
        <v>0</v>
      </c>
      <c r="D53" s="6">
        <v>61</v>
      </c>
    </row>
    <row r="54" spans="1:4">
      <c r="A54" s="274">
        <v>23116</v>
      </c>
      <c r="B54" s="666" t="s">
        <v>1984</v>
      </c>
      <c r="C54" s="6" t="b">
        <v>0</v>
      </c>
      <c r="D54" s="6">
        <v>62</v>
      </c>
    </row>
    <row r="55" spans="1:4">
      <c r="A55" s="274">
        <v>32206</v>
      </c>
      <c r="B55" s="666" t="s">
        <v>1985</v>
      </c>
      <c r="C55" s="6" t="b">
        <v>0</v>
      </c>
      <c r="D55" s="6">
        <v>63</v>
      </c>
    </row>
    <row r="56" spans="1:4">
      <c r="A56" s="274">
        <v>24048</v>
      </c>
      <c r="B56" s="666" t="s">
        <v>559</v>
      </c>
      <c r="C56" s="6" t="b">
        <v>0</v>
      </c>
      <c r="D56" s="6">
        <v>64</v>
      </c>
    </row>
    <row r="57" spans="1:4">
      <c r="A57" s="274">
        <v>28290</v>
      </c>
      <c r="B57" s="666" t="s">
        <v>560</v>
      </c>
      <c r="C57" s="6" t="b">
        <v>0</v>
      </c>
      <c r="D57" s="6">
        <v>65</v>
      </c>
    </row>
    <row r="58" spans="1:4">
      <c r="A58" s="274">
        <v>32205</v>
      </c>
      <c r="B58" s="666" t="s">
        <v>2043</v>
      </c>
      <c r="C58" s="6" t="b">
        <v>0</v>
      </c>
      <c r="D58" s="6">
        <v>66</v>
      </c>
    </row>
    <row r="59" spans="1:4">
      <c r="A59" s="274">
        <v>28119</v>
      </c>
      <c r="B59" s="666" t="s">
        <v>1419</v>
      </c>
      <c r="C59" s="6" t="b">
        <v>0</v>
      </c>
      <c r="D59" s="6">
        <v>67</v>
      </c>
    </row>
    <row r="60" spans="1:4">
      <c r="A60" s="274">
        <v>33143</v>
      </c>
      <c r="B60" s="666" t="s">
        <v>1667</v>
      </c>
      <c r="C60" s="6" t="b">
        <v>0</v>
      </c>
      <c r="D60" s="6">
        <v>68</v>
      </c>
    </row>
    <row r="61" spans="1:4">
      <c r="A61" s="274">
        <v>27679</v>
      </c>
      <c r="B61" s="666" t="s">
        <v>1420</v>
      </c>
      <c r="C61" s="6" t="b">
        <v>1</v>
      </c>
      <c r="D61" s="6">
        <v>69</v>
      </c>
    </row>
    <row r="62" spans="1:4">
      <c r="A62" s="274">
        <v>24052</v>
      </c>
      <c r="B62" s="666" t="s">
        <v>1872</v>
      </c>
      <c r="C62" s="6" t="b">
        <v>1</v>
      </c>
      <c r="D62" s="6">
        <v>70</v>
      </c>
    </row>
    <row r="63" spans="1:4">
      <c r="A63" s="274">
        <v>23115</v>
      </c>
      <c r="B63" s="666" t="s">
        <v>1873</v>
      </c>
      <c r="C63" s="6" t="b">
        <v>1</v>
      </c>
      <c r="D63" s="6">
        <v>71</v>
      </c>
    </row>
    <row r="64" spans="1:4">
      <c r="A64" s="274">
        <v>32208</v>
      </c>
      <c r="B64" s="666" t="s">
        <v>1869</v>
      </c>
      <c r="C64" s="6" t="b">
        <v>1</v>
      </c>
      <c r="D64" s="6">
        <v>72</v>
      </c>
    </row>
    <row r="65" spans="1:4">
      <c r="A65" s="279">
        <v>30565</v>
      </c>
      <c r="B65" s="667" t="s">
        <v>296</v>
      </c>
      <c r="C65" s="6" t="b">
        <v>0</v>
      </c>
      <c r="D65" s="6">
        <v>75</v>
      </c>
    </row>
    <row r="66" spans="1:4">
      <c r="A66" s="279">
        <v>30601</v>
      </c>
      <c r="B66" s="667" t="s">
        <v>1876</v>
      </c>
      <c r="C66" s="6" t="b">
        <v>1</v>
      </c>
      <c r="D66" s="6">
        <v>76</v>
      </c>
    </row>
    <row r="67" spans="1:4">
      <c r="A67" s="279">
        <v>30587</v>
      </c>
      <c r="B67" s="667" t="s">
        <v>1877</v>
      </c>
      <c r="C67" s="6" t="b">
        <v>0</v>
      </c>
      <c r="D67" s="6">
        <v>77</v>
      </c>
    </row>
    <row r="68" spans="1:4">
      <c r="A68" s="279">
        <v>30582</v>
      </c>
      <c r="B68" s="667" t="s">
        <v>297</v>
      </c>
      <c r="C68" s="6" t="b">
        <v>0</v>
      </c>
      <c r="D68" s="6">
        <v>78</v>
      </c>
    </row>
    <row r="69" spans="1:4">
      <c r="A69" s="279">
        <v>30591</v>
      </c>
      <c r="B69" s="667" t="s">
        <v>298</v>
      </c>
      <c r="C69" s="6" t="b">
        <v>0</v>
      </c>
      <c r="D69" s="6">
        <v>79</v>
      </c>
    </row>
    <row r="70" spans="1:4">
      <c r="A70" s="279">
        <v>30584</v>
      </c>
      <c r="B70" s="667" t="s">
        <v>299</v>
      </c>
      <c r="C70" s="6" t="b">
        <v>0</v>
      </c>
      <c r="D70" s="6">
        <v>80</v>
      </c>
    </row>
    <row r="71" spans="1:4">
      <c r="A71" s="279">
        <v>30559</v>
      </c>
      <c r="B71" s="667" t="s">
        <v>300</v>
      </c>
      <c r="C71" s="6" t="b">
        <v>0</v>
      </c>
      <c r="D71" s="6">
        <v>81</v>
      </c>
    </row>
    <row r="72" spans="1:4">
      <c r="A72" s="279">
        <v>30558</v>
      </c>
      <c r="B72" s="667" t="s">
        <v>1878</v>
      </c>
      <c r="C72" s="6" t="b">
        <v>1</v>
      </c>
      <c r="D72" s="6">
        <v>82</v>
      </c>
    </row>
    <row r="73" spans="1:4">
      <c r="A73" s="279">
        <v>30556</v>
      </c>
      <c r="B73" s="667" t="s">
        <v>301</v>
      </c>
      <c r="C73" s="6" t="b">
        <v>0</v>
      </c>
      <c r="D73" s="6">
        <v>83</v>
      </c>
    </row>
    <row r="74" spans="1:4">
      <c r="A74" s="279">
        <v>23100</v>
      </c>
      <c r="B74" s="667" t="s">
        <v>302</v>
      </c>
      <c r="C74" s="6" t="b">
        <v>0</v>
      </c>
      <c r="D74" s="6">
        <v>84</v>
      </c>
    </row>
    <row r="75" spans="1:4">
      <c r="A75" s="279">
        <v>24061</v>
      </c>
      <c r="B75" s="667" t="s">
        <v>303</v>
      </c>
      <c r="C75" s="6" t="b">
        <v>0</v>
      </c>
      <c r="D75" s="6">
        <v>85</v>
      </c>
    </row>
    <row r="76" spans="1:4">
      <c r="A76" s="279">
        <v>32220</v>
      </c>
      <c r="B76" s="667" t="s">
        <v>304</v>
      </c>
      <c r="C76" s="6" t="b">
        <v>0</v>
      </c>
      <c r="D76" s="6">
        <v>86</v>
      </c>
    </row>
    <row r="77" spans="1:4">
      <c r="A77" s="279">
        <v>30585</v>
      </c>
      <c r="B77" s="667" t="s">
        <v>1879</v>
      </c>
      <c r="C77" s="6" t="b">
        <v>0</v>
      </c>
      <c r="D77" s="6">
        <v>87</v>
      </c>
    </row>
    <row r="78" spans="1:4">
      <c r="A78" s="279">
        <v>23098</v>
      </c>
      <c r="B78" s="667" t="s">
        <v>1680</v>
      </c>
      <c r="C78" s="6" t="b">
        <v>0</v>
      </c>
      <c r="D78" s="6">
        <v>88</v>
      </c>
    </row>
    <row r="79" spans="1:4">
      <c r="A79" s="279">
        <v>24058</v>
      </c>
      <c r="B79" s="667" t="s">
        <v>1681</v>
      </c>
      <c r="C79" s="6" t="b">
        <v>0</v>
      </c>
      <c r="D79" s="6">
        <v>89</v>
      </c>
    </row>
    <row r="80" spans="1:4">
      <c r="A80" s="279">
        <v>28363</v>
      </c>
      <c r="B80" s="667" t="s">
        <v>1682</v>
      </c>
      <c r="C80" s="6" t="b">
        <v>0</v>
      </c>
      <c r="D80" s="6">
        <v>90</v>
      </c>
    </row>
    <row r="81" spans="1:4">
      <c r="A81" s="279">
        <v>32217</v>
      </c>
      <c r="B81" s="667" t="s">
        <v>1683</v>
      </c>
      <c r="C81" s="6" t="b">
        <v>0</v>
      </c>
      <c r="D81" s="6">
        <v>91</v>
      </c>
    </row>
    <row r="82" spans="1:4">
      <c r="A82" s="279">
        <v>30575</v>
      </c>
      <c r="B82" s="667" t="s">
        <v>1684</v>
      </c>
      <c r="C82" s="6" t="b">
        <v>0</v>
      </c>
      <c r="D82" s="6">
        <v>92</v>
      </c>
    </row>
    <row r="83" spans="1:4">
      <c r="A83" s="279">
        <v>30553</v>
      </c>
      <c r="B83" s="667" t="s">
        <v>1685</v>
      </c>
      <c r="C83" s="6" t="b">
        <v>0</v>
      </c>
      <c r="D83" s="6">
        <v>93</v>
      </c>
    </row>
    <row r="84" spans="1:4">
      <c r="A84" s="279">
        <v>30604</v>
      </c>
      <c r="B84" s="667" t="s">
        <v>1259</v>
      </c>
      <c r="C84" s="6" t="b">
        <v>0</v>
      </c>
      <c r="D84" s="6">
        <v>94</v>
      </c>
    </row>
    <row r="85" spans="1:4">
      <c r="A85" s="279">
        <v>30607</v>
      </c>
      <c r="B85" s="667" t="s">
        <v>1552</v>
      </c>
      <c r="C85" s="6" t="b">
        <v>1</v>
      </c>
      <c r="D85" s="6">
        <v>95</v>
      </c>
    </row>
    <row r="86" spans="1:4">
      <c r="A86" s="279">
        <v>30554</v>
      </c>
      <c r="B86" s="667" t="s">
        <v>1553</v>
      </c>
      <c r="C86" s="6" t="b">
        <v>1</v>
      </c>
      <c r="D86" s="6">
        <v>96</v>
      </c>
    </row>
    <row r="87" spans="1:4">
      <c r="A87" s="279">
        <v>32637</v>
      </c>
      <c r="B87" s="667" t="s">
        <v>1501</v>
      </c>
      <c r="C87" s="6" t="b">
        <v>0</v>
      </c>
      <c r="D87" s="6">
        <v>97</v>
      </c>
    </row>
    <row r="88" spans="1:4">
      <c r="A88" s="279">
        <v>31869</v>
      </c>
      <c r="B88" s="667" t="s">
        <v>1502</v>
      </c>
      <c r="C88" s="6" t="b">
        <v>0</v>
      </c>
      <c r="D88" s="6">
        <v>98</v>
      </c>
    </row>
    <row r="89" spans="1:4">
      <c r="A89" s="279">
        <v>31868</v>
      </c>
      <c r="B89" s="667" t="s">
        <v>2072</v>
      </c>
      <c r="C89" s="6" t="b">
        <v>0</v>
      </c>
      <c r="D89" s="6">
        <v>99</v>
      </c>
    </row>
    <row r="90" spans="1:4">
      <c r="A90" s="279">
        <v>32222</v>
      </c>
      <c r="B90" s="667" t="s">
        <v>2073</v>
      </c>
      <c r="C90" s="6" t="b">
        <v>0</v>
      </c>
      <c r="D90" s="6">
        <v>100</v>
      </c>
    </row>
    <row r="91" spans="1:4">
      <c r="A91" s="213" t="s">
        <v>1934</v>
      </c>
      <c r="B91" s="117" t="s">
        <v>1109</v>
      </c>
      <c r="C91" s="6"/>
      <c r="D91" s="6"/>
    </row>
    <row r="92" spans="1:4">
      <c r="A92" s="120">
        <v>25899</v>
      </c>
      <c r="B92" s="6" t="s">
        <v>1668</v>
      </c>
      <c r="C92" s="6" t="s">
        <v>1924</v>
      </c>
      <c r="D92" s="6"/>
    </row>
    <row r="93" spans="1:4">
      <c r="A93" s="120">
        <v>25895</v>
      </c>
      <c r="B93" s="6" t="s">
        <v>1669</v>
      </c>
      <c r="C93" s="6" t="s">
        <v>1924</v>
      </c>
      <c r="D93" s="6"/>
    </row>
    <row r="94" spans="1:4">
      <c r="A94" s="120">
        <v>32640</v>
      </c>
      <c r="B94" s="6" t="s">
        <v>1503</v>
      </c>
      <c r="C94" s="6" t="s">
        <v>1924</v>
      </c>
      <c r="D94" s="6"/>
    </row>
    <row r="95" spans="1:4">
      <c r="A95" s="120">
        <v>25896</v>
      </c>
      <c r="B95" s="6" t="s">
        <v>291</v>
      </c>
      <c r="C95" s="6" t="s">
        <v>1924</v>
      </c>
      <c r="D95" s="6"/>
    </row>
    <row r="96" spans="1:4">
      <c r="A96" s="120">
        <v>32409</v>
      </c>
      <c r="B96" s="6" t="s">
        <v>292</v>
      </c>
      <c r="C96" s="6" t="s">
        <v>1924</v>
      </c>
      <c r="D96" s="6"/>
    </row>
    <row r="97" spans="1:4">
      <c r="A97" s="120">
        <v>25894</v>
      </c>
      <c r="B97" s="6" t="s">
        <v>293</v>
      </c>
      <c r="C97" s="6" t="s">
        <v>1924</v>
      </c>
      <c r="D97" s="6"/>
    </row>
    <row r="98" spans="1:4">
      <c r="A98" s="120">
        <v>28556</v>
      </c>
      <c r="B98" s="6" t="s">
        <v>294</v>
      </c>
      <c r="C98" s="6" t="s">
        <v>1924</v>
      </c>
      <c r="D98" s="6"/>
    </row>
    <row r="99" spans="1:4">
      <c r="A99" s="120">
        <v>32410</v>
      </c>
      <c r="B99" s="6" t="s">
        <v>295</v>
      </c>
      <c r="C99" s="6" t="s">
        <v>1924</v>
      </c>
      <c r="D99" s="6"/>
    </row>
    <row r="100" spans="1:4">
      <c r="A100" s="232">
        <v>35033</v>
      </c>
      <c r="B100" s="234" t="s">
        <v>1484</v>
      </c>
    </row>
    <row r="101" spans="1:4">
      <c r="A101" s="232">
        <v>29502</v>
      </c>
      <c r="B101" s="234" t="s">
        <v>1049</v>
      </c>
    </row>
    <row r="102" spans="1:4">
      <c r="A102" s="232">
        <v>32088</v>
      </c>
      <c r="B102" s="234" t="s">
        <v>2473</v>
      </c>
    </row>
    <row r="103" spans="1:4">
      <c r="A103" s="232">
        <v>28732</v>
      </c>
      <c r="B103" s="234" t="s">
        <v>1050</v>
      </c>
    </row>
    <row r="104" spans="1:4">
      <c r="A104" s="319">
        <v>28206</v>
      </c>
      <c r="B104" s="318" t="s">
        <v>2474</v>
      </c>
    </row>
    <row r="105" spans="1:4">
      <c r="A105" s="232">
        <v>32235</v>
      </c>
      <c r="B105" s="234" t="s">
        <v>2249</v>
      </c>
    </row>
    <row r="106" spans="1:4">
      <c r="A106" s="319">
        <v>27415</v>
      </c>
      <c r="B106" s="318" t="s">
        <v>1053</v>
      </c>
    </row>
    <row r="107" spans="1:4">
      <c r="A107" s="232">
        <v>32478</v>
      </c>
      <c r="B107" s="233" t="s">
        <v>1054</v>
      </c>
    </row>
    <row r="108" spans="1:4">
      <c r="A108" s="239">
        <v>30146</v>
      </c>
      <c r="B108" s="231" t="s">
        <v>1057</v>
      </c>
    </row>
    <row r="109" spans="1:4">
      <c r="A109" s="232">
        <v>34244</v>
      </c>
      <c r="B109" s="234" t="s">
        <v>965</v>
      </c>
    </row>
    <row r="110" spans="1:4">
      <c r="A110" s="319">
        <v>28561</v>
      </c>
      <c r="B110" s="318" t="s">
        <v>2475</v>
      </c>
    </row>
    <row r="111" spans="1:4">
      <c r="A111" s="239">
        <v>25830</v>
      </c>
      <c r="B111" s="231" t="s">
        <v>1067</v>
      </c>
    </row>
    <row r="112" spans="1:4">
      <c r="A112" s="319">
        <v>28685</v>
      </c>
      <c r="B112" s="320" t="s">
        <v>2476</v>
      </c>
    </row>
    <row r="113" spans="1:2">
      <c r="A113" s="239">
        <v>33479</v>
      </c>
      <c r="B113" s="231" t="s">
        <v>548</v>
      </c>
    </row>
    <row r="114" spans="1:2">
      <c r="A114" s="319">
        <v>28414</v>
      </c>
      <c r="B114" s="318" t="s">
        <v>1071</v>
      </c>
    </row>
    <row r="115" spans="1:2">
      <c r="A115" s="319">
        <v>28182</v>
      </c>
      <c r="B115" s="318" t="s">
        <v>1073</v>
      </c>
    </row>
    <row r="116" spans="1:2">
      <c r="A116" s="319">
        <v>28837</v>
      </c>
      <c r="B116" s="320" t="s">
        <v>2477</v>
      </c>
    </row>
    <row r="117" spans="1:2">
      <c r="A117" s="319">
        <v>23763</v>
      </c>
      <c r="B117" s="320" t="s">
        <v>2478</v>
      </c>
    </row>
    <row r="118" spans="1:2">
      <c r="A118" s="239">
        <v>28796</v>
      </c>
      <c r="B118" s="231" t="s">
        <v>1074</v>
      </c>
    </row>
    <row r="119" spans="1:2">
      <c r="A119" s="239">
        <v>32087</v>
      </c>
      <c r="B119" s="231" t="s">
        <v>1075</v>
      </c>
    </row>
    <row r="120" spans="1:2">
      <c r="A120" s="239">
        <v>34404</v>
      </c>
      <c r="B120" s="231" t="s">
        <v>1211</v>
      </c>
    </row>
    <row r="121" spans="1:2">
      <c r="A121" s="319">
        <v>31281</v>
      </c>
      <c r="B121" s="318" t="s">
        <v>1076</v>
      </c>
    </row>
    <row r="122" spans="1:2">
      <c r="A122" s="239">
        <v>31999</v>
      </c>
      <c r="B122" s="231" t="s">
        <v>1077</v>
      </c>
    </row>
    <row r="123" spans="1:2">
      <c r="A123" s="239">
        <v>29044</v>
      </c>
      <c r="B123" s="240" t="s">
        <v>462</v>
      </c>
    </row>
    <row r="124" spans="1:2">
      <c r="A124" s="319">
        <v>35367</v>
      </c>
      <c r="B124" s="320" t="s">
        <v>705</v>
      </c>
    </row>
    <row r="125" spans="1:2">
      <c r="A125" s="239">
        <v>34353</v>
      </c>
      <c r="B125" s="240" t="s">
        <v>980</v>
      </c>
    </row>
    <row r="126" spans="1:2">
      <c r="A126" s="319">
        <v>27938</v>
      </c>
      <c r="B126" s="318" t="s">
        <v>1079</v>
      </c>
    </row>
    <row r="127" spans="1:2">
      <c r="A127" s="232">
        <v>31027</v>
      </c>
      <c r="B127" s="234" t="s">
        <v>998</v>
      </c>
    </row>
    <row r="128" spans="1:2">
      <c r="A128" s="319">
        <v>31109</v>
      </c>
      <c r="B128" s="318" t="s">
        <v>1000</v>
      </c>
    </row>
    <row r="129" spans="1:2">
      <c r="A129" s="319">
        <v>25680</v>
      </c>
      <c r="B129" s="318" t="s">
        <v>2479</v>
      </c>
    </row>
    <row r="130" spans="1:2">
      <c r="A130" s="319">
        <v>29332</v>
      </c>
      <c r="B130" s="318" t="s">
        <v>2480</v>
      </c>
    </row>
    <row r="131" spans="1:2">
      <c r="A131" s="239">
        <v>31333</v>
      </c>
      <c r="B131" s="231" t="s">
        <v>1002</v>
      </c>
    </row>
    <row r="132" spans="1:2">
      <c r="A132" s="239">
        <v>33701</v>
      </c>
      <c r="B132" s="231" t="s">
        <v>1525</v>
      </c>
    </row>
    <row r="133" spans="1:2">
      <c r="A133" s="319">
        <v>28224</v>
      </c>
      <c r="B133" s="318" t="s">
        <v>1003</v>
      </c>
    </row>
    <row r="134" spans="1:2" ht="22.5">
      <c r="A134" s="213" t="s">
        <v>1934</v>
      </c>
      <c r="B134" s="212" t="s">
        <v>1005</v>
      </c>
    </row>
    <row r="135" spans="1:2">
      <c r="A135" s="215">
        <v>2585</v>
      </c>
      <c r="B135" s="214" t="s">
        <v>1006</v>
      </c>
    </row>
    <row r="136" spans="1:2">
      <c r="A136" s="215">
        <v>3003</v>
      </c>
      <c r="B136" s="214" t="s">
        <v>465</v>
      </c>
    </row>
    <row r="137" spans="1:2">
      <c r="A137" s="215">
        <v>2999</v>
      </c>
      <c r="B137" s="214" t="s">
        <v>2158</v>
      </c>
    </row>
    <row r="138" spans="1:2">
      <c r="A138" s="215">
        <v>2841</v>
      </c>
      <c r="B138" s="214" t="s">
        <v>2212</v>
      </c>
    </row>
    <row r="139" spans="1:2">
      <c r="A139" s="215">
        <v>2543</v>
      </c>
      <c r="B139" s="214" t="s">
        <v>1104</v>
      </c>
    </row>
    <row r="140" spans="1:2">
      <c r="A140" s="215">
        <v>1508</v>
      </c>
      <c r="B140" s="214" t="s">
        <v>1105</v>
      </c>
    </row>
    <row r="141" spans="1:2">
      <c r="A141" s="215">
        <v>27779</v>
      </c>
      <c r="B141" s="214" t="s">
        <v>1106</v>
      </c>
    </row>
    <row r="142" spans="1:2">
      <c r="A142" s="215">
        <v>24114</v>
      </c>
      <c r="B142" s="214" t="s">
        <v>1107</v>
      </c>
    </row>
    <row r="143" spans="1:2">
      <c r="A143" s="215">
        <v>24114</v>
      </c>
      <c r="B143" s="214" t="s">
        <v>2481</v>
      </c>
    </row>
    <row r="144" spans="1:2">
      <c r="A144" s="215">
        <v>33296</v>
      </c>
      <c r="B144" s="216" t="s">
        <v>860</v>
      </c>
    </row>
    <row r="145" spans="1:2">
      <c r="A145" s="215">
        <v>30059</v>
      </c>
      <c r="B145" s="216" t="s">
        <v>1108</v>
      </c>
    </row>
    <row r="146" spans="1:2">
      <c r="A146" s="215">
        <v>32260</v>
      </c>
      <c r="B146" s="214" t="s">
        <v>1110</v>
      </c>
    </row>
    <row r="147" spans="1:2">
      <c r="A147" s="215">
        <v>32591</v>
      </c>
      <c r="B147" s="214" t="s">
        <v>1019</v>
      </c>
    </row>
    <row r="148" spans="1:2">
      <c r="A148" s="215">
        <v>29381</v>
      </c>
      <c r="B148" s="214" t="s">
        <v>657</v>
      </c>
    </row>
    <row r="149" spans="1:2">
      <c r="A149" s="232">
        <v>34177</v>
      </c>
      <c r="B149" s="234" t="s">
        <v>2027</v>
      </c>
    </row>
    <row r="150" spans="1:2">
      <c r="A150" s="232">
        <v>34178</v>
      </c>
      <c r="B150" s="234" t="s">
        <v>2028</v>
      </c>
    </row>
    <row r="151" spans="1:2">
      <c r="A151" s="215">
        <v>25562</v>
      </c>
      <c r="B151" s="214" t="s">
        <v>1020</v>
      </c>
    </row>
    <row r="152" spans="1:2">
      <c r="A152" s="215">
        <v>35135</v>
      </c>
      <c r="B152" s="214" t="s">
        <v>1992</v>
      </c>
    </row>
    <row r="153" spans="1:2">
      <c r="A153" s="232">
        <v>34358</v>
      </c>
      <c r="B153" s="234" t="s">
        <v>978</v>
      </c>
    </row>
    <row r="154" spans="1:2">
      <c r="A154" s="215">
        <v>28168</v>
      </c>
      <c r="B154" s="214" t="s">
        <v>2482</v>
      </c>
    </row>
    <row r="155" spans="1:2">
      <c r="A155" s="215">
        <v>31695</v>
      </c>
      <c r="B155" s="214" t="s">
        <v>1021</v>
      </c>
    </row>
    <row r="156" spans="1:2">
      <c r="A156" s="215">
        <v>32508</v>
      </c>
      <c r="B156" s="214" t="s">
        <v>2483</v>
      </c>
    </row>
    <row r="157" spans="1:2">
      <c r="A157" s="215">
        <v>28244</v>
      </c>
      <c r="B157" s="214" t="s">
        <v>2484</v>
      </c>
    </row>
    <row r="158" spans="1:2">
      <c r="A158" s="215">
        <v>19377</v>
      </c>
      <c r="B158" s="214" t="s">
        <v>1023</v>
      </c>
    </row>
    <row r="159" spans="1:2">
      <c r="A159" s="215">
        <v>28674</v>
      </c>
      <c r="B159" s="214" t="s">
        <v>2485</v>
      </c>
    </row>
    <row r="160" spans="1:2">
      <c r="A160" s="232">
        <v>34679</v>
      </c>
      <c r="B160" s="234" t="s">
        <v>2029</v>
      </c>
    </row>
    <row r="161" spans="1:2">
      <c r="A161" s="232">
        <v>34679</v>
      </c>
      <c r="B161" s="234" t="s">
        <v>2030</v>
      </c>
    </row>
    <row r="162" spans="1:2">
      <c r="A162" s="232">
        <v>34680</v>
      </c>
      <c r="B162" s="234" t="s">
        <v>2486</v>
      </c>
    </row>
    <row r="163" spans="1:2">
      <c r="A163" s="232">
        <v>34680</v>
      </c>
      <c r="B163" s="234" t="s">
        <v>2031</v>
      </c>
    </row>
    <row r="164" spans="1:2">
      <c r="A164" s="215">
        <v>29335</v>
      </c>
      <c r="B164" s="214" t="s">
        <v>2487</v>
      </c>
    </row>
    <row r="165" spans="1:2">
      <c r="A165" s="215">
        <v>30017</v>
      </c>
      <c r="B165" s="214" t="s">
        <v>690</v>
      </c>
    </row>
    <row r="166" spans="1:2">
      <c r="A166" s="215">
        <v>33297</v>
      </c>
      <c r="B166" s="214" t="s">
        <v>277</v>
      </c>
    </row>
    <row r="167" spans="1:2">
      <c r="A167" s="215">
        <v>27546</v>
      </c>
      <c r="B167" s="214" t="s">
        <v>2488</v>
      </c>
    </row>
    <row r="168" spans="1:2">
      <c r="A168" s="215">
        <v>33066</v>
      </c>
      <c r="B168" s="214" t="s">
        <v>2489</v>
      </c>
    </row>
    <row r="169" spans="1:2">
      <c r="A169" s="215">
        <v>33923</v>
      </c>
      <c r="B169" s="214" t="s">
        <v>158</v>
      </c>
    </row>
    <row r="170" spans="1:2">
      <c r="A170" s="215">
        <v>28509</v>
      </c>
      <c r="B170" s="216" t="s">
        <v>1339</v>
      </c>
    </row>
    <row r="171" spans="1:2">
      <c r="A171" s="215">
        <v>29148</v>
      </c>
      <c r="B171" s="214" t="s">
        <v>1569</v>
      </c>
    </row>
    <row r="172" spans="1:2">
      <c r="A172" s="215">
        <v>28755</v>
      </c>
      <c r="B172" s="214" t="s">
        <v>1445</v>
      </c>
    </row>
    <row r="173" spans="1:2">
      <c r="A173" s="215">
        <v>35035</v>
      </c>
      <c r="B173" s="214" t="s">
        <v>1487</v>
      </c>
    </row>
    <row r="174" spans="1:2">
      <c r="A174" s="215">
        <v>30149</v>
      </c>
      <c r="B174" s="214" t="s">
        <v>1448</v>
      </c>
    </row>
    <row r="175" spans="1:2">
      <c r="A175" s="232">
        <v>34392</v>
      </c>
      <c r="B175" s="234" t="s">
        <v>966</v>
      </c>
    </row>
    <row r="176" spans="1:2">
      <c r="A176" s="215">
        <v>25790</v>
      </c>
      <c r="B176" s="214" t="s">
        <v>1450</v>
      </c>
    </row>
    <row r="177" spans="1:2">
      <c r="A177" s="215">
        <v>25832</v>
      </c>
      <c r="B177" s="214" t="s">
        <v>1451</v>
      </c>
    </row>
    <row r="178" spans="1:2">
      <c r="A178" s="215">
        <v>32377</v>
      </c>
      <c r="B178" s="214" t="s">
        <v>1456</v>
      </c>
    </row>
    <row r="179" spans="1:2">
      <c r="A179" s="215">
        <v>27434</v>
      </c>
      <c r="B179" s="214" t="s">
        <v>1453</v>
      </c>
    </row>
    <row r="180" spans="1:2">
      <c r="A180" s="215">
        <v>32001</v>
      </c>
      <c r="B180" s="214" t="s">
        <v>1457</v>
      </c>
    </row>
    <row r="181" spans="1:2">
      <c r="A181" s="215">
        <v>29047</v>
      </c>
      <c r="B181" s="214" t="s">
        <v>1458</v>
      </c>
    </row>
    <row r="182" spans="1:2">
      <c r="A182" s="312">
        <v>35369</v>
      </c>
      <c r="B182" s="311" t="s">
        <v>702</v>
      </c>
    </row>
    <row r="183" spans="1:2">
      <c r="A183" s="215">
        <v>30917</v>
      </c>
      <c r="B183" s="214" t="s">
        <v>1460</v>
      </c>
    </row>
    <row r="184" spans="1:2">
      <c r="A184" s="215">
        <v>27776</v>
      </c>
      <c r="B184" s="214" t="s">
        <v>1461</v>
      </c>
    </row>
    <row r="185" spans="1:2">
      <c r="A185" s="215">
        <v>33300</v>
      </c>
      <c r="B185" s="214" t="s">
        <v>1302</v>
      </c>
    </row>
    <row r="186" spans="1:2">
      <c r="A186" s="232">
        <v>34613</v>
      </c>
      <c r="B186" s="234" t="s">
        <v>1143</v>
      </c>
    </row>
    <row r="187" spans="1:2">
      <c r="A187" s="215">
        <v>30055</v>
      </c>
      <c r="B187" s="214" t="s">
        <v>1462</v>
      </c>
    </row>
    <row r="188" spans="1:2">
      <c r="A188" s="232">
        <v>34195</v>
      </c>
      <c r="B188" s="234" t="s">
        <v>873</v>
      </c>
    </row>
    <row r="189" spans="1:2">
      <c r="A189" s="215">
        <v>31030</v>
      </c>
      <c r="B189" s="214" t="s">
        <v>1464</v>
      </c>
    </row>
    <row r="190" spans="1:2">
      <c r="A190" s="215">
        <v>27995</v>
      </c>
      <c r="B190" s="214" t="s">
        <v>1466</v>
      </c>
    </row>
    <row r="191" spans="1:2">
      <c r="A191" s="215">
        <v>32581</v>
      </c>
      <c r="B191" s="214" t="s">
        <v>661</v>
      </c>
    </row>
    <row r="192" spans="1:2">
      <c r="A192" s="215">
        <v>29147</v>
      </c>
      <c r="B192" s="214" t="s">
        <v>1467</v>
      </c>
    </row>
    <row r="193" spans="1:2">
      <c r="A193" s="215">
        <v>33703</v>
      </c>
      <c r="B193" s="214" t="s">
        <v>1526</v>
      </c>
    </row>
    <row r="194" spans="1:2">
      <c r="A194" s="215">
        <v>27797</v>
      </c>
      <c r="B194" s="214" t="s">
        <v>1015</v>
      </c>
    </row>
    <row r="195" spans="1:2">
      <c r="A195" s="213" t="s">
        <v>1934</v>
      </c>
      <c r="B195" s="217" t="s">
        <v>1016</v>
      </c>
    </row>
    <row r="196" spans="1:2">
      <c r="A196" s="215">
        <v>2997</v>
      </c>
      <c r="B196" s="214" t="s">
        <v>1477</v>
      </c>
    </row>
    <row r="197" spans="1:2">
      <c r="A197" s="215">
        <v>2986</v>
      </c>
      <c r="B197" s="214" t="s">
        <v>663</v>
      </c>
    </row>
    <row r="198" spans="1:2">
      <c r="A198" s="215">
        <v>2978</v>
      </c>
      <c r="B198" s="214" t="s">
        <v>2159</v>
      </c>
    </row>
    <row r="199" spans="1:2">
      <c r="A199" s="215">
        <v>2841</v>
      </c>
      <c r="B199" s="214" t="s">
        <v>2212</v>
      </c>
    </row>
    <row r="200" spans="1:2">
      <c r="A200" s="215">
        <v>2996</v>
      </c>
      <c r="B200" s="214" t="s">
        <v>1409</v>
      </c>
    </row>
    <row r="201" spans="1:2">
      <c r="A201" s="215">
        <v>2983</v>
      </c>
      <c r="B201" s="214" t="s">
        <v>1476</v>
      </c>
    </row>
    <row r="202" spans="1:2">
      <c r="A202" s="215">
        <v>2717</v>
      </c>
      <c r="B202" s="214" t="s">
        <v>1018</v>
      </c>
    </row>
    <row r="203" spans="1:2">
      <c r="A203" s="215">
        <v>2606</v>
      </c>
      <c r="B203" s="214" t="s">
        <v>744</v>
      </c>
    </row>
    <row r="204" spans="1:2">
      <c r="A204" s="215">
        <v>27878</v>
      </c>
      <c r="B204" s="214" t="s">
        <v>1410</v>
      </c>
    </row>
    <row r="205" spans="1:2">
      <c r="A205" s="215">
        <v>30729</v>
      </c>
      <c r="B205" s="214" t="s">
        <v>1411</v>
      </c>
    </row>
    <row r="206" spans="1:2">
      <c r="A206" s="215">
        <v>29382</v>
      </c>
      <c r="B206" s="214" t="s">
        <v>1412</v>
      </c>
    </row>
    <row r="207" spans="1:2">
      <c r="A207" s="215">
        <v>33122</v>
      </c>
      <c r="B207" s="214" t="s">
        <v>1472</v>
      </c>
    </row>
    <row r="208" spans="1:2">
      <c r="A208" s="215">
        <v>33590</v>
      </c>
      <c r="B208" s="214" t="s">
        <v>545</v>
      </c>
    </row>
    <row r="209" spans="1:2">
      <c r="A209" s="215">
        <v>27519</v>
      </c>
      <c r="B209" s="214" t="s">
        <v>1413</v>
      </c>
    </row>
    <row r="210" spans="1:2">
      <c r="A210" s="215">
        <v>34708</v>
      </c>
      <c r="B210" s="214" t="s">
        <v>11</v>
      </c>
    </row>
    <row r="211" spans="1:2">
      <c r="A211" s="215">
        <v>31255</v>
      </c>
      <c r="B211" s="214" t="s">
        <v>884</v>
      </c>
    </row>
    <row r="212" spans="1:2">
      <c r="A212" s="215">
        <v>27892</v>
      </c>
      <c r="B212" s="214" t="s">
        <v>885</v>
      </c>
    </row>
    <row r="213" spans="1:2">
      <c r="A213" s="215">
        <v>28777</v>
      </c>
      <c r="B213" s="214" t="s">
        <v>886</v>
      </c>
    </row>
    <row r="214" spans="1:2">
      <c r="A214" s="215">
        <v>25927</v>
      </c>
      <c r="B214" s="214" t="s">
        <v>887</v>
      </c>
    </row>
    <row r="215" spans="1:2">
      <c r="A215" s="215">
        <v>32665</v>
      </c>
      <c r="B215" s="214" t="s">
        <v>1146</v>
      </c>
    </row>
    <row r="216" spans="1:2">
      <c r="A216" s="215">
        <v>29792</v>
      </c>
      <c r="B216" s="214" t="s">
        <v>1614</v>
      </c>
    </row>
    <row r="217" spans="1:2">
      <c r="A217" s="215">
        <v>28032</v>
      </c>
      <c r="B217" s="214" t="s">
        <v>1615</v>
      </c>
    </row>
    <row r="218" spans="1:2">
      <c r="A218" s="215">
        <v>33484</v>
      </c>
      <c r="B218" s="214" t="s">
        <v>1428</v>
      </c>
    </row>
    <row r="219" spans="1:2">
      <c r="A219" s="215">
        <v>28672</v>
      </c>
      <c r="B219" s="214" t="s">
        <v>1118</v>
      </c>
    </row>
    <row r="220" spans="1:2">
      <c r="A220" s="215">
        <v>28764</v>
      </c>
      <c r="B220" s="214" t="s">
        <v>2490</v>
      </c>
    </row>
    <row r="221" spans="1:2">
      <c r="A221" s="215">
        <v>28371</v>
      </c>
      <c r="B221" s="214" t="s">
        <v>1616</v>
      </c>
    </row>
    <row r="222" spans="1:2">
      <c r="A222" s="215">
        <v>30098</v>
      </c>
      <c r="B222" s="214" t="s">
        <v>1617</v>
      </c>
    </row>
    <row r="223" spans="1:2">
      <c r="A223" s="215">
        <v>28529</v>
      </c>
      <c r="B223" s="214" t="s">
        <v>2491</v>
      </c>
    </row>
    <row r="224" spans="1:2">
      <c r="A224" s="215">
        <v>28377</v>
      </c>
      <c r="B224" s="214" t="s">
        <v>228</v>
      </c>
    </row>
    <row r="225" spans="1:2">
      <c r="A225" s="215">
        <v>28380</v>
      </c>
      <c r="B225" s="214" t="s">
        <v>229</v>
      </c>
    </row>
    <row r="226" spans="1:2">
      <c r="A226" s="215">
        <v>32323</v>
      </c>
      <c r="B226" s="214" t="s">
        <v>1618</v>
      </c>
    </row>
    <row r="227" spans="1:2">
      <c r="A227" s="215">
        <v>33593</v>
      </c>
      <c r="B227" s="214" t="s">
        <v>2160</v>
      </c>
    </row>
    <row r="228" spans="1:2">
      <c r="A228" s="215">
        <v>32540</v>
      </c>
      <c r="B228" s="214" t="s">
        <v>2083</v>
      </c>
    </row>
    <row r="229" spans="1:2">
      <c r="A229" s="215">
        <v>29994</v>
      </c>
      <c r="B229" s="214" t="s">
        <v>2084</v>
      </c>
    </row>
    <row r="230" spans="1:2">
      <c r="A230" s="215">
        <v>24259</v>
      </c>
      <c r="B230" s="214" t="s">
        <v>2085</v>
      </c>
    </row>
    <row r="231" spans="1:2">
      <c r="A231" s="213" t="s">
        <v>1934</v>
      </c>
      <c r="B231" s="217" t="s">
        <v>2086</v>
      </c>
    </row>
    <row r="232" spans="1:2">
      <c r="A232" s="215">
        <v>2622</v>
      </c>
      <c r="B232" s="214" t="s">
        <v>2087</v>
      </c>
    </row>
    <row r="233" spans="1:2">
      <c r="A233" s="215">
        <v>368</v>
      </c>
      <c r="B233" s="214" t="s">
        <v>1121</v>
      </c>
    </row>
    <row r="234" spans="1:2">
      <c r="A234" s="215">
        <v>910</v>
      </c>
      <c r="B234" s="214" t="s">
        <v>2088</v>
      </c>
    </row>
    <row r="235" spans="1:2">
      <c r="A235" s="215">
        <v>2621</v>
      </c>
      <c r="B235" s="214" t="s">
        <v>2089</v>
      </c>
    </row>
    <row r="236" spans="1:2">
      <c r="A236" s="215">
        <v>29340</v>
      </c>
      <c r="B236" s="214" t="s">
        <v>1179</v>
      </c>
    </row>
    <row r="237" spans="1:2">
      <c r="A237" s="232">
        <v>34397</v>
      </c>
      <c r="B237" s="234" t="s">
        <v>967</v>
      </c>
    </row>
    <row r="238" spans="1:2">
      <c r="A238" s="215">
        <v>30101</v>
      </c>
      <c r="B238" s="214" t="s">
        <v>2091</v>
      </c>
    </row>
    <row r="239" spans="1:2">
      <c r="A239" s="215">
        <v>35036</v>
      </c>
      <c r="B239" s="214" t="s">
        <v>1986</v>
      </c>
    </row>
    <row r="240" spans="1:2">
      <c r="A240" s="232">
        <v>34369</v>
      </c>
      <c r="B240" s="234" t="s">
        <v>708</v>
      </c>
    </row>
    <row r="241" spans="1:2">
      <c r="A241" s="215">
        <v>27787</v>
      </c>
      <c r="B241" s="214" t="s">
        <v>2492</v>
      </c>
    </row>
    <row r="242" spans="1:2">
      <c r="A242" s="215">
        <v>28601</v>
      </c>
      <c r="B242" s="214" t="s">
        <v>1125</v>
      </c>
    </row>
    <row r="243" spans="1:2">
      <c r="A243" s="215">
        <v>31295</v>
      </c>
      <c r="B243" s="214" t="s">
        <v>2493</v>
      </c>
    </row>
    <row r="244" spans="1:2">
      <c r="A244" s="215">
        <v>27461</v>
      </c>
      <c r="B244" s="214" t="s">
        <v>955</v>
      </c>
    </row>
    <row r="245" spans="1:2">
      <c r="A245" s="215">
        <v>30144</v>
      </c>
      <c r="B245" s="214" t="s">
        <v>815</v>
      </c>
    </row>
    <row r="246" spans="1:2">
      <c r="A246" s="232">
        <v>34906</v>
      </c>
      <c r="B246" s="234" t="s">
        <v>1885</v>
      </c>
    </row>
    <row r="247" spans="1:2">
      <c r="A247" s="215">
        <v>25831</v>
      </c>
      <c r="B247" s="214" t="s">
        <v>816</v>
      </c>
    </row>
    <row r="248" spans="1:2">
      <c r="A248" s="215">
        <v>28688</v>
      </c>
      <c r="B248" s="214" t="s">
        <v>2494</v>
      </c>
    </row>
    <row r="249" spans="1:2">
      <c r="A249" s="232">
        <v>34211</v>
      </c>
      <c r="B249" s="234" t="s">
        <v>870</v>
      </c>
    </row>
    <row r="250" spans="1:2">
      <c r="A250" s="215">
        <v>30933</v>
      </c>
      <c r="B250" s="214" t="s">
        <v>818</v>
      </c>
    </row>
    <row r="251" spans="1:2">
      <c r="A251" s="215">
        <v>28840</v>
      </c>
      <c r="B251" s="214" t="s">
        <v>2495</v>
      </c>
    </row>
    <row r="252" spans="1:2">
      <c r="A252" s="215">
        <v>28172</v>
      </c>
      <c r="B252" s="214" t="s">
        <v>819</v>
      </c>
    </row>
    <row r="253" spans="1:2">
      <c r="A253" s="215">
        <v>32002</v>
      </c>
      <c r="B253" s="214" t="s">
        <v>821</v>
      </c>
    </row>
    <row r="254" spans="1:2">
      <c r="A254" s="215">
        <v>30905</v>
      </c>
      <c r="B254" s="214" t="s">
        <v>500</v>
      </c>
    </row>
    <row r="255" spans="1:2">
      <c r="A255" s="215">
        <v>32252</v>
      </c>
      <c r="B255" s="214" t="s">
        <v>823</v>
      </c>
    </row>
    <row r="256" spans="1:2">
      <c r="A256" s="215">
        <v>29045</v>
      </c>
      <c r="B256" s="214" t="s">
        <v>822</v>
      </c>
    </row>
    <row r="257" spans="1:2">
      <c r="A257" s="312">
        <v>35370</v>
      </c>
      <c r="B257" s="311" t="s">
        <v>706</v>
      </c>
    </row>
    <row r="258" spans="1:2">
      <c r="A258" s="215">
        <v>29973</v>
      </c>
      <c r="B258" s="214" t="s">
        <v>827</v>
      </c>
    </row>
    <row r="259" spans="1:2">
      <c r="A259" s="215">
        <v>29525</v>
      </c>
      <c r="B259" s="214" t="s">
        <v>825</v>
      </c>
    </row>
    <row r="260" spans="1:2">
      <c r="A260" s="215">
        <v>30328</v>
      </c>
      <c r="B260" s="214" t="s">
        <v>828</v>
      </c>
    </row>
    <row r="261" spans="1:2">
      <c r="A261" s="215">
        <v>33204</v>
      </c>
      <c r="B261" s="214" t="s">
        <v>1471</v>
      </c>
    </row>
    <row r="262" spans="1:2">
      <c r="A262" s="215">
        <v>33329</v>
      </c>
      <c r="B262" s="214" t="s">
        <v>546</v>
      </c>
    </row>
    <row r="263" spans="1:2">
      <c r="A263" s="215">
        <v>31028</v>
      </c>
      <c r="B263" s="214" t="s">
        <v>829</v>
      </c>
    </row>
    <row r="264" spans="1:2">
      <c r="A264" s="215">
        <v>30730</v>
      </c>
      <c r="B264" s="214" t="s">
        <v>830</v>
      </c>
    </row>
    <row r="265" spans="1:2">
      <c r="A265" s="215">
        <v>28204</v>
      </c>
      <c r="B265" s="214" t="s">
        <v>2053</v>
      </c>
    </row>
    <row r="266" spans="1:2">
      <c r="A266" s="215">
        <v>34927</v>
      </c>
      <c r="B266" s="214" t="s">
        <v>1891</v>
      </c>
    </row>
    <row r="267" spans="1:2">
      <c r="A267" s="215">
        <v>33704</v>
      </c>
      <c r="B267" s="214" t="s">
        <v>1527</v>
      </c>
    </row>
    <row r="268" spans="1:2">
      <c r="A268" s="215">
        <v>24396</v>
      </c>
      <c r="B268" s="214" t="s">
        <v>2055</v>
      </c>
    </row>
    <row r="269" spans="1:2">
      <c r="A269" s="215">
        <v>25838</v>
      </c>
      <c r="B269" s="214" t="s">
        <v>2496</v>
      </c>
    </row>
    <row r="270" spans="1:2">
      <c r="A270" s="215">
        <v>28264</v>
      </c>
      <c r="B270" s="214" t="s">
        <v>2021</v>
      </c>
    </row>
    <row r="271" spans="1:2">
      <c r="A271" s="213" t="s">
        <v>1934</v>
      </c>
      <c r="B271" s="217" t="s">
        <v>2023</v>
      </c>
    </row>
    <row r="272" spans="1:2">
      <c r="A272" s="215">
        <v>1950</v>
      </c>
      <c r="B272" s="214" t="s">
        <v>2161</v>
      </c>
    </row>
    <row r="273" spans="1:2">
      <c r="A273" s="215">
        <v>2659</v>
      </c>
      <c r="B273" s="214" t="s">
        <v>2025</v>
      </c>
    </row>
    <row r="274" spans="1:2">
      <c r="A274" s="215">
        <v>2661</v>
      </c>
      <c r="B274" s="214" t="s">
        <v>1268</v>
      </c>
    </row>
    <row r="275" spans="1:2">
      <c r="A275" s="215">
        <v>1891</v>
      </c>
      <c r="B275" s="214" t="s">
        <v>2024</v>
      </c>
    </row>
    <row r="276" spans="1:2">
      <c r="A276" s="215">
        <v>2841</v>
      </c>
      <c r="B276" s="214" t="s">
        <v>2212</v>
      </c>
    </row>
    <row r="277" spans="1:2">
      <c r="A277" s="215">
        <v>2933</v>
      </c>
      <c r="B277" s="214" t="s">
        <v>2026</v>
      </c>
    </row>
    <row r="278" spans="1:2">
      <c r="A278" s="239">
        <v>28514</v>
      </c>
      <c r="B278" s="231" t="s">
        <v>1314</v>
      </c>
    </row>
    <row r="279" spans="1:2">
      <c r="A279" s="239">
        <v>30863</v>
      </c>
      <c r="B279" s="231" t="s">
        <v>1315</v>
      </c>
    </row>
    <row r="280" spans="1:2">
      <c r="A280" s="239">
        <v>35167</v>
      </c>
      <c r="B280" s="231" t="s">
        <v>1486</v>
      </c>
    </row>
    <row r="281" spans="1:2">
      <c r="A281" s="239">
        <v>35171</v>
      </c>
      <c r="B281" s="231" t="s">
        <v>1485</v>
      </c>
    </row>
    <row r="282" spans="1:2">
      <c r="A282" s="239">
        <v>32324</v>
      </c>
      <c r="B282" s="231" t="s">
        <v>609</v>
      </c>
    </row>
    <row r="283" spans="1:2">
      <c r="A283" s="239">
        <v>33540</v>
      </c>
      <c r="B283" s="231" t="s">
        <v>1432</v>
      </c>
    </row>
    <row r="284" spans="1:2">
      <c r="A284" s="239">
        <v>29246</v>
      </c>
      <c r="B284" s="231" t="s">
        <v>1298</v>
      </c>
    </row>
    <row r="285" spans="1:2">
      <c r="A285" s="322">
        <v>30399</v>
      </c>
      <c r="B285" s="321" t="s">
        <v>1299</v>
      </c>
    </row>
    <row r="286" spans="1:2">
      <c r="A286" s="239">
        <v>29527</v>
      </c>
      <c r="B286" s="231" t="s">
        <v>1300</v>
      </c>
    </row>
    <row r="287" spans="1:2">
      <c r="A287" s="239">
        <v>30685</v>
      </c>
      <c r="B287" s="240" t="s">
        <v>1349</v>
      </c>
    </row>
    <row r="288" spans="1:2">
      <c r="A288" s="239">
        <v>32647</v>
      </c>
      <c r="B288" s="240" t="s">
        <v>1270</v>
      </c>
    </row>
    <row r="289" spans="1:2">
      <c r="A289" s="239">
        <v>34448</v>
      </c>
      <c r="B289" s="231" t="s">
        <v>983</v>
      </c>
    </row>
    <row r="290" spans="1:2">
      <c r="A290" s="319">
        <v>28171</v>
      </c>
      <c r="B290" s="318" t="s">
        <v>1301</v>
      </c>
    </row>
    <row r="291" spans="1:2">
      <c r="A291" s="239">
        <v>32580</v>
      </c>
      <c r="B291" s="231" t="s">
        <v>1304</v>
      </c>
    </row>
    <row r="292" spans="1:2">
      <c r="A292" s="239">
        <v>29966</v>
      </c>
      <c r="B292" s="231" t="s">
        <v>1305</v>
      </c>
    </row>
    <row r="293" spans="1:2">
      <c r="A293" s="239">
        <v>32814</v>
      </c>
      <c r="B293" s="231" t="s">
        <v>1306</v>
      </c>
    </row>
    <row r="294" spans="1:2">
      <c r="A294" s="239">
        <v>33881</v>
      </c>
      <c r="B294" s="231" t="s">
        <v>792</v>
      </c>
    </row>
    <row r="295" spans="1:2">
      <c r="A295" s="239">
        <v>33893</v>
      </c>
      <c r="B295" s="231" t="s">
        <v>1424</v>
      </c>
    </row>
    <row r="296" spans="1:2">
      <c r="A296" s="213" t="s">
        <v>1934</v>
      </c>
      <c r="B296" s="217" t="s">
        <v>1307</v>
      </c>
    </row>
    <row r="297" spans="1:2">
      <c r="A297" s="215">
        <v>1593</v>
      </c>
      <c r="B297" s="214" t="s">
        <v>1271</v>
      </c>
    </row>
    <row r="298" spans="1:2">
      <c r="A298" s="215">
        <v>2649</v>
      </c>
      <c r="B298" s="214" t="s">
        <v>1308</v>
      </c>
    </row>
    <row r="299" spans="1:2">
      <c r="A299" s="215">
        <v>2648</v>
      </c>
      <c r="B299" s="214" t="s">
        <v>2162</v>
      </c>
    </row>
    <row r="300" spans="1:2">
      <c r="A300" s="215">
        <v>1891</v>
      </c>
      <c r="B300" s="214" t="s">
        <v>2024</v>
      </c>
    </row>
    <row r="301" spans="1:2">
      <c r="A301" s="319">
        <v>32532</v>
      </c>
      <c r="B301" s="318" t="s">
        <v>2497</v>
      </c>
    </row>
    <row r="302" spans="1:2">
      <c r="A302" s="215">
        <v>35032</v>
      </c>
      <c r="B302" s="214" t="s">
        <v>1989</v>
      </c>
    </row>
    <row r="303" spans="1:2">
      <c r="A303" s="215">
        <v>29503</v>
      </c>
      <c r="B303" s="214" t="s">
        <v>1309</v>
      </c>
    </row>
    <row r="304" spans="1:2">
      <c r="A304" s="215">
        <v>30145</v>
      </c>
      <c r="B304" s="214" t="s">
        <v>1310</v>
      </c>
    </row>
    <row r="305" spans="1:2">
      <c r="A305" s="215">
        <v>24365</v>
      </c>
      <c r="B305" s="214" t="s">
        <v>1311</v>
      </c>
    </row>
    <row r="306" spans="1:2">
      <c r="A306" s="215">
        <v>30937</v>
      </c>
      <c r="B306" s="214" t="s">
        <v>2498</v>
      </c>
    </row>
    <row r="307" spans="1:2">
      <c r="A307" s="215">
        <v>25685</v>
      </c>
      <c r="B307" s="214" t="s">
        <v>1312</v>
      </c>
    </row>
    <row r="308" spans="1:2">
      <c r="A308" s="215">
        <v>25834</v>
      </c>
      <c r="B308" s="214" t="s">
        <v>222</v>
      </c>
    </row>
    <row r="309" spans="1:2">
      <c r="A309" s="215">
        <v>28506</v>
      </c>
      <c r="B309" s="214" t="s">
        <v>223</v>
      </c>
    </row>
    <row r="310" spans="1:2">
      <c r="A310" s="232">
        <v>34370</v>
      </c>
      <c r="B310" s="234" t="s">
        <v>707</v>
      </c>
    </row>
    <row r="311" spans="1:2">
      <c r="A311" s="232">
        <v>34408</v>
      </c>
      <c r="B311" s="234" t="s">
        <v>969</v>
      </c>
    </row>
    <row r="312" spans="1:2">
      <c r="A312" s="215">
        <v>29947</v>
      </c>
      <c r="B312" s="214" t="s">
        <v>224</v>
      </c>
    </row>
    <row r="313" spans="1:2">
      <c r="A313" s="215">
        <v>28396</v>
      </c>
      <c r="B313" s="214" t="s">
        <v>227</v>
      </c>
    </row>
    <row r="314" spans="1:2">
      <c r="A314" s="215">
        <v>32347</v>
      </c>
      <c r="B314" s="214" t="s">
        <v>225</v>
      </c>
    </row>
    <row r="315" spans="1:2">
      <c r="A315" s="215">
        <v>30644</v>
      </c>
      <c r="B315" s="214" t="s">
        <v>226</v>
      </c>
    </row>
    <row r="316" spans="1:2">
      <c r="A316" s="215">
        <v>27509</v>
      </c>
      <c r="B316" s="214" t="s">
        <v>841</v>
      </c>
    </row>
    <row r="317" spans="1:2">
      <c r="A317" s="215">
        <v>34911</v>
      </c>
      <c r="B317" s="214" t="s">
        <v>1886</v>
      </c>
    </row>
    <row r="318" spans="1:2">
      <c r="A318" s="215">
        <v>28776</v>
      </c>
      <c r="B318" s="214" t="s">
        <v>842</v>
      </c>
    </row>
    <row r="319" spans="1:2">
      <c r="A319" s="215">
        <v>29357</v>
      </c>
      <c r="B319" s="214" t="s">
        <v>2499</v>
      </c>
    </row>
    <row r="320" spans="1:2">
      <c r="A320" s="215">
        <v>31998</v>
      </c>
      <c r="B320" s="214" t="s">
        <v>844</v>
      </c>
    </row>
    <row r="321" spans="1:2">
      <c r="A321" s="215">
        <v>29048</v>
      </c>
      <c r="B321" s="214" t="s">
        <v>2076</v>
      </c>
    </row>
    <row r="322" spans="1:2">
      <c r="A322" s="312">
        <v>35468</v>
      </c>
      <c r="B322" s="311" t="s">
        <v>2500</v>
      </c>
    </row>
    <row r="323" spans="1:2">
      <c r="A323" s="312">
        <v>35366</v>
      </c>
      <c r="B323" s="311" t="s">
        <v>2501</v>
      </c>
    </row>
    <row r="324" spans="1:2">
      <c r="A324" s="215">
        <v>27825</v>
      </c>
      <c r="B324" s="214" t="s">
        <v>845</v>
      </c>
    </row>
    <row r="325" spans="1:2">
      <c r="A325" s="215">
        <v>25969</v>
      </c>
      <c r="B325" s="214" t="s">
        <v>846</v>
      </c>
    </row>
    <row r="326" spans="1:2">
      <c r="A326" s="232">
        <v>34234</v>
      </c>
      <c r="B326" s="234" t="s">
        <v>964</v>
      </c>
    </row>
    <row r="327" spans="1:2">
      <c r="A327" s="215">
        <v>31026</v>
      </c>
      <c r="B327" s="214" t="s">
        <v>847</v>
      </c>
    </row>
    <row r="328" spans="1:2">
      <c r="A328" s="215">
        <v>33539</v>
      </c>
      <c r="B328" s="214" t="s">
        <v>1434</v>
      </c>
    </row>
    <row r="329" spans="1:2">
      <c r="A329" s="215">
        <v>33700</v>
      </c>
      <c r="B329" s="214" t="s">
        <v>1528</v>
      </c>
    </row>
    <row r="330" spans="1:2">
      <c r="A330" s="215">
        <v>27531</v>
      </c>
      <c r="B330" s="214" t="s">
        <v>17</v>
      </c>
    </row>
    <row r="331" spans="1:2">
      <c r="A331" s="213" t="s">
        <v>1934</v>
      </c>
      <c r="B331" s="217" t="s">
        <v>18</v>
      </c>
    </row>
    <row r="332" spans="1:2">
      <c r="A332" s="215">
        <v>1594</v>
      </c>
      <c r="B332" s="214" t="s">
        <v>21</v>
      </c>
    </row>
    <row r="333" spans="1:2">
      <c r="A333" s="215">
        <v>1887</v>
      </c>
      <c r="B333" s="214" t="s">
        <v>19</v>
      </c>
    </row>
    <row r="334" spans="1:2">
      <c r="A334" s="215">
        <v>2841</v>
      </c>
      <c r="B334" s="214" t="s">
        <v>2212</v>
      </c>
    </row>
    <row r="335" spans="1:2">
      <c r="A335" s="215">
        <v>931</v>
      </c>
      <c r="B335" s="214" t="s">
        <v>20</v>
      </c>
    </row>
    <row r="336" spans="1:2">
      <c r="A336" s="215">
        <v>2564</v>
      </c>
      <c r="B336" s="214" t="s">
        <v>2077</v>
      </c>
    </row>
    <row r="337" spans="1:2">
      <c r="A337" s="215">
        <v>30040</v>
      </c>
      <c r="B337" s="284" t="s">
        <v>2079</v>
      </c>
    </row>
    <row r="338" spans="1:2">
      <c r="A338" s="215">
        <v>30106</v>
      </c>
      <c r="B338" s="223" t="s">
        <v>23</v>
      </c>
    </row>
    <row r="339" spans="1:2">
      <c r="A339" s="215">
        <v>34929</v>
      </c>
      <c r="B339" s="214" t="s">
        <v>1884</v>
      </c>
    </row>
    <row r="340" spans="1:2">
      <c r="A340" s="215">
        <v>33211</v>
      </c>
      <c r="B340" s="214" t="s">
        <v>1530</v>
      </c>
    </row>
    <row r="341" spans="1:2">
      <c r="A341" s="215">
        <v>30879</v>
      </c>
      <c r="B341" s="223" t="s">
        <v>24</v>
      </c>
    </row>
    <row r="342" spans="1:2">
      <c r="A342" s="215">
        <v>27760</v>
      </c>
      <c r="B342" s="214" t="s">
        <v>25</v>
      </c>
    </row>
    <row r="343" spans="1:2">
      <c r="A343" s="215">
        <v>27911</v>
      </c>
      <c r="B343" s="214" t="s">
        <v>26</v>
      </c>
    </row>
    <row r="344" spans="1:2">
      <c r="A344" s="215">
        <v>30936</v>
      </c>
      <c r="B344" s="214" t="s">
        <v>27</v>
      </c>
    </row>
    <row r="345" spans="1:2">
      <c r="A345" s="215">
        <v>28423</v>
      </c>
      <c r="B345" s="214" t="s">
        <v>1522</v>
      </c>
    </row>
    <row r="346" spans="1:2">
      <c r="A346" s="215">
        <v>29247</v>
      </c>
      <c r="B346" s="214" t="s">
        <v>1532</v>
      </c>
    </row>
    <row r="347" spans="1:2">
      <c r="A347" s="215">
        <v>28750</v>
      </c>
      <c r="B347" s="214" t="s">
        <v>1523</v>
      </c>
    </row>
    <row r="348" spans="1:2">
      <c r="A348" s="215">
        <v>28828</v>
      </c>
      <c r="B348" s="214" t="s">
        <v>1533</v>
      </c>
    </row>
    <row r="349" spans="1:2">
      <c r="A349" s="215">
        <v>35156</v>
      </c>
      <c r="B349" s="223" t="s">
        <v>1990</v>
      </c>
    </row>
    <row r="350" spans="1:2">
      <c r="A350" s="215">
        <v>28124</v>
      </c>
      <c r="B350" s="214" t="s">
        <v>1534</v>
      </c>
    </row>
    <row r="351" spans="1:2">
      <c r="A351" s="215">
        <v>28986</v>
      </c>
      <c r="B351" s="214" t="s">
        <v>1535</v>
      </c>
    </row>
    <row r="352" spans="1:2">
      <c r="A352" s="215">
        <v>31464</v>
      </c>
      <c r="B352" s="214" t="s">
        <v>1536</v>
      </c>
    </row>
    <row r="353" spans="1:2">
      <c r="A353" s="215">
        <v>29526</v>
      </c>
      <c r="B353" s="214" t="s">
        <v>1251</v>
      </c>
    </row>
    <row r="354" spans="1:2">
      <c r="A354" s="215">
        <v>31131</v>
      </c>
      <c r="B354" s="214" t="s">
        <v>1252</v>
      </c>
    </row>
    <row r="355" spans="1:2">
      <c r="A355" s="215">
        <v>32265</v>
      </c>
      <c r="B355" s="223" t="s">
        <v>1253</v>
      </c>
    </row>
    <row r="356" spans="1:2">
      <c r="A356" s="232">
        <v>34558</v>
      </c>
      <c r="B356" s="234" t="s">
        <v>981</v>
      </c>
    </row>
    <row r="357" spans="1:2">
      <c r="A357" s="215">
        <v>30372</v>
      </c>
      <c r="B357" s="214" t="s">
        <v>1254</v>
      </c>
    </row>
    <row r="358" spans="1:2">
      <c r="A358" s="215">
        <v>32802</v>
      </c>
      <c r="B358" s="223" t="s">
        <v>1255</v>
      </c>
    </row>
    <row r="359" spans="1:2">
      <c r="A359" s="215">
        <v>33879</v>
      </c>
      <c r="B359" s="223" t="s">
        <v>1363</v>
      </c>
    </row>
    <row r="360" spans="1:2">
      <c r="A360" s="215">
        <v>33891</v>
      </c>
      <c r="B360" s="223" t="s">
        <v>1422</v>
      </c>
    </row>
    <row r="361" spans="1:2">
      <c r="A361" s="215">
        <v>33583</v>
      </c>
      <c r="B361" s="214" t="s">
        <v>1408</v>
      </c>
    </row>
    <row r="362" spans="1:2">
      <c r="A362" s="215">
        <v>27719</v>
      </c>
      <c r="B362" s="214" t="s">
        <v>29</v>
      </c>
    </row>
    <row r="363" spans="1:2">
      <c r="A363" s="215">
        <v>35034</v>
      </c>
      <c r="B363" s="214" t="s">
        <v>1987</v>
      </c>
    </row>
    <row r="364" spans="1:2">
      <c r="A364" s="215">
        <v>30148</v>
      </c>
      <c r="B364" s="214" t="s">
        <v>30</v>
      </c>
    </row>
    <row r="365" spans="1:2">
      <c r="A365" s="215">
        <v>30272</v>
      </c>
      <c r="B365" s="214" t="s">
        <v>2502</v>
      </c>
    </row>
    <row r="366" spans="1:2">
      <c r="A366" s="215">
        <v>25687</v>
      </c>
      <c r="B366" s="214" t="s">
        <v>31</v>
      </c>
    </row>
    <row r="367" spans="1:2">
      <c r="A367" s="215">
        <v>25833</v>
      </c>
      <c r="B367" s="214" t="s">
        <v>32</v>
      </c>
    </row>
    <row r="368" spans="1:2">
      <c r="A368" s="215">
        <v>27908</v>
      </c>
      <c r="B368" s="214" t="s">
        <v>33</v>
      </c>
    </row>
    <row r="369" spans="1:2">
      <c r="A369" s="215">
        <v>29995</v>
      </c>
      <c r="B369" s="214" t="s">
        <v>34</v>
      </c>
    </row>
    <row r="370" spans="1:2">
      <c r="A370" s="312">
        <v>34701</v>
      </c>
      <c r="B370" s="311" t="s">
        <v>12</v>
      </c>
    </row>
    <row r="371" spans="1:2">
      <c r="A371" s="232">
        <v>34385</v>
      </c>
      <c r="B371" s="234" t="s">
        <v>970</v>
      </c>
    </row>
    <row r="372" spans="1:2">
      <c r="A372" s="232">
        <v>34188</v>
      </c>
      <c r="B372" s="234" t="s">
        <v>872</v>
      </c>
    </row>
    <row r="373" spans="1:2">
      <c r="A373" s="215">
        <v>27514</v>
      </c>
      <c r="B373" s="214" t="s">
        <v>35</v>
      </c>
    </row>
    <row r="374" spans="1:2">
      <c r="A374" s="215">
        <v>32000</v>
      </c>
      <c r="B374" s="214" t="s">
        <v>1113</v>
      </c>
    </row>
    <row r="375" spans="1:2">
      <c r="A375" s="215">
        <v>30538</v>
      </c>
      <c r="B375" s="214" t="s">
        <v>482</v>
      </c>
    </row>
    <row r="376" spans="1:2">
      <c r="A376" s="215">
        <v>29046</v>
      </c>
      <c r="B376" s="214" t="s">
        <v>483</v>
      </c>
    </row>
    <row r="377" spans="1:2">
      <c r="A377" s="215">
        <v>31545</v>
      </c>
      <c r="B377" s="214" t="s">
        <v>484</v>
      </c>
    </row>
    <row r="378" spans="1:2">
      <c r="A378" s="312">
        <v>35368</v>
      </c>
      <c r="B378" s="311" t="s">
        <v>703</v>
      </c>
    </row>
    <row r="379" spans="1:2">
      <c r="A379" s="215">
        <v>29131</v>
      </c>
      <c r="B379" s="214" t="s">
        <v>485</v>
      </c>
    </row>
    <row r="380" spans="1:2">
      <c r="A380" s="215">
        <v>30898</v>
      </c>
      <c r="B380" s="214" t="s">
        <v>486</v>
      </c>
    </row>
    <row r="381" spans="1:2">
      <c r="A381" s="215">
        <v>33538</v>
      </c>
      <c r="B381" s="214" t="s">
        <v>1433</v>
      </c>
    </row>
    <row r="382" spans="1:2">
      <c r="A382" s="215">
        <v>28741</v>
      </c>
      <c r="B382" s="214" t="s">
        <v>2081</v>
      </c>
    </row>
    <row r="383" spans="1:2">
      <c r="A383" s="215">
        <v>31029</v>
      </c>
      <c r="B383" s="214" t="s">
        <v>487</v>
      </c>
    </row>
    <row r="384" spans="1:2">
      <c r="A384" s="215">
        <v>34910</v>
      </c>
      <c r="B384" s="214" t="s">
        <v>1888</v>
      </c>
    </row>
    <row r="385" spans="1:2">
      <c r="A385" s="215">
        <v>34928</v>
      </c>
      <c r="B385" s="214" t="s">
        <v>1889</v>
      </c>
    </row>
    <row r="386" spans="1:2">
      <c r="A386" s="215">
        <v>33702</v>
      </c>
      <c r="B386" s="214" t="s">
        <v>1529</v>
      </c>
    </row>
    <row r="387" spans="1:2">
      <c r="A387" s="215">
        <v>28347</v>
      </c>
      <c r="B387" s="214" t="s">
        <v>488</v>
      </c>
    </row>
    <row r="388" spans="1:2">
      <c r="A388" s="215">
        <v>27837</v>
      </c>
      <c r="B388" s="214" t="s">
        <v>793</v>
      </c>
    </row>
    <row r="389" spans="1:2">
      <c r="A389" s="213" t="s">
        <v>1934</v>
      </c>
      <c r="B389" s="217" t="s">
        <v>794</v>
      </c>
    </row>
    <row r="390" spans="1:2">
      <c r="A390" s="215">
        <v>3011</v>
      </c>
      <c r="B390" s="214" t="s">
        <v>1341</v>
      </c>
    </row>
    <row r="391" spans="1:2">
      <c r="A391" s="215">
        <v>3010</v>
      </c>
      <c r="B391" s="214" t="s">
        <v>1414</v>
      </c>
    </row>
    <row r="392" spans="1:2">
      <c r="A392" s="215">
        <v>2585</v>
      </c>
      <c r="B392" s="214" t="s">
        <v>795</v>
      </c>
    </row>
    <row r="393" spans="1:2">
      <c r="A393" s="215">
        <v>2841</v>
      </c>
      <c r="B393" s="214" t="s">
        <v>2212</v>
      </c>
    </row>
    <row r="394" spans="1:2">
      <c r="A394" s="215">
        <v>2543</v>
      </c>
      <c r="B394" s="214" t="s">
        <v>1104</v>
      </c>
    </row>
    <row r="395" spans="1:2">
      <c r="A395" s="215">
        <v>1508</v>
      </c>
      <c r="B395" s="214" t="s">
        <v>1105</v>
      </c>
    </row>
    <row r="396" spans="1:2">
      <c r="A396" s="215">
        <v>3013</v>
      </c>
      <c r="B396" s="214" t="s">
        <v>1919</v>
      </c>
    </row>
    <row r="397" spans="1:2">
      <c r="A397" s="215">
        <v>3012</v>
      </c>
      <c r="B397" s="214" t="s">
        <v>1342</v>
      </c>
    </row>
    <row r="398" spans="1:2">
      <c r="A398" s="215">
        <v>30891</v>
      </c>
      <c r="B398" s="214" t="s">
        <v>1920</v>
      </c>
    </row>
    <row r="399" spans="1:2">
      <c r="A399" s="215">
        <v>30060</v>
      </c>
      <c r="B399" s="214" t="s">
        <v>665</v>
      </c>
    </row>
    <row r="400" spans="1:2">
      <c r="A400" s="215">
        <v>28339</v>
      </c>
      <c r="B400" s="214" t="s">
        <v>693</v>
      </c>
    </row>
    <row r="401" spans="1:2">
      <c r="A401" s="215">
        <v>27867</v>
      </c>
      <c r="B401" s="214" t="s">
        <v>694</v>
      </c>
    </row>
    <row r="402" spans="1:2">
      <c r="A402" s="215">
        <v>30039</v>
      </c>
      <c r="B402" s="214" t="s">
        <v>695</v>
      </c>
    </row>
    <row r="403" spans="1:2">
      <c r="A403" s="215">
        <v>28545</v>
      </c>
      <c r="B403" s="214" t="s">
        <v>255</v>
      </c>
    </row>
    <row r="404" spans="1:2">
      <c r="A404" s="215">
        <v>30401</v>
      </c>
      <c r="B404" s="214" t="s">
        <v>696</v>
      </c>
    </row>
    <row r="405" spans="1:2">
      <c r="A405" s="215">
        <v>25686</v>
      </c>
      <c r="B405" s="214" t="s">
        <v>889</v>
      </c>
    </row>
    <row r="406" spans="1:2">
      <c r="A406" s="215">
        <v>30939</v>
      </c>
      <c r="B406" s="214" t="s">
        <v>888</v>
      </c>
    </row>
    <row r="407" spans="1:2">
      <c r="A407" s="215">
        <v>28422</v>
      </c>
      <c r="B407" s="214" t="s">
        <v>892</v>
      </c>
    </row>
    <row r="408" spans="1:2">
      <c r="A408" s="215">
        <v>35141</v>
      </c>
      <c r="B408" s="214" t="s">
        <v>1991</v>
      </c>
    </row>
    <row r="409" spans="1:2">
      <c r="A409" s="215">
        <v>28987</v>
      </c>
      <c r="B409" s="214" t="s">
        <v>893</v>
      </c>
    </row>
    <row r="410" spans="1:2">
      <c r="A410" s="215">
        <v>30707</v>
      </c>
      <c r="B410" s="214" t="s">
        <v>2503</v>
      </c>
    </row>
    <row r="411" spans="1:2">
      <c r="A411" s="215">
        <v>33222</v>
      </c>
      <c r="B411" s="214" t="s">
        <v>1431</v>
      </c>
    </row>
    <row r="412" spans="1:2">
      <c r="A412" s="215">
        <v>28669</v>
      </c>
      <c r="B412" s="214" t="s">
        <v>894</v>
      </c>
    </row>
    <row r="413" spans="1:2">
      <c r="A413" s="215">
        <v>32366</v>
      </c>
      <c r="B413" s="214" t="s">
        <v>895</v>
      </c>
    </row>
    <row r="414" spans="1:2">
      <c r="A414" s="215">
        <v>29248</v>
      </c>
      <c r="B414" s="214" t="s">
        <v>896</v>
      </c>
    </row>
    <row r="415" spans="1:2">
      <c r="A415" s="232">
        <v>34575</v>
      </c>
      <c r="B415" s="234" t="s">
        <v>982</v>
      </c>
    </row>
    <row r="416" spans="1:2">
      <c r="A416" s="232">
        <v>34809</v>
      </c>
      <c r="B416" s="234" t="s">
        <v>129</v>
      </c>
    </row>
    <row r="417" spans="1:2">
      <c r="A417" s="215">
        <v>31288</v>
      </c>
      <c r="B417" s="214" t="s">
        <v>716</v>
      </c>
    </row>
    <row r="418" spans="1:2">
      <c r="A418" s="215">
        <v>32790</v>
      </c>
      <c r="B418" s="214" t="s">
        <v>717</v>
      </c>
    </row>
    <row r="419" spans="1:2">
      <c r="A419" s="215">
        <v>33892</v>
      </c>
      <c r="B419" s="214" t="s">
        <v>1423</v>
      </c>
    </row>
    <row r="420" spans="1:2">
      <c r="A420" s="213" t="s">
        <v>1934</v>
      </c>
      <c r="B420" s="217" t="s">
        <v>718</v>
      </c>
    </row>
    <row r="421" spans="1:2">
      <c r="A421" s="216">
        <v>2940</v>
      </c>
      <c r="B421" s="214" t="s">
        <v>721</v>
      </c>
    </row>
    <row r="422" spans="1:2">
      <c r="A422" s="216">
        <v>2939</v>
      </c>
      <c r="B422" s="214" t="s">
        <v>720</v>
      </c>
    </row>
    <row r="423" spans="1:2">
      <c r="A423" s="216">
        <v>2657</v>
      </c>
      <c r="B423" s="214" t="s">
        <v>257</v>
      </c>
    </row>
    <row r="424" spans="1:2">
      <c r="A424" s="216">
        <v>2649</v>
      </c>
      <c r="B424" s="214" t="s">
        <v>1308</v>
      </c>
    </row>
    <row r="425" spans="1:2">
      <c r="A425" s="215">
        <v>1887</v>
      </c>
      <c r="B425" s="214" t="s">
        <v>19</v>
      </c>
    </row>
    <row r="426" spans="1:2">
      <c r="A426" s="216">
        <v>2841</v>
      </c>
      <c r="B426" s="214" t="s">
        <v>2212</v>
      </c>
    </row>
    <row r="427" spans="1:2">
      <c r="A427" s="216">
        <v>911</v>
      </c>
      <c r="B427" s="214" t="s">
        <v>719</v>
      </c>
    </row>
    <row r="428" spans="1:2">
      <c r="A428" s="216">
        <v>2658</v>
      </c>
      <c r="B428" s="214" t="s">
        <v>722</v>
      </c>
    </row>
    <row r="429" spans="1:2">
      <c r="A429" s="215">
        <v>34887</v>
      </c>
      <c r="B429" s="214" t="s">
        <v>155</v>
      </c>
    </row>
    <row r="430" spans="1:2">
      <c r="A430" s="215">
        <v>30973</v>
      </c>
      <c r="B430" s="214" t="s">
        <v>1913</v>
      </c>
    </row>
    <row r="431" spans="1:2">
      <c r="A431" s="312">
        <v>34798</v>
      </c>
      <c r="B431" s="311" t="s">
        <v>2094</v>
      </c>
    </row>
    <row r="432" spans="1:2">
      <c r="A432" s="312">
        <v>34706</v>
      </c>
      <c r="B432" s="311" t="s">
        <v>10</v>
      </c>
    </row>
    <row r="433" spans="1:2">
      <c r="A433" s="215">
        <v>32526</v>
      </c>
      <c r="B433" s="214" t="s">
        <v>723</v>
      </c>
    </row>
    <row r="434" spans="1:2">
      <c r="A434" s="215">
        <v>29298</v>
      </c>
      <c r="B434" s="214" t="s">
        <v>2504</v>
      </c>
    </row>
    <row r="435" spans="1:2">
      <c r="A435" s="215">
        <v>29299</v>
      </c>
      <c r="B435" s="214" t="s">
        <v>2505</v>
      </c>
    </row>
    <row r="436" spans="1:2">
      <c r="A436" s="215">
        <v>29300</v>
      </c>
      <c r="B436" s="214" t="s">
        <v>2506</v>
      </c>
    </row>
    <row r="437" spans="1:2">
      <c r="A437" s="215">
        <v>34189</v>
      </c>
      <c r="B437" s="214" t="s">
        <v>130</v>
      </c>
    </row>
    <row r="438" spans="1:2">
      <c r="A438" s="215">
        <v>29301</v>
      </c>
      <c r="B438" s="214" t="s">
        <v>1921</v>
      </c>
    </row>
    <row r="439" spans="1:2">
      <c r="A439" s="215">
        <v>28553</v>
      </c>
      <c r="B439" s="214" t="s">
        <v>724</v>
      </c>
    </row>
    <row r="440" spans="1:2">
      <c r="A440" s="215">
        <v>29997</v>
      </c>
      <c r="B440" s="223" t="s">
        <v>491</v>
      </c>
    </row>
    <row r="441" spans="1:2">
      <c r="A441" s="215">
        <v>28246</v>
      </c>
      <c r="B441" s="214" t="s">
        <v>2507</v>
      </c>
    </row>
    <row r="442" spans="1:2">
      <c r="A442" s="215">
        <v>24088</v>
      </c>
      <c r="B442" s="214" t="s">
        <v>2163</v>
      </c>
    </row>
    <row r="443" spans="1:2">
      <c r="A443" s="215">
        <v>28407</v>
      </c>
      <c r="B443" s="214" t="s">
        <v>2164</v>
      </c>
    </row>
    <row r="444" spans="1:2">
      <c r="A444" s="215">
        <v>28649</v>
      </c>
      <c r="B444" s="214" t="s">
        <v>492</v>
      </c>
    </row>
    <row r="445" spans="1:2">
      <c r="A445" s="215">
        <v>35131</v>
      </c>
      <c r="B445" s="214" t="s">
        <v>1993</v>
      </c>
    </row>
    <row r="446" spans="1:2">
      <c r="A446" s="232">
        <v>34361</v>
      </c>
      <c r="B446" s="234" t="s">
        <v>979</v>
      </c>
    </row>
    <row r="447" spans="1:2">
      <c r="A447" s="215">
        <v>30860</v>
      </c>
      <c r="B447" s="214" t="s">
        <v>493</v>
      </c>
    </row>
    <row r="448" spans="1:2">
      <c r="A448" s="215">
        <v>25804</v>
      </c>
      <c r="B448" s="214" t="s">
        <v>1230</v>
      </c>
    </row>
    <row r="449" spans="1:2">
      <c r="A449" s="215">
        <v>27925</v>
      </c>
      <c r="B449" s="214" t="s">
        <v>494</v>
      </c>
    </row>
    <row r="450" spans="1:2">
      <c r="A450" s="215">
        <v>28757</v>
      </c>
      <c r="B450" s="214" t="s">
        <v>259</v>
      </c>
    </row>
    <row r="451" spans="1:2">
      <c r="A451" s="215">
        <v>29379</v>
      </c>
      <c r="B451" s="214" t="s">
        <v>495</v>
      </c>
    </row>
    <row r="452" spans="1:2">
      <c r="A452" s="215">
        <v>32266</v>
      </c>
      <c r="B452" s="223" t="s">
        <v>1936</v>
      </c>
    </row>
    <row r="453" spans="1:2">
      <c r="A453" s="215">
        <v>34075</v>
      </c>
      <c r="B453" s="214" t="s">
        <v>727</v>
      </c>
    </row>
    <row r="454" spans="1:2">
      <c r="A454" s="215">
        <v>30052</v>
      </c>
      <c r="B454" s="223" t="s">
        <v>496</v>
      </c>
    </row>
    <row r="455" spans="1:2">
      <c r="A455" s="215">
        <v>30738</v>
      </c>
      <c r="B455" s="214" t="s">
        <v>497</v>
      </c>
    </row>
    <row r="456" spans="1:2">
      <c r="A456" s="215">
        <v>32942</v>
      </c>
      <c r="B456" s="214" t="s">
        <v>2285</v>
      </c>
    </row>
    <row r="457" spans="1:2">
      <c r="A457" s="215">
        <v>28791</v>
      </c>
      <c r="B457" s="214" t="s">
        <v>1916</v>
      </c>
    </row>
    <row r="458" spans="1:2">
      <c r="A458" s="215">
        <v>31920</v>
      </c>
      <c r="B458" s="214" t="s">
        <v>1699</v>
      </c>
    </row>
    <row r="459" spans="1:2">
      <c r="A459" s="215">
        <v>30834</v>
      </c>
      <c r="B459" s="214" t="s">
        <v>1700</v>
      </c>
    </row>
    <row r="460" spans="1:2">
      <c r="A460" s="215">
        <v>33496</v>
      </c>
      <c r="B460" s="223" t="s">
        <v>1437</v>
      </c>
    </row>
    <row r="461" spans="1:2">
      <c r="A461" s="215">
        <v>31077</v>
      </c>
      <c r="B461" s="214" t="s">
        <v>1701</v>
      </c>
    </row>
    <row r="462" spans="1:2">
      <c r="A462" s="215">
        <v>32497</v>
      </c>
      <c r="B462" s="223" t="s">
        <v>1702</v>
      </c>
    </row>
    <row r="463" spans="1:2">
      <c r="A463" s="215">
        <v>34837</v>
      </c>
      <c r="B463" s="214" t="s">
        <v>1892</v>
      </c>
    </row>
    <row r="464" spans="1:2">
      <c r="A464" s="215">
        <v>33057</v>
      </c>
      <c r="B464" s="214" t="s">
        <v>2471</v>
      </c>
    </row>
    <row r="465" spans="1:2">
      <c r="A465" s="215">
        <v>33919</v>
      </c>
      <c r="B465" s="214" t="s">
        <v>159</v>
      </c>
    </row>
    <row r="466" spans="1:2">
      <c r="A466" s="215">
        <v>29280</v>
      </c>
      <c r="B466" s="214" t="s">
        <v>2508</v>
      </c>
    </row>
    <row r="467" spans="1:2">
      <c r="A467" s="215">
        <v>29281</v>
      </c>
      <c r="B467" s="214" t="s">
        <v>2509</v>
      </c>
    </row>
    <row r="468" spans="1:2">
      <c r="A468" s="215">
        <v>29282</v>
      </c>
      <c r="B468" s="214" t="s">
        <v>2510</v>
      </c>
    </row>
    <row r="469" spans="1:2">
      <c r="A469" s="215">
        <v>29283</v>
      </c>
      <c r="B469" s="214" t="s">
        <v>1703</v>
      </c>
    </row>
    <row r="470" spans="1:2">
      <c r="A470" s="213" t="s">
        <v>1934</v>
      </c>
      <c r="B470" s="217" t="s">
        <v>1704</v>
      </c>
    </row>
    <row r="471" spans="1:2">
      <c r="A471" s="215">
        <v>2931</v>
      </c>
      <c r="B471" s="214" t="s">
        <v>1706</v>
      </c>
    </row>
    <row r="472" spans="1:2">
      <c r="A472" s="215">
        <v>2929</v>
      </c>
      <c r="B472" s="214" t="s">
        <v>1564</v>
      </c>
    </row>
    <row r="473" spans="1:2">
      <c r="A473" s="242">
        <v>28288</v>
      </c>
      <c r="B473" s="241" t="s">
        <v>2290</v>
      </c>
    </row>
    <row r="474" spans="1:2">
      <c r="A474" s="232">
        <v>32492</v>
      </c>
      <c r="B474" s="231" t="s">
        <v>2295</v>
      </c>
    </row>
    <row r="475" spans="1:2">
      <c r="A475" s="232">
        <v>35751</v>
      </c>
      <c r="B475" s="231" t="s">
        <v>438</v>
      </c>
    </row>
    <row r="476" spans="1:2">
      <c r="A476" s="232">
        <v>34163</v>
      </c>
      <c r="B476" s="233" t="s">
        <v>2511</v>
      </c>
    </row>
    <row r="477" spans="1:2">
      <c r="A477" s="232">
        <v>34576</v>
      </c>
      <c r="B477" s="233" t="s">
        <v>2512</v>
      </c>
    </row>
    <row r="478" spans="1:2">
      <c r="A478" s="232">
        <v>33832</v>
      </c>
      <c r="B478" s="233" t="s">
        <v>2513</v>
      </c>
    </row>
    <row r="479" spans="1:2">
      <c r="A479" s="232">
        <v>34578</v>
      </c>
      <c r="B479" s="233" t="s">
        <v>2514</v>
      </c>
    </row>
    <row r="480" spans="1:2">
      <c r="A480" s="232">
        <v>33831</v>
      </c>
      <c r="B480" s="234" t="s">
        <v>1760</v>
      </c>
    </row>
    <row r="481" spans="1:2">
      <c r="A481" s="242">
        <v>28041</v>
      </c>
      <c r="B481" s="241" t="s">
        <v>184</v>
      </c>
    </row>
    <row r="482" spans="1:2">
      <c r="A482" s="232">
        <v>29383</v>
      </c>
      <c r="B482" s="234" t="s">
        <v>185</v>
      </c>
    </row>
    <row r="483" spans="1:2">
      <c r="A483" s="245">
        <v>29776</v>
      </c>
      <c r="B483" s="244" t="s">
        <v>187</v>
      </c>
    </row>
    <row r="484" spans="1:2">
      <c r="A484" s="242">
        <v>32654</v>
      </c>
      <c r="B484" s="241" t="s">
        <v>1655</v>
      </c>
    </row>
    <row r="485" spans="1:2">
      <c r="A485" s="232">
        <v>31856</v>
      </c>
      <c r="B485" s="233" t="s">
        <v>1657</v>
      </c>
    </row>
    <row r="486" spans="1:2">
      <c r="A486" s="232">
        <v>31857</v>
      </c>
      <c r="B486" s="231" t="s">
        <v>1658</v>
      </c>
    </row>
    <row r="487" spans="1:2">
      <c r="A487" s="232">
        <v>28830</v>
      </c>
      <c r="B487" s="231" t="s">
        <v>1938</v>
      </c>
    </row>
    <row r="488" spans="1:2">
      <c r="A488" s="232">
        <v>19406</v>
      </c>
      <c r="B488" s="234" t="s">
        <v>1955</v>
      </c>
    </row>
    <row r="489" spans="1:2">
      <c r="A489" s="242">
        <v>35694</v>
      </c>
      <c r="B489" s="241" t="s">
        <v>1893</v>
      </c>
    </row>
    <row r="490" spans="1:2">
      <c r="A490" s="242">
        <v>24128</v>
      </c>
      <c r="B490" s="241" t="s">
        <v>1956</v>
      </c>
    </row>
    <row r="491" spans="1:2">
      <c r="A491" s="242">
        <v>35702</v>
      </c>
      <c r="B491" s="241" t="s">
        <v>1347</v>
      </c>
    </row>
    <row r="492" spans="1:2">
      <c r="A492" s="242">
        <v>28034</v>
      </c>
      <c r="B492" s="243" t="s">
        <v>1720</v>
      </c>
    </row>
    <row r="493" spans="1:2">
      <c r="A493" s="242">
        <v>28121</v>
      </c>
      <c r="B493" s="243" t="s">
        <v>785</v>
      </c>
    </row>
    <row r="494" spans="1:2">
      <c r="A494" s="232">
        <v>22954</v>
      </c>
      <c r="B494" s="234" t="s">
        <v>132</v>
      </c>
    </row>
    <row r="495" spans="1:2">
      <c r="A495" s="232">
        <v>32505</v>
      </c>
      <c r="B495" s="231" t="s">
        <v>133</v>
      </c>
    </row>
    <row r="496" spans="1:2">
      <c r="A496" s="232">
        <v>23206</v>
      </c>
      <c r="B496" s="234" t="s">
        <v>2243</v>
      </c>
    </row>
    <row r="497" spans="1:2">
      <c r="A497" s="232">
        <v>28528</v>
      </c>
      <c r="B497" s="234" t="s">
        <v>2165</v>
      </c>
    </row>
    <row r="498" spans="1:2">
      <c r="A498" s="232">
        <v>28579</v>
      </c>
      <c r="B498" s="240" t="s">
        <v>138</v>
      </c>
    </row>
    <row r="499" spans="1:2">
      <c r="A499" s="242">
        <v>13209</v>
      </c>
      <c r="B499" s="241" t="s">
        <v>519</v>
      </c>
    </row>
    <row r="500" spans="1:2">
      <c r="A500" s="232">
        <v>34472</v>
      </c>
      <c r="B500" s="234" t="s">
        <v>991</v>
      </c>
    </row>
    <row r="501" spans="1:2">
      <c r="A501" s="232">
        <v>32770</v>
      </c>
      <c r="B501" s="234" t="s">
        <v>1231</v>
      </c>
    </row>
    <row r="502" spans="1:2">
      <c r="A502" s="232">
        <v>23041</v>
      </c>
      <c r="B502" s="233" t="s">
        <v>139</v>
      </c>
    </row>
    <row r="503" spans="1:2">
      <c r="A503" s="245">
        <v>25937</v>
      </c>
      <c r="B503" s="668" t="s">
        <v>140</v>
      </c>
    </row>
    <row r="504" spans="1:2">
      <c r="A504" s="232">
        <v>30627</v>
      </c>
      <c r="B504" s="240" t="s">
        <v>142</v>
      </c>
    </row>
    <row r="505" spans="1:2">
      <c r="A505" s="232">
        <v>30450</v>
      </c>
      <c r="B505" s="240" t="s">
        <v>1940</v>
      </c>
    </row>
    <row r="506" spans="1:2">
      <c r="A506" s="283">
        <v>2564</v>
      </c>
      <c r="B506" s="669" t="s">
        <v>1975</v>
      </c>
    </row>
    <row r="507" spans="1:2">
      <c r="A507" s="283">
        <v>3222</v>
      </c>
      <c r="B507" s="669" t="s">
        <v>1469</v>
      </c>
    </row>
    <row r="508" spans="1:2">
      <c r="A508" s="283">
        <v>1900</v>
      </c>
      <c r="B508" s="669" t="s">
        <v>1977</v>
      </c>
    </row>
    <row r="509" spans="1:2">
      <c r="A509" s="283">
        <v>3225</v>
      </c>
      <c r="B509" s="669" t="s">
        <v>1665</v>
      </c>
    </row>
    <row r="510" spans="1:2">
      <c r="A510" s="283">
        <v>803</v>
      </c>
      <c r="B510" s="669" t="s">
        <v>1978</v>
      </c>
    </row>
    <row r="511" spans="1:2">
      <c r="A511" s="283">
        <v>1898</v>
      </c>
      <c r="B511" s="669" t="s">
        <v>1639</v>
      </c>
    </row>
    <row r="512" spans="1:2">
      <c r="A512" s="283">
        <v>963</v>
      </c>
      <c r="B512" s="669" t="s">
        <v>1640</v>
      </c>
    </row>
    <row r="513" spans="1:2">
      <c r="A513" s="283">
        <v>2673</v>
      </c>
      <c r="B513" s="669" t="s">
        <v>1229</v>
      </c>
    </row>
    <row r="514" spans="1:2">
      <c r="A514" s="670" t="s">
        <v>146</v>
      </c>
      <c r="B514" s="653" t="s">
        <v>1645</v>
      </c>
    </row>
    <row r="515" spans="1:2">
      <c r="A515" s="670" t="s">
        <v>146</v>
      </c>
      <c r="B515" s="653" t="s">
        <v>1289</v>
      </c>
    </row>
    <row r="516" spans="1:2">
      <c r="A516" s="283">
        <v>2564</v>
      </c>
      <c r="B516" s="669" t="s">
        <v>1975</v>
      </c>
    </row>
    <row r="517" spans="1:2">
      <c r="A517" s="283">
        <v>3222</v>
      </c>
      <c r="B517" s="669" t="s">
        <v>1469</v>
      </c>
    </row>
    <row r="518" spans="1:2">
      <c r="A518" s="283">
        <v>1900</v>
      </c>
      <c r="B518" s="669" t="s">
        <v>1977</v>
      </c>
    </row>
    <row r="519" spans="1:2">
      <c r="A519" s="283">
        <v>3225</v>
      </c>
      <c r="B519" s="669" t="s">
        <v>1665</v>
      </c>
    </row>
    <row r="520" spans="1:2">
      <c r="A520" s="283">
        <v>803</v>
      </c>
      <c r="B520" s="669" t="s">
        <v>1978</v>
      </c>
    </row>
    <row r="521" spans="1:2">
      <c r="A521" s="283">
        <v>1898</v>
      </c>
      <c r="B521" s="669" t="s">
        <v>1639</v>
      </c>
    </row>
    <row r="522" spans="1:2">
      <c r="A522" s="283">
        <v>963</v>
      </c>
      <c r="B522" s="669" t="s">
        <v>1640</v>
      </c>
    </row>
    <row r="523" spans="1:2">
      <c r="A523" s="283">
        <v>2673</v>
      </c>
      <c r="B523" s="669" t="s">
        <v>1229</v>
      </c>
    </row>
    <row r="524" spans="1:2">
      <c r="A524" s="670" t="s">
        <v>146</v>
      </c>
      <c r="B524" s="653" t="s">
        <v>563</v>
      </c>
    </row>
    <row r="525" spans="1:2">
      <c r="A525" s="299">
        <v>34894</v>
      </c>
      <c r="B525" s="481" t="s">
        <v>425</v>
      </c>
    </row>
    <row r="526" spans="1:2">
      <c r="A526" s="299">
        <v>28572</v>
      </c>
      <c r="B526" s="481" t="s">
        <v>2271</v>
      </c>
    </row>
    <row r="527" spans="1:2">
      <c r="A527" s="297">
        <v>34665</v>
      </c>
      <c r="B527" s="480" t="s">
        <v>971</v>
      </c>
    </row>
    <row r="528" spans="1:2">
      <c r="A528" s="299">
        <v>30901</v>
      </c>
      <c r="B528" s="481" t="s">
        <v>2279</v>
      </c>
    </row>
    <row r="529" spans="1:2">
      <c r="A529" s="299">
        <v>35093</v>
      </c>
      <c r="B529" s="481" t="s">
        <v>1998</v>
      </c>
    </row>
    <row r="530" spans="1:2">
      <c r="A530" s="297">
        <v>31305</v>
      </c>
      <c r="B530" s="480" t="s">
        <v>2281</v>
      </c>
    </row>
    <row r="531" spans="1:2">
      <c r="A531" s="299">
        <v>34329</v>
      </c>
      <c r="B531" s="298" t="s">
        <v>988</v>
      </c>
    </row>
    <row r="532" spans="1:2">
      <c r="A532" s="297">
        <v>32659</v>
      </c>
      <c r="B532" s="480" t="s">
        <v>646</v>
      </c>
    </row>
    <row r="533" spans="1:2">
      <c r="A533" s="299">
        <v>33389</v>
      </c>
      <c r="B533" s="481" t="s">
        <v>1663</v>
      </c>
    </row>
    <row r="534" spans="1:2">
      <c r="A534" s="299">
        <v>23555</v>
      </c>
      <c r="B534" s="481" t="s">
        <v>444</v>
      </c>
    </row>
    <row r="535" spans="1:2">
      <c r="A535" s="299">
        <v>34606</v>
      </c>
      <c r="B535" s="481" t="s">
        <v>1142</v>
      </c>
    </row>
    <row r="536" spans="1:2">
      <c r="A536" s="299">
        <v>28524</v>
      </c>
      <c r="B536" s="481" t="s">
        <v>446</v>
      </c>
    </row>
    <row r="537" spans="1:2">
      <c r="A537" s="299">
        <v>34165</v>
      </c>
      <c r="B537" s="481" t="s">
        <v>987</v>
      </c>
    </row>
    <row r="538" spans="1:2">
      <c r="A538" s="299">
        <v>30103</v>
      </c>
      <c r="B538" s="481" t="s">
        <v>447</v>
      </c>
    </row>
    <row r="539" spans="1:2">
      <c r="A539" s="299">
        <v>29346</v>
      </c>
      <c r="B539" s="481" t="s">
        <v>1735</v>
      </c>
    </row>
    <row r="540" spans="1:2">
      <c r="A540" s="299">
        <v>28312</v>
      </c>
      <c r="B540" s="481" t="s">
        <v>1737</v>
      </c>
    </row>
    <row r="541" spans="1:2">
      <c r="A541" s="297">
        <v>28954</v>
      </c>
      <c r="B541" s="480" t="s">
        <v>940</v>
      </c>
    </row>
    <row r="542" spans="1:2">
      <c r="A542" s="297">
        <v>28955</v>
      </c>
      <c r="B542" s="480" t="s">
        <v>941</v>
      </c>
    </row>
    <row r="543" spans="1:2">
      <c r="A543" s="299">
        <v>29121</v>
      </c>
      <c r="B543" s="481" t="s">
        <v>1738</v>
      </c>
    </row>
    <row r="544" spans="1:2">
      <c r="A544" s="299">
        <v>29962</v>
      </c>
      <c r="B544" s="481" t="s">
        <v>648</v>
      </c>
    </row>
    <row r="545" spans="1:2">
      <c r="A545" s="297">
        <v>28929</v>
      </c>
      <c r="B545" s="480" t="s">
        <v>942</v>
      </c>
    </row>
    <row r="546" spans="1:2">
      <c r="A546" s="297">
        <v>28930</v>
      </c>
      <c r="B546" s="480" t="s">
        <v>943</v>
      </c>
    </row>
    <row r="547" spans="1:2">
      <c r="A547" s="297">
        <v>28416</v>
      </c>
      <c r="B547" s="480" t="s">
        <v>649</v>
      </c>
    </row>
    <row r="548" spans="1:2">
      <c r="A548" s="297">
        <v>31745</v>
      </c>
      <c r="B548" s="480" t="s">
        <v>650</v>
      </c>
    </row>
    <row r="549" spans="1:2">
      <c r="A549" s="303">
        <v>30312</v>
      </c>
      <c r="B549" s="482" t="s">
        <v>651</v>
      </c>
    </row>
    <row r="550" spans="1:2">
      <c r="A550" s="299">
        <v>22802</v>
      </c>
      <c r="B550" s="481" t="s">
        <v>652</v>
      </c>
    </row>
    <row r="551" spans="1:2">
      <c r="A551" s="299">
        <v>28768</v>
      </c>
      <c r="B551" s="481" t="s">
        <v>653</v>
      </c>
    </row>
    <row r="552" spans="1:2">
      <c r="A552" s="299">
        <v>32044</v>
      </c>
      <c r="B552" s="481" t="s">
        <v>654</v>
      </c>
    </row>
    <row r="553" spans="1:2">
      <c r="A553" s="299">
        <v>32269</v>
      </c>
      <c r="B553" s="481" t="s">
        <v>239</v>
      </c>
    </row>
    <row r="554" spans="1:2">
      <c r="A554" s="299">
        <v>33298</v>
      </c>
      <c r="B554" s="481" t="s">
        <v>1531</v>
      </c>
    </row>
    <row r="555" spans="1:2">
      <c r="A555" s="299">
        <v>29125</v>
      </c>
      <c r="B555" s="481" t="s">
        <v>655</v>
      </c>
    </row>
    <row r="556" spans="1:2">
      <c r="A556" s="299">
        <v>29182</v>
      </c>
      <c r="B556" s="481" t="s">
        <v>1352</v>
      </c>
    </row>
    <row r="557" spans="1:2">
      <c r="A557" s="299">
        <v>32471</v>
      </c>
      <c r="B557" s="481" t="s">
        <v>1353</v>
      </c>
    </row>
    <row r="558" spans="1:2">
      <c r="A558" s="299">
        <v>34197</v>
      </c>
      <c r="B558" s="481" t="s">
        <v>989</v>
      </c>
    </row>
    <row r="559" spans="1:2">
      <c r="A559" s="297">
        <v>32781</v>
      </c>
      <c r="B559" s="480" t="s">
        <v>647</v>
      </c>
    </row>
    <row r="560" spans="1:2">
      <c r="A560" s="297">
        <v>27463</v>
      </c>
      <c r="B560" s="480" t="s">
        <v>854</v>
      </c>
    </row>
    <row r="561" spans="1:2">
      <c r="A561" s="299">
        <v>31331</v>
      </c>
      <c r="B561" s="481" t="s">
        <v>1370</v>
      </c>
    </row>
    <row r="562" spans="1:2">
      <c r="A562" s="297">
        <v>28226</v>
      </c>
      <c r="B562" s="480" t="s">
        <v>1371</v>
      </c>
    </row>
    <row r="563" spans="1:2">
      <c r="A563" s="299">
        <v>30865</v>
      </c>
      <c r="B563" s="481" t="s">
        <v>1372</v>
      </c>
    </row>
    <row r="564" spans="1:2">
      <c r="A564" s="297">
        <v>27814</v>
      </c>
      <c r="B564" s="480" t="s">
        <v>645</v>
      </c>
    </row>
    <row r="565" spans="1:2">
      <c r="A565" s="299">
        <v>33493</v>
      </c>
      <c r="B565" s="481" t="s">
        <v>1436</v>
      </c>
    </row>
    <row r="566" spans="1:2">
      <c r="A566" s="299">
        <v>33754</v>
      </c>
      <c r="B566" s="481" t="s">
        <v>1765</v>
      </c>
    </row>
    <row r="567" spans="1:2">
      <c r="A567" s="299">
        <v>29360</v>
      </c>
      <c r="B567" s="481" t="s">
        <v>1373</v>
      </c>
    </row>
    <row r="568" spans="1:2">
      <c r="A568" s="297">
        <v>28345</v>
      </c>
      <c r="B568" s="480" t="s">
        <v>1374</v>
      </c>
    </row>
    <row r="569" spans="1:2">
      <c r="A569" s="297">
        <v>27913</v>
      </c>
      <c r="B569" s="480" t="s">
        <v>1375</v>
      </c>
    </row>
    <row r="570" spans="1:2">
      <c r="A570" s="299">
        <v>33214</v>
      </c>
      <c r="B570" s="298" t="s">
        <v>282</v>
      </c>
    </row>
    <row r="571" spans="1:2">
      <c r="A571" s="303">
        <v>22736</v>
      </c>
      <c r="B571" s="302" t="s">
        <v>2070</v>
      </c>
    </row>
    <row r="572" spans="1:2">
      <c r="A572" s="299">
        <v>30881</v>
      </c>
      <c r="B572" s="298" t="s">
        <v>1378</v>
      </c>
    </row>
    <row r="573" spans="1:2">
      <c r="A573" s="299">
        <v>32369</v>
      </c>
      <c r="B573" s="298" t="s">
        <v>241</v>
      </c>
    </row>
    <row r="574" spans="1:2">
      <c r="A574" s="299">
        <v>28427</v>
      </c>
      <c r="B574" s="298" t="s">
        <v>1379</v>
      </c>
    </row>
    <row r="575" spans="1:2">
      <c r="A575" s="299">
        <v>28426</v>
      </c>
      <c r="B575" s="298" t="s">
        <v>1380</v>
      </c>
    </row>
    <row r="576" spans="1:2">
      <c r="A576" s="299">
        <v>31332</v>
      </c>
      <c r="B576" s="298" t="s">
        <v>1381</v>
      </c>
    </row>
    <row r="577" spans="1:2">
      <c r="A577" s="299">
        <v>35101</v>
      </c>
      <c r="B577" s="298" t="s">
        <v>2002</v>
      </c>
    </row>
    <row r="578" spans="1:2">
      <c r="A578" s="299">
        <v>34164</v>
      </c>
      <c r="B578" s="298" t="s">
        <v>986</v>
      </c>
    </row>
    <row r="579" spans="1:2">
      <c r="A579" s="297">
        <v>28267</v>
      </c>
      <c r="B579" s="296" t="s">
        <v>1382</v>
      </c>
    </row>
    <row r="580" spans="1:2">
      <c r="A580" s="299">
        <v>23540</v>
      </c>
      <c r="B580" s="298" t="s">
        <v>1383</v>
      </c>
    </row>
    <row r="581" spans="1:2">
      <c r="A581" s="299">
        <v>28425</v>
      </c>
      <c r="B581" s="298" t="s">
        <v>1384</v>
      </c>
    </row>
    <row r="582" spans="1:2">
      <c r="A582" s="299">
        <v>28295</v>
      </c>
      <c r="B582" s="298" t="s">
        <v>1385</v>
      </c>
    </row>
    <row r="583" spans="1:2">
      <c r="A583" s="297">
        <v>28952</v>
      </c>
      <c r="B583" s="296" t="s">
        <v>944</v>
      </c>
    </row>
    <row r="584" spans="1:2">
      <c r="A584" s="297">
        <v>28956</v>
      </c>
      <c r="B584" s="296" t="s">
        <v>945</v>
      </c>
    </row>
    <row r="585" spans="1:2">
      <c r="A585" s="299">
        <v>23054</v>
      </c>
      <c r="B585" s="298" t="s">
        <v>1386</v>
      </c>
    </row>
    <row r="586" spans="1:2">
      <c r="A586" s="299">
        <v>33388</v>
      </c>
      <c r="B586" s="298" t="s">
        <v>281</v>
      </c>
    </row>
    <row r="587" spans="1:2">
      <c r="A587" s="297">
        <v>28926</v>
      </c>
      <c r="B587" s="296" t="s">
        <v>947</v>
      </c>
    </row>
    <row r="588" spans="1:2">
      <c r="A588" s="297">
        <v>28937</v>
      </c>
      <c r="B588" s="296" t="s">
        <v>946</v>
      </c>
    </row>
    <row r="589" spans="1:2">
      <c r="A589" s="299">
        <v>29156</v>
      </c>
      <c r="B589" s="298" t="s">
        <v>1387</v>
      </c>
    </row>
    <row r="590" spans="1:2">
      <c r="A590" s="299">
        <v>30733</v>
      </c>
      <c r="B590" s="298" t="s">
        <v>1388</v>
      </c>
    </row>
    <row r="591" spans="1:2">
      <c r="A591" s="297">
        <v>30788</v>
      </c>
      <c r="B591" s="296" t="s">
        <v>1389</v>
      </c>
    </row>
    <row r="592" spans="1:2">
      <c r="A592" s="297">
        <v>34672</v>
      </c>
      <c r="B592" s="296" t="s">
        <v>972</v>
      </c>
    </row>
    <row r="593" spans="1:2">
      <c r="A593" s="299">
        <v>28749</v>
      </c>
      <c r="B593" s="298" t="s">
        <v>1390</v>
      </c>
    </row>
    <row r="594" spans="1:2">
      <c r="A594" s="297">
        <v>34703</v>
      </c>
      <c r="B594" s="296" t="s">
        <v>960</v>
      </c>
    </row>
    <row r="595" spans="1:2">
      <c r="A595" s="297">
        <v>28189</v>
      </c>
      <c r="B595" s="296" t="s">
        <v>1392</v>
      </c>
    </row>
    <row r="596" spans="1:2">
      <c r="A596" s="299">
        <v>32052</v>
      </c>
      <c r="B596" s="298" t="s">
        <v>1391</v>
      </c>
    </row>
    <row r="597" spans="1:2">
      <c r="A597" s="297">
        <v>27673</v>
      </c>
      <c r="B597" s="296" t="s">
        <v>1393</v>
      </c>
    </row>
    <row r="598" spans="1:2">
      <c r="A598" s="299">
        <v>34609</v>
      </c>
      <c r="B598" s="298" t="s">
        <v>1636</v>
      </c>
    </row>
    <row r="599" spans="1:2">
      <c r="A599" s="297">
        <v>28311</v>
      </c>
      <c r="B599" s="296" t="s">
        <v>1394</v>
      </c>
    </row>
    <row r="600" spans="1:2">
      <c r="A600" s="299">
        <v>28729</v>
      </c>
      <c r="B600" s="298" t="s">
        <v>1396</v>
      </c>
    </row>
    <row r="601" spans="1:2">
      <c r="A601" s="299">
        <v>30082</v>
      </c>
      <c r="B601" s="298" t="s">
        <v>1227</v>
      </c>
    </row>
    <row r="602" spans="1:2">
      <c r="A602" s="299">
        <v>23577</v>
      </c>
      <c r="B602" s="298" t="s">
        <v>1397</v>
      </c>
    </row>
    <row r="603" spans="1:2">
      <c r="A603" s="299">
        <v>29362</v>
      </c>
      <c r="B603" s="298" t="s">
        <v>1398</v>
      </c>
    </row>
    <row r="604" spans="1:2">
      <c r="A604" s="297">
        <v>34666</v>
      </c>
      <c r="B604" s="296" t="s">
        <v>973</v>
      </c>
    </row>
    <row r="605" spans="1:2">
      <c r="A605" s="299">
        <v>30874</v>
      </c>
      <c r="B605" s="298" t="s">
        <v>243</v>
      </c>
    </row>
    <row r="606" spans="1:2">
      <c r="A606" s="303">
        <v>19019</v>
      </c>
      <c r="B606" s="302" t="s">
        <v>1399</v>
      </c>
    </row>
    <row r="607" spans="1:2">
      <c r="A607" s="299">
        <v>33762</v>
      </c>
      <c r="B607" s="298" t="s">
        <v>1768</v>
      </c>
    </row>
    <row r="608" spans="1:2">
      <c r="A608" s="299">
        <v>29124</v>
      </c>
      <c r="B608" s="298" t="s">
        <v>0</v>
      </c>
    </row>
    <row r="609" spans="1:2">
      <c r="A609" s="303">
        <v>32837</v>
      </c>
      <c r="B609" s="302" t="s">
        <v>1</v>
      </c>
    </row>
    <row r="610" spans="1:2">
      <c r="A610" s="303">
        <v>30311</v>
      </c>
      <c r="B610" s="302" t="s">
        <v>4</v>
      </c>
    </row>
    <row r="611" spans="1:2">
      <c r="A611" s="297">
        <v>28400</v>
      </c>
      <c r="B611" s="296" t="s">
        <v>3</v>
      </c>
    </row>
    <row r="612" spans="1:2">
      <c r="A612" s="299">
        <v>28584</v>
      </c>
      <c r="B612" s="298" t="s">
        <v>898</v>
      </c>
    </row>
    <row r="613" spans="1:2">
      <c r="A613" s="299">
        <v>35076</v>
      </c>
      <c r="B613" s="298" t="s">
        <v>2003</v>
      </c>
    </row>
    <row r="614" spans="1:2">
      <c r="A614" s="299">
        <v>32946</v>
      </c>
      <c r="B614" s="298" t="s">
        <v>698</v>
      </c>
    </row>
    <row r="615" spans="1:2">
      <c r="A615" s="297">
        <v>27846</v>
      </c>
      <c r="B615" s="296" t="s">
        <v>899</v>
      </c>
    </row>
    <row r="616" spans="1:2">
      <c r="A616" s="297">
        <v>27533</v>
      </c>
      <c r="B616" s="296" t="s">
        <v>900</v>
      </c>
    </row>
    <row r="617" spans="1:2">
      <c r="A617" s="299">
        <v>28313</v>
      </c>
      <c r="B617" s="298" t="s">
        <v>901</v>
      </c>
    </row>
    <row r="618" spans="1:2">
      <c r="A618" s="297">
        <v>28953</v>
      </c>
      <c r="B618" s="296" t="s">
        <v>948</v>
      </c>
    </row>
    <row r="619" spans="1:2">
      <c r="A619" s="297">
        <v>28928</v>
      </c>
      <c r="B619" s="296" t="s">
        <v>949</v>
      </c>
    </row>
    <row r="620" spans="1:2">
      <c r="A620" s="299">
        <v>32028</v>
      </c>
      <c r="B620" s="298" t="s">
        <v>902</v>
      </c>
    </row>
    <row r="621" spans="1:2">
      <c r="A621" s="299">
        <v>33495</v>
      </c>
      <c r="B621" s="298" t="s">
        <v>279</v>
      </c>
    </row>
    <row r="622" spans="1:2">
      <c r="A622" s="297">
        <v>28392</v>
      </c>
      <c r="B622" s="296" t="s">
        <v>903</v>
      </c>
    </row>
    <row r="623" spans="1:2">
      <c r="A623" s="299">
        <v>32944</v>
      </c>
      <c r="B623" s="298" t="s">
        <v>904</v>
      </c>
    </row>
    <row r="624" spans="1:2">
      <c r="A624" s="299">
        <v>29348</v>
      </c>
      <c r="B624" s="298" t="s">
        <v>905</v>
      </c>
    </row>
    <row r="625" spans="1:2">
      <c r="A625" s="299">
        <v>33737</v>
      </c>
      <c r="B625" s="298" t="s">
        <v>1767</v>
      </c>
    </row>
    <row r="626" spans="1:2">
      <c r="A626" s="299">
        <v>34893</v>
      </c>
      <c r="B626" s="298" t="s">
        <v>1883</v>
      </c>
    </row>
    <row r="627" spans="1:2">
      <c r="A627" s="297">
        <v>32661</v>
      </c>
      <c r="B627" s="296" t="s">
        <v>1207</v>
      </c>
    </row>
    <row r="628" spans="1:2">
      <c r="A628" s="297">
        <v>27901</v>
      </c>
      <c r="B628" s="296" t="s">
        <v>1917</v>
      </c>
    </row>
    <row r="629" spans="1:2">
      <c r="A629" s="297">
        <v>28210</v>
      </c>
      <c r="B629" s="296" t="s">
        <v>912</v>
      </c>
    </row>
    <row r="630" spans="1:2">
      <c r="A630" s="299">
        <v>35071</v>
      </c>
      <c r="B630" s="298" t="s">
        <v>2000</v>
      </c>
    </row>
    <row r="631" spans="1:2">
      <c r="A631" s="299">
        <v>28438</v>
      </c>
      <c r="B631" s="298" t="s">
        <v>913</v>
      </c>
    </row>
    <row r="632" spans="1:2">
      <c r="A632" s="299">
        <v>28439</v>
      </c>
      <c r="B632" s="298" t="s">
        <v>914</v>
      </c>
    </row>
    <row r="633" spans="1:2">
      <c r="A633" s="299">
        <v>28437</v>
      </c>
      <c r="B633" s="298" t="s">
        <v>915</v>
      </c>
    </row>
    <row r="634" spans="1:2">
      <c r="A634" s="299">
        <v>28657</v>
      </c>
      <c r="B634" s="298" t="s">
        <v>231</v>
      </c>
    </row>
    <row r="635" spans="1:2">
      <c r="A635" s="299">
        <v>28305</v>
      </c>
      <c r="B635" s="298" t="s">
        <v>232</v>
      </c>
    </row>
    <row r="636" spans="1:2">
      <c r="A636" s="297">
        <v>28950</v>
      </c>
      <c r="B636" s="296" t="s">
        <v>952</v>
      </c>
    </row>
    <row r="637" spans="1:2">
      <c r="A637" s="297">
        <v>28951</v>
      </c>
      <c r="B637" s="296" t="s">
        <v>953</v>
      </c>
    </row>
    <row r="638" spans="1:2">
      <c r="A638" s="297">
        <v>28924</v>
      </c>
      <c r="B638" s="296" t="s">
        <v>954</v>
      </c>
    </row>
    <row r="639" spans="1:2">
      <c r="A639" s="297">
        <v>28925</v>
      </c>
      <c r="B639" s="296" t="s">
        <v>855</v>
      </c>
    </row>
    <row r="640" spans="1:2">
      <c r="A640" s="299">
        <v>30058</v>
      </c>
      <c r="B640" s="298" t="s">
        <v>618</v>
      </c>
    </row>
    <row r="641" spans="1:2">
      <c r="A641" s="299">
        <v>32026</v>
      </c>
      <c r="B641" s="298" t="s">
        <v>233</v>
      </c>
    </row>
    <row r="642" spans="1:2">
      <c r="A642" s="299">
        <v>29996</v>
      </c>
      <c r="B642" s="298" t="s">
        <v>813</v>
      </c>
    </row>
    <row r="643" spans="1:2">
      <c r="A643" s="299">
        <v>23544</v>
      </c>
      <c r="B643" s="298" t="s">
        <v>234</v>
      </c>
    </row>
    <row r="644" spans="1:2">
      <c r="A644" s="299">
        <v>32943</v>
      </c>
      <c r="B644" s="298" t="s">
        <v>1627</v>
      </c>
    </row>
    <row r="645" spans="1:2">
      <c r="A645" s="299">
        <v>32262</v>
      </c>
      <c r="B645" s="298" t="s">
        <v>529</v>
      </c>
    </row>
    <row r="646" spans="1:2">
      <c r="A646" s="297">
        <v>32536</v>
      </c>
      <c r="B646" s="296" t="s">
        <v>1233</v>
      </c>
    </row>
    <row r="647" spans="1:2">
      <c r="A647" s="297">
        <v>32536</v>
      </c>
      <c r="B647" s="296" t="s">
        <v>1234</v>
      </c>
    </row>
    <row r="648" spans="1:2">
      <c r="A648" s="297">
        <v>32536</v>
      </c>
      <c r="B648" s="296" t="s">
        <v>1235</v>
      </c>
    </row>
    <row r="649" spans="1:2">
      <c r="A649" s="297">
        <v>32536</v>
      </c>
      <c r="B649" s="296" t="s">
        <v>1236</v>
      </c>
    </row>
    <row r="650" spans="1:2">
      <c r="A650" s="297">
        <v>27980</v>
      </c>
      <c r="B650" s="296" t="s">
        <v>235</v>
      </c>
    </row>
    <row r="651" spans="1:2">
      <c r="A651" s="297">
        <v>27476</v>
      </c>
      <c r="B651" s="296" t="s">
        <v>236</v>
      </c>
    </row>
    <row r="652" spans="1:2">
      <c r="A652" s="299">
        <v>33733</v>
      </c>
      <c r="B652" s="298" t="s">
        <v>1766</v>
      </c>
    </row>
    <row r="653" spans="1:2">
      <c r="A653" s="301" t="s">
        <v>1934</v>
      </c>
      <c r="B653" s="301" t="s">
        <v>1740</v>
      </c>
    </row>
    <row r="654" spans="1:2">
      <c r="A654" s="299">
        <v>34894</v>
      </c>
      <c r="B654" s="481" t="s">
        <v>425</v>
      </c>
    </row>
    <row r="655" spans="1:2">
      <c r="A655" s="299">
        <v>28572</v>
      </c>
      <c r="B655" s="481" t="s">
        <v>2271</v>
      </c>
    </row>
    <row r="656" spans="1:2">
      <c r="A656" s="297">
        <v>34665</v>
      </c>
      <c r="B656" s="480" t="s">
        <v>971</v>
      </c>
    </row>
    <row r="657" spans="1:2">
      <c r="A657" s="299">
        <v>30901</v>
      </c>
      <c r="B657" s="481" t="s">
        <v>2279</v>
      </c>
    </row>
    <row r="658" spans="1:2">
      <c r="A658" s="299">
        <v>35058</v>
      </c>
      <c r="B658" s="481" t="s">
        <v>1997</v>
      </c>
    </row>
    <row r="659" spans="1:2">
      <c r="A659" s="299">
        <v>35093</v>
      </c>
      <c r="B659" s="481" t="s">
        <v>1998</v>
      </c>
    </row>
    <row r="660" spans="1:2">
      <c r="A660" s="299">
        <v>35095</v>
      </c>
      <c r="B660" s="481" t="s">
        <v>1999</v>
      </c>
    </row>
    <row r="661" spans="1:2">
      <c r="A661" s="297">
        <v>31305</v>
      </c>
      <c r="B661" s="480" t="s">
        <v>2281</v>
      </c>
    </row>
    <row r="662" spans="1:2">
      <c r="A662" s="299">
        <v>34329</v>
      </c>
      <c r="B662" s="298" t="s">
        <v>988</v>
      </c>
    </row>
    <row r="663" spans="1:2">
      <c r="A663" s="297">
        <v>32659</v>
      </c>
      <c r="B663" s="480" t="s">
        <v>646</v>
      </c>
    </row>
    <row r="664" spans="1:2">
      <c r="A664" s="299">
        <v>33389</v>
      </c>
      <c r="B664" s="481" t="s">
        <v>1663</v>
      </c>
    </row>
    <row r="665" spans="1:2">
      <c r="A665" s="299">
        <v>23555</v>
      </c>
      <c r="B665" s="481" t="s">
        <v>444</v>
      </c>
    </row>
    <row r="666" spans="1:2">
      <c r="A666" s="299">
        <v>34606</v>
      </c>
      <c r="B666" s="481" t="s">
        <v>1142</v>
      </c>
    </row>
    <row r="667" spans="1:2">
      <c r="A667" s="299">
        <v>28524</v>
      </c>
      <c r="B667" s="481" t="s">
        <v>446</v>
      </c>
    </row>
    <row r="668" spans="1:2">
      <c r="A668" s="299">
        <v>34165</v>
      </c>
      <c r="B668" s="481" t="s">
        <v>987</v>
      </c>
    </row>
    <row r="669" spans="1:2">
      <c r="A669" s="299">
        <v>30103</v>
      </c>
      <c r="B669" s="481" t="s">
        <v>447</v>
      </c>
    </row>
    <row r="670" spans="1:2">
      <c r="A670" s="299">
        <v>29346</v>
      </c>
      <c r="B670" s="481" t="s">
        <v>1735</v>
      </c>
    </row>
    <row r="671" spans="1:2">
      <c r="A671" s="299">
        <v>28312</v>
      </c>
      <c r="B671" s="481" t="s">
        <v>1737</v>
      </c>
    </row>
    <row r="672" spans="1:2">
      <c r="A672" s="299">
        <v>28310</v>
      </c>
      <c r="B672" s="481" t="s">
        <v>237</v>
      </c>
    </row>
    <row r="673" spans="1:2">
      <c r="A673" s="297">
        <v>28954</v>
      </c>
      <c r="B673" s="480" t="s">
        <v>940</v>
      </c>
    </row>
    <row r="674" spans="1:2">
      <c r="A674" s="297">
        <v>28955</v>
      </c>
      <c r="B674" s="480" t="s">
        <v>941</v>
      </c>
    </row>
    <row r="675" spans="1:2">
      <c r="A675" s="299">
        <v>29121</v>
      </c>
      <c r="B675" s="481" t="s">
        <v>1738</v>
      </c>
    </row>
    <row r="676" spans="1:2">
      <c r="A676" s="299">
        <v>29962</v>
      </c>
      <c r="B676" s="481" t="s">
        <v>648</v>
      </c>
    </row>
    <row r="677" spans="1:2">
      <c r="A677" s="297">
        <v>28929</v>
      </c>
      <c r="B677" s="480" t="s">
        <v>942</v>
      </c>
    </row>
    <row r="678" spans="1:2">
      <c r="A678" s="297">
        <v>28930</v>
      </c>
      <c r="B678" s="480" t="s">
        <v>943</v>
      </c>
    </row>
    <row r="679" spans="1:2">
      <c r="A679" s="297">
        <v>28416</v>
      </c>
      <c r="B679" s="480" t="s">
        <v>649</v>
      </c>
    </row>
    <row r="680" spans="1:2">
      <c r="A680" s="303">
        <v>30312</v>
      </c>
      <c r="B680" s="482" t="s">
        <v>651</v>
      </c>
    </row>
    <row r="681" spans="1:2">
      <c r="A681" s="299">
        <v>22802</v>
      </c>
      <c r="B681" s="481" t="s">
        <v>652</v>
      </c>
    </row>
    <row r="682" spans="1:2">
      <c r="A682" s="299">
        <v>28768</v>
      </c>
      <c r="B682" s="481" t="s">
        <v>653</v>
      </c>
    </row>
    <row r="683" spans="1:2">
      <c r="A683" s="299">
        <v>32044</v>
      </c>
      <c r="B683" s="481" t="s">
        <v>654</v>
      </c>
    </row>
    <row r="684" spans="1:2">
      <c r="A684" s="299">
        <v>32046</v>
      </c>
      <c r="B684" s="481" t="s">
        <v>238</v>
      </c>
    </row>
    <row r="685" spans="1:2">
      <c r="A685" s="299">
        <v>32269</v>
      </c>
      <c r="B685" s="481" t="s">
        <v>239</v>
      </c>
    </row>
    <row r="686" spans="1:2">
      <c r="A686" s="299">
        <v>33298</v>
      </c>
      <c r="B686" s="481" t="s">
        <v>1531</v>
      </c>
    </row>
    <row r="687" spans="1:2">
      <c r="A687" s="299">
        <v>29125</v>
      </c>
      <c r="B687" s="481" t="s">
        <v>655</v>
      </c>
    </row>
    <row r="688" spans="1:2">
      <c r="A688" s="299">
        <v>29182</v>
      </c>
      <c r="B688" s="481" t="s">
        <v>1352</v>
      </c>
    </row>
    <row r="689" spans="1:2">
      <c r="A689" s="299">
        <v>29275</v>
      </c>
      <c r="B689" s="481" t="s">
        <v>240</v>
      </c>
    </row>
    <row r="690" spans="1:2">
      <c r="A690" s="299">
        <v>32471</v>
      </c>
      <c r="B690" s="481" t="s">
        <v>1353</v>
      </c>
    </row>
    <row r="691" spans="1:2">
      <c r="A691" s="299">
        <v>34197</v>
      </c>
      <c r="B691" s="481" t="s">
        <v>989</v>
      </c>
    </row>
    <row r="692" spans="1:2">
      <c r="A692" s="299">
        <v>34949</v>
      </c>
      <c r="B692" s="481" t="s">
        <v>427</v>
      </c>
    </row>
    <row r="693" spans="1:2">
      <c r="A693" s="297">
        <v>27463</v>
      </c>
      <c r="B693" s="480" t="s">
        <v>854</v>
      </c>
    </row>
    <row r="694" spans="1:2">
      <c r="A694" s="299">
        <v>34952</v>
      </c>
      <c r="B694" s="481" t="s">
        <v>428</v>
      </c>
    </row>
    <row r="695" spans="1:2">
      <c r="A695" s="299">
        <v>31331</v>
      </c>
      <c r="B695" s="481" t="s">
        <v>1370</v>
      </c>
    </row>
    <row r="696" spans="1:2">
      <c r="A696" s="297">
        <v>28226</v>
      </c>
      <c r="B696" s="480" t="s">
        <v>1371</v>
      </c>
    </row>
    <row r="697" spans="1:2">
      <c r="A697" s="299">
        <v>30865</v>
      </c>
      <c r="B697" s="481" t="s">
        <v>1372</v>
      </c>
    </row>
    <row r="698" spans="1:2">
      <c r="A698" s="297">
        <v>27814</v>
      </c>
      <c r="B698" s="480" t="s">
        <v>645</v>
      </c>
    </row>
    <row r="699" spans="1:2">
      <c r="A699" s="299">
        <v>33493</v>
      </c>
      <c r="B699" s="481" t="s">
        <v>1436</v>
      </c>
    </row>
    <row r="700" spans="1:2">
      <c r="A700" s="299">
        <v>33801</v>
      </c>
      <c r="B700" s="481" t="s">
        <v>1421</v>
      </c>
    </row>
    <row r="701" spans="1:2">
      <c r="A701" s="299">
        <v>33754</v>
      </c>
      <c r="B701" s="481" t="s">
        <v>1765</v>
      </c>
    </row>
    <row r="702" spans="1:2">
      <c r="A702" s="299">
        <v>33756</v>
      </c>
      <c r="B702" s="481" t="s">
        <v>1764</v>
      </c>
    </row>
    <row r="703" spans="1:2">
      <c r="A703" s="299">
        <v>29360</v>
      </c>
      <c r="B703" s="481" t="s">
        <v>1373</v>
      </c>
    </row>
    <row r="704" spans="1:2">
      <c r="A704" s="297">
        <v>28345</v>
      </c>
      <c r="B704" s="480" t="s">
        <v>1374</v>
      </c>
    </row>
    <row r="705" spans="1:2">
      <c r="A705" s="297">
        <v>27913</v>
      </c>
      <c r="B705" s="480" t="s">
        <v>1375</v>
      </c>
    </row>
    <row r="706" spans="1:2">
      <c r="A706" s="299">
        <v>33214</v>
      </c>
      <c r="B706" s="298" t="s">
        <v>282</v>
      </c>
    </row>
    <row r="707" spans="1:2">
      <c r="A707" s="299">
        <v>30881</v>
      </c>
      <c r="B707" s="298" t="s">
        <v>1378</v>
      </c>
    </row>
    <row r="708" spans="1:2">
      <c r="A708" s="299">
        <v>32369</v>
      </c>
      <c r="B708" s="298" t="s">
        <v>241</v>
      </c>
    </row>
    <row r="709" spans="1:2">
      <c r="A709" s="299">
        <v>28427</v>
      </c>
      <c r="B709" s="298" t="s">
        <v>1379</v>
      </c>
    </row>
    <row r="710" spans="1:2">
      <c r="A710" s="299">
        <v>28426</v>
      </c>
      <c r="B710" s="298" t="s">
        <v>1380</v>
      </c>
    </row>
    <row r="711" spans="1:2">
      <c r="A711" s="299">
        <v>31332</v>
      </c>
      <c r="B711" s="298" t="s">
        <v>1381</v>
      </c>
    </row>
    <row r="712" spans="1:2">
      <c r="A712" s="299">
        <v>35072</v>
      </c>
      <c r="B712" s="298" t="s">
        <v>2001</v>
      </c>
    </row>
    <row r="713" spans="1:2">
      <c r="A713" s="299">
        <v>35101</v>
      </c>
      <c r="B713" s="298" t="s">
        <v>2002</v>
      </c>
    </row>
    <row r="714" spans="1:2">
      <c r="A714" s="299">
        <v>34164</v>
      </c>
      <c r="B714" s="298" t="s">
        <v>986</v>
      </c>
    </row>
    <row r="715" spans="1:2">
      <c r="A715" s="297">
        <v>28267</v>
      </c>
      <c r="B715" s="296" t="s">
        <v>1382</v>
      </c>
    </row>
    <row r="716" spans="1:2">
      <c r="A716" s="299">
        <v>23540</v>
      </c>
      <c r="B716" s="298" t="s">
        <v>1383</v>
      </c>
    </row>
    <row r="717" spans="1:2">
      <c r="A717" s="299">
        <v>28425</v>
      </c>
      <c r="B717" s="298" t="s">
        <v>1384</v>
      </c>
    </row>
    <row r="718" spans="1:2">
      <c r="A718" s="299">
        <v>28307</v>
      </c>
      <c r="B718" s="298" t="s">
        <v>242</v>
      </c>
    </row>
    <row r="719" spans="1:2">
      <c r="A719" s="299">
        <v>28295</v>
      </c>
      <c r="B719" s="298" t="s">
        <v>1385</v>
      </c>
    </row>
    <row r="720" spans="1:2">
      <c r="A720" s="297">
        <v>28952</v>
      </c>
      <c r="B720" s="296" t="s">
        <v>944</v>
      </c>
    </row>
    <row r="721" spans="1:2">
      <c r="A721" s="297">
        <v>28956</v>
      </c>
      <c r="B721" s="296" t="s">
        <v>945</v>
      </c>
    </row>
    <row r="722" spans="1:2">
      <c r="A722" s="299">
        <v>23054</v>
      </c>
      <c r="B722" s="298" t="s">
        <v>1386</v>
      </c>
    </row>
    <row r="723" spans="1:2">
      <c r="A723" s="299">
        <v>33388</v>
      </c>
      <c r="B723" s="298" t="s">
        <v>281</v>
      </c>
    </row>
    <row r="724" spans="1:2">
      <c r="A724" s="297">
        <v>28926</v>
      </c>
      <c r="B724" s="296" t="s">
        <v>947</v>
      </c>
    </row>
    <row r="725" spans="1:2">
      <c r="A725" s="297">
        <v>28937</v>
      </c>
      <c r="B725" s="296" t="s">
        <v>946</v>
      </c>
    </row>
    <row r="726" spans="1:2">
      <c r="A726" s="299">
        <v>29156</v>
      </c>
      <c r="B726" s="298" t="s">
        <v>1387</v>
      </c>
    </row>
    <row r="727" spans="1:2">
      <c r="A727" s="299">
        <v>30733</v>
      </c>
      <c r="B727" s="298" t="s">
        <v>1388</v>
      </c>
    </row>
    <row r="728" spans="1:2">
      <c r="A728" s="297">
        <v>34672</v>
      </c>
      <c r="B728" s="296" t="s">
        <v>972</v>
      </c>
    </row>
    <row r="729" spans="1:2">
      <c r="A729" s="299">
        <v>28749</v>
      </c>
      <c r="B729" s="298" t="s">
        <v>1390</v>
      </c>
    </row>
    <row r="730" spans="1:2">
      <c r="A730" s="297">
        <v>34703</v>
      </c>
      <c r="B730" s="296" t="s">
        <v>960</v>
      </c>
    </row>
    <row r="731" spans="1:2">
      <c r="A731" s="297">
        <v>28189</v>
      </c>
      <c r="B731" s="296" t="s">
        <v>1392</v>
      </c>
    </row>
    <row r="732" spans="1:2">
      <c r="A732" s="299">
        <v>32027</v>
      </c>
      <c r="B732" s="298" t="s">
        <v>522</v>
      </c>
    </row>
    <row r="733" spans="1:2">
      <c r="A733" s="299">
        <v>32052</v>
      </c>
      <c r="B733" s="298" t="s">
        <v>1391</v>
      </c>
    </row>
    <row r="734" spans="1:2">
      <c r="A734" s="297">
        <v>27673</v>
      </c>
      <c r="B734" s="296" t="s">
        <v>1393</v>
      </c>
    </row>
    <row r="735" spans="1:2">
      <c r="A735" s="299">
        <v>34609</v>
      </c>
      <c r="B735" s="298" t="s">
        <v>1636</v>
      </c>
    </row>
    <row r="736" spans="1:2">
      <c r="A736" s="297">
        <v>28311</v>
      </c>
      <c r="B736" s="296" t="s">
        <v>1394</v>
      </c>
    </row>
    <row r="737" spans="1:2">
      <c r="A737" s="299">
        <v>28729</v>
      </c>
      <c r="B737" s="298" t="s">
        <v>1396</v>
      </c>
    </row>
    <row r="738" spans="1:2">
      <c r="A738" s="299">
        <v>30082</v>
      </c>
      <c r="B738" s="298" t="s">
        <v>1227</v>
      </c>
    </row>
    <row r="739" spans="1:2">
      <c r="A739" s="299">
        <v>23577</v>
      </c>
      <c r="B739" s="298" t="s">
        <v>1397</v>
      </c>
    </row>
    <row r="740" spans="1:2">
      <c r="A740" s="299">
        <v>29362</v>
      </c>
      <c r="B740" s="298" t="s">
        <v>1398</v>
      </c>
    </row>
    <row r="741" spans="1:2">
      <c r="A741" s="297">
        <v>34666</v>
      </c>
      <c r="B741" s="296" t="s">
        <v>973</v>
      </c>
    </row>
    <row r="742" spans="1:2">
      <c r="A742" s="299">
        <v>30874</v>
      </c>
      <c r="B742" s="298" t="s">
        <v>243</v>
      </c>
    </row>
    <row r="743" spans="1:2">
      <c r="A743" s="303">
        <v>19019</v>
      </c>
      <c r="B743" s="302" t="s">
        <v>1399</v>
      </c>
    </row>
    <row r="744" spans="1:2">
      <c r="A744" s="299">
        <v>33734</v>
      </c>
      <c r="B744" s="298" t="s">
        <v>1761</v>
      </c>
    </row>
    <row r="745" spans="1:2">
      <c r="A745" s="299">
        <v>33762</v>
      </c>
      <c r="B745" s="298" t="s">
        <v>1768</v>
      </c>
    </row>
    <row r="746" spans="1:2">
      <c r="A746" s="299">
        <v>29124</v>
      </c>
      <c r="B746" s="298" t="s">
        <v>0</v>
      </c>
    </row>
    <row r="747" spans="1:2">
      <c r="A747" s="303">
        <v>32838</v>
      </c>
      <c r="B747" s="302" t="s">
        <v>1</v>
      </c>
    </row>
    <row r="748" spans="1:2">
      <c r="A748" s="303">
        <v>30311</v>
      </c>
      <c r="B748" s="302" t="s">
        <v>4</v>
      </c>
    </row>
    <row r="749" spans="1:2">
      <c r="A749" s="297">
        <v>28400</v>
      </c>
      <c r="B749" s="296" t="s">
        <v>3</v>
      </c>
    </row>
    <row r="750" spans="1:2">
      <c r="A750" s="297">
        <v>27747</v>
      </c>
      <c r="B750" s="296" t="s">
        <v>606</v>
      </c>
    </row>
    <row r="751" spans="1:2">
      <c r="A751" s="299">
        <v>35037</v>
      </c>
      <c r="B751" s="298" t="s">
        <v>1995</v>
      </c>
    </row>
    <row r="752" spans="1:2">
      <c r="A752" s="299">
        <v>35038</v>
      </c>
      <c r="B752" s="298" t="s">
        <v>1996</v>
      </c>
    </row>
    <row r="753" spans="1:2">
      <c r="A753" s="299">
        <v>23242</v>
      </c>
      <c r="B753" s="298" t="s">
        <v>244</v>
      </c>
    </row>
    <row r="754" spans="1:2">
      <c r="A754" s="299">
        <v>29948</v>
      </c>
      <c r="B754" s="298" t="s">
        <v>245</v>
      </c>
    </row>
    <row r="755" spans="1:2">
      <c r="A755" s="299">
        <v>32946</v>
      </c>
      <c r="B755" s="298" t="s">
        <v>154</v>
      </c>
    </row>
    <row r="756" spans="1:2">
      <c r="A756" s="299">
        <v>33640</v>
      </c>
      <c r="B756" s="298" t="s">
        <v>280</v>
      </c>
    </row>
    <row r="757" spans="1:2">
      <c r="A757" s="299">
        <v>28314</v>
      </c>
      <c r="B757" s="298" t="s">
        <v>246</v>
      </c>
    </row>
    <row r="758" spans="1:2">
      <c r="A758" s="297">
        <v>28947</v>
      </c>
      <c r="B758" s="296" t="s">
        <v>950</v>
      </c>
    </row>
    <row r="759" spans="1:2">
      <c r="A759" s="299">
        <v>34203</v>
      </c>
      <c r="B759" s="298" t="s">
        <v>1678</v>
      </c>
    </row>
    <row r="760" spans="1:2">
      <c r="A760" s="297">
        <v>28922</v>
      </c>
      <c r="B760" s="296" t="s">
        <v>951</v>
      </c>
    </row>
    <row r="761" spans="1:2">
      <c r="A761" s="299">
        <v>32003</v>
      </c>
      <c r="B761" s="298" t="s">
        <v>247</v>
      </c>
    </row>
    <row r="762" spans="1:2">
      <c r="A762" s="299">
        <v>34346</v>
      </c>
      <c r="B762" s="298" t="s">
        <v>701</v>
      </c>
    </row>
    <row r="763" spans="1:2">
      <c r="A763" s="297">
        <v>28315</v>
      </c>
      <c r="B763" s="296" t="s">
        <v>1624</v>
      </c>
    </row>
    <row r="764" spans="1:2">
      <c r="A764" s="299">
        <v>34016</v>
      </c>
      <c r="B764" s="298" t="s">
        <v>113</v>
      </c>
    </row>
    <row r="765" spans="1:2">
      <c r="A765" s="299">
        <v>33705</v>
      </c>
      <c r="B765" s="298" t="s">
        <v>1762</v>
      </c>
    </row>
    <row r="766" spans="1:2">
      <c r="A766" s="299">
        <v>34951</v>
      </c>
      <c r="B766" s="298" t="s">
        <v>429</v>
      </c>
    </row>
    <row r="767" spans="1:2">
      <c r="A767" s="299">
        <v>34950</v>
      </c>
      <c r="B767" s="298" t="s">
        <v>1882</v>
      </c>
    </row>
    <row r="768" spans="1:2">
      <c r="A768" s="297">
        <v>32661</v>
      </c>
      <c r="B768" s="296" t="s">
        <v>1207</v>
      </c>
    </row>
    <row r="769" spans="1:2">
      <c r="A769" s="297">
        <v>27901</v>
      </c>
      <c r="B769" s="296" t="s">
        <v>1917</v>
      </c>
    </row>
    <row r="770" spans="1:2">
      <c r="A770" s="297">
        <v>28210</v>
      </c>
      <c r="B770" s="296" t="s">
        <v>912</v>
      </c>
    </row>
    <row r="771" spans="1:2">
      <c r="A771" s="299">
        <v>34988</v>
      </c>
      <c r="B771" s="298" t="s">
        <v>1994</v>
      </c>
    </row>
    <row r="772" spans="1:2">
      <c r="A772" s="299">
        <v>35071</v>
      </c>
      <c r="B772" s="298" t="s">
        <v>2000</v>
      </c>
    </row>
    <row r="773" spans="1:2">
      <c r="A773" s="299">
        <v>28657</v>
      </c>
      <c r="B773" s="298" t="s">
        <v>231</v>
      </c>
    </row>
    <row r="774" spans="1:2">
      <c r="A774" s="299">
        <v>28302</v>
      </c>
      <c r="B774" s="298" t="s">
        <v>1625</v>
      </c>
    </row>
    <row r="775" spans="1:2">
      <c r="A775" s="299">
        <v>28305</v>
      </c>
      <c r="B775" s="298" t="s">
        <v>232</v>
      </c>
    </row>
    <row r="776" spans="1:2">
      <c r="A776" s="297">
        <v>28950</v>
      </c>
      <c r="B776" s="296" t="s">
        <v>952</v>
      </c>
    </row>
    <row r="777" spans="1:2">
      <c r="A777" s="297">
        <v>28951</v>
      </c>
      <c r="B777" s="296" t="s">
        <v>953</v>
      </c>
    </row>
    <row r="778" spans="1:2">
      <c r="A778" s="297">
        <v>28924</v>
      </c>
      <c r="B778" s="296" t="s">
        <v>954</v>
      </c>
    </row>
    <row r="779" spans="1:2">
      <c r="A779" s="297">
        <v>28925</v>
      </c>
      <c r="B779" s="296" t="s">
        <v>855</v>
      </c>
    </row>
    <row r="780" spans="1:2">
      <c r="A780" s="299">
        <v>31958</v>
      </c>
      <c r="B780" s="298" t="s">
        <v>1626</v>
      </c>
    </row>
    <row r="781" spans="1:2">
      <c r="A781" s="299">
        <v>32026</v>
      </c>
      <c r="B781" s="298" t="s">
        <v>233</v>
      </c>
    </row>
    <row r="782" spans="1:2">
      <c r="A782" s="299">
        <v>29996</v>
      </c>
      <c r="B782" s="298" t="s">
        <v>813</v>
      </c>
    </row>
    <row r="783" spans="1:2">
      <c r="A783" s="299">
        <v>23544</v>
      </c>
      <c r="B783" s="298" t="s">
        <v>234</v>
      </c>
    </row>
    <row r="784" spans="1:2">
      <c r="A784" s="299">
        <v>32943</v>
      </c>
      <c r="B784" s="298" t="s">
        <v>1627</v>
      </c>
    </row>
    <row r="785" spans="1:2">
      <c r="A785" s="299">
        <v>32262</v>
      </c>
      <c r="B785" s="298" t="s">
        <v>529</v>
      </c>
    </row>
    <row r="786" spans="1:2">
      <c r="A786" s="297">
        <v>32536</v>
      </c>
      <c r="B786" s="296" t="s">
        <v>1233</v>
      </c>
    </row>
    <row r="787" spans="1:2">
      <c r="A787" s="297">
        <v>32536</v>
      </c>
      <c r="B787" s="296" t="s">
        <v>1234</v>
      </c>
    </row>
    <row r="788" spans="1:2">
      <c r="A788" s="297">
        <v>32536</v>
      </c>
      <c r="B788" s="296" t="s">
        <v>1235</v>
      </c>
    </row>
    <row r="789" spans="1:2">
      <c r="A789" s="297">
        <v>32536</v>
      </c>
      <c r="B789" s="296" t="s">
        <v>1236</v>
      </c>
    </row>
    <row r="790" spans="1:2">
      <c r="A790" s="297">
        <v>27980</v>
      </c>
      <c r="B790" s="296" t="s">
        <v>235</v>
      </c>
    </row>
    <row r="791" spans="1:2">
      <c r="A791" s="297">
        <v>27476</v>
      </c>
      <c r="B791" s="296" t="s">
        <v>236</v>
      </c>
    </row>
    <row r="792" spans="1:2">
      <c r="A792" s="299">
        <v>33662</v>
      </c>
      <c r="B792" s="298" t="s">
        <v>1763</v>
      </c>
    </row>
    <row r="793" spans="1:2">
      <c r="A793" s="299">
        <v>33733</v>
      </c>
      <c r="B793" s="298" t="s">
        <v>1766</v>
      </c>
    </row>
    <row r="794" spans="1:2">
      <c r="A794" s="309">
        <v>27507</v>
      </c>
      <c r="B794" s="671" t="s">
        <v>49</v>
      </c>
    </row>
    <row r="795" spans="1:2">
      <c r="A795" s="259">
        <v>33474</v>
      </c>
      <c r="B795" s="672" t="s">
        <v>1563</v>
      </c>
    </row>
    <row r="796" spans="1:2">
      <c r="A796" s="259">
        <v>29949</v>
      </c>
      <c r="B796" s="672" t="s">
        <v>1628</v>
      </c>
    </row>
    <row r="797" spans="1:2">
      <c r="A797" s="259">
        <v>30724</v>
      </c>
      <c r="B797" s="672" t="s">
        <v>2209</v>
      </c>
    </row>
    <row r="798" spans="1:2">
      <c r="A798" s="259">
        <v>34349</v>
      </c>
      <c r="B798" s="672" t="s">
        <v>1635</v>
      </c>
    </row>
    <row r="799" spans="1:2">
      <c r="A799" s="259">
        <v>35108</v>
      </c>
      <c r="B799" s="672" t="s">
        <v>2004</v>
      </c>
    </row>
    <row r="800" spans="1:2">
      <c r="A800" s="259">
        <v>34892</v>
      </c>
      <c r="B800" s="672" t="s">
        <v>426</v>
      </c>
    </row>
    <row r="801" spans="1:2">
      <c r="A801" s="259">
        <v>32645</v>
      </c>
      <c r="B801" s="672" t="s">
        <v>50</v>
      </c>
    </row>
    <row r="802" spans="1:2">
      <c r="A802" s="259">
        <v>34603</v>
      </c>
      <c r="B802" s="672" t="s">
        <v>1141</v>
      </c>
    </row>
    <row r="803" spans="1:2">
      <c r="A803" s="309">
        <v>29204</v>
      </c>
      <c r="B803" s="671" t="s">
        <v>1629</v>
      </c>
    </row>
    <row r="804" spans="1:2">
      <c r="A804" s="310">
        <v>29211</v>
      </c>
      <c r="B804" s="673" t="s">
        <v>1630</v>
      </c>
    </row>
    <row r="805" spans="1:2">
      <c r="A805" s="259">
        <v>28319</v>
      </c>
      <c r="B805" s="672" t="s">
        <v>1931</v>
      </c>
    </row>
    <row r="806" spans="1:2">
      <c r="A806" s="259">
        <v>34196</v>
      </c>
      <c r="B806" s="672" t="s">
        <v>630</v>
      </c>
    </row>
    <row r="807" spans="1:2">
      <c r="A807" s="259">
        <v>32756</v>
      </c>
      <c r="B807" s="672" t="s">
        <v>858</v>
      </c>
    </row>
    <row r="808" spans="1:2">
      <c r="A808" s="259">
        <v>32253</v>
      </c>
      <c r="B808" s="672" t="s">
        <v>859</v>
      </c>
    </row>
    <row r="809" spans="1:2">
      <c r="A809" s="310">
        <v>30279</v>
      </c>
      <c r="B809" s="673" t="s">
        <v>1932</v>
      </c>
    </row>
    <row r="810" spans="1:2">
      <c r="A810" s="259">
        <v>29152</v>
      </c>
      <c r="B810" s="672" t="s">
        <v>1933</v>
      </c>
    </row>
    <row r="811" spans="1:2">
      <c r="A811" s="259">
        <v>32054</v>
      </c>
      <c r="B811" s="672" t="s">
        <v>1147</v>
      </c>
    </row>
    <row r="812" spans="1:2">
      <c r="A812" s="309">
        <v>34783</v>
      </c>
      <c r="B812" s="671" t="s">
        <v>1028</v>
      </c>
    </row>
    <row r="813" spans="1:2">
      <c r="A813" s="309">
        <v>23748</v>
      </c>
      <c r="B813" s="671" t="s">
        <v>1148</v>
      </c>
    </row>
    <row r="814" spans="1:2">
      <c r="A814" s="259">
        <v>30105</v>
      </c>
      <c r="B814" s="672" t="s">
        <v>692</v>
      </c>
    </row>
    <row r="815" spans="1:2">
      <c r="A815" s="259">
        <v>30025</v>
      </c>
      <c r="B815" s="672" t="s">
        <v>1149</v>
      </c>
    </row>
    <row r="816" spans="1:2">
      <c r="A816" s="309">
        <v>27916</v>
      </c>
      <c r="B816" s="671" t="s">
        <v>1150</v>
      </c>
    </row>
    <row r="817" spans="1:2">
      <c r="A817" s="259">
        <v>28826</v>
      </c>
      <c r="B817" s="672" t="s">
        <v>1151</v>
      </c>
    </row>
    <row r="818" spans="1:2">
      <c r="A818" s="309">
        <v>27526</v>
      </c>
      <c r="B818" s="671" t="s">
        <v>551</v>
      </c>
    </row>
    <row r="819" spans="1:2">
      <c r="A819" s="259">
        <v>34622</v>
      </c>
      <c r="B819" s="672" t="s">
        <v>290</v>
      </c>
    </row>
    <row r="820" spans="1:2">
      <c r="A820" s="259">
        <v>28504</v>
      </c>
      <c r="B820" s="672" t="s">
        <v>552</v>
      </c>
    </row>
    <row r="821" spans="1:2">
      <c r="A821" s="259">
        <v>28772</v>
      </c>
      <c r="B821" s="672" t="s">
        <v>553</v>
      </c>
    </row>
    <row r="822" spans="1:2">
      <c r="A822" s="309">
        <v>28286</v>
      </c>
      <c r="B822" s="671" t="s">
        <v>2066</v>
      </c>
    </row>
    <row r="823" spans="1:2">
      <c r="A823" s="237">
        <v>34334</v>
      </c>
      <c r="B823" s="295" t="s">
        <v>984</v>
      </c>
    </row>
    <row r="824" spans="1:2">
      <c r="A824" s="309">
        <v>34674</v>
      </c>
      <c r="B824" s="671" t="s">
        <v>974</v>
      </c>
    </row>
    <row r="825" spans="1:2">
      <c r="A825" s="259">
        <v>33491</v>
      </c>
      <c r="B825" s="672" t="s">
        <v>1435</v>
      </c>
    </row>
    <row r="826" spans="1:2">
      <c r="A826" s="259">
        <v>32326</v>
      </c>
      <c r="B826" s="672" t="s">
        <v>2067</v>
      </c>
    </row>
    <row r="827" spans="1:2">
      <c r="A827" s="259">
        <v>33765</v>
      </c>
      <c r="B827" s="672" t="s">
        <v>547</v>
      </c>
    </row>
    <row r="828" spans="1:2">
      <c r="A828" s="259">
        <v>29151</v>
      </c>
      <c r="B828" s="672" t="s">
        <v>2068</v>
      </c>
    </row>
    <row r="829" spans="1:2">
      <c r="A829" s="259">
        <v>28581</v>
      </c>
      <c r="B829" s="672" t="s">
        <v>2224</v>
      </c>
    </row>
    <row r="830" spans="1:2">
      <c r="A830" s="259">
        <v>29351</v>
      </c>
      <c r="B830" s="672" t="s">
        <v>2225</v>
      </c>
    </row>
    <row r="831" spans="1:2">
      <c r="A831" s="259">
        <v>28659</v>
      </c>
      <c r="B831" s="672" t="s">
        <v>2226</v>
      </c>
    </row>
  </sheetData>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656D8-94F7-43C8-B834-86E4E1922D64}">
  <sheetPr codeName="Sheet9"/>
  <dimension ref="A1:H14"/>
  <sheetViews>
    <sheetView zoomScaleNormal="100" workbookViewId="0">
      <selection activeCell="E1" sqref="E1"/>
    </sheetView>
  </sheetViews>
  <sheetFormatPr defaultColWidth="11.42578125" defaultRowHeight="12.75"/>
  <sheetData>
    <row r="1" spans="1:8">
      <c r="A1" t="s">
        <v>3105</v>
      </c>
      <c r="B1" s="898">
        <v>1759.6266388076999</v>
      </c>
      <c r="C1" s="25"/>
      <c r="E1" t="s">
        <v>3106</v>
      </c>
      <c r="H1" t="s">
        <v>766</v>
      </c>
    </row>
    <row r="2" spans="1:8">
      <c r="A2" s="1345"/>
      <c r="B2" s="1346"/>
    </row>
    <row r="3" spans="1:8">
      <c r="A3" s="1345" t="s">
        <v>3117</v>
      </c>
      <c r="B3" s="898">
        <v>1759.9839688335551</v>
      </c>
      <c r="E3" s="898">
        <f t="shared" ref="E3:E9" si="0">$B3-$B$1</f>
        <v>0.3573300258551626</v>
      </c>
      <c r="F3" s="25"/>
      <c r="H3" s="898">
        <f t="shared" ref="H3:H9" si="1">$E3/$E$4</f>
        <v>0.43196864930599316</v>
      </c>
    </row>
    <row r="4" spans="1:8">
      <c r="A4" s="1345" t="s">
        <v>3118</v>
      </c>
      <c r="B4" s="898">
        <v>1760.4538516770349</v>
      </c>
      <c r="E4" s="898">
        <f t="shared" si="0"/>
        <v>0.8272128693349714</v>
      </c>
      <c r="F4" s="25"/>
      <c r="H4" s="898">
        <f t="shared" si="1"/>
        <v>1</v>
      </c>
    </row>
    <row r="5" spans="1:8">
      <c r="A5" s="1345" t="s">
        <v>3119</v>
      </c>
      <c r="B5" s="898">
        <v>1760.3124351132094</v>
      </c>
      <c r="E5" s="898">
        <f t="shared" si="0"/>
        <v>0.68579630550948423</v>
      </c>
      <c r="F5" s="25"/>
      <c r="H5" s="898">
        <f t="shared" si="1"/>
        <v>0.82904453125931488</v>
      </c>
    </row>
    <row r="6" spans="1:8">
      <c r="A6" s="1345" t="s">
        <v>3120</v>
      </c>
      <c r="B6" s="898">
        <v>1765.1766702748271</v>
      </c>
      <c r="E6" s="898">
        <f t="shared" si="0"/>
        <v>5.5500314671271553</v>
      </c>
      <c r="F6" s="25"/>
      <c r="H6" s="898">
        <f t="shared" si="1"/>
        <v>6.7093147034680944</v>
      </c>
    </row>
    <row r="7" spans="1:8">
      <c r="A7" s="1345" t="s">
        <v>3121</v>
      </c>
      <c r="B7" s="898">
        <v>1763.2980235467201</v>
      </c>
      <c r="E7" s="898">
        <f t="shared" si="0"/>
        <v>3.6713847390201408</v>
      </c>
      <c r="F7" s="25"/>
      <c r="H7" s="898">
        <f t="shared" si="1"/>
        <v>4.4382587301521434</v>
      </c>
    </row>
    <row r="8" spans="1:8">
      <c r="A8" s="1345" t="s">
        <v>3122</v>
      </c>
      <c r="B8" s="898">
        <v>1759.7495474090365</v>
      </c>
      <c r="E8" s="898">
        <f t="shared" si="0"/>
        <v>0.12290860133657588</v>
      </c>
      <c r="F8" s="25"/>
      <c r="H8" s="898">
        <f t="shared" si="1"/>
        <v>0.14858158751251888</v>
      </c>
    </row>
    <row r="9" spans="1:8">
      <c r="A9" s="1345" t="s">
        <v>3123</v>
      </c>
      <c r="B9" s="898">
        <v>1760.8052489540294</v>
      </c>
      <c r="E9" s="898">
        <f t="shared" si="0"/>
        <v>1.1786101463294472</v>
      </c>
      <c r="F9" s="25"/>
      <c r="H9" s="898">
        <f t="shared" si="1"/>
        <v>1.4247966757057076</v>
      </c>
    </row>
    <row r="10" spans="1:8">
      <c r="B10" s="898"/>
      <c r="E10" s="898"/>
      <c r="F10" s="25"/>
      <c r="H10" s="898"/>
    </row>
    <row r="11" spans="1:8">
      <c r="A11" s="1345" t="s">
        <v>3124</v>
      </c>
      <c r="B11" s="898">
        <v>1760.0197018361412</v>
      </c>
      <c r="E11" s="898">
        <f>$B11-$B$1</f>
        <v>0.3930630284412473</v>
      </c>
      <c r="F11" s="25"/>
      <c r="H11" s="898">
        <f>$E11/$E$4</f>
        <v>0.47516551423727965</v>
      </c>
    </row>
    <row r="14" spans="1:8">
      <c r="C14" s="25"/>
    </row>
  </sheetData>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1E9A1-D8CE-4FAF-812A-664028287B66}">
  <sheetPr codeName="Sheet32"/>
  <dimension ref="A1:BK4"/>
  <sheetViews>
    <sheetView workbookViewId="0">
      <selection activeCell="Q26" sqref="Q26"/>
    </sheetView>
  </sheetViews>
  <sheetFormatPr defaultRowHeight="12.75"/>
  <cols>
    <col min="1" max="1" width="20" customWidth="1"/>
    <col min="2" max="78" width="4.28515625" customWidth="1"/>
  </cols>
  <sheetData>
    <row r="1" spans="1:63">
      <c r="A1" t="s">
        <v>2515</v>
      </c>
      <c r="B1" t="s">
        <v>2593</v>
      </c>
      <c r="C1" t="s">
        <v>2594</v>
      </c>
      <c r="D1" t="s">
        <v>2595</v>
      </c>
      <c r="E1" t="s">
        <v>2596</v>
      </c>
      <c r="F1" t="s">
        <v>2597</v>
      </c>
      <c r="G1" t="s">
        <v>2598</v>
      </c>
      <c r="H1" t="s">
        <v>2599</v>
      </c>
      <c r="I1" t="s">
        <v>2600</v>
      </c>
      <c r="J1" t="s">
        <v>2601</v>
      </c>
      <c r="K1" t="s">
        <v>2602</v>
      </c>
      <c r="L1" t="s">
        <v>2603</v>
      </c>
      <c r="M1" t="s">
        <v>2604</v>
      </c>
      <c r="N1" t="s">
        <v>2605</v>
      </c>
      <c r="O1" t="s">
        <v>2606</v>
      </c>
      <c r="P1" t="s">
        <v>2607</v>
      </c>
      <c r="Q1" t="s">
        <v>2608</v>
      </c>
      <c r="R1" t="s">
        <v>2609</v>
      </c>
      <c r="S1" t="s">
        <v>2610</v>
      </c>
      <c r="T1" t="s">
        <v>2611</v>
      </c>
      <c r="U1" t="s">
        <v>2612</v>
      </c>
      <c r="V1" t="s">
        <v>2613</v>
      </c>
      <c r="W1" t="s">
        <v>2614</v>
      </c>
      <c r="X1" t="s">
        <v>2615</v>
      </c>
      <c r="Y1" t="s">
        <v>2616</v>
      </c>
      <c r="Z1" t="s">
        <v>2617</v>
      </c>
      <c r="AA1" t="s">
        <v>2618</v>
      </c>
      <c r="AB1" t="s">
        <v>2619</v>
      </c>
      <c r="AC1" t="s">
        <v>2620</v>
      </c>
      <c r="AD1" t="s">
        <v>2621</v>
      </c>
      <c r="AE1" t="s">
        <v>2622</v>
      </c>
      <c r="AF1" t="s">
        <v>2623</v>
      </c>
      <c r="AG1" t="s">
        <v>2624</v>
      </c>
      <c r="AH1" t="s">
        <v>2625</v>
      </c>
      <c r="AI1" t="s">
        <v>2626</v>
      </c>
      <c r="AJ1" t="s">
        <v>2627</v>
      </c>
      <c r="AK1" t="s">
        <v>2628</v>
      </c>
      <c r="AL1" t="s">
        <v>2629</v>
      </c>
      <c r="AM1" t="s">
        <v>2630</v>
      </c>
      <c r="AN1" t="s">
        <v>2631</v>
      </c>
      <c r="AO1" t="s">
        <v>2632</v>
      </c>
      <c r="AP1" t="s">
        <v>2633</v>
      </c>
      <c r="AQ1" t="s">
        <v>2634</v>
      </c>
      <c r="AR1" t="s">
        <v>2635</v>
      </c>
      <c r="AS1" t="s">
        <v>2636</v>
      </c>
      <c r="AT1" t="s">
        <v>2637</v>
      </c>
      <c r="AU1" t="s">
        <v>2638</v>
      </c>
      <c r="AV1" t="s">
        <v>2639</v>
      </c>
      <c r="AW1" t="s">
        <v>2640</v>
      </c>
      <c r="AX1" t="s">
        <v>2641</v>
      </c>
      <c r="AY1" t="s">
        <v>2642</v>
      </c>
      <c r="AZ1" t="s">
        <v>2643</v>
      </c>
      <c r="BA1" t="s">
        <v>2644</v>
      </c>
      <c r="BB1" t="s">
        <v>2645</v>
      </c>
      <c r="BC1" t="s">
        <v>2646</v>
      </c>
      <c r="BD1" t="s">
        <v>2647</v>
      </c>
      <c r="BE1" t="s">
        <v>2648</v>
      </c>
      <c r="BF1" t="s">
        <v>2649</v>
      </c>
      <c r="BG1" t="s">
        <v>2650</v>
      </c>
      <c r="BH1" t="s">
        <v>2651</v>
      </c>
      <c r="BI1" t="s">
        <v>2652</v>
      </c>
      <c r="BJ1" t="s">
        <v>2653</v>
      </c>
      <c r="BK1" t="s">
        <v>2654</v>
      </c>
    </row>
    <row r="2" spans="1:63">
      <c r="A2" t="s">
        <v>2583</v>
      </c>
    </row>
    <row r="3" spans="1:63">
      <c r="A3" t="s">
        <v>2797</v>
      </c>
      <c r="B3" t="s">
        <v>1386</v>
      </c>
      <c r="C3" t="s">
        <v>1977</v>
      </c>
      <c r="D3" t="s">
        <v>521</v>
      </c>
      <c r="E3" t="s">
        <v>1689</v>
      </c>
      <c r="F3" t="s">
        <v>1689</v>
      </c>
      <c r="G3" t="s">
        <v>1689</v>
      </c>
      <c r="H3" t="s">
        <v>1397</v>
      </c>
      <c r="I3" t="s">
        <v>1975</v>
      </c>
      <c r="J3" t="s">
        <v>2206</v>
      </c>
      <c r="K3" t="s">
        <v>1689</v>
      </c>
      <c r="L3" t="s">
        <v>1689</v>
      </c>
      <c r="M3" t="s">
        <v>1689</v>
      </c>
      <c r="N3" t="s">
        <v>2404</v>
      </c>
      <c r="O3" t="s">
        <v>1689</v>
      </c>
      <c r="P3" t="s">
        <v>1689</v>
      </c>
      <c r="Q3" t="s">
        <v>1689</v>
      </c>
      <c r="R3" t="s">
        <v>2334</v>
      </c>
      <c r="S3" t="s">
        <v>1006</v>
      </c>
      <c r="T3" t="s">
        <v>1689</v>
      </c>
      <c r="U3" t="s">
        <v>1689</v>
      </c>
      <c r="V3" t="s">
        <v>1689</v>
      </c>
      <c r="W3" t="s">
        <v>1689</v>
      </c>
      <c r="X3" t="s">
        <v>1023</v>
      </c>
      <c r="Y3" t="s">
        <v>1689</v>
      </c>
      <c r="Z3" t="s">
        <v>1689</v>
      </c>
      <c r="AA3" t="s">
        <v>2338</v>
      </c>
      <c r="AB3" t="s">
        <v>1018</v>
      </c>
      <c r="AC3" t="s">
        <v>1689</v>
      </c>
      <c r="AD3" t="s">
        <v>1689</v>
      </c>
      <c r="AE3" t="s">
        <v>2390</v>
      </c>
      <c r="AF3" t="s">
        <v>2813</v>
      </c>
      <c r="AG3" t="s">
        <v>1689</v>
      </c>
      <c r="AH3" t="s">
        <v>2341</v>
      </c>
      <c r="AI3" t="s">
        <v>2024</v>
      </c>
      <c r="AJ3" t="s">
        <v>1689</v>
      </c>
      <c r="AK3" t="s">
        <v>1689</v>
      </c>
      <c r="AL3" t="s">
        <v>1689</v>
      </c>
      <c r="AM3" t="s">
        <v>2362</v>
      </c>
      <c r="AN3" t="s">
        <v>2815</v>
      </c>
      <c r="AO3" t="s">
        <v>1689</v>
      </c>
      <c r="AP3" t="s">
        <v>2367</v>
      </c>
      <c r="AQ3" t="s">
        <v>2077</v>
      </c>
      <c r="AR3" t="s">
        <v>1689</v>
      </c>
      <c r="AS3" t="s">
        <v>1689</v>
      </c>
      <c r="AT3" t="s">
        <v>2346</v>
      </c>
      <c r="AU3" t="s">
        <v>1689</v>
      </c>
      <c r="AV3" t="s">
        <v>1689</v>
      </c>
      <c r="AW3" t="s">
        <v>2353</v>
      </c>
      <c r="AX3" t="s">
        <v>795</v>
      </c>
      <c r="AY3" t="s">
        <v>1689</v>
      </c>
      <c r="AZ3" t="s">
        <v>1689</v>
      </c>
      <c r="BA3" t="s">
        <v>1689</v>
      </c>
      <c r="BB3" t="s">
        <v>2358</v>
      </c>
      <c r="BC3" t="s">
        <v>257</v>
      </c>
      <c r="BD3" t="s">
        <v>1689</v>
      </c>
      <c r="BE3" t="s">
        <v>1689</v>
      </c>
      <c r="BF3" t="s">
        <v>2374</v>
      </c>
      <c r="BG3" t="s">
        <v>1689</v>
      </c>
      <c r="BH3" t="s">
        <v>2375</v>
      </c>
      <c r="BI3" t="s">
        <v>1689</v>
      </c>
      <c r="BJ3" t="s">
        <v>139</v>
      </c>
      <c r="BK3" t="s">
        <v>2243</v>
      </c>
    </row>
    <row r="4" spans="1:63">
      <c r="A4" t="s">
        <v>2800</v>
      </c>
      <c r="B4" t="s">
        <v>1381</v>
      </c>
      <c r="C4" t="s">
        <v>1229</v>
      </c>
      <c r="D4" t="s">
        <v>521</v>
      </c>
      <c r="E4" t="s">
        <v>303</v>
      </c>
      <c r="F4" t="s">
        <v>303</v>
      </c>
      <c r="G4" t="s">
        <v>303</v>
      </c>
      <c r="H4" t="s">
        <v>1392</v>
      </c>
      <c r="I4" t="s">
        <v>1229</v>
      </c>
      <c r="J4" t="s">
        <v>2206</v>
      </c>
      <c r="K4" t="s">
        <v>303</v>
      </c>
      <c r="L4" t="s">
        <v>303</v>
      </c>
      <c r="M4" t="s">
        <v>303</v>
      </c>
      <c r="N4" t="s">
        <v>1933</v>
      </c>
      <c r="O4" t="s">
        <v>303</v>
      </c>
      <c r="P4" t="s">
        <v>303</v>
      </c>
      <c r="Q4" t="s">
        <v>303</v>
      </c>
      <c r="R4" t="s">
        <v>462</v>
      </c>
      <c r="S4" t="s">
        <v>465</v>
      </c>
      <c r="T4" t="s">
        <v>292</v>
      </c>
      <c r="U4" t="s">
        <v>1979</v>
      </c>
      <c r="V4" t="s">
        <v>303</v>
      </c>
      <c r="W4" t="s">
        <v>303</v>
      </c>
      <c r="X4" t="s">
        <v>657</v>
      </c>
      <c r="Y4" t="s">
        <v>303</v>
      </c>
      <c r="Z4" t="s">
        <v>303</v>
      </c>
      <c r="AA4" t="s">
        <v>1015</v>
      </c>
      <c r="AB4" t="s">
        <v>1018</v>
      </c>
      <c r="AC4" t="s">
        <v>1983</v>
      </c>
      <c r="AD4" t="s">
        <v>1983</v>
      </c>
      <c r="AE4" t="s">
        <v>1118</v>
      </c>
      <c r="AF4" t="s">
        <v>1121</v>
      </c>
      <c r="AG4" t="s">
        <v>303</v>
      </c>
      <c r="AH4" t="s">
        <v>822</v>
      </c>
      <c r="AI4" t="s">
        <v>1268</v>
      </c>
      <c r="AJ4" t="s">
        <v>1983</v>
      </c>
      <c r="AK4" t="s">
        <v>1979</v>
      </c>
      <c r="AL4" t="s">
        <v>303</v>
      </c>
      <c r="AM4" t="s">
        <v>1301</v>
      </c>
      <c r="AN4" t="s">
        <v>1271</v>
      </c>
      <c r="AO4" t="s">
        <v>1983</v>
      </c>
      <c r="AP4" t="s">
        <v>17</v>
      </c>
      <c r="AQ4" t="s">
        <v>2077</v>
      </c>
      <c r="AR4" t="s">
        <v>1983</v>
      </c>
      <c r="AS4" t="s">
        <v>1983</v>
      </c>
      <c r="AT4" t="s">
        <v>1532</v>
      </c>
      <c r="AU4" t="s">
        <v>303</v>
      </c>
      <c r="AV4" t="s">
        <v>303</v>
      </c>
      <c r="AW4" t="s">
        <v>2081</v>
      </c>
      <c r="AX4" t="s">
        <v>1342</v>
      </c>
      <c r="AY4" t="s">
        <v>1983</v>
      </c>
      <c r="AZ4" t="s">
        <v>1983</v>
      </c>
      <c r="BA4" t="s">
        <v>1983</v>
      </c>
      <c r="BB4" t="s">
        <v>255</v>
      </c>
      <c r="BC4" t="s">
        <v>257</v>
      </c>
      <c r="BD4" t="s">
        <v>1983</v>
      </c>
      <c r="BE4" t="s">
        <v>303</v>
      </c>
      <c r="BF4" t="s">
        <v>492</v>
      </c>
      <c r="BG4" t="s">
        <v>1689</v>
      </c>
      <c r="BH4" t="s">
        <v>259</v>
      </c>
      <c r="BI4" t="s">
        <v>1689</v>
      </c>
      <c r="BJ4" t="s">
        <v>1938</v>
      </c>
      <c r="BK4" t="s">
        <v>185</v>
      </c>
    </row>
  </sheetData>
  <pageMargins left="0.75" right="0.75" top="1" bottom="1" header="0.5" footer="0.5"/>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1743A-74D4-49D2-A6CB-E0100E10ED6B}">
  <sheetPr codeName="Sheet33"/>
  <dimension ref="A1:DU3"/>
  <sheetViews>
    <sheetView workbookViewId="0">
      <selection sqref="A1:A2"/>
    </sheetView>
  </sheetViews>
  <sheetFormatPr defaultColWidth="4.7109375" defaultRowHeight="12.75"/>
  <cols>
    <col min="1" max="1" width="15.42578125" customWidth="1"/>
  </cols>
  <sheetData>
    <row r="1" spans="1:125">
      <c r="A1" t="s">
        <v>2515</v>
      </c>
      <c r="B1" t="s">
        <v>2671</v>
      </c>
      <c r="C1" t="s">
        <v>2672</v>
      </c>
      <c r="D1" t="s">
        <v>2673</v>
      </c>
      <c r="E1" t="s">
        <v>2674</v>
      </c>
      <c r="F1" t="s">
        <v>2675</v>
      </c>
      <c r="G1" t="s">
        <v>2676</v>
      </c>
      <c r="H1" t="s">
        <v>2677</v>
      </c>
      <c r="I1" t="s">
        <v>2678</v>
      </c>
      <c r="J1" t="s">
        <v>2679</v>
      </c>
      <c r="K1" t="s">
        <v>2680</v>
      </c>
      <c r="L1" t="s">
        <v>2681</v>
      </c>
      <c r="M1" t="s">
        <v>2682</v>
      </c>
      <c r="N1" t="s">
        <v>2683</v>
      </c>
      <c r="O1" t="s">
        <v>2684</v>
      </c>
      <c r="P1" t="s">
        <v>2685</v>
      </c>
      <c r="Q1" t="s">
        <v>2686</v>
      </c>
      <c r="R1" t="s">
        <v>2687</v>
      </c>
      <c r="S1" t="s">
        <v>2688</v>
      </c>
      <c r="T1" t="s">
        <v>2689</v>
      </c>
      <c r="U1" t="s">
        <v>2690</v>
      </c>
      <c r="V1" t="s">
        <v>2691</v>
      </c>
      <c r="W1" t="s">
        <v>2692</v>
      </c>
      <c r="X1" t="s">
        <v>2693</v>
      </c>
      <c r="Y1" t="s">
        <v>2694</v>
      </c>
      <c r="Z1" t="s">
        <v>2695</v>
      </c>
      <c r="AA1" t="s">
        <v>2696</v>
      </c>
      <c r="AB1" t="s">
        <v>2697</v>
      </c>
      <c r="AC1" t="s">
        <v>2698</v>
      </c>
      <c r="AD1" t="s">
        <v>2699</v>
      </c>
      <c r="AE1" t="s">
        <v>2700</v>
      </c>
      <c r="AF1" t="s">
        <v>2701</v>
      </c>
      <c r="AG1" t="s">
        <v>2702</v>
      </c>
      <c r="AH1" t="s">
        <v>2703</v>
      </c>
      <c r="AI1" t="s">
        <v>2704</v>
      </c>
      <c r="AJ1" t="s">
        <v>2705</v>
      </c>
      <c r="AK1" t="s">
        <v>2706</v>
      </c>
      <c r="AL1" t="s">
        <v>2707</v>
      </c>
      <c r="AM1" t="s">
        <v>2708</v>
      </c>
      <c r="AN1" t="s">
        <v>2709</v>
      </c>
      <c r="AO1" t="s">
        <v>2710</v>
      </c>
      <c r="AP1" t="s">
        <v>2711</v>
      </c>
      <c r="AQ1" t="s">
        <v>2712</v>
      </c>
      <c r="AR1" t="s">
        <v>2713</v>
      </c>
      <c r="AS1" t="s">
        <v>2714</v>
      </c>
      <c r="AT1" t="s">
        <v>2715</v>
      </c>
      <c r="AU1" t="s">
        <v>2716</v>
      </c>
      <c r="AV1" t="s">
        <v>2717</v>
      </c>
      <c r="AW1" t="s">
        <v>2718</v>
      </c>
      <c r="AX1" t="s">
        <v>2719</v>
      </c>
      <c r="AY1" t="s">
        <v>2720</v>
      </c>
      <c r="AZ1" t="s">
        <v>2721</v>
      </c>
      <c r="BA1" t="s">
        <v>2722</v>
      </c>
      <c r="BB1" t="s">
        <v>2723</v>
      </c>
      <c r="BC1" t="s">
        <v>2724</v>
      </c>
      <c r="BD1" t="s">
        <v>2725</v>
      </c>
      <c r="BE1" t="s">
        <v>2726</v>
      </c>
      <c r="BF1" t="s">
        <v>2727</v>
      </c>
      <c r="BG1" t="s">
        <v>2728</v>
      </c>
      <c r="BH1" t="s">
        <v>2729</v>
      </c>
      <c r="BI1" t="s">
        <v>2730</v>
      </c>
      <c r="BJ1" t="s">
        <v>2731</v>
      </c>
      <c r="BK1" t="s">
        <v>2732</v>
      </c>
      <c r="BL1" t="s">
        <v>2733</v>
      </c>
      <c r="BM1" t="s">
        <v>2734</v>
      </c>
      <c r="BN1" t="s">
        <v>2735</v>
      </c>
      <c r="BO1" t="s">
        <v>2736</v>
      </c>
      <c r="BP1" t="s">
        <v>2737</v>
      </c>
      <c r="BQ1" t="s">
        <v>2738</v>
      </c>
      <c r="BR1" t="s">
        <v>2739</v>
      </c>
      <c r="BS1" t="s">
        <v>2740</v>
      </c>
      <c r="BT1" t="s">
        <v>2741</v>
      </c>
      <c r="BU1" t="s">
        <v>2742</v>
      </c>
      <c r="BV1" t="s">
        <v>2743</v>
      </c>
      <c r="BW1" t="s">
        <v>2744</v>
      </c>
      <c r="BX1" t="s">
        <v>2745</v>
      </c>
      <c r="BY1" t="s">
        <v>2746</v>
      </c>
      <c r="BZ1" t="s">
        <v>2747</v>
      </c>
      <c r="CA1" t="s">
        <v>2748</v>
      </c>
      <c r="CB1" t="s">
        <v>2749</v>
      </c>
      <c r="CC1" t="s">
        <v>2750</v>
      </c>
      <c r="CD1" t="s">
        <v>2751</v>
      </c>
      <c r="CE1" t="s">
        <v>2752</v>
      </c>
      <c r="CF1" t="s">
        <v>2753</v>
      </c>
      <c r="CG1" t="s">
        <v>2754</v>
      </c>
      <c r="CH1" t="s">
        <v>2755</v>
      </c>
      <c r="CI1" t="s">
        <v>2756</v>
      </c>
      <c r="CJ1" t="s">
        <v>2757</v>
      </c>
      <c r="CK1" t="s">
        <v>2758</v>
      </c>
      <c r="CL1" t="s">
        <v>2759</v>
      </c>
      <c r="CM1" t="s">
        <v>2760</v>
      </c>
      <c r="CN1" t="s">
        <v>2761</v>
      </c>
      <c r="CO1" t="s">
        <v>2762</v>
      </c>
      <c r="CP1" t="s">
        <v>2763</v>
      </c>
      <c r="CQ1" t="s">
        <v>2764</v>
      </c>
      <c r="CR1" t="s">
        <v>2765</v>
      </c>
      <c r="CS1" t="s">
        <v>2766</v>
      </c>
      <c r="CT1" t="s">
        <v>2767</v>
      </c>
      <c r="CU1" t="s">
        <v>2768</v>
      </c>
      <c r="CV1" t="s">
        <v>2769</v>
      </c>
      <c r="CW1" t="s">
        <v>2770</v>
      </c>
      <c r="CX1" t="s">
        <v>2771</v>
      </c>
      <c r="CY1" t="s">
        <v>2772</v>
      </c>
      <c r="CZ1" t="s">
        <v>2773</v>
      </c>
      <c r="DA1" t="s">
        <v>2774</v>
      </c>
      <c r="DB1" t="s">
        <v>2775</v>
      </c>
      <c r="DC1" t="s">
        <v>2776</v>
      </c>
      <c r="DD1" t="s">
        <v>2777</v>
      </c>
      <c r="DE1" t="s">
        <v>2778</v>
      </c>
      <c r="DF1" t="s">
        <v>2779</v>
      </c>
      <c r="DG1" t="s">
        <v>2780</v>
      </c>
      <c r="DH1" t="s">
        <v>2781</v>
      </c>
      <c r="DI1" t="s">
        <v>2782</v>
      </c>
      <c r="DJ1" t="s">
        <v>2783</v>
      </c>
      <c r="DK1" t="s">
        <v>2784</v>
      </c>
      <c r="DL1" t="s">
        <v>2785</v>
      </c>
      <c r="DM1" t="s">
        <v>2786</v>
      </c>
      <c r="DN1" t="s">
        <v>2787</v>
      </c>
      <c r="DO1" t="s">
        <v>2788</v>
      </c>
      <c r="DP1" t="s">
        <v>2789</v>
      </c>
      <c r="DQ1" t="s">
        <v>2790</v>
      </c>
      <c r="DR1" t="s">
        <v>2892</v>
      </c>
      <c r="DS1" t="s">
        <v>2893</v>
      </c>
      <c r="DT1" t="s">
        <v>2894</v>
      </c>
      <c r="DU1" t="s">
        <v>2895</v>
      </c>
    </row>
    <row r="2" spans="1:125">
      <c r="A2" t="s">
        <v>2583</v>
      </c>
    </row>
    <row r="3" spans="1:125">
      <c r="A3" t="s">
        <v>878</v>
      </c>
      <c r="B3">
        <v>5</v>
      </c>
      <c r="D3">
        <v>1</v>
      </c>
      <c r="E3">
        <v>0</v>
      </c>
      <c r="F3">
        <v>1</v>
      </c>
      <c r="H3">
        <v>1</v>
      </c>
      <c r="I3">
        <v>2</v>
      </c>
      <c r="J3">
        <v>0</v>
      </c>
      <c r="L3">
        <v>1</v>
      </c>
      <c r="N3">
        <v>0</v>
      </c>
      <c r="O3">
        <v>3</v>
      </c>
      <c r="P3">
        <v>1</v>
      </c>
      <c r="R3">
        <v>1</v>
      </c>
      <c r="S3">
        <v>5</v>
      </c>
      <c r="T3">
        <v>1</v>
      </c>
      <c r="U3">
        <v>2</v>
      </c>
      <c r="V3" t="s">
        <v>2883</v>
      </c>
      <c r="W3">
        <v>3</v>
      </c>
      <c r="X3">
        <v>0</v>
      </c>
      <c r="Z3">
        <v>0</v>
      </c>
      <c r="AA3">
        <v>10</v>
      </c>
      <c r="AB3">
        <v>0</v>
      </c>
      <c r="AC3">
        <v>2</v>
      </c>
      <c r="AH3">
        <v>1</v>
      </c>
      <c r="AI3">
        <v>2</v>
      </c>
      <c r="AJ3">
        <v>1</v>
      </c>
      <c r="AK3">
        <v>5</v>
      </c>
      <c r="AL3">
        <v>0</v>
      </c>
      <c r="AN3">
        <v>1</v>
      </c>
      <c r="AO3">
        <v>5</v>
      </c>
      <c r="AP3">
        <v>0</v>
      </c>
      <c r="AR3">
        <v>0</v>
      </c>
      <c r="AS3">
        <v>5</v>
      </c>
      <c r="AT3">
        <v>0</v>
      </c>
      <c r="AV3">
        <v>0</v>
      </c>
      <c r="AW3">
        <v>3</v>
      </c>
      <c r="AX3">
        <v>1</v>
      </c>
      <c r="AZ3">
        <v>1</v>
      </c>
      <c r="BA3">
        <v>5</v>
      </c>
      <c r="BB3">
        <v>0</v>
      </c>
      <c r="BC3">
        <v>2</v>
      </c>
      <c r="BD3">
        <v>1</v>
      </c>
      <c r="BF3">
        <v>0</v>
      </c>
      <c r="BG3">
        <v>2</v>
      </c>
      <c r="BH3">
        <v>1</v>
      </c>
      <c r="BI3">
        <v>2</v>
      </c>
      <c r="BJ3">
        <v>1</v>
      </c>
      <c r="BM3">
        <v>2</v>
      </c>
      <c r="BN3">
        <v>0</v>
      </c>
      <c r="BO3">
        <v>3</v>
      </c>
      <c r="BP3">
        <v>0</v>
      </c>
      <c r="BR3">
        <v>0</v>
      </c>
      <c r="BX3">
        <v>1</v>
      </c>
      <c r="BZ3">
        <v>0</v>
      </c>
      <c r="CD3">
        <v>0</v>
      </c>
      <c r="CF3">
        <v>0</v>
      </c>
      <c r="CH3">
        <v>0</v>
      </c>
      <c r="CJ3">
        <v>0</v>
      </c>
      <c r="CL3">
        <v>0</v>
      </c>
      <c r="CN3">
        <v>0</v>
      </c>
      <c r="CP3">
        <v>0</v>
      </c>
      <c r="CT3">
        <v>1</v>
      </c>
      <c r="CV3">
        <v>0</v>
      </c>
      <c r="CX3">
        <v>0</v>
      </c>
      <c r="DB3">
        <v>1</v>
      </c>
      <c r="DD3">
        <v>1</v>
      </c>
      <c r="DH3">
        <v>1</v>
      </c>
      <c r="DJ3">
        <v>1</v>
      </c>
      <c r="DL3">
        <v>0</v>
      </c>
      <c r="DN3">
        <v>1</v>
      </c>
      <c r="DP3">
        <v>0</v>
      </c>
      <c r="DR3">
        <v>0</v>
      </c>
    </row>
  </sheetData>
  <phoneticPr fontId="2" type="noConversion"/>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7EB85-66AE-4ECC-80A6-016502D87CBC}">
  <sheetPr codeName="Sheet31"/>
  <dimension ref="A1:BP13"/>
  <sheetViews>
    <sheetView workbookViewId="0">
      <selection activeCell="A9" sqref="A9"/>
    </sheetView>
  </sheetViews>
  <sheetFormatPr defaultRowHeight="12.75"/>
  <cols>
    <col min="1" max="1" width="16.7109375" bestFit="1" customWidth="1"/>
    <col min="2" max="2" width="4.28515625" bestFit="1" customWidth="1"/>
    <col min="3" max="78" width="4.28515625" customWidth="1"/>
  </cols>
  <sheetData>
    <row r="1" spans="1:68">
      <c r="A1" t="s">
        <v>2515</v>
      </c>
      <c r="B1" t="s">
        <v>2516</v>
      </c>
      <c r="C1" t="s">
        <v>2517</v>
      </c>
      <c r="D1" t="s">
        <v>2518</v>
      </c>
      <c r="E1" t="s">
        <v>2519</v>
      </c>
      <c r="F1" t="s">
        <v>2520</v>
      </c>
      <c r="G1" t="s">
        <v>2521</v>
      </c>
      <c r="H1" t="s">
        <v>2522</v>
      </c>
      <c r="I1" t="s">
        <v>2523</v>
      </c>
      <c r="J1" t="s">
        <v>2524</v>
      </c>
      <c r="K1" t="s">
        <v>2525</v>
      </c>
      <c r="L1" t="s">
        <v>2526</v>
      </c>
      <c r="M1" t="s">
        <v>2527</v>
      </c>
      <c r="N1" t="s">
        <v>2528</v>
      </c>
      <c r="O1" t="s">
        <v>2529</v>
      </c>
      <c r="P1" t="s">
        <v>2530</v>
      </c>
      <c r="Q1" t="s">
        <v>2531</v>
      </c>
      <c r="R1" t="s">
        <v>2532</v>
      </c>
      <c r="S1" t="s">
        <v>2533</v>
      </c>
      <c r="T1" t="s">
        <v>2534</v>
      </c>
      <c r="U1" t="s">
        <v>2535</v>
      </c>
      <c r="V1" t="s">
        <v>2536</v>
      </c>
      <c r="W1" t="s">
        <v>2537</v>
      </c>
      <c r="X1" t="s">
        <v>2538</v>
      </c>
      <c r="Y1" t="s">
        <v>2539</v>
      </c>
      <c r="Z1" t="s">
        <v>2540</v>
      </c>
      <c r="AA1" t="s">
        <v>2541</v>
      </c>
      <c r="AB1" t="s">
        <v>2542</v>
      </c>
      <c r="AC1" t="s">
        <v>2543</v>
      </c>
      <c r="AD1" t="s">
        <v>2544</v>
      </c>
      <c r="AE1" t="s">
        <v>2545</v>
      </c>
      <c r="AF1" t="s">
        <v>2546</v>
      </c>
      <c r="AG1" t="s">
        <v>2547</v>
      </c>
      <c r="AH1" t="s">
        <v>2548</v>
      </c>
      <c r="AI1" t="s">
        <v>2549</v>
      </c>
      <c r="AJ1" t="s">
        <v>2550</v>
      </c>
      <c r="AK1" t="s">
        <v>2551</v>
      </c>
      <c r="AL1" t="s">
        <v>2552</v>
      </c>
      <c r="AM1" t="s">
        <v>2553</v>
      </c>
      <c r="AN1" t="s">
        <v>2554</v>
      </c>
      <c r="AO1" t="s">
        <v>2555</v>
      </c>
      <c r="AP1" t="s">
        <v>2556</v>
      </c>
      <c r="AQ1" t="s">
        <v>2557</v>
      </c>
      <c r="AR1" t="s">
        <v>2558</v>
      </c>
      <c r="AS1" t="s">
        <v>2559</v>
      </c>
      <c r="AT1" t="s">
        <v>2560</v>
      </c>
      <c r="AU1" t="s">
        <v>2561</v>
      </c>
      <c r="AV1" t="s">
        <v>2562</v>
      </c>
      <c r="AW1" t="s">
        <v>2563</v>
      </c>
      <c r="AX1" t="s">
        <v>2564</v>
      </c>
      <c r="AY1" t="s">
        <v>2565</v>
      </c>
      <c r="AZ1" t="s">
        <v>2566</v>
      </c>
      <c r="BA1" t="s">
        <v>2567</v>
      </c>
      <c r="BB1" t="s">
        <v>2568</v>
      </c>
      <c r="BC1" t="s">
        <v>2569</v>
      </c>
      <c r="BD1" t="s">
        <v>2570</v>
      </c>
      <c r="BE1" t="s">
        <v>2571</v>
      </c>
      <c r="BF1" t="s">
        <v>2572</v>
      </c>
      <c r="BG1" t="s">
        <v>2573</v>
      </c>
      <c r="BH1" t="s">
        <v>2574</v>
      </c>
      <c r="BI1" t="s">
        <v>2575</v>
      </c>
      <c r="BJ1" t="s">
        <v>2576</v>
      </c>
      <c r="BK1" t="s">
        <v>2577</v>
      </c>
      <c r="BL1" t="s">
        <v>2578</v>
      </c>
      <c r="BM1" t="s">
        <v>2579</v>
      </c>
      <c r="BN1" t="s">
        <v>2580</v>
      </c>
      <c r="BO1" t="s">
        <v>2581</v>
      </c>
      <c r="BP1" t="s">
        <v>2582</v>
      </c>
    </row>
    <row r="2" spans="1:68">
      <c r="A2" t="s">
        <v>2583</v>
      </c>
    </row>
    <row r="3" spans="1:68">
      <c r="A3" t="s">
        <v>2584</v>
      </c>
      <c r="B3">
        <v>0</v>
      </c>
      <c r="C3">
        <v>0</v>
      </c>
      <c r="D3">
        <v>5</v>
      </c>
      <c r="E3">
        <v>3</v>
      </c>
      <c r="F3">
        <v>2</v>
      </c>
      <c r="G3">
        <v>0</v>
      </c>
      <c r="H3">
        <v>1</v>
      </c>
      <c r="I3">
        <v>0</v>
      </c>
      <c r="J3">
        <v>5</v>
      </c>
      <c r="K3">
        <v>3</v>
      </c>
      <c r="L3">
        <v>0</v>
      </c>
      <c r="M3">
        <v>0</v>
      </c>
      <c r="N3">
        <v>0</v>
      </c>
      <c r="O3">
        <v>0</v>
      </c>
      <c r="P3">
        <v>0</v>
      </c>
      <c r="Q3">
        <v>0</v>
      </c>
      <c r="R3">
        <v>0</v>
      </c>
      <c r="S3">
        <v>0</v>
      </c>
      <c r="T3">
        <v>0</v>
      </c>
      <c r="U3">
        <v>0</v>
      </c>
      <c r="V3">
        <v>0</v>
      </c>
      <c r="W3">
        <v>3</v>
      </c>
      <c r="X3">
        <v>2</v>
      </c>
      <c r="Y3">
        <v>0</v>
      </c>
      <c r="Z3">
        <v>3</v>
      </c>
      <c r="AA3">
        <v>0</v>
      </c>
      <c r="AB3">
        <v>5</v>
      </c>
      <c r="AC3">
        <v>0</v>
      </c>
      <c r="AD3">
        <v>0</v>
      </c>
      <c r="AE3">
        <v>2</v>
      </c>
      <c r="AF3">
        <v>0</v>
      </c>
      <c r="AG3">
        <v>0</v>
      </c>
      <c r="AH3">
        <v>5</v>
      </c>
      <c r="AI3">
        <v>0</v>
      </c>
      <c r="AJ3">
        <v>1</v>
      </c>
      <c r="AK3">
        <v>5</v>
      </c>
      <c r="AL3">
        <v>0</v>
      </c>
      <c r="AM3">
        <v>0</v>
      </c>
      <c r="AN3">
        <v>2</v>
      </c>
      <c r="AO3">
        <v>3</v>
      </c>
      <c r="AP3">
        <v>2</v>
      </c>
      <c r="AQ3">
        <v>1</v>
      </c>
      <c r="AR3">
        <v>2</v>
      </c>
      <c r="AS3">
        <v>5</v>
      </c>
      <c r="AT3">
        <v>1</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row>
    <row r="4" spans="1:68">
      <c r="A4" t="s">
        <v>2585</v>
      </c>
      <c r="B4">
        <v>0</v>
      </c>
      <c r="C4">
        <v>0</v>
      </c>
      <c r="D4">
        <v>5</v>
      </c>
      <c r="E4">
        <v>3</v>
      </c>
      <c r="F4">
        <v>2</v>
      </c>
      <c r="G4">
        <v>0</v>
      </c>
      <c r="H4">
        <v>1</v>
      </c>
      <c r="I4">
        <v>0</v>
      </c>
      <c r="J4">
        <v>5</v>
      </c>
      <c r="K4">
        <v>0</v>
      </c>
      <c r="L4">
        <v>0</v>
      </c>
      <c r="M4">
        <v>0</v>
      </c>
      <c r="N4">
        <v>0</v>
      </c>
      <c r="O4">
        <v>0</v>
      </c>
      <c r="P4">
        <v>0</v>
      </c>
      <c r="Q4">
        <v>0</v>
      </c>
      <c r="R4">
        <v>0</v>
      </c>
      <c r="S4">
        <v>0</v>
      </c>
      <c r="T4">
        <v>0</v>
      </c>
      <c r="U4">
        <v>0</v>
      </c>
      <c r="V4">
        <v>0</v>
      </c>
      <c r="W4">
        <v>3</v>
      </c>
      <c r="X4">
        <v>2</v>
      </c>
      <c r="Y4">
        <v>0</v>
      </c>
      <c r="Z4">
        <v>3</v>
      </c>
      <c r="AA4">
        <v>0</v>
      </c>
      <c r="AB4">
        <v>5</v>
      </c>
      <c r="AC4">
        <v>0</v>
      </c>
      <c r="AD4">
        <v>0</v>
      </c>
      <c r="AE4">
        <v>2</v>
      </c>
      <c r="AF4">
        <v>0</v>
      </c>
      <c r="AG4">
        <v>0</v>
      </c>
      <c r="AH4">
        <v>5</v>
      </c>
      <c r="AI4">
        <v>0</v>
      </c>
      <c r="AJ4">
        <v>1</v>
      </c>
      <c r="AK4">
        <v>5</v>
      </c>
      <c r="AL4">
        <v>5</v>
      </c>
      <c r="AM4">
        <v>0</v>
      </c>
      <c r="AN4">
        <v>2</v>
      </c>
      <c r="AO4">
        <v>3</v>
      </c>
      <c r="AP4">
        <v>2</v>
      </c>
      <c r="AQ4">
        <v>1</v>
      </c>
      <c r="AR4">
        <v>0</v>
      </c>
      <c r="AS4">
        <v>5</v>
      </c>
      <c r="AT4">
        <v>1</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row>
    <row r="5" spans="1:68">
      <c r="A5" t="s">
        <v>2586</v>
      </c>
      <c r="B5">
        <v>0</v>
      </c>
      <c r="C5">
        <v>0</v>
      </c>
      <c r="D5">
        <v>5</v>
      </c>
      <c r="E5">
        <v>2</v>
      </c>
      <c r="F5">
        <v>0</v>
      </c>
      <c r="G5">
        <v>3</v>
      </c>
      <c r="H5">
        <v>1</v>
      </c>
      <c r="I5">
        <v>0</v>
      </c>
      <c r="J5">
        <v>4</v>
      </c>
      <c r="K5">
        <v>0</v>
      </c>
      <c r="L5">
        <v>0</v>
      </c>
      <c r="M5">
        <v>0</v>
      </c>
      <c r="N5">
        <v>0</v>
      </c>
      <c r="O5">
        <v>0</v>
      </c>
      <c r="P5">
        <v>0</v>
      </c>
      <c r="Q5">
        <v>0</v>
      </c>
      <c r="R5">
        <v>0</v>
      </c>
      <c r="S5">
        <v>0</v>
      </c>
      <c r="T5">
        <v>0</v>
      </c>
      <c r="U5">
        <v>0</v>
      </c>
      <c r="V5">
        <v>0</v>
      </c>
      <c r="W5">
        <v>3</v>
      </c>
      <c r="X5">
        <v>2</v>
      </c>
      <c r="Y5">
        <v>0</v>
      </c>
      <c r="Z5">
        <v>3</v>
      </c>
      <c r="AA5">
        <v>0</v>
      </c>
      <c r="AB5">
        <v>5</v>
      </c>
      <c r="AC5">
        <v>0</v>
      </c>
      <c r="AD5">
        <v>0</v>
      </c>
      <c r="AE5">
        <v>2</v>
      </c>
      <c r="AF5">
        <v>0</v>
      </c>
      <c r="AG5">
        <v>5</v>
      </c>
      <c r="AH5">
        <v>5</v>
      </c>
      <c r="AI5">
        <v>0</v>
      </c>
      <c r="AJ5">
        <v>1</v>
      </c>
      <c r="AK5">
        <v>0</v>
      </c>
      <c r="AL5">
        <v>0</v>
      </c>
      <c r="AM5">
        <v>0</v>
      </c>
      <c r="AN5">
        <v>2</v>
      </c>
      <c r="AO5">
        <v>3</v>
      </c>
      <c r="AP5">
        <v>2</v>
      </c>
      <c r="AQ5">
        <v>1</v>
      </c>
      <c r="AR5">
        <v>1</v>
      </c>
      <c r="AS5">
        <v>5</v>
      </c>
      <c r="AT5">
        <v>1</v>
      </c>
      <c r="AU5">
        <v>0</v>
      </c>
      <c r="AV5">
        <v>5</v>
      </c>
      <c r="AW5">
        <v>0</v>
      </c>
      <c r="AX5">
        <v>0</v>
      </c>
      <c r="AY5">
        <v>0</v>
      </c>
      <c r="AZ5">
        <v>0</v>
      </c>
      <c r="BA5">
        <v>0</v>
      </c>
      <c r="BB5">
        <v>0</v>
      </c>
      <c r="BC5">
        <v>0</v>
      </c>
      <c r="BD5">
        <v>0</v>
      </c>
      <c r="BE5">
        <v>0</v>
      </c>
      <c r="BF5">
        <v>0</v>
      </c>
      <c r="BG5">
        <v>0</v>
      </c>
      <c r="BH5">
        <v>0</v>
      </c>
      <c r="BI5">
        <v>0</v>
      </c>
      <c r="BJ5">
        <v>0</v>
      </c>
      <c r="BK5">
        <v>0</v>
      </c>
      <c r="BL5">
        <v>0</v>
      </c>
      <c r="BM5">
        <v>0</v>
      </c>
      <c r="BN5">
        <v>0</v>
      </c>
      <c r="BO5">
        <v>0</v>
      </c>
      <c r="BP5">
        <v>0</v>
      </c>
    </row>
    <row r="6" spans="1:68">
      <c r="A6" t="s">
        <v>2587</v>
      </c>
      <c r="B6">
        <v>0</v>
      </c>
      <c r="C6">
        <v>0</v>
      </c>
      <c r="D6">
        <v>5</v>
      </c>
      <c r="E6">
        <v>3</v>
      </c>
      <c r="F6">
        <v>2</v>
      </c>
      <c r="G6">
        <v>0</v>
      </c>
      <c r="H6">
        <v>1</v>
      </c>
      <c r="I6">
        <v>0</v>
      </c>
      <c r="J6">
        <v>0</v>
      </c>
      <c r="K6">
        <v>0</v>
      </c>
      <c r="L6">
        <v>0</v>
      </c>
      <c r="M6">
        <v>0</v>
      </c>
      <c r="N6">
        <v>0</v>
      </c>
      <c r="O6">
        <v>0</v>
      </c>
      <c r="P6">
        <v>0</v>
      </c>
      <c r="Q6">
        <v>0</v>
      </c>
      <c r="R6">
        <v>0</v>
      </c>
      <c r="S6">
        <v>0</v>
      </c>
      <c r="T6">
        <v>0</v>
      </c>
      <c r="U6">
        <v>0</v>
      </c>
      <c r="V6">
        <v>0</v>
      </c>
      <c r="W6">
        <v>3</v>
      </c>
      <c r="X6">
        <v>0</v>
      </c>
      <c r="Y6">
        <v>2</v>
      </c>
      <c r="Z6">
        <v>3</v>
      </c>
      <c r="AA6">
        <v>0</v>
      </c>
      <c r="AB6">
        <v>5</v>
      </c>
      <c r="AC6">
        <v>0</v>
      </c>
      <c r="AD6">
        <v>0</v>
      </c>
      <c r="AE6">
        <v>2</v>
      </c>
      <c r="AF6">
        <v>0</v>
      </c>
      <c r="AG6">
        <v>0</v>
      </c>
      <c r="AH6">
        <v>5</v>
      </c>
      <c r="AI6">
        <v>0</v>
      </c>
      <c r="AJ6">
        <v>1</v>
      </c>
      <c r="AK6">
        <v>5</v>
      </c>
      <c r="AL6">
        <v>0</v>
      </c>
      <c r="AM6">
        <v>0</v>
      </c>
      <c r="AN6">
        <v>2</v>
      </c>
      <c r="AO6">
        <v>0</v>
      </c>
      <c r="AP6">
        <v>0</v>
      </c>
      <c r="AQ6">
        <v>0</v>
      </c>
      <c r="AR6">
        <v>0</v>
      </c>
      <c r="AS6">
        <v>0</v>
      </c>
      <c r="AT6">
        <v>0</v>
      </c>
      <c r="AU6">
        <v>0</v>
      </c>
      <c r="AV6">
        <v>5</v>
      </c>
      <c r="AW6">
        <v>2</v>
      </c>
      <c r="AX6">
        <v>0</v>
      </c>
      <c r="AY6">
        <v>5</v>
      </c>
      <c r="AZ6">
        <v>3</v>
      </c>
      <c r="BA6">
        <v>0</v>
      </c>
      <c r="BB6">
        <v>0</v>
      </c>
      <c r="BC6">
        <v>0</v>
      </c>
      <c r="BD6">
        <v>2</v>
      </c>
      <c r="BE6">
        <v>3</v>
      </c>
      <c r="BF6">
        <v>0</v>
      </c>
      <c r="BG6">
        <v>0</v>
      </c>
      <c r="BH6">
        <v>1</v>
      </c>
      <c r="BI6">
        <v>1</v>
      </c>
      <c r="BJ6">
        <v>0</v>
      </c>
      <c r="BK6">
        <v>0</v>
      </c>
      <c r="BL6">
        <v>0</v>
      </c>
      <c r="BM6">
        <v>0</v>
      </c>
      <c r="BN6">
        <v>0</v>
      </c>
      <c r="BO6">
        <v>0</v>
      </c>
      <c r="BP6">
        <v>0</v>
      </c>
    </row>
    <row r="7" spans="1:68">
      <c r="A7" t="s">
        <v>2588</v>
      </c>
      <c r="B7">
        <v>0</v>
      </c>
      <c r="C7">
        <v>0</v>
      </c>
      <c r="D7">
        <v>5</v>
      </c>
      <c r="E7">
        <v>3</v>
      </c>
      <c r="F7">
        <v>2</v>
      </c>
      <c r="G7">
        <v>0</v>
      </c>
      <c r="H7">
        <v>1</v>
      </c>
      <c r="I7">
        <v>0</v>
      </c>
      <c r="J7">
        <v>0</v>
      </c>
      <c r="K7">
        <v>0</v>
      </c>
      <c r="L7">
        <v>0</v>
      </c>
      <c r="M7">
        <v>0</v>
      </c>
      <c r="N7">
        <v>0</v>
      </c>
      <c r="O7">
        <v>0</v>
      </c>
      <c r="P7">
        <v>0</v>
      </c>
      <c r="Q7">
        <v>0</v>
      </c>
      <c r="R7">
        <v>0</v>
      </c>
      <c r="S7">
        <v>0</v>
      </c>
      <c r="T7">
        <v>0</v>
      </c>
      <c r="U7">
        <v>0</v>
      </c>
      <c r="V7">
        <v>0</v>
      </c>
      <c r="W7">
        <v>3</v>
      </c>
      <c r="X7">
        <v>0</v>
      </c>
      <c r="Y7">
        <v>2</v>
      </c>
      <c r="Z7">
        <v>3</v>
      </c>
      <c r="AA7">
        <v>0</v>
      </c>
      <c r="AB7">
        <v>5</v>
      </c>
      <c r="AC7">
        <v>0</v>
      </c>
      <c r="AD7">
        <v>0</v>
      </c>
      <c r="AE7">
        <v>2</v>
      </c>
      <c r="AF7">
        <v>0</v>
      </c>
      <c r="AG7">
        <v>0</v>
      </c>
      <c r="AH7">
        <v>5</v>
      </c>
      <c r="AI7">
        <v>0</v>
      </c>
      <c r="AJ7">
        <v>1</v>
      </c>
      <c r="AK7">
        <v>0</v>
      </c>
      <c r="AL7">
        <v>0</v>
      </c>
      <c r="AM7">
        <v>0</v>
      </c>
      <c r="AN7">
        <v>0</v>
      </c>
      <c r="AO7">
        <v>0</v>
      </c>
      <c r="AP7">
        <v>0</v>
      </c>
      <c r="AQ7">
        <v>0</v>
      </c>
      <c r="AR7">
        <v>0</v>
      </c>
      <c r="AS7">
        <v>0</v>
      </c>
      <c r="AT7">
        <v>0</v>
      </c>
      <c r="AU7">
        <v>0</v>
      </c>
      <c r="AV7">
        <v>5</v>
      </c>
      <c r="AW7">
        <v>2</v>
      </c>
      <c r="AX7">
        <v>0</v>
      </c>
      <c r="AY7">
        <v>5</v>
      </c>
      <c r="AZ7">
        <v>3</v>
      </c>
      <c r="BA7">
        <v>1</v>
      </c>
      <c r="BB7">
        <v>0</v>
      </c>
      <c r="BC7">
        <v>0</v>
      </c>
      <c r="BD7">
        <v>2</v>
      </c>
      <c r="BE7">
        <v>3</v>
      </c>
      <c r="BF7">
        <v>0</v>
      </c>
      <c r="BG7">
        <v>1</v>
      </c>
      <c r="BH7">
        <v>2</v>
      </c>
      <c r="BI7">
        <v>1</v>
      </c>
      <c r="BJ7">
        <v>0</v>
      </c>
      <c r="BK7">
        <v>4</v>
      </c>
      <c r="BL7">
        <v>0</v>
      </c>
      <c r="BM7">
        <v>0</v>
      </c>
      <c r="BN7">
        <v>0</v>
      </c>
      <c r="BO7">
        <v>0</v>
      </c>
      <c r="BP7">
        <v>0</v>
      </c>
    </row>
    <row r="8" spans="1:68">
      <c r="A8" t="s">
        <v>2589</v>
      </c>
      <c r="B8">
        <v>0</v>
      </c>
      <c r="C8">
        <v>0</v>
      </c>
      <c r="D8">
        <v>0</v>
      </c>
      <c r="E8">
        <v>0</v>
      </c>
      <c r="F8">
        <v>0</v>
      </c>
      <c r="G8">
        <v>0</v>
      </c>
      <c r="H8">
        <v>0</v>
      </c>
      <c r="I8">
        <v>0</v>
      </c>
      <c r="J8">
        <v>0</v>
      </c>
      <c r="K8">
        <v>0</v>
      </c>
      <c r="L8">
        <v>0</v>
      </c>
      <c r="M8">
        <v>0</v>
      </c>
      <c r="N8">
        <v>0</v>
      </c>
      <c r="O8">
        <v>0</v>
      </c>
      <c r="P8">
        <v>0</v>
      </c>
      <c r="Q8">
        <v>0</v>
      </c>
      <c r="R8">
        <v>0</v>
      </c>
      <c r="S8">
        <v>0</v>
      </c>
      <c r="T8">
        <v>0</v>
      </c>
      <c r="U8">
        <v>0</v>
      </c>
      <c r="V8">
        <v>0</v>
      </c>
      <c r="W8">
        <v>3</v>
      </c>
      <c r="X8">
        <v>0</v>
      </c>
      <c r="Y8">
        <v>2</v>
      </c>
      <c r="Z8">
        <v>3</v>
      </c>
      <c r="AA8">
        <v>0</v>
      </c>
      <c r="AB8">
        <v>5</v>
      </c>
      <c r="AC8">
        <v>2</v>
      </c>
      <c r="AD8">
        <v>0</v>
      </c>
      <c r="AE8">
        <v>2</v>
      </c>
      <c r="AF8">
        <v>0</v>
      </c>
      <c r="AG8">
        <v>0</v>
      </c>
      <c r="AH8">
        <v>5</v>
      </c>
      <c r="AI8">
        <v>0</v>
      </c>
      <c r="AJ8">
        <v>1</v>
      </c>
      <c r="AK8">
        <v>5</v>
      </c>
      <c r="AL8">
        <v>0</v>
      </c>
      <c r="AM8">
        <v>0</v>
      </c>
      <c r="AN8">
        <v>2</v>
      </c>
      <c r="AO8">
        <v>0</v>
      </c>
      <c r="AP8">
        <v>2</v>
      </c>
      <c r="AQ8">
        <v>1</v>
      </c>
      <c r="AR8">
        <v>2</v>
      </c>
      <c r="AS8">
        <v>5</v>
      </c>
      <c r="AT8">
        <v>0</v>
      </c>
      <c r="AU8">
        <v>0</v>
      </c>
      <c r="AV8">
        <v>5</v>
      </c>
      <c r="AW8">
        <v>2</v>
      </c>
      <c r="AX8">
        <v>0</v>
      </c>
      <c r="AY8">
        <v>5</v>
      </c>
      <c r="AZ8">
        <v>3</v>
      </c>
      <c r="BA8">
        <v>0</v>
      </c>
      <c r="BB8">
        <v>0</v>
      </c>
      <c r="BC8">
        <v>0</v>
      </c>
      <c r="BD8">
        <v>2</v>
      </c>
      <c r="BE8">
        <v>3</v>
      </c>
      <c r="BF8">
        <v>0</v>
      </c>
      <c r="BG8">
        <v>0</v>
      </c>
      <c r="BH8">
        <v>0</v>
      </c>
      <c r="BI8">
        <v>1</v>
      </c>
      <c r="BJ8">
        <v>0</v>
      </c>
      <c r="BK8">
        <v>0</v>
      </c>
      <c r="BL8">
        <v>0</v>
      </c>
      <c r="BM8">
        <v>0</v>
      </c>
      <c r="BN8">
        <v>0</v>
      </c>
      <c r="BO8">
        <v>0</v>
      </c>
      <c r="BP8">
        <v>0</v>
      </c>
    </row>
    <row r="9" spans="1:68">
      <c r="A9" t="s">
        <v>2590</v>
      </c>
      <c r="B9">
        <v>0</v>
      </c>
      <c r="C9">
        <v>0</v>
      </c>
      <c r="D9">
        <v>0</v>
      </c>
      <c r="E9">
        <v>0</v>
      </c>
      <c r="F9">
        <v>0</v>
      </c>
      <c r="G9">
        <v>0</v>
      </c>
      <c r="H9">
        <v>0</v>
      </c>
      <c r="I9">
        <v>0</v>
      </c>
      <c r="J9">
        <v>0</v>
      </c>
      <c r="K9">
        <v>0</v>
      </c>
      <c r="L9">
        <v>0</v>
      </c>
      <c r="M9">
        <v>0</v>
      </c>
      <c r="N9">
        <v>0</v>
      </c>
      <c r="O9">
        <v>0</v>
      </c>
      <c r="P9">
        <v>0</v>
      </c>
      <c r="Q9">
        <v>0</v>
      </c>
      <c r="R9">
        <v>0</v>
      </c>
      <c r="S9">
        <v>0</v>
      </c>
      <c r="T9">
        <v>0</v>
      </c>
      <c r="U9">
        <v>0</v>
      </c>
      <c r="V9">
        <v>0</v>
      </c>
      <c r="W9">
        <v>3</v>
      </c>
      <c r="X9">
        <v>0</v>
      </c>
      <c r="Y9">
        <v>2</v>
      </c>
      <c r="Z9">
        <v>3</v>
      </c>
      <c r="AA9">
        <v>0</v>
      </c>
      <c r="AB9">
        <v>5</v>
      </c>
      <c r="AC9">
        <v>0</v>
      </c>
      <c r="AD9">
        <v>0</v>
      </c>
      <c r="AE9">
        <v>2</v>
      </c>
      <c r="AF9">
        <v>0</v>
      </c>
      <c r="AG9">
        <v>0</v>
      </c>
      <c r="AH9">
        <v>5</v>
      </c>
      <c r="AI9">
        <v>0</v>
      </c>
      <c r="AJ9">
        <v>1</v>
      </c>
      <c r="AK9">
        <v>5</v>
      </c>
      <c r="AL9">
        <v>0</v>
      </c>
      <c r="AM9">
        <v>0</v>
      </c>
      <c r="AN9">
        <v>2</v>
      </c>
      <c r="AO9">
        <v>0</v>
      </c>
      <c r="AP9">
        <v>0</v>
      </c>
      <c r="AQ9">
        <v>0</v>
      </c>
      <c r="AR9">
        <v>0</v>
      </c>
      <c r="AS9">
        <v>0</v>
      </c>
      <c r="AT9">
        <v>0</v>
      </c>
      <c r="AU9">
        <v>0</v>
      </c>
      <c r="AV9">
        <v>5</v>
      </c>
      <c r="AW9">
        <v>2</v>
      </c>
      <c r="AX9">
        <v>0</v>
      </c>
      <c r="AY9">
        <v>5</v>
      </c>
      <c r="AZ9">
        <v>3</v>
      </c>
      <c r="BA9">
        <v>1</v>
      </c>
      <c r="BB9">
        <v>0</v>
      </c>
      <c r="BC9">
        <v>0</v>
      </c>
      <c r="BD9">
        <v>2</v>
      </c>
      <c r="BE9">
        <v>3</v>
      </c>
      <c r="BF9">
        <v>0</v>
      </c>
      <c r="BG9">
        <v>1</v>
      </c>
      <c r="BH9">
        <v>2</v>
      </c>
      <c r="BI9">
        <v>1</v>
      </c>
      <c r="BJ9">
        <v>0</v>
      </c>
      <c r="BK9">
        <v>5</v>
      </c>
      <c r="BL9">
        <v>0</v>
      </c>
      <c r="BM9">
        <v>0</v>
      </c>
      <c r="BN9">
        <v>3</v>
      </c>
      <c r="BO9">
        <v>0</v>
      </c>
      <c r="BP9">
        <v>0</v>
      </c>
    </row>
    <row r="10" spans="1:68">
      <c r="A10" t="s">
        <v>750</v>
      </c>
      <c r="B10">
        <v>0</v>
      </c>
      <c r="C10">
        <v>0</v>
      </c>
      <c r="D10">
        <v>5</v>
      </c>
      <c r="E10">
        <v>3</v>
      </c>
      <c r="F10">
        <v>2</v>
      </c>
      <c r="G10">
        <v>3</v>
      </c>
      <c r="H10">
        <v>1</v>
      </c>
      <c r="I10">
        <v>0</v>
      </c>
      <c r="J10">
        <v>5</v>
      </c>
      <c r="K10">
        <v>5</v>
      </c>
      <c r="L10">
        <v>0</v>
      </c>
      <c r="M10">
        <v>2</v>
      </c>
      <c r="N10">
        <v>1</v>
      </c>
      <c r="O10">
        <v>0</v>
      </c>
      <c r="P10">
        <v>2</v>
      </c>
      <c r="Q10">
        <v>5</v>
      </c>
      <c r="R10">
        <v>0</v>
      </c>
      <c r="S10">
        <v>1</v>
      </c>
      <c r="T10">
        <v>0</v>
      </c>
      <c r="U10">
        <v>5</v>
      </c>
      <c r="V10">
        <v>1</v>
      </c>
      <c r="W10">
        <v>3</v>
      </c>
      <c r="X10">
        <v>2</v>
      </c>
      <c r="Y10">
        <v>0</v>
      </c>
      <c r="Z10">
        <v>3</v>
      </c>
      <c r="AA10">
        <v>0</v>
      </c>
      <c r="AB10">
        <v>5</v>
      </c>
      <c r="AC10">
        <v>2</v>
      </c>
      <c r="AD10">
        <v>0</v>
      </c>
      <c r="AE10">
        <v>0</v>
      </c>
      <c r="AF10">
        <v>0</v>
      </c>
      <c r="AG10">
        <v>0</v>
      </c>
      <c r="AH10">
        <v>5</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row>
    <row r="11" spans="1:68">
      <c r="A11" t="s">
        <v>2591</v>
      </c>
      <c r="B11">
        <v>0</v>
      </c>
      <c r="C11">
        <v>0</v>
      </c>
      <c r="D11">
        <v>5</v>
      </c>
      <c r="E11">
        <v>3</v>
      </c>
      <c r="F11">
        <v>2</v>
      </c>
      <c r="G11">
        <v>0</v>
      </c>
      <c r="H11">
        <v>1</v>
      </c>
      <c r="I11">
        <v>0</v>
      </c>
      <c r="J11">
        <v>5</v>
      </c>
      <c r="K11">
        <v>3</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5</v>
      </c>
      <c r="AW11">
        <v>2</v>
      </c>
      <c r="AX11">
        <v>0</v>
      </c>
      <c r="AY11">
        <v>5</v>
      </c>
      <c r="AZ11">
        <v>3</v>
      </c>
      <c r="BA11">
        <v>0</v>
      </c>
      <c r="BB11">
        <v>0</v>
      </c>
      <c r="BC11">
        <v>3</v>
      </c>
      <c r="BD11">
        <v>2</v>
      </c>
      <c r="BE11">
        <v>3</v>
      </c>
      <c r="BF11">
        <v>0</v>
      </c>
      <c r="BG11">
        <v>1</v>
      </c>
      <c r="BH11">
        <v>2</v>
      </c>
      <c r="BI11">
        <v>1</v>
      </c>
      <c r="BJ11">
        <v>0</v>
      </c>
      <c r="BK11">
        <v>5</v>
      </c>
      <c r="BL11">
        <v>0</v>
      </c>
      <c r="BM11">
        <v>1</v>
      </c>
      <c r="BN11">
        <v>3</v>
      </c>
      <c r="BO11">
        <v>5</v>
      </c>
      <c r="BP11">
        <v>1</v>
      </c>
    </row>
    <row r="12" spans="1:68">
      <c r="A12" t="s">
        <v>2592</v>
      </c>
      <c r="B12">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5</v>
      </c>
      <c r="Z12">
        <v>3</v>
      </c>
      <c r="AA12">
        <v>0</v>
      </c>
      <c r="AB12">
        <v>5</v>
      </c>
      <c r="AC12">
        <v>0</v>
      </c>
      <c r="AD12">
        <v>0</v>
      </c>
      <c r="AE12">
        <v>2</v>
      </c>
      <c r="AF12">
        <v>0</v>
      </c>
      <c r="AG12">
        <v>0</v>
      </c>
      <c r="AH12">
        <v>5</v>
      </c>
      <c r="AI12">
        <v>0</v>
      </c>
      <c r="AJ12">
        <v>0</v>
      </c>
      <c r="AK12">
        <v>0</v>
      </c>
      <c r="AL12">
        <v>0</v>
      </c>
      <c r="AM12">
        <v>0</v>
      </c>
      <c r="AN12">
        <v>0</v>
      </c>
      <c r="AO12">
        <v>0</v>
      </c>
      <c r="AP12">
        <v>0</v>
      </c>
      <c r="AQ12">
        <v>0</v>
      </c>
      <c r="AR12">
        <v>0</v>
      </c>
      <c r="AS12">
        <v>0</v>
      </c>
      <c r="AT12">
        <v>0</v>
      </c>
      <c r="AU12">
        <v>0</v>
      </c>
      <c r="AV12">
        <v>5</v>
      </c>
      <c r="AW12">
        <v>2</v>
      </c>
      <c r="AX12">
        <v>0</v>
      </c>
      <c r="AY12">
        <v>5</v>
      </c>
      <c r="AZ12">
        <v>3</v>
      </c>
      <c r="BA12">
        <v>0</v>
      </c>
      <c r="BB12">
        <v>0</v>
      </c>
      <c r="BC12">
        <v>2</v>
      </c>
      <c r="BD12">
        <v>2</v>
      </c>
      <c r="BE12">
        <v>3</v>
      </c>
      <c r="BF12">
        <v>0</v>
      </c>
      <c r="BG12">
        <v>1</v>
      </c>
      <c r="BH12">
        <v>2</v>
      </c>
      <c r="BI12">
        <v>1</v>
      </c>
      <c r="BJ12">
        <v>0</v>
      </c>
      <c r="BK12">
        <v>5</v>
      </c>
      <c r="BL12">
        <v>0</v>
      </c>
      <c r="BM12">
        <v>1</v>
      </c>
      <c r="BN12">
        <v>3</v>
      </c>
      <c r="BO12">
        <v>5</v>
      </c>
      <c r="BP12">
        <v>1</v>
      </c>
    </row>
    <row r="13" spans="1:68">
      <c r="A13" s="674">
        <v>14925</v>
      </c>
      <c r="B13">
        <v>0</v>
      </c>
      <c r="C13">
        <v>0</v>
      </c>
      <c r="D13">
        <v>5</v>
      </c>
      <c r="E13">
        <v>3</v>
      </c>
      <c r="F13">
        <v>2</v>
      </c>
      <c r="G13">
        <v>0</v>
      </c>
      <c r="H13">
        <v>1</v>
      </c>
      <c r="I13">
        <v>0</v>
      </c>
      <c r="J13">
        <v>0</v>
      </c>
      <c r="K13">
        <v>0</v>
      </c>
      <c r="L13">
        <v>0</v>
      </c>
      <c r="M13">
        <v>0</v>
      </c>
      <c r="N13">
        <v>0</v>
      </c>
      <c r="O13">
        <v>0</v>
      </c>
      <c r="P13">
        <v>0</v>
      </c>
      <c r="Q13">
        <v>0</v>
      </c>
      <c r="R13">
        <v>0</v>
      </c>
      <c r="S13">
        <v>0</v>
      </c>
      <c r="T13">
        <v>0</v>
      </c>
      <c r="U13">
        <v>0</v>
      </c>
      <c r="V13">
        <v>0</v>
      </c>
      <c r="W13">
        <v>0</v>
      </c>
      <c r="X13">
        <v>0</v>
      </c>
      <c r="Y13">
        <v>5</v>
      </c>
      <c r="Z13">
        <v>0</v>
      </c>
      <c r="AA13">
        <v>5</v>
      </c>
      <c r="AB13">
        <v>0</v>
      </c>
      <c r="AC13">
        <v>0</v>
      </c>
      <c r="AD13">
        <v>0</v>
      </c>
      <c r="AE13">
        <v>0</v>
      </c>
      <c r="AF13">
        <v>0</v>
      </c>
      <c r="AG13">
        <v>0</v>
      </c>
      <c r="AH13">
        <v>0</v>
      </c>
      <c r="AI13">
        <v>0</v>
      </c>
      <c r="AJ13">
        <v>0</v>
      </c>
      <c r="AK13">
        <v>0</v>
      </c>
      <c r="AL13">
        <v>0</v>
      </c>
      <c r="AM13">
        <v>0</v>
      </c>
      <c r="AN13">
        <v>0</v>
      </c>
      <c r="AO13">
        <v>0</v>
      </c>
      <c r="AP13">
        <v>0</v>
      </c>
      <c r="AQ13">
        <v>0</v>
      </c>
      <c r="AR13">
        <v>0</v>
      </c>
      <c r="AS13">
        <v>0</v>
      </c>
      <c r="AT13">
        <v>0</v>
      </c>
      <c r="AU13">
        <v>5</v>
      </c>
      <c r="AV13">
        <v>0</v>
      </c>
      <c r="AW13">
        <v>2</v>
      </c>
      <c r="AX13">
        <v>0</v>
      </c>
      <c r="AY13">
        <v>5</v>
      </c>
      <c r="AZ13">
        <v>2</v>
      </c>
      <c r="BA13">
        <v>1</v>
      </c>
      <c r="BB13">
        <v>0</v>
      </c>
      <c r="BC13">
        <v>2</v>
      </c>
      <c r="BD13">
        <v>0</v>
      </c>
      <c r="BE13">
        <v>3</v>
      </c>
      <c r="BF13">
        <v>2</v>
      </c>
      <c r="BG13">
        <v>1</v>
      </c>
      <c r="BH13">
        <v>2</v>
      </c>
      <c r="BI13">
        <v>1</v>
      </c>
      <c r="BJ13">
        <v>0</v>
      </c>
      <c r="BK13">
        <v>5</v>
      </c>
      <c r="BL13">
        <v>0</v>
      </c>
      <c r="BM13">
        <v>1</v>
      </c>
      <c r="BN13">
        <v>3</v>
      </c>
      <c r="BO13">
        <v>5</v>
      </c>
      <c r="BP13">
        <v>0</v>
      </c>
    </row>
  </sheetData>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81156-EA4D-4182-9641-CB94E563CF34}">
  <sheetPr codeName="Sheet34"/>
  <dimension ref="A1:Y4"/>
  <sheetViews>
    <sheetView workbookViewId="0">
      <selection activeCell="W1" sqref="W1"/>
    </sheetView>
  </sheetViews>
  <sheetFormatPr defaultRowHeight="12.75"/>
  <cols>
    <col min="1" max="1" width="16.7109375" bestFit="1" customWidth="1"/>
    <col min="2" max="2" width="4.28515625" bestFit="1" customWidth="1"/>
    <col min="3" max="5" width="4.28515625" customWidth="1"/>
    <col min="6" max="6" width="6.85546875" customWidth="1"/>
    <col min="7" max="12" width="4.28515625" customWidth="1"/>
    <col min="13" max="13" width="4.140625" customWidth="1"/>
    <col min="14" max="14" width="4.28515625" customWidth="1"/>
    <col min="15" max="15" width="3.85546875" customWidth="1"/>
    <col min="16" max="16" width="8.140625" customWidth="1"/>
    <col min="17" max="21" width="4.28515625" customWidth="1"/>
    <col min="22" max="22" width="6" customWidth="1"/>
    <col min="23" max="23" width="4.28515625" customWidth="1"/>
    <col min="24" max="24" width="6" bestFit="1" customWidth="1"/>
  </cols>
  <sheetData>
    <row r="1" spans="1:25">
      <c r="A1" t="s">
        <v>2515</v>
      </c>
      <c r="B1" t="s">
        <v>2656</v>
      </c>
      <c r="C1" t="s">
        <v>2657</v>
      </c>
      <c r="D1" t="s">
        <v>2658</v>
      </c>
      <c r="E1" t="s">
        <v>2659</v>
      </c>
      <c r="F1" t="s">
        <v>2866</v>
      </c>
      <c r="G1" t="s">
        <v>2660</v>
      </c>
      <c r="H1" t="s">
        <v>2661</v>
      </c>
      <c r="I1" t="s">
        <v>2662</v>
      </c>
      <c r="J1" t="s">
        <v>2663</v>
      </c>
      <c r="K1" t="s">
        <v>2664</v>
      </c>
      <c r="L1" t="s">
        <v>2666</v>
      </c>
      <c r="M1" t="s">
        <v>2667</v>
      </c>
      <c r="N1" t="s">
        <v>2865</v>
      </c>
      <c r="O1" t="s">
        <v>3036</v>
      </c>
      <c r="P1" t="s">
        <v>3158</v>
      </c>
      <c r="Q1" t="s">
        <v>3005</v>
      </c>
      <c r="R1" t="s">
        <v>2655</v>
      </c>
      <c r="S1" t="s">
        <v>2665</v>
      </c>
      <c r="T1" t="s">
        <v>3006</v>
      </c>
      <c r="U1" t="s">
        <v>2668</v>
      </c>
      <c r="V1" t="s">
        <v>2872</v>
      </c>
      <c r="W1" t="s">
        <v>3004</v>
      </c>
      <c r="X1" t="s">
        <v>2868</v>
      </c>
      <c r="Y1" t="s">
        <v>3194</v>
      </c>
    </row>
    <row r="2" spans="1:25">
      <c r="A2" t="s">
        <v>2583</v>
      </c>
    </row>
    <row r="3" spans="1:25">
      <c r="A3" t="s">
        <v>2669</v>
      </c>
      <c r="B3">
        <v>73</v>
      </c>
      <c r="C3" t="s">
        <v>1734</v>
      </c>
      <c r="D3" t="s">
        <v>144</v>
      </c>
      <c r="E3" t="s">
        <v>144</v>
      </c>
      <c r="F3">
        <v>7685</v>
      </c>
      <c r="G3" t="s">
        <v>1011</v>
      </c>
      <c r="H3">
        <v>0.3</v>
      </c>
      <c r="I3" t="s">
        <v>144</v>
      </c>
      <c r="J3" t="s">
        <v>751</v>
      </c>
      <c r="K3" t="s">
        <v>1013</v>
      </c>
      <c r="L3" t="s">
        <v>751</v>
      </c>
      <c r="M3" t="s">
        <v>1013</v>
      </c>
      <c r="N3" t="s">
        <v>751</v>
      </c>
      <c r="O3" t="s">
        <v>751</v>
      </c>
      <c r="P3" t="b">
        <v>0</v>
      </c>
      <c r="Q3" t="s">
        <v>669</v>
      </c>
      <c r="R3">
        <v>70</v>
      </c>
      <c r="S3" t="s">
        <v>751</v>
      </c>
      <c r="T3">
        <v>300</v>
      </c>
      <c r="U3" t="s">
        <v>751</v>
      </c>
      <c r="V3" s="897">
        <v>1</v>
      </c>
      <c r="W3">
        <v>1</v>
      </c>
      <c r="X3">
        <v>10000</v>
      </c>
      <c r="Y3" t="b">
        <v>0</v>
      </c>
    </row>
    <row r="4" spans="1:25">
      <c r="A4" t="s">
        <v>2670</v>
      </c>
      <c r="B4">
        <v>73</v>
      </c>
      <c r="C4" t="s">
        <v>1734</v>
      </c>
      <c r="D4" t="s">
        <v>144</v>
      </c>
      <c r="E4" t="s">
        <v>144</v>
      </c>
      <c r="F4">
        <v>6200</v>
      </c>
      <c r="G4" t="s">
        <v>1011</v>
      </c>
      <c r="H4">
        <v>0.3</v>
      </c>
      <c r="I4" t="s">
        <v>144</v>
      </c>
      <c r="J4" t="s">
        <v>751</v>
      </c>
      <c r="K4" t="s">
        <v>1013</v>
      </c>
      <c r="L4" t="s">
        <v>751</v>
      </c>
      <c r="M4" t="s">
        <v>1013</v>
      </c>
      <c r="N4" t="s">
        <v>751</v>
      </c>
      <c r="O4" t="s">
        <v>751</v>
      </c>
      <c r="P4" t="b">
        <v>0</v>
      </c>
      <c r="Q4" t="s">
        <v>669</v>
      </c>
      <c r="R4">
        <v>70</v>
      </c>
      <c r="S4" t="s">
        <v>751</v>
      </c>
      <c r="T4">
        <v>300</v>
      </c>
      <c r="U4" t="s">
        <v>751</v>
      </c>
      <c r="V4" s="897">
        <v>1</v>
      </c>
      <c r="W4">
        <v>1</v>
      </c>
      <c r="X4">
        <v>10000</v>
      </c>
      <c r="Y4" t="b">
        <v>0</v>
      </c>
    </row>
  </sheetData>
  <pageMargins left="0.75" right="0.75" top="1" bottom="1" header="0.5" footer="0.5"/>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F8146-7206-4F03-9D10-14DA109A6647}">
  <sheetPr codeName="Sheet35"/>
  <dimension ref="A1:BG3"/>
  <sheetViews>
    <sheetView workbookViewId="0">
      <selection activeCell="AT11" sqref="AT11"/>
    </sheetView>
  </sheetViews>
  <sheetFormatPr defaultRowHeight="12.75"/>
  <cols>
    <col min="1" max="1" width="11.28515625" bestFit="1" customWidth="1"/>
    <col min="2" max="2" width="3.28515625" bestFit="1" customWidth="1"/>
    <col min="3" max="23" width="4.28515625" bestFit="1" customWidth="1"/>
    <col min="24" max="37" width="4.140625" bestFit="1" customWidth="1"/>
    <col min="38" max="38" width="3.28515625" bestFit="1" customWidth="1"/>
    <col min="39" max="39" width="3" bestFit="1" customWidth="1"/>
    <col min="40" max="40" width="4" bestFit="1" customWidth="1"/>
    <col min="41" max="42" width="3.42578125" bestFit="1" customWidth="1"/>
    <col min="43" max="43" width="4" bestFit="1" customWidth="1"/>
    <col min="44" max="47" width="3.42578125" bestFit="1" customWidth="1"/>
    <col min="48" max="59" width="4" bestFit="1" customWidth="1"/>
  </cols>
  <sheetData>
    <row r="1" spans="1:59">
      <c r="A1" t="s">
        <v>2515</v>
      </c>
      <c r="B1" t="s">
        <v>3059</v>
      </c>
      <c r="C1" t="s">
        <v>3060</v>
      </c>
      <c r="D1" t="s">
        <v>3061</v>
      </c>
      <c r="E1" t="s">
        <v>3062</v>
      </c>
      <c r="F1" t="s">
        <v>3063</v>
      </c>
      <c r="G1" t="s">
        <v>2516</v>
      </c>
      <c r="H1" t="s">
        <v>2517</v>
      </c>
      <c r="I1" t="s">
        <v>2518</v>
      </c>
      <c r="J1" t="s">
        <v>2519</v>
      </c>
      <c r="K1" t="s">
        <v>2520</v>
      </c>
      <c r="L1" t="s">
        <v>2521</v>
      </c>
      <c r="M1" t="s">
        <v>2522</v>
      </c>
      <c r="N1" t="s">
        <v>2526</v>
      </c>
      <c r="O1" t="s">
        <v>3064</v>
      </c>
      <c r="P1" t="s">
        <v>2527</v>
      </c>
      <c r="Q1" t="s">
        <v>2528</v>
      </c>
      <c r="R1" t="s">
        <v>2529</v>
      </c>
      <c r="S1" t="s">
        <v>2530</v>
      </c>
      <c r="T1" t="s">
        <v>2531</v>
      </c>
      <c r="U1" t="s">
        <v>2532</v>
      </c>
      <c r="V1" t="s">
        <v>3065</v>
      </c>
      <c r="W1" t="s">
        <v>2533</v>
      </c>
      <c r="X1" t="s">
        <v>3066</v>
      </c>
      <c r="Y1" t="s">
        <v>3067</v>
      </c>
      <c r="Z1" t="s">
        <v>3068</v>
      </c>
      <c r="AA1" t="s">
        <v>3069</v>
      </c>
      <c r="AB1" t="s">
        <v>2537</v>
      </c>
      <c r="AC1" t="s">
        <v>2538</v>
      </c>
      <c r="AD1" t="s">
        <v>2539</v>
      </c>
      <c r="AE1" t="s">
        <v>2548</v>
      </c>
      <c r="AF1" t="s">
        <v>2549</v>
      </c>
      <c r="AG1" t="s">
        <v>2550</v>
      </c>
      <c r="AH1" t="s">
        <v>2551</v>
      </c>
      <c r="AI1" t="s">
        <v>2552</v>
      </c>
      <c r="AJ1" t="s">
        <v>2553</v>
      </c>
      <c r="AK1" t="s">
        <v>2554</v>
      </c>
      <c r="AL1" t="s">
        <v>3070</v>
      </c>
      <c r="AM1" t="s">
        <v>3071</v>
      </c>
      <c r="AN1" t="s">
        <v>3072</v>
      </c>
      <c r="AO1" t="s">
        <v>3073</v>
      </c>
      <c r="AP1" t="s">
        <v>2561</v>
      </c>
      <c r="AQ1" t="s">
        <v>2562</v>
      </c>
      <c r="AR1" t="s">
        <v>2564</v>
      </c>
      <c r="AS1" t="s">
        <v>2565</v>
      </c>
      <c r="AT1" t="s">
        <v>2566</v>
      </c>
      <c r="AU1" t="s">
        <v>2567</v>
      </c>
      <c r="AV1" t="s">
        <v>2568</v>
      </c>
      <c r="AW1" t="s">
        <v>2569</v>
      </c>
      <c r="AX1" t="s">
        <v>2570</v>
      </c>
      <c r="AY1" t="s">
        <v>2571</v>
      </c>
      <c r="AZ1" t="s">
        <v>2572</v>
      </c>
      <c r="BA1" t="s">
        <v>2573</v>
      </c>
      <c r="BB1" t="s">
        <v>2574</v>
      </c>
      <c r="BC1" t="s">
        <v>2575</v>
      </c>
      <c r="BD1" t="s">
        <v>2576</v>
      </c>
      <c r="BE1" t="s">
        <v>2577</v>
      </c>
      <c r="BF1" t="s">
        <v>3074</v>
      </c>
      <c r="BG1" t="s">
        <v>2578</v>
      </c>
    </row>
    <row r="2" spans="1:59">
      <c r="A2" t="s">
        <v>2583</v>
      </c>
    </row>
    <row r="3" spans="1:59">
      <c r="A3" t="s">
        <v>878</v>
      </c>
      <c r="B3" t="s">
        <v>751</v>
      </c>
      <c r="C3">
        <v>0</v>
      </c>
      <c r="D3" t="s">
        <v>751</v>
      </c>
      <c r="E3">
        <v>60</v>
      </c>
      <c r="F3">
        <v>120</v>
      </c>
      <c r="G3">
        <v>180</v>
      </c>
      <c r="H3">
        <v>240</v>
      </c>
      <c r="I3">
        <v>300</v>
      </c>
      <c r="J3">
        <v>360</v>
      </c>
      <c r="K3">
        <v>420</v>
      </c>
      <c r="L3">
        <v>480</v>
      </c>
      <c r="M3">
        <v>540</v>
      </c>
      <c r="N3" t="s">
        <v>751</v>
      </c>
      <c r="O3">
        <v>0</v>
      </c>
      <c r="P3" t="s">
        <v>751</v>
      </c>
      <c r="Q3" t="s">
        <v>751</v>
      </c>
      <c r="R3">
        <v>90</v>
      </c>
      <c r="S3">
        <v>180</v>
      </c>
      <c r="T3">
        <v>270</v>
      </c>
      <c r="U3">
        <v>360</v>
      </c>
      <c r="V3">
        <v>450</v>
      </c>
      <c r="W3">
        <v>540</v>
      </c>
      <c r="X3" t="s">
        <v>751</v>
      </c>
      <c r="Y3">
        <v>0</v>
      </c>
      <c r="Z3" t="s">
        <v>751</v>
      </c>
      <c r="AA3">
        <v>120</v>
      </c>
      <c r="AB3">
        <v>240</v>
      </c>
      <c r="AC3">
        <v>360</v>
      </c>
      <c r="AD3">
        <v>480</v>
      </c>
      <c r="AE3" t="s">
        <v>751</v>
      </c>
      <c r="AF3">
        <v>0</v>
      </c>
      <c r="AG3" t="s">
        <v>751</v>
      </c>
      <c r="AH3" t="s">
        <v>751</v>
      </c>
      <c r="AI3">
        <v>180</v>
      </c>
      <c r="AJ3">
        <v>360</v>
      </c>
      <c r="AK3">
        <v>540</v>
      </c>
      <c r="AL3" t="s">
        <v>751</v>
      </c>
      <c r="AM3">
        <v>0</v>
      </c>
      <c r="AN3">
        <v>300</v>
      </c>
      <c r="AO3" t="s">
        <v>751</v>
      </c>
      <c r="AP3">
        <v>0</v>
      </c>
      <c r="AQ3">
        <v>300</v>
      </c>
      <c r="AR3" t="s">
        <v>751</v>
      </c>
      <c r="AS3">
        <v>0</v>
      </c>
      <c r="AT3">
        <v>40</v>
      </c>
      <c r="AU3">
        <v>80</v>
      </c>
      <c r="AV3">
        <v>120</v>
      </c>
      <c r="AW3">
        <v>160</v>
      </c>
      <c r="AX3">
        <v>200</v>
      </c>
      <c r="AY3">
        <v>240</v>
      </c>
      <c r="AZ3">
        <v>280</v>
      </c>
      <c r="BA3">
        <v>320</v>
      </c>
      <c r="BB3">
        <v>360</v>
      </c>
      <c r="BC3">
        <v>400</v>
      </c>
      <c r="BD3">
        <v>440</v>
      </c>
      <c r="BE3">
        <v>480</v>
      </c>
      <c r="BF3">
        <v>520</v>
      </c>
      <c r="BG3">
        <v>560</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523</vt:i4>
      </vt:variant>
    </vt:vector>
  </HeadingPairs>
  <TitlesOfParts>
    <vt:vector size="560" baseType="lpstr">
      <vt:lpstr>Intro</vt:lpstr>
      <vt:lpstr>Changelog</vt:lpstr>
      <vt:lpstr>Gear &amp; Buffs</vt:lpstr>
      <vt:lpstr>Talents</vt:lpstr>
      <vt:lpstr>Cooldowns</vt:lpstr>
      <vt:lpstr>Cycles</vt:lpstr>
      <vt:lpstr>Gear Upgrades</vt:lpstr>
      <vt:lpstr>Optimize</vt:lpstr>
      <vt:lpstr>Damage Calc</vt:lpstr>
      <vt:lpstr>Cooldowns Calc</vt:lpstr>
      <vt:lpstr>Global Var</vt:lpstr>
      <vt:lpstr>Sockfit</vt:lpstr>
      <vt:lpstr>Socket</vt:lpstr>
      <vt:lpstr>Helm</vt:lpstr>
      <vt:lpstr>Neck</vt:lpstr>
      <vt:lpstr>Shoulder</vt:lpstr>
      <vt:lpstr>Back</vt:lpstr>
      <vt:lpstr>Chest</vt:lpstr>
      <vt:lpstr>Bracers</vt:lpstr>
      <vt:lpstr>Gloves</vt:lpstr>
      <vt:lpstr>Belt</vt:lpstr>
      <vt:lpstr>Legs</vt:lpstr>
      <vt:lpstr>Boots</vt:lpstr>
      <vt:lpstr>Ring</vt:lpstr>
      <vt:lpstr>Trinket</vt:lpstr>
      <vt:lpstr>Ranged</vt:lpstr>
      <vt:lpstr>Weapons</vt:lpstr>
      <vt:lpstr>Weap Enchants</vt:lpstr>
      <vt:lpstr>Races</vt:lpstr>
      <vt:lpstr>ArmoryImport</vt:lpstr>
      <vt:lpstr>ArmoryImportLookUp</vt:lpstr>
      <vt:lpstr>nextstat2</vt:lpstr>
      <vt:lpstr>GearBuilds</vt:lpstr>
      <vt:lpstr>BuffBuilds</vt:lpstr>
      <vt:lpstr>TalentBuilds</vt:lpstr>
      <vt:lpstr>OptionBuilds</vt:lpstr>
      <vt:lpstr>CooldownBuilds</vt:lpstr>
      <vt:lpstr>agg</vt:lpstr>
      <vt:lpstr>agicrit</vt:lpstr>
      <vt:lpstr>allowenv</vt:lpstr>
      <vt:lpstr>allowrupt</vt:lpstr>
      <vt:lpstr>ap</vt:lpstr>
      <vt:lpstr>APNorm</vt:lpstr>
      <vt:lpstr>APNormDag</vt:lpstr>
      <vt:lpstr>APtoDPS</vt:lpstr>
      <vt:lpstr>APtoDPSConv</vt:lpstr>
      <vt:lpstr>armor</vt:lpstr>
      <vt:lpstr>armoradj</vt:lpstr>
      <vt:lpstr>armorpostEA</vt:lpstr>
      <vt:lpstr>armorpreEA</vt:lpstr>
      <vt:lpstr>arush</vt:lpstr>
      <vt:lpstr>as4p</vt:lpstr>
      <vt:lpstr>avginst</vt:lpstr>
      <vt:lpstr>avipdam</vt:lpstr>
      <vt:lpstr>BackEnchantList</vt:lpstr>
      <vt:lpstr>BackEnchantStats</vt:lpstr>
      <vt:lpstr>BackStats</vt:lpstr>
      <vt:lpstr>bAP</vt:lpstr>
      <vt:lpstr>bArmor</vt:lpstr>
      <vt:lpstr>basearmor</vt:lpstr>
      <vt:lpstr>BaseDodPerc</vt:lpstr>
      <vt:lpstr>BaseGlanFact</vt:lpstr>
      <vt:lpstr>BaseGlanPerc</vt:lpstr>
      <vt:lpstr>BaseMissPerc</vt:lpstr>
      <vt:lpstr>BaseParPerc</vt:lpstr>
      <vt:lpstr>bblfl</vt:lpstr>
      <vt:lpstr>bcpdodge</vt:lpstr>
      <vt:lpstr>bcpmiss</vt:lpstr>
      <vt:lpstr>BeltStats</vt:lpstr>
      <vt:lpstr>berserkinghp</vt:lpstr>
      <vt:lpstr>bExAtt</vt:lpstr>
      <vt:lpstr>bfindodge</vt:lpstr>
      <vt:lpstr>bfinmiss</vt:lpstr>
      <vt:lpstr>bfInPres</vt:lpstr>
      <vt:lpstr>bfWFea</vt:lpstr>
      <vt:lpstr>bfWFtl</vt:lpstr>
      <vt:lpstr>bGlobDam</vt:lpstr>
      <vt:lpstr>bHaste</vt:lpstr>
      <vt:lpstr>blfl</vt:lpstr>
      <vt:lpstr>blfldps</vt:lpstr>
      <vt:lpstr>bloodfrenzy</vt:lpstr>
      <vt:lpstr>bloodfrenzyimp</vt:lpstr>
      <vt:lpstr>blust</vt:lpstr>
      <vt:lpstr>blustcount</vt:lpstr>
      <vt:lpstr>bMHadam</vt:lpstr>
      <vt:lpstr>bMHasec</vt:lpstr>
      <vt:lpstr>bMHavg</vt:lpstr>
      <vt:lpstr>bMHcdam</vt:lpstr>
      <vt:lpstr>bMHcfact</vt:lpstr>
      <vt:lpstr>bMHcrit</vt:lpstr>
      <vt:lpstr>bMHcsec</vt:lpstr>
      <vt:lpstr>bMHdam</vt:lpstr>
      <vt:lpstr>bMHdod</vt:lpstr>
      <vt:lpstr>bMHgdam</vt:lpstr>
      <vt:lpstr>bMHgfact</vt:lpstr>
      <vt:lpstr>bMHglan</vt:lpstr>
      <vt:lpstr>bMHhit</vt:lpstr>
      <vt:lpstr>bMHhsec</vt:lpstr>
      <vt:lpstr>bMHmiss</vt:lpstr>
      <vt:lpstr>bMHpar</vt:lpstr>
      <vt:lpstr>bMHspd</vt:lpstr>
      <vt:lpstr>bMHthit</vt:lpstr>
      <vt:lpstr>bOHadam</vt:lpstr>
      <vt:lpstr>bOHasec</vt:lpstr>
      <vt:lpstr>bOHavg</vt:lpstr>
      <vt:lpstr>bOHcdam</vt:lpstr>
      <vt:lpstr>bOHcfact</vt:lpstr>
      <vt:lpstr>bOHcrit</vt:lpstr>
      <vt:lpstr>bOHcsec</vt:lpstr>
      <vt:lpstr>bOHdam</vt:lpstr>
      <vt:lpstr>bOHdamfac</vt:lpstr>
      <vt:lpstr>bOHdod</vt:lpstr>
      <vt:lpstr>bOHgdam</vt:lpstr>
      <vt:lpstr>bOHgfact</vt:lpstr>
      <vt:lpstr>bOHglan</vt:lpstr>
      <vt:lpstr>bOHhit</vt:lpstr>
      <vt:lpstr>bOHhsec</vt:lpstr>
      <vt:lpstr>bOHmiss</vt:lpstr>
      <vt:lpstr>bOHspd</vt:lpstr>
      <vt:lpstr>bOHthit</vt:lpstr>
      <vt:lpstr>bonenergy</vt:lpstr>
      <vt:lpstr>BonusList</vt:lpstr>
      <vt:lpstr>BonusStats</vt:lpstr>
      <vt:lpstr>BootEnchantList</vt:lpstr>
      <vt:lpstr>BootEnchantStats</vt:lpstr>
      <vt:lpstr>BootsStats</vt:lpstr>
      <vt:lpstr>bosscrit</vt:lpstr>
      <vt:lpstr>BossLevel</vt:lpstr>
      <vt:lpstr>BotSprocs</vt:lpstr>
      <vt:lpstr>BotSrate</vt:lpstr>
      <vt:lpstr>BracerEnchantList</vt:lpstr>
      <vt:lpstr>BracerEnchantStats</vt:lpstr>
      <vt:lpstr>BracersStats</vt:lpstr>
      <vt:lpstr>bs4p</vt:lpstr>
      <vt:lpstr>bs8p</vt:lpstr>
      <vt:lpstr>bwrath</vt:lpstr>
      <vt:lpstr>cb</vt:lpstr>
      <vt:lpstr>cdar1</vt:lpstr>
      <vt:lpstr>cdar2</vt:lpstr>
      <vt:lpstr>cdlust1</vt:lpstr>
      <vt:lpstr>cdlust10</vt:lpstr>
      <vt:lpstr>cdlust11</vt:lpstr>
      <vt:lpstr>cdlust12</vt:lpstr>
      <vt:lpstr>cdlust13</vt:lpstr>
      <vt:lpstr>cdlust14</vt:lpstr>
      <vt:lpstr>cdlust15</vt:lpstr>
      <vt:lpstr>cdlust2</vt:lpstr>
      <vt:lpstr>cdlust3</vt:lpstr>
      <vt:lpstr>cdlust4</vt:lpstr>
      <vt:lpstr>cdlust5</vt:lpstr>
      <vt:lpstr>cdlust6</vt:lpstr>
      <vt:lpstr>cdlust7</vt:lpstr>
      <vt:lpstr>cdlust8</vt:lpstr>
      <vt:lpstr>cdlust9</vt:lpstr>
      <vt:lpstr>cdspec120</vt:lpstr>
      <vt:lpstr>cdspec1201</vt:lpstr>
      <vt:lpstr>cdspec1202</vt:lpstr>
      <vt:lpstr>cdspec1203</vt:lpstr>
      <vt:lpstr>cdspec1204</vt:lpstr>
      <vt:lpstr>cdspec1205</vt:lpstr>
      <vt:lpstr>cdspec120plus</vt:lpstr>
      <vt:lpstr>cdspec180</vt:lpstr>
      <vt:lpstr>cdspec1801</vt:lpstr>
      <vt:lpstr>cdspec1802</vt:lpstr>
      <vt:lpstr>cdspec1803</vt:lpstr>
      <vt:lpstr>cdspec1804</vt:lpstr>
      <vt:lpstr>cdspec180plus</vt:lpstr>
      <vt:lpstr>cdspec60</vt:lpstr>
      <vt:lpstr>cdspec601</vt:lpstr>
      <vt:lpstr>cdspec6010</vt:lpstr>
      <vt:lpstr>cdspec602</vt:lpstr>
      <vt:lpstr>cdspec603</vt:lpstr>
      <vt:lpstr>cdspec604</vt:lpstr>
      <vt:lpstr>cdspec605</vt:lpstr>
      <vt:lpstr>cdspec606</vt:lpstr>
      <vt:lpstr>cdspec607</vt:lpstr>
      <vt:lpstr>cdspec608</vt:lpstr>
      <vt:lpstr>cdspec609</vt:lpstr>
      <vt:lpstr>cdspec60plus</vt:lpstr>
      <vt:lpstr>cdspec90</vt:lpstr>
      <vt:lpstr>cdspec901</vt:lpstr>
      <vt:lpstr>cdspec902</vt:lpstr>
      <vt:lpstr>cdspec903</vt:lpstr>
      <vt:lpstr>cdspec904</vt:lpstr>
      <vt:lpstr>cdspec905</vt:lpstr>
      <vt:lpstr>cdspec906</vt:lpstr>
      <vt:lpstr>cdspec907</vt:lpstr>
      <vt:lpstr>cdspec90plus</vt:lpstr>
      <vt:lpstr>cdspecar</vt:lpstr>
      <vt:lpstr>cdspeclust</vt:lpstr>
      <vt:lpstr>cdspectea</vt:lpstr>
      <vt:lpstr>cdtea1</vt:lpstr>
      <vt:lpstr>cdtea2</vt:lpstr>
      <vt:lpstr>cdtreat180as240</vt:lpstr>
      <vt:lpstr>cdtreat90as120</vt:lpstr>
      <vt:lpstr>cfact</vt:lpstr>
      <vt:lpstr>CharLevel</vt:lpstr>
      <vt:lpstr>CharRace</vt:lpstr>
      <vt:lpstr>ChestEnchantList</vt:lpstr>
      <vt:lpstr>ChestEnchantStats</vt:lpstr>
      <vt:lpstr>ChestStats</vt:lpstr>
      <vt:lpstr>CoE</vt:lpstr>
      <vt:lpstr>conv</vt:lpstr>
      <vt:lpstr>CP</vt:lpstr>
      <vt:lpstr>cpot</vt:lpstr>
      <vt:lpstr>crit</vt:lpstr>
      <vt:lpstr>crrate</vt:lpstr>
      <vt:lpstr>cycle</vt:lpstr>
      <vt:lpstr>cyclelist</vt:lpstr>
      <vt:lpstr>cyclet</vt:lpstr>
      <vt:lpstr>DDmult</vt:lpstr>
      <vt:lpstr>deadliness</vt:lpstr>
      <vt:lpstr>debuffon</vt:lpstr>
      <vt:lpstr>defrating_def</vt:lpstr>
      <vt:lpstr>disablebuffs</vt:lpstr>
      <vt:lpstr>dm2p</vt:lpstr>
      <vt:lpstr>dm4p</vt:lpstr>
      <vt:lpstr>dm4p1</vt:lpstr>
      <vt:lpstr>dm4p2</vt:lpstr>
      <vt:lpstr>dm4p3</vt:lpstr>
      <vt:lpstr>dm4p4</vt:lpstr>
      <vt:lpstr>dm4p5</vt:lpstr>
      <vt:lpstr>dodge</vt:lpstr>
      <vt:lpstr>dorate</vt:lpstr>
      <vt:lpstr>dpsAgi</vt:lpstr>
      <vt:lpstr>dpsAP</vt:lpstr>
      <vt:lpstr>dpsArmor</vt:lpstr>
      <vt:lpstr>dpsCrit</vt:lpstr>
      <vt:lpstr>dpsExp</vt:lpstr>
      <vt:lpstr>dpsHaste</vt:lpstr>
      <vt:lpstr>dpsHit</vt:lpstr>
      <vt:lpstr>dpsStr</vt:lpstr>
      <vt:lpstr>dskill</vt:lpstr>
      <vt:lpstr>dws</vt:lpstr>
      <vt:lpstr>eadps</vt:lpstr>
      <vt:lpstr>easec</vt:lpstr>
      <vt:lpstr>eec</vt:lpstr>
      <vt:lpstr>enCrMHup</vt:lpstr>
      <vt:lpstr>enCrOHup</vt:lpstr>
      <vt:lpstr>enExBHup</vt:lpstr>
      <vt:lpstr>enExMHup</vt:lpstr>
      <vt:lpstr>enExOHup</vt:lpstr>
      <vt:lpstr>enMnMHup</vt:lpstr>
      <vt:lpstr>enMnOHup</vt:lpstr>
      <vt:lpstr>enRWCbhUP</vt:lpstr>
      <vt:lpstr>enRWCmhUP</vt:lpstr>
      <vt:lpstr>enRWCohUP</vt:lpstr>
      <vt:lpstr>envdmg</vt:lpstr>
      <vt:lpstr>envsec</vt:lpstr>
      <vt:lpstr>eps</vt:lpstr>
      <vt:lpstr>evicost</vt:lpstr>
      <vt:lpstr>evidmg</vt:lpstr>
      <vt:lpstr>evisec</vt:lpstr>
      <vt:lpstr>Ferocious</vt:lpstr>
      <vt:lpstr>Ferociousimp</vt:lpstr>
      <vt:lpstr>fincrit</vt:lpstr>
      <vt:lpstr>finhit</vt:lpstr>
      <vt:lpstr>finish</vt:lpstr>
      <vt:lpstr>firstsndCP</vt:lpstr>
      <vt:lpstr>forceea</vt:lpstr>
      <vt:lpstr>fshiv</vt:lpstr>
      <vt:lpstr>fullresist</vt:lpstr>
      <vt:lpstr>fw</vt:lpstr>
      <vt:lpstr>fwfactor</vt:lpstr>
      <vt:lpstr>GenSocketStats</vt:lpstr>
      <vt:lpstr>GloveEnchantList</vt:lpstr>
      <vt:lpstr>GloveEnchantStats</vt:lpstr>
      <vt:lpstr>Gloves</vt:lpstr>
      <vt:lpstr>GlovesStats</vt:lpstr>
      <vt:lpstr>gs</vt:lpstr>
      <vt:lpstr>hasmana</vt:lpstr>
      <vt:lpstr>Haste</vt:lpstr>
      <vt:lpstr>hasterate</vt:lpstr>
      <vt:lpstr>HDebuff</vt:lpstr>
      <vt:lpstr>HelmEnchantList</vt:lpstr>
      <vt:lpstr>HelmEnchantStats</vt:lpstr>
      <vt:lpstr>HelmStats</vt:lpstr>
      <vt:lpstr>hemo</vt:lpstr>
      <vt:lpstr>Hemorrhage</vt:lpstr>
      <vt:lpstr>hit</vt:lpstr>
      <vt:lpstr>HitRate</vt:lpstr>
      <vt:lpstr>hp</vt:lpstr>
      <vt:lpstr>ievis</vt:lpstr>
      <vt:lpstr>impBS</vt:lpstr>
      <vt:lpstr>impea</vt:lpstr>
      <vt:lpstr>impSS</vt:lpstr>
      <vt:lpstr>incAlc</vt:lpstr>
      <vt:lpstr>incDef</vt:lpstr>
      <vt:lpstr>include5man</vt:lpstr>
      <vt:lpstr>includeblacksmith</vt:lpstr>
      <vt:lpstr>includeblacktemple</vt:lpstr>
      <vt:lpstr>includeboe</vt:lpstr>
      <vt:lpstr>includeboecrafted</vt:lpstr>
      <vt:lpstr>includedoomwalker</vt:lpstr>
      <vt:lpstr>includeenchanting</vt:lpstr>
      <vt:lpstr>includeengineer</vt:lpstr>
      <vt:lpstr>includegemcommon</vt:lpstr>
      <vt:lpstr>includegemepic</vt:lpstr>
      <vt:lpstr>includegemrare</vt:lpstr>
      <vt:lpstr>includegruul</vt:lpstr>
      <vt:lpstr>includeheroic</vt:lpstr>
      <vt:lpstr>includejewelcrafting</vt:lpstr>
      <vt:lpstr>includekarahzan</vt:lpstr>
      <vt:lpstr>includekazzak</vt:lpstr>
      <vt:lpstr>includeleatherwork</vt:lpstr>
      <vt:lpstr>includemagtheridon</vt:lpstr>
      <vt:lpstr>includemounthyjal</vt:lpstr>
      <vt:lpstr>includep1</vt:lpstr>
      <vt:lpstr>includep2</vt:lpstr>
      <vt:lpstr>includep3</vt:lpstr>
      <vt:lpstr>includep4</vt:lpstr>
      <vt:lpstr>includep5</vt:lpstr>
      <vt:lpstr>includeprebc</vt:lpstr>
      <vt:lpstr>includepvp</vt:lpstr>
      <vt:lpstr>includequest</vt:lpstr>
      <vt:lpstr>includeracials</vt:lpstr>
      <vt:lpstr>includereputation</vt:lpstr>
      <vt:lpstr>includessc</vt:lpstr>
      <vt:lpstr>includesunwell</vt:lpstr>
      <vt:lpstr>includetheeye</vt:lpstr>
      <vt:lpstr>includezulaman</vt:lpstr>
      <vt:lpstr>instactualcrit</vt:lpstr>
      <vt:lpstr>instactualhit</vt:lpstr>
      <vt:lpstr>instatk</vt:lpstr>
      <vt:lpstr>instatklng</vt:lpstr>
      <vt:lpstr>instcost</vt:lpstr>
      <vt:lpstr>instcrit</vt:lpstr>
      <vt:lpstr>insthit</vt:lpstr>
      <vt:lpstr>instsec</vt:lpstr>
      <vt:lpstr>isnd</vt:lpstr>
      <vt:lpstr>itAToLup</vt:lpstr>
      <vt:lpstr>itBsEa</vt:lpstr>
      <vt:lpstr>itBsMH</vt:lpstr>
      <vt:lpstr>itBsOH</vt:lpstr>
      <vt:lpstr>itDMCCap</vt:lpstr>
      <vt:lpstr>itDSTup</vt:lpstr>
      <vt:lpstr>itGenProc10sMH</vt:lpstr>
      <vt:lpstr>itGenProc10sOH</vt:lpstr>
      <vt:lpstr>itHGup</vt:lpstr>
      <vt:lpstr>itHoJ</vt:lpstr>
      <vt:lpstr>itHRmhUP</vt:lpstr>
      <vt:lpstr>itHRohUP</vt:lpstr>
      <vt:lpstr>itMotBup</vt:lpstr>
      <vt:lpstr>itSoCup</vt:lpstr>
      <vt:lpstr>itSSPMAup</vt:lpstr>
      <vt:lpstr>itSSPRAup</vt:lpstr>
      <vt:lpstr>itSSPRSup</vt:lpstr>
      <vt:lpstr>itSypBHup</vt:lpstr>
      <vt:lpstr>itSyphBHup</vt:lpstr>
      <vt:lpstr>itSyphOHup</vt:lpstr>
      <vt:lpstr>itSypMHup</vt:lpstr>
      <vt:lpstr>itSypOHup</vt:lpstr>
      <vt:lpstr>itTBFup</vt:lpstr>
      <vt:lpstr>itTSDup</vt:lpstr>
      <vt:lpstr>itTTup</vt:lpstr>
      <vt:lpstr>itWSCup</vt:lpstr>
      <vt:lpstr>jomgabbar</vt:lpstr>
      <vt:lpstr>kings</vt:lpstr>
      <vt:lpstr>LegEnchantList</vt:lpstr>
      <vt:lpstr>LegEnchantStats</vt:lpstr>
      <vt:lpstr>LegsStats</vt:lpstr>
      <vt:lpstr>leth</vt:lpstr>
      <vt:lpstr>list1to4</vt:lpstr>
      <vt:lpstr>lookAgi</vt:lpstr>
      <vt:lpstr>lookAP</vt:lpstr>
      <vt:lpstr>lookArmor</vt:lpstr>
      <vt:lpstr>lookAvgDmg</vt:lpstr>
      <vt:lpstr>lookCrit</vt:lpstr>
      <vt:lpstr>lookDef</vt:lpstr>
      <vt:lpstr>lookDod</vt:lpstr>
      <vt:lpstr>lookExp</vt:lpstr>
      <vt:lpstr>lookHaste</vt:lpstr>
      <vt:lpstr>lookHit</vt:lpstr>
      <vt:lpstr>lookID</vt:lpstr>
      <vt:lpstr>lookMaxDmg</vt:lpstr>
      <vt:lpstr>lookMinDmg</vt:lpstr>
      <vt:lpstr>lookName</vt:lpstr>
      <vt:lpstr>lookPhase</vt:lpstr>
      <vt:lpstr>lookRes</vt:lpstr>
      <vt:lpstr>lookSet</vt:lpstr>
      <vt:lpstr>lookSoc</vt:lpstr>
      <vt:lpstr>lookSocBon</vt:lpstr>
      <vt:lpstr>lookSource</vt:lpstr>
      <vt:lpstr>lookSpeed</vt:lpstr>
      <vt:lpstr>lookSta</vt:lpstr>
      <vt:lpstr>lookStr</vt:lpstr>
      <vt:lpstr>lookType</vt:lpstr>
      <vt:lpstr>lostdp</vt:lpstr>
      <vt:lpstr>mangle</vt:lpstr>
      <vt:lpstr>MetaSocketList</vt:lpstr>
      <vt:lpstr>MetaSocketStats</vt:lpstr>
      <vt:lpstr>mh</vt:lpstr>
      <vt:lpstr>MHatsec</vt:lpstr>
      <vt:lpstr>MHavg</vt:lpstr>
      <vt:lpstr>MHcdam</vt:lpstr>
      <vt:lpstr>MHcfact</vt:lpstr>
      <vt:lpstr>MHcrit</vt:lpstr>
      <vt:lpstr>MHdam</vt:lpstr>
      <vt:lpstr>MHdod</vt:lpstr>
      <vt:lpstr>mhdps</vt:lpstr>
      <vt:lpstr>MHEnchantList</vt:lpstr>
      <vt:lpstr>MHEnchantStats</vt:lpstr>
      <vt:lpstr>MHgdam</vt:lpstr>
      <vt:lpstr>MHgfact</vt:lpstr>
      <vt:lpstr>MHglan</vt:lpstr>
      <vt:lpstr>MHhit</vt:lpstr>
      <vt:lpstr>MHmiss</vt:lpstr>
      <vt:lpstr>MHnorm</vt:lpstr>
      <vt:lpstr>MHspd</vt:lpstr>
      <vt:lpstr>mhtemp</vt:lpstr>
      <vt:lpstr>MHTempEnchantList</vt:lpstr>
      <vt:lpstr>MHTempEnchantStats</vt:lpstr>
      <vt:lpstr>mhtype</vt:lpstr>
      <vt:lpstr>MHWeaponStats</vt:lpstr>
      <vt:lpstr>misery</vt:lpstr>
      <vt:lpstr>miseryimp</vt:lpstr>
      <vt:lpstr>mobtype</vt:lpstr>
      <vt:lpstr>mpsn</vt:lpstr>
      <vt:lpstr>mutilate</vt:lpstr>
      <vt:lpstr>nb2p</vt:lpstr>
      <vt:lpstr>nb4p</vt:lpstr>
      <vt:lpstr>Neck</vt:lpstr>
      <vt:lpstr>NeckStats</vt:lpstr>
      <vt:lpstr>NormDag</vt:lpstr>
      <vt:lpstr>NormWeap</vt:lpstr>
      <vt:lpstr>numPhysDps</vt:lpstr>
      <vt:lpstr>oh</vt:lpstr>
      <vt:lpstr>OHatsec</vt:lpstr>
      <vt:lpstr>ohavg</vt:lpstr>
      <vt:lpstr>OHcdam</vt:lpstr>
      <vt:lpstr>OHcfact</vt:lpstr>
      <vt:lpstr>OHcrit</vt:lpstr>
      <vt:lpstr>OHdam</vt:lpstr>
      <vt:lpstr>OHDamFact</vt:lpstr>
      <vt:lpstr>OHdod</vt:lpstr>
      <vt:lpstr>ohdps</vt:lpstr>
      <vt:lpstr>OHEnchantList</vt:lpstr>
      <vt:lpstr>OHEnchantStats</vt:lpstr>
      <vt:lpstr>OHgdam</vt:lpstr>
      <vt:lpstr>OHglan</vt:lpstr>
      <vt:lpstr>ohhit</vt:lpstr>
      <vt:lpstr>OHhitt</vt:lpstr>
      <vt:lpstr>OHmiss</vt:lpstr>
      <vt:lpstr>OHnorm</vt:lpstr>
      <vt:lpstr>ohspd</vt:lpstr>
      <vt:lpstr>ohtemp</vt:lpstr>
      <vt:lpstr>OHTempEnchantList</vt:lpstr>
      <vt:lpstr>OHTempEnchantStats</vt:lpstr>
      <vt:lpstr>ohtype</vt:lpstr>
      <vt:lpstr>OHWeaponStats</vt:lpstr>
      <vt:lpstr>opp</vt:lpstr>
      <vt:lpstr>OptDPSadj</vt:lpstr>
      <vt:lpstr>optionyesno</vt:lpstr>
      <vt:lpstr>physicaldps</vt:lpstr>
      <vt:lpstr>poison</vt:lpstr>
      <vt:lpstr>Qrec</vt:lpstr>
      <vt:lpstr>RacesList</vt:lpstr>
      <vt:lpstr>RacesStats</vt:lpstr>
      <vt:lpstr>raidcrit</vt:lpstr>
      <vt:lpstr>RangedStats</vt:lpstr>
      <vt:lpstr>relent</vt:lpstr>
      <vt:lpstr>RingEnchantList</vt:lpstr>
      <vt:lpstr>RingEnchantStats</vt:lpstr>
      <vt:lpstr>RingStats</vt:lpstr>
      <vt:lpstr>rnRWCmhUP</vt:lpstr>
      <vt:lpstr>rupdmg</vt:lpstr>
      <vt:lpstr>rupsec</vt:lpstr>
      <vt:lpstr>ruptup</vt:lpstr>
      <vt:lpstr>ruth</vt:lpstr>
      <vt:lpstr>sa</vt:lpstr>
      <vt:lpstr>scalling</vt:lpstr>
      <vt:lpstr>Sealfate</vt:lpstr>
      <vt:lpstr>serrb</vt:lpstr>
      <vt:lpstr>SetLat2p</vt:lpstr>
      <vt:lpstr>SetTB2p</vt:lpstr>
      <vt:lpstr>ShoulderEnchantList</vt:lpstr>
      <vt:lpstr>ShoulderEnchantStats</vt:lpstr>
      <vt:lpstr>Shoulders</vt:lpstr>
      <vt:lpstr>ShoulderStats</vt:lpstr>
      <vt:lpstr>skBSbdam</vt:lpstr>
      <vt:lpstr>skBSmult</vt:lpstr>
      <vt:lpstr>skHMult</vt:lpstr>
      <vt:lpstr>skillrate</vt:lpstr>
      <vt:lpstr>Slayer2</vt:lpstr>
      <vt:lpstr>Slayer2val</vt:lpstr>
      <vt:lpstr>Slayer4</vt:lpstr>
      <vt:lpstr>Slayer4value</vt:lpstr>
      <vt:lpstr>sndeec</vt:lpstr>
      <vt:lpstr>sndeps</vt:lpstr>
      <vt:lpstr>sndepsadj</vt:lpstr>
      <vt:lpstr>sndfact</vt:lpstr>
      <vt:lpstr>sndmg</vt:lpstr>
      <vt:lpstr>sndps</vt:lpstr>
      <vt:lpstr>sndsec</vt:lpstr>
      <vt:lpstr>sndup</vt:lpstr>
      <vt:lpstr>stSL4P</vt:lpstr>
      <vt:lpstr>stSL4pbn</vt:lpstr>
      <vt:lpstr>stTwinUP</vt:lpstr>
      <vt:lpstr>SW</vt:lpstr>
      <vt:lpstr>talDWSpec</vt:lpstr>
      <vt:lpstr>talDWSpecRate</vt:lpstr>
      <vt:lpstr>Talents0to1</vt:lpstr>
      <vt:lpstr>Talents0to2</vt:lpstr>
      <vt:lpstr>Talents0to3</vt:lpstr>
      <vt:lpstr>Talents0to4</vt:lpstr>
      <vt:lpstr>Talents0to5</vt:lpstr>
      <vt:lpstr>talSCallAgiBon</vt:lpstr>
      <vt:lpstr>talSCallAgiMult</vt:lpstr>
      <vt:lpstr>talSCallInstBon</vt:lpstr>
      <vt:lpstr>talSCallInstMult</vt:lpstr>
      <vt:lpstr>talSwSpc</vt:lpstr>
      <vt:lpstr>talSwSpcFac</vt:lpstr>
      <vt:lpstr>talSwSpcRate</vt:lpstr>
      <vt:lpstr>thunderfury</vt:lpstr>
      <vt:lpstr>thunderfurydps</vt:lpstr>
      <vt:lpstr>time</vt:lpstr>
      <vt:lpstr>tlAGG</vt:lpstr>
      <vt:lpstr>tlAGGfac</vt:lpstr>
      <vt:lpstr>tlBF</vt:lpstr>
      <vt:lpstr>tlMurder</vt:lpstr>
      <vt:lpstr>tlMURfac</vt:lpstr>
      <vt:lpstr>tlOPP</vt:lpstr>
      <vt:lpstr>tlOPPfac</vt:lpstr>
      <vt:lpstr>tlSA</vt:lpstr>
      <vt:lpstr>tlSAfac</vt:lpstr>
      <vt:lpstr>tlSAfact</vt:lpstr>
      <vt:lpstr>tlSC</vt:lpstr>
      <vt:lpstr>tlSCagi</vt:lpstr>
      <vt:lpstr>tlSCall</vt:lpstr>
      <vt:lpstr>tlSCinst</vt:lpstr>
      <vt:lpstr>tlSwS</vt:lpstr>
      <vt:lpstr>tlSwSea</vt:lpstr>
      <vt:lpstr>tlSwSMH</vt:lpstr>
      <vt:lpstr>tlSwSOH</vt:lpstr>
      <vt:lpstr>tnbproc</vt:lpstr>
      <vt:lpstr>total120sIter</vt:lpstr>
      <vt:lpstr>total180sIter</vt:lpstr>
      <vt:lpstr>total60sIter</vt:lpstr>
      <vt:lpstr>total90sIter</vt:lpstr>
      <vt:lpstr>totalARIter</vt:lpstr>
      <vt:lpstr>totalARTicks</vt:lpstr>
      <vt:lpstr>totalTeaIter</vt:lpstr>
      <vt:lpstr>trinket1</vt:lpstr>
      <vt:lpstr>trinket120list</vt:lpstr>
      <vt:lpstr>trinket180list</vt:lpstr>
      <vt:lpstr>trinket2</vt:lpstr>
      <vt:lpstr>trinket60list</vt:lpstr>
      <vt:lpstr>trinket90list</vt:lpstr>
      <vt:lpstr>TrinketStats</vt:lpstr>
      <vt:lpstr>uAP</vt:lpstr>
      <vt:lpstr>ucrit</vt:lpstr>
      <vt:lpstr>udodge</vt:lpstr>
      <vt:lpstr>uHit</vt:lpstr>
      <vt:lpstr>uhp</vt:lpstr>
      <vt:lpstr>unlrage</vt:lpstr>
      <vt:lpstr>vigor</vt:lpstr>
      <vt:lpstr>vitality</vt:lpstr>
      <vt:lpstr>vp</vt:lpstr>
      <vt:lpstr>weapontype</vt:lpstr>
      <vt:lpstr>ww4p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Garcia</cp:lastModifiedBy>
  <cp:lastPrinted>2021-04-11T15:22:30Z</cp:lastPrinted>
  <dcterms:created xsi:type="dcterms:W3CDTF">2021-03-25T09:34:03Z</dcterms:created>
  <dcterms:modified xsi:type="dcterms:W3CDTF">2021-06-04T15:54:20Z</dcterms:modified>
</cp:coreProperties>
</file>